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39.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64.xml" ContentType="application/vnd.openxmlformats-officedocument.drawing+xml"/>
  <Default Extension="xml" ContentType="application/xml"/>
  <Override PartName="/xl/drawings/drawing2.xml" ContentType="application/vnd.openxmlformats-officedocument.drawing+xml"/>
  <Override PartName="/xl/comments4.xml" ContentType="application/vnd.openxmlformats-officedocument.spreadsheetml.comments+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worksheets/sheet98.xml" ContentType="application/vnd.openxmlformats-officedocument.spreadsheetml.worksheet+xml"/>
  <Override PartName="/xl/worksheets/sheet117.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worksheets/sheet69.xml" ContentType="application/vnd.openxmlformats-officedocument.spreadsheetml.worksheet+xml"/>
  <Override PartName="/xl/worksheets/sheet87.xml" ContentType="application/vnd.openxmlformats-officedocument.spreadsheetml.worksheet+xml"/>
  <Override PartName="/xl/worksheets/sheet106.xml" ContentType="application/vnd.openxmlformats-officedocument.spreadsheetml.worksheet+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76.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120.xml" ContentType="application/vnd.openxmlformats-officedocument.spreadsheetml.worksheet+xml"/>
  <Override PartName="/xl/worksheets/sheet25.xml" ContentType="application/vnd.openxmlformats-officedocument.spreadsheetml.worksheet+xml"/>
  <Override PartName="/xl/worksheets/sheet43.xml" ContentType="application/vnd.openxmlformats-officedocument.spreadsheetml.worksheet+xml"/>
  <Override PartName="/xl/worksheets/sheet72.xml" ContentType="application/vnd.openxmlformats-officedocument.spreadsheetml.worksheet+xml"/>
  <Override PartName="/xl/worksheets/sheet90.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worksheets/sheet32.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58.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Override PartName="/xl/drawings/drawing18.xml" ContentType="application/vnd.openxmlformats-officedocument.drawing+xml"/>
  <Override PartName="/xl/drawings/drawing36.xml" ContentType="application/vnd.openxmlformats-officedocument.drawing+xml"/>
  <Override PartName="/xl/drawings/drawing47.xml" ContentType="application/vnd.openxmlformats-officedocument.drawing+xml"/>
  <Override PartName="/xl/drawings/drawing6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25.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comments5.xml" ContentType="application/vnd.openxmlformats-officedocument.spreadsheetml.comments+xml"/>
  <Override PartName="/docProps/app.xml" ContentType="application/vnd.openxmlformats-officedocument.extended-properties+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drawings/drawing14.xml" ContentType="application/vnd.openxmlformats-officedocument.drawing+xml"/>
  <Override PartName="/xl/drawings/drawing32.xml" ContentType="application/vnd.openxmlformats-officedocument.drawing+xml"/>
  <Override PartName="/xl/drawings/drawing61.xml" ContentType="application/vnd.openxmlformats-officedocument.drawing+xml"/>
  <Override PartName="/xl/worksheets/sheet59.xml" ContentType="application/vnd.openxmlformats-officedocument.spreadsheetml.worksheet+xml"/>
  <Override PartName="/xl/worksheets/sheet77.xml" ContentType="application/vnd.openxmlformats-officedocument.spreadsheetml.worksheet+xml"/>
  <Override PartName="/xl/worksheets/sheet88.xml" ContentType="application/vnd.openxmlformats-officedocument.spreadsheetml.worksheet+xml"/>
  <Override PartName="/xl/worksheets/sheet114.xml" ContentType="application/vnd.openxmlformats-officedocument.spreadsheetml.worksheet+xml"/>
  <Default Extension="gif" ContentType="image/gif"/>
  <Default Extension="vml" ContentType="application/vnd.openxmlformats-officedocument.vmlDrawing"/>
  <Override PartName="/xl/comments1.xml" ContentType="application/vnd.openxmlformats-officedocument.spreadsheetml.comments+xml"/>
  <Override PartName="/xl/drawings/drawing21.xml" ContentType="application/vnd.openxmlformats-officedocument.drawing+xml"/>
  <Override PartName="/xl/drawings/drawing50.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worksheets/sheet66.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drawings/drawing10.xml" ContentType="application/vnd.openxmlformats-officedocument.drawing+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1.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drawings/drawing66.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Override PartName="/xl/comments6.xml" ContentType="application/vnd.openxmlformats-officedocument.spreadsheetml.comments+xml"/>
  <Default Extension="rels" ContentType="application/vnd.openxmlformats-package.relationships+xml"/>
  <Override PartName="/xl/worksheets/sheet5.xml" ContentType="application/vnd.openxmlformats-officedocument.spreadsheetml.worksheet+xml"/>
  <Override PartName="/xl/worksheets/sheet119.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worksheets/sheet89.xml" ContentType="application/vnd.openxmlformats-officedocument.spreadsheetml.worksheet+xml"/>
  <Override PartName="/xl/worksheets/sheet108.xml" ContentType="application/vnd.openxmlformats-officedocument.spreadsheetml.worksheet+xml"/>
  <Override PartName="/xl/comments2.xml" ContentType="application/vnd.openxmlformats-officedocument.spreadsheetml.comments+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Override PartName="/xl/worksheets/sheet67.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drawings/drawing9.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drawings/drawing27.xml" ContentType="application/vnd.openxmlformats-officedocument.drawing+xml"/>
  <Override PartName="/xl/drawings/drawing45.xml" ContentType="application/vnd.openxmlformats-officedocument.drawing+xml"/>
  <Override PartName="/xl/drawings/drawing56.xml" ContentType="application/vnd.openxmlformats-officedocument.drawing+xml"/>
  <Override PartName="/xl/worksheets/sheet109.xml" ContentType="application/vnd.openxmlformats-officedocument.spreadsheetml.worksheet+xml"/>
  <Override PartName="/xl/drawings/drawing16.xml" ContentType="application/vnd.openxmlformats-officedocument.drawing+xml"/>
  <Override PartName="/xl/drawings/drawing34.xml" ContentType="application/vnd.openxmlformats-officedocument.drawing+xml"/>
  <Override PartName="/xl/drawings/drawing63.xml" ContentType="application/vnd.openxmlformats-officedocument.drawing+xml"/>
  <Override PartName="/xl/worksheets/sheet2.xml" ContentType="application/vnd.openxmlformats-officedocument.spreadsheetml.worksheet+xml"/>
  <Override PartName="/xl/worksheets/sheet116.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drawings/drawing23.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worksheets/sheet68.xml" ContentType="application/vnd.openxmlformats-officedocument.spreadsheetml.worksheet+xml"/>
  <Override PartName="/xl/worksheets/sheet79.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drawings/drawing12.xml" ContentType="application/vnd.openxmlformats-officedocument.drawing+xml"/>
  <Override PartName="/xl/drawings/drawing30.xml" ContentType="application/vnd.openxmlformats-officedocument.drawing+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12.xml" ContentType="application/vnd.openxmlformats-officedocument.spreadsheetml.worksheet+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53.xml" ContentType="application/vnd.openxmlformats-officedocument.spreadsheetml.worksheet+xml"/>
  <Override PartName="/xl/worksheets/sheet42.xml" ContentType="application/vnd.openxmlformats-officedocument.spreadsheetml.worksheet+xml"/>
  <Override PartName="/xl/drawings/drawing6.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6.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510" yWindow="390" windowWidth="11520" windowHeight="5175" tabRatio="871" activeTab="1"/>
  </bookViews>
  <sheets>
    <sheet name="!" sheetId="117" r:id="rId1"/>
    <sheet name="Intro_v.2.3" sheetId="1" r:id="rId2"/>
    <sheet name="Index" sheetId="144" r:id="rId3"/>
    <sheet name="1.1" sheetId="4" r:id="rId4"/>
    <sheet name="1.2.1" sheetId="76" r:id="rId5"/>
    <sheet name="1.2.2" sheetId="78" r:id="rId6"/>
    <sheet name="1.2.3" sheetId="79" r:id="rId7"/>
    <sheet name="1.2.4" sheetId="80" r:id="rId8"/>
    <sheet name="1.2.5" sheetId="93" r:id="rId9"/>
    <sheet name="1.3" sheetId="96" r:id="rId10"/>
    <sheet name="1.4" sheetId="94" r:id="rId11"/>
    <sheet name="1.5" sheetId="3" r:id="rId12"/>
    <sheet name="1.6.1" sheetId="95" r:id="rId13"/>
    <sheet name="1.6.2" sheetId="29" r:id="rId14"/>
    <sheet name="1.7" sheetId="13" r:id="rId15"/>
    <sheet name="1.8" sheetId="12" r:id="rId16"/>
    <sheet name="1.9" sheetId="19" r:id="rId17"/>
    <sheet name="2.1" sheetId="52" r:id="rId18"/>
    <sheet name="2.2" sheetId="136" r:id="rId19"/>
    <sheet name="2.3" sheetId="18" r:id="rId20"/>
    <sheet name="2.4" sheetId="82" r:id="rId21"/>
    <sheet name="2.5" sheetId="84" r:id="rId22"/>
    <sheet name="2.6" sheetId="92" r:id="rId23"/>
    <sheet name="2.7" sheetId="111" r:id="rId24"/>
    <sheet name="2.8" sheetId="118" r:id="rId25"/>
    <sheet name="2.9" sheetId="137" r:id="rId26"/>
    <sheet name="2.10" sheetId="143" r:id="rId27"/>
    <sheet name="3.1" sheetId="34" r:id="rId28"/>
    <sheet name="3.2.1" sheetId="53" r:id="rId29"/>
    <sheet name="3.2.2" sheetId="75" r:id="rId30"/>
    <sheet name="3.2.3" sheetId="135" r:id="rId31"/>
    <sheet name="3.3.1" sheetId="71" r:id="rId32"/>
    <sheet name="3.3.2" sheetId="114" r:id="rId33"/>
    <sheet name="3.3.3" sheetId="130" r:id="rId34"/>
    <sheet name="3.4" sheetId="113" r:id="rId35"/>
    <sheet name="3.5.1" sheetId="97" r:id="rId36"/>
    <sheet name="3.5.2" sheetId="40" r:id="rId37"/>
    <sheet name="3.6" sheetId="14" r:id="rId38"/>
    <sheet name="3.7" sheetId="30" r:id="rId39"/>
    <sheet name="3.8.1" sheetId="56" r:id="rId40"/>
    <sheet name="3.8.2" sheetId="58" r:id="rId41"/>
    <sheet name="3.9" sheetId="83" r:id="rId42"/>
    <sheet name="3.10" sheetId="86" r:id="rId43"/>
    <sheet name="3.11.1" sheetId="87" r:id="rId44"/>
    <sheet name="3.11.2" sheetId="90" r:id="rId45"/>
    <sheet name="4.1" sheetId="11" r:id="rId46"/>
    <sheet name="4.2" sheetId="98" r:id="rId47"/>
    <sheet name="4.3" sheetId="99" r:id="rId48"/>
    <sheet name="4.4" sheetId="100" r:id="rId49"/>
    <sheet name="4.5" sheetId="101" r:id="rId50"/>
    <sheet name="4.6" sheetId="102" r:id="rId51"/>
    <sheet name="4.7" sheetId="17" r:id="rId52"/>
    <sheet name="4.8" sheetId="103" r:id="rId53"/>
    <sheet name="4.9" sheetId="120" r:id="rId54"/>
    <sheet name="4.10" sheetId="27" r:id="rId55"/>
    <sheet name="5.1" sheetId="85" r:id="rId56"/>
    <sheet name="5.2" sheetId="104" r:id="rId57"/>
    <sheet name="5.3" sheetId="22" r:id="rId58"/>
    <sheet name="5.4" sheetId="127" r:id="rId59"/>
    <sheet name="5.5" sheetId="129" r:id="rId60"/>
    <sheet name="5.6" sheetId="21" r:id="rId61"/>
    <sheet name="5.7" sheetId="51" r:id="rId62"/>
    <sheet name="5.8" sheetId="116" r:id="rId63"/>
    <sheet name="5.9" sheetId="57" r:id="rId64"/>
    <sheet name="5.10" sheetId="74" r:id="rId65"/>
    <sheet name="5.11" sheetId="60" r:id="rId66"/>
    <sheet name="6.1" sheetId="23" r:id="rId67"/>
    <sheet name="6.2" sheetId="37" r:id="rId68"/>
    <sheet name="6.3.1" sheetId="41" r:id="rId69"/>
    <sheet name="6.3.2" sheetId="42" r:id="rId70"/>
    <sheet name="6.3.3" sheetId="43" r:id="rId71"/>
    <sheet name="6.3.4" sheetId="44" r:id="rId72"/>
    <sheet name="6.3.5" sheetId="45" r:id="rId73"/>
    <sheet name="6.3.6" sheetId="48" r:id="rId74"/>
    <sheet name="6.3.7" sheetId="47" r:id="rId75"/>
    <sheet name="6.3.8" sheetId="49" r:id="rId76"/>
    <sheet name="6.3.9" sheetId="50" r:id="rId77"/>
    <sheet name="6.4" sheetId="39" r:id="rId78"/>
    <sheet name="6.5" sheetId="109" r:id="rId79"/>
    <sheet name="7.1.1" sheetId="54" r:id="rId80"/>
    <sheet name="7.1.2" sheetId="70" r:id="rId81"/>
    <sheet name="7.1.3" sheetId="69" r:id="rId82"/>
    <sheet name="7.1.4" sheetId="68" r:id="rId83"/>
    <sheet name="7.1.5" sheetId="67" r:id="rId84"/>
    <sheet name="7.1.6" sheetId="66" r:id="rId85"/>
    <sheet name="7.1.7" sheetId="65" r:id="rId86"/>
    <sheet name="7.1.8" sheetId="64" r:id="rId87"/>
    <sheet name="7.1.9" sheetId="146" r:id="rId88"/>
    <sheet name="7.2" sheetId="63" r:id="rId89"/>
    <sheet name="7.3" sheetId="6" r:id="rId90"/>
    <sheet name="7.4.1" sheetId="38" r:id="rId91"/>
    <sheet name="7.4.2" sheetId="105" r:id="rId92"/>
    <sheet name="7.4.3" sheetId="112" r:id="rId93"/>
    <sheet name="7.4.4" sheetId="124" r:id="rId94"/>
    <sheet name="7.5" sheetId="55" r:id="rId95"/>
    <sheet name="7.6.1" sheetId="72" r:id="rId96"/>
    <sheet name="7.6.2" sheetId="140" r:id="rId97"/>
    <sheet name="7.7.1" sheetId="81" r:id="rId98"/>
    <sheet name="7.7.2" sheetId="141" r:id="rId99"/>
    <sheet name="7.8" sheetId="88" r:id="rId100"/>
    <sheet name="7.9" sheetId="110" r:id="rId101"/>
    <sheet name="7.10" sheetId="61" r:id="rId102"/>
    <sheet name="7.11" sheetId="123" r:id="rId103"/>
    <sheet name="7.12" sheetId="134" r:id="rId104"/>
    <sheet name="7.13.1" sheetId="133" r:id="rId105"/>
    <sheet name="7.13.2" sheetId="132" r:id="rId106"/>
    <sheet name="7.13.3" sheetId="126" r:id="rId107"/>
    <sheet name="8.1.1" sheetId="25" r:id="rId108"/>
    <sheet name="8.1.2" sheetId="89" r:id="rId109"/>
    <sheet name="8.2" sheetId="138" r:id="rId110"/>
    <sheet name="8.3" sheetId="147" r:id="rId111"/>
    <sheet name="8.4" sheetId="115" r:id="rId112"/>
    <sheet name="8.5" sheetId="128" r:id="rId113"/>
    <sheet name="8.6" sheetId="28" r:id="rId114"/>
    <sheet name="8.7" sheetId="73" r:id="rId115"/>
    <sheet name="8.8" sheetId="35" r:id="rId116"/>
    <sheet name="8.9" sheetId="125" r:id="rId117"/>
    <sheet name="8.10" sheetId="36" r:id="rId118"/>
    <sheet name="8.11" sheetId="145" r:id="rId119"/>
    <sheet name="8.12" sheetId="142" r:id="rId120"/>
    <sheet name="8.13" sheetId="148" r:id="rId121"/>
  </sheets>
  <definedNames>
    <definedName name="_xlnm._FilterDatabase" localSheetId="3" hidden="1">'1.1'!$B$8:$R$163</definedName>
    <definedName name="_xlnm._FilterDatabase" localSheetId="5" hidden="1">'1.2.2'!$B$8:$C$8</definedName>
    <definedName name="_xlnm._FilterDatabase" localSheetId="7" hidden="1">'1.2.4'!$B$8:$C$8</definedName>
    <definedName name="_xlnm._FilterDatabase" localSheetId="12" hidden="1">'1.6.1'!$B$6</definedName>
    <definedName name="_xlnm._FilterDatabase" localSheetId="13" hidden="1">'1.6.2'!$B$8</definedName>
    <definedName name="_xlnm._FilterDatabase" localSheetId="14" hidden="1">'1.7'!$B$15:$D$15</definedName>
    <definedName name="_xlnm._FilterDatabase" localSheetId="15" hidden="1">'1.8'!$C$7:$F$7</definedName>
    <definedName name="_xlnm._FilterDatabase" localSheetId="19" hidden="1">'2.3'!$B$9:$C$78</definedName>
    <definedName name="_xlnm._FilterDatabase" localSheetId="27" hidden="1">'3.1'!$B$11:$N$152</definedName>
    <definedName name="_xlnm._FilterDatabase" localSheetId="42" hidden="1">'3.10'!$D$50:$F$50</definedName>
    <definedName name="_xlnm._FilterDatabase" localSheetId="28" hidden="1">'3.2.1'!$B$9:$E$153</definedName>
    <definedName name="_xlnm._FilterDatabase" localSheetId="29" hidden="1">'3.2.2'!$B$9:$F$9</definedName>
    <definedName name="_xlnm._FilterDatabase" localSheetId="30" hidden="1">'3.2.3'!$B$8:$B$8</definedName>
    <definedName name="_xlnm._FilterDatabase" localSheetId="37" hidden="1">'3.6'!$B$7:$D$8</definedName>
    <definedName name="_xlnm._FilterDatabase" localSheetId="56" hidden="1">'5.2'!$B$7:$C$7</definedName>
    <definedName name="_xlnm._FilterDatabase" localSheetId="57" hidden="1">'5.3'!$B$10:$C$10</definedName>
    <definedName name="_xlnm._FilterDatabase" localSheetId="59" hidden="1">'5.5'!$B$14:$C$14</definedName>
    <definedName name="_xlnm._FilterDatabase" localSheetId="67" hidden="1">'6.2'!$B$9:$M$135</definedName>
    <definedName name="_xlnm._FilterDatabase" localSheetId="113" hidden="1">'8.6'!$B$44:$C$60</definedName>
    <definedName name="_xlnm._FilterDatabase" localSheetId="115" hidden="1">'8.8'!$B$6:$G$509</definedName>
    <definedName name="_xlnm._FilterDatabase" localSheetId="116" hidden="1">'8.9'!$B$8:$G$8</definedName>
    <definedName name="_xlnm._FilterDatabase" localSheetId="2" hidden="1">Index!$B$7:$F$143</definedName>
    <definedName name="castle" localSheetId="66">'6.1'!$C$35</definedName>
    <definedName name="castle" localSheetId="78">'6.5'!#REF!</definedName>
    <definedName name="_xlnm.Print_Area" localSheetId="0">'!'!$A$1:$L$65</definedName>
    <definedName name="_xlnm.Print_Area" localSheetId="3">'1.1'!$A$1:$R$173</definedName>
    <definedName name="_xlnm.Print_Area" localSheetId="4">'1.2.1'!$A$1:$D$35</definedName>
    <definedName name="_xlnm.Print_Area" localSheetId="5">'1.2.2'!$A$1:$D$33</definedName>
    <definedName name="_xlnm.Print_Area" localSheetId="6">'1.2.3'!$A$1:$E$29</definedName>
    <definedName name="_xlnm.Print_Area" localSheetId="8">'1.2.5'!$A$1:$D$35</definedName>
    <definedName name="_xlnm.Print_Area" localSheetId="9">'1.3'!$A$1:$K$37</definedName>
    <definedName name="_xlnm.Print_Area" localSheetId="10">'1.4'!$A$1:$D$85</definedName>
    <definedName name="_xlnm.Print_Area" localSheetId="11">'1.5'!$A$1:$G$106</definedName>
    <definedName name="_xlnm.Print_Area" localSheetId="13">'1.6.2'!$A$1:$T$69</definedName>
    <definedName name="_xlnm.Print_Area" localSheetId="14">'1.7'!$A$1:$I$33</definedName>
    <definedName name="_xlnm.Print_Area" localSheetId="15">'1.8'!$A$1:$G$170</definedName>
    <definedName name="_xlnm.Print_Area" localSheetId="17">'2.1'!$A$1:$J$130</definedName>
    <definedName name="_xlnm.Print_Area" localSheetId="26">'2.10'!$A$1:$G$61</definedName>
    <definedName name="_xlnm.Print_Area" localSheetId="18">'2.2'!$A$1:$I$174</definedName>
    <definedName name="_xlnm.Print_Area" localSheetId="19">'2.3'!$A$1:$M$169</definedName>
    <definedName name="_xlnm.Print_Area" localSheetId="20">'2.4'!$A$1:$G$92</definedName>
    <definedName name="_xlnm.Print_Area" localSheetId="21">'2.5'!$A$1:$H$22</definedName>
    <definedName name="_xlnm.Print_Area" localSheetId="22">'2.6'!$A$1:$K$33</definedName>
    <definedName name="_xlnm.Print_Area" localSheetId="23">'2.7'!$A$1:$K$68</definedName>
    <definedName name="_xlnm.Print_Area" localSheetId="24">'2.8'!$A$1:$BI$112</definedName>
    <definedName name="_xlnm.Print_Area" localSheetId="25">'2.9'!$A$1:$H$11</definedName>
    <definedName name="_xlnm.Print_Area" localSheetId="27">'3.1'!$A$1:$P$167</definedName>
    <definedName name="_xlnm.Print_Area" localSheetId="42">'3.10'!$A$1:$K$191</definedName>
    <definedName name="_xlnm.Print_Area" localSheetId="43">'3.11.1'!$A$1:$E$32</definedName>
    <definedName name="_xlnm.Print_Area" localSheetId="44">'3.11.2'!$A$1:$I$54</definedName>
    <definedName name="_xlnm.Print_Area" localSheetId="28">'3.2.1'!$A$1:$F$157</definedName>
    <definedName name="_xlnm.Print_Area" localSheetId="29">'3.2.2'!$A$1:$L$110</definedName>
    <definedName name="_xlnm.Print_Area" localSheetId="30">'3.2.3'!$A$1:$N$46</definedName>
    <definedName name="_xlnm.Print_Area" localSheetId="31">'3.3.1'!$A$1:$E$31</definedName>
    <definedName name="_xlnm.Print_Area" localSheetId="32">'3.3.2'!$A$1:$AJ$37</definedName>
    <definedName name="_xlnm.Print_Area" localSheetId="34">'3.4'!$A$1:$K$47</definedName>
    <definedName name="_xlnm.Print_Area" localSheetId="35">'3.5.1'!$A$1:$K$32</definedName>
    <definedName name="_xlnm.Print_Area" localSheetId="36">'3.5.2'!$A$1:$M$61</definedName>
    <definedName name="_xlnm.Print_Area" localSheetId="37">'3.6'!$A$1:$N$15</definedName>
    <definedName name="_xlnm.Print_Area" localSheetId="38">'3.7'!$A$1:$I$37</definedName>
    <definedName name="_xlnm.Print_Area" localSheetId="39">'3.8.1'!$A$1:$J$31</definedName>
    <definedName name="_xlnm.Print_Area" localSheetId="40">'3.8.2'!$A$1:$M$51</definedName>
    <definedName name="_xlnm.Print_Area" localSheetId="41">'3.9'!$A$1:$H$64</definedName>
    <definedName name="_xlnm.Print_Area" localSheetId="45">'4.1'!$A$1:$G$91</definedName>
    <definedName name="_xlnm.Print_Area" localSheetId="54">'4.10'!$A$1:$F$79</definedName>
    <definedName name="_xlnm.Print_Area" localSheetId="46">'4.2'!$A$1:$G$42</definedName>
    <definedName name="_xlnm.Print_Area" localSheetId="47">'4.3'!$A$1:$G$115</definedName>
    <definedName name="_xlnm.Print_Area" localSheetId="48">'4.4'!$A$1:$G$87</definedName>
    <definedName name="_xlnm.Print_Area" localSheetId="49">'4.5'!$A$1:$F$160</definedName>
    <definedName name="_xlnm.Print_Area" localSheetId="50">'4.6'!$A$1:$F$106</definedName>
    <definedName name="_xlnm.Print_Area" localSheetId="51">'4.7'!$A$1:$D$62</definedName>
    <definedName name="_xlnm.Print_Area" localSheetId="52">'4.8'!$A$1:$F$140</definedName>
    <definedName name="_xlnm.Print_Area" localSheetId="53">'4.9'!$A$1:$AD$262</definedName>
    <definedName name="_xlnm.Print_Area" localSheetId="55">'5.1'!$A$1:$G$259</definedName>
    <definedName name="_xlnm.Print_Area" localSheetId="64">'5.10'!$A$1:$H$63</definedName>
    <definedName name="_xlnm.Print_Area" localSheetId="56">'5.2'!$A$1:$C$141</definedName>
    <definedName name="_xlnm.Print_Area" localSheetId="57">'5.3'!$A$1:$H$112</definedName>
    <definedName name="_xlnm.Print_Area" localSheetId="58">'5.4'!$A$1:$H$45</definedName>
    <definedName name="_xlnm.Print_Area" localSheetId="59">'5.5'!$A$1:$E$106</definedName>
    <definedName name="_xlnm.Print_Area" localSheetId="60">'5.6'!$A$1:$E$44</definedName>
    <definedName name="_xlnm.Print_Area" localSheetId="61">'5.7'!$A$1:$H$86</definedName>
    <definedName name="_xlnm.Print_Area" localSheetId="62">'5.8'!$A$1:$O$102</definedName>
    <definedName name="_xlnm.Print_Area" localSheetId="66">'6.1'!$A$1:$J$320</definedName>
    <definedName name="_xlnm.Print_Area" localSheetId="67">'6.2'!$A$1:$M$167</definedName>
    <definedName name="_xlnm.Print_Area" localSheetId="72">'6.3.5'!$A$1:$M$24</definedName>
    <definedName name="_xlnm.Print_Area" localSheetId="74">'6.3.7'!$A$1:$M$22</definedName>
    <definedName name="_xlnm.Print_Area" localSheetId="75">'6.3.8'!$A$1:$K$21</definedName>
    <definedName name="_xlnm.Print_Area" localSheetId="76">'6.3.9'!$A$1:$M$24</definedName>
    <definedName name="_xlnm.Print_Area" localSheetId="77">'6.4'!$A$1:$N$35</definedName>
    <definedName name="_xlnm.Print_Area" localSheetId="78">'6.5'!$A$1:$J$31</definedName>
    <definedName name="_xlnm.Print_Area" localSheetId="79">'7.1.1'!$A$1:$E$36</definedName>
    <definedName name="_xlnm.Print_Area" localSheetId="80">'7.1.2'!$A$1:$E$35</definedName>
    <definedName name="_xlnm.Print_Area" localSheetId="81">'7.1.3'!$A$1:$E$32</definedName>
    <definedName name="_xlnm.Print_Area" localSheetId="82">'7.1.4'!$A$1:$E$41</definedName>
    <definedName name="_xlnm.Print_Area" localSheetId="83">'7.1.5'!$A$1:$E$37</definedName>
    <definedName name="_xlnm.Print_Area" localSheetId="84">'7.1.6'!$A$1:$E$33</definedName>
    <definedName name="_xlnm.Print_Area" localSheetId="85">'7.1.7'!$A$1:$E$32</definedName>
    <definedName name="_xlnm.Print_Area" localSheetId="86">'7.1.8'!$A$1:$E$30</definedName>
    <definedName name="_xlnm.Print_Area" localSheetId="87">'7.1.9'!$A$1:$E$34</definedName>
    <definedName name="_xlnm.Print_Area" localSheetId="101">'7.10'!$A$1:$L$93</definedName>
    <definedName name="_xlnm.Print_Area" localSheetId="102">'7.11'!$A$1:$D$31</definedName>
    <definedName name="_xlnm.Print_Area" localSheetId="103">'7.12'!$A$1:$D$390</definedName>
    <definedName name="_xlnm.Print_Area" localSheetId="104">'7.13.1'!$A$1:$I$21</definedName>
    <definedName name="_xlnm.Print_Area" localSheetId="105">'7.13.2'!$A$1:$I$166</definedName>
    <definedName name="_xlnm.Print_Area" localSheetId="106">'7.13.3'!$A$1:$G$60</definedName>
    <definedName name="_xlnm.Print_Area" localSheetId="88">'7.2'!$A$1:$E$964</definedName>
    <definedName name="_xlnm.Print_Area" localSheetId="89">'7.3'!$A$1:$F$277</definedName>
    <definedName name="_xlnm.Print_Area" localSheetId="90">'7.4.1'!$A$1:$J$94</definedName>
    <definedName name="_xlnm.Print_Area" localSheetId="91">'7.4.2'!$A$1:$AS$151</definedName>
    <definedName name="_xlnm.Print_Area" localSheetId="92">'7.4.3'!$A$1:$L$75</definedName>
    <definedName name="_xlnm.Print_Area" localSheetId="93">'7.4.4'!$A$1:$I$75</definedName>
    <definedName name="_xlnm.Print_Area" localSheetId="94">'7.5'!$A$1:$J$124</definedName>
    <definedName name="_xlnm.Print_Area" localSheetId="95">'7.6.1'!$A$1:$F$94</definedName>
    <definedName name="_xlnm.Print_Area" localSheetId="97">'7.7.1'!$A$1:$H$36</definedName>
    <definedName name="_xlnm.Print_Area" localSheetId="98">'7.7.2'!$A$1:$H$33</definedName>
    <definedName name="_xlnm.Print_Area" localSheetId="100">'7.9'!$A$1:$K$114</definedName>
    <definedName name="_xlnm.Print_Area" localSheetId="107">'8.1.1'!$A$1:$D$26</definedName>
    <definedName name="_xlnm.Print_Area" localSheetId="108">'8.1.2'!$A$1:$AY$64</definedName>
    <definedName name="_xlnm.Print_Area" localSheetId="118">'8.11'!$A$1:$E$33</definedName>
    <definedName name="_xlnm.Print_Area" localSheetId="119">'8.12'!$A$1:$E$158</definedName>
    <definedName name="_xlnm.Print_Area" localSheetId="120">'8.13'!$A$1:$L$64</definedName>
    <definedName name="_xlnm.Print_Area" localSheetId="109">'8.2'!$A$1:$H$419</definedName>
    <definedName name="_xlnm.Print_Area" localSheetId="110">'8.3'!$A$1:$L$66</definedName>
    <definedName name="_xlnm.Print_Area" localSheetId="112">'8.5'!$A$1:$U$248</definedName>
    <definedName name="_xlnm.Print_Area" localSheetId="113">'8.6'!$A$1:$C$143</definedName>
    <definedName name="_xlnm.Print_Area" localSheetId="114">'8.7'!$A$1:$F$68</definedName>
    <definedName name="_xlnm.Print_Area" localSheetId="116">'8.9'!$A$1:$G$908</definedName>
    <definedName name="_xlnm.Print_Area" localSheetId="1">Intro_v.2.3!$A$1:$Q$26</definedName>
  </definedNames>
  <calcPr calcId="125725"/>
</workbook>
</file>

<file path=xl/calcChain.xml><?xml version="1.0" encoding="utf-8"?>
<calcChain xmlns="http://schemas.openxmlformats.org/spreadsheetml/2006/main">
  <c r="F30" i="3"/>
  <c r="E30"/>
  <c r="D30"/>
  <c r="R41" i="136"/>
  <c r="H31" i="140"/>
  <c r="C81"/>
  <c r="C58"/>
  <c r="I42"/>
  <c r="H41"/>
  <c r="H54"/>
  <c r="B26"/>
  <c r="H51"/>
  <c r="C80"/>
  <c r="C79"/>
  <c r="C65"/>
  <c r="D65" s="1"/>
  <c r="C60"/>
  <c r="F34"/>
  <c r="C59"/>
  <c r="F33"/>
  <c r="C64"/>
  <c r="C63"/>
  <c r="B36"/>
  <c r="D36" s="1"/>
  <c r="H56"/>
  <c r="D55"/>
  <c r="H53"/>
  <c r="D53"/>
  <c r="D47"/>
  <c r="H47"/>
  <c r="D45"/>
  <c r="H55"/>
  <c r="H52"/>
  <c r="D54"/>
  <c r="D52"/>
  <c r="H48"/>
  <c r="H49"/>
  <c r="D49"/>
  <c r="D48"/>
  <c r="D33"/>
  <c r="D32"/>
  <c r="B77"/>
  <c r="D34"/>
  <c r="H32"/>
  <c r="H45"/>
  <c r="D44"/>
  <c r="D51"/>
  <c r="H46"/>
  <c r="D46"/>
  <c r="D42"/>
  <c r="H43"/>
  <c r="H42"/>
  <c r="I40"/>
  <c r="D39"/>
  <c r="H39"/>
  <c r="I39"/>
  <c r="I38"/>
  <c r="G30" i="3" l="1"/>
  <c r="G69" i="140"/>
  <c r="G65" s="1"/>
  <c r="C70"/>
  <c r="G70"/>
  <c r="H69"/>
  <c r="B13"/>
  <c r="B23" s="1"/>
  <c r="D69"/>
  <c r="D41" s="1"/>
  <c r="C68" s="1"/>
  <c r="G68"/>
  <c r="C69"/>
  <c r="H18" i="138"/>
  <c r="G18"/>
  <c r="F18"/>
  <c r="E18"/>
  <c r="B18"/>
  <c r="B10" i="137"/>
  <c r="B16"/>
  <c r="E9" s="1"/>
  <c r="I9" i="136"/>
  <c r="F11" s="1"/>
  <c r="D11"/>
  <c r="J77"/>
  <c r="I77"/>
  <c r="H77"/>
  <c r="J64"/>
  <c r="I64"/>
  <c r="H64"/>
  <c r="J41"/>
  <c r="I41"/>
  <c r="H41"/>
  <c r="J84"/>
  <c r="I84"/>
  <c r="H59" s="1"/>
  <c r="H84"/>
  <c r="J69"/>
  <c r="I69"/>
  <c r="H69"/>
  <c r="Q69"/>
  <c r="P69"/>
  <c r="O69"/>
  <c r="R61"/>
  <c r="Q61"/>
  <c r="P61"/>
  <c r="O61"/>
  <c r="R40"/>
  <c r="Q40"/>
  <c r="P40"/>
  <c r="O40"/>
  <c r="J40"/>
  <c r="I40"/>
  <c r="H40"/>
  <c r="N90"/>
  <c r="J89"/>
  <c r="I89"/>
  <c r="H89"/>
  <c r="H87"/>
  <c r="N86"/>
  <c r="N84"/>
  <c r="N82"/>
  <c r="N81"/>
  <c r="N80"/>
  <c r="N78"/>
  <c r="N74"/>
  <c r="J73"/>
  <c r="I73"/>
  <c r="H73"/>
  <c r="N70"/>
  <c r="N65"/>
  <c r="N63"/>
  <c r="N59"/>
  <c r="N58"/>
  <c r="N57"/>
  <c r="J56"/>
  <c r="I56"/>
  <c r="H56"/>
  <c r="N53"/>
  <c r="N51"/>
  <c r="N49"/>
  <c r="N48"/>
  <c r="N43"/>
  <c r="N40"/>
  <c r="J39"/>
  <c r="I39"/>
  <c r="H39"/>
  <c r="J38"/>
  <c r="Q38" s="1"/>
  <c r="I38"/>
  <c r="P38" s="1"/>
  <c r="H38"/>
  <c r="O38" s="1"/>
  <c r="N37"/>
  <c r="N34"/>
  <c r="N31"/>
  <c r="N27"/>
  <c r="N26"/>
  <c r="N25"/>
  <c r="N24"/>
  <c r="F19"/>
  <c r="H15"/>
  <c r="F16" s="1"/>
  <c r="H14"/>
  <c r="H17" s="1"/>
  <c r="C9"/>
  <c r="F8" s="1"/>
  <c r="O38" i="114"/>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D38"/>
  <c r="E38"/>
  <c r="F38"/>
  <c r="G38"/>
  <c r="H38"/>
  <c r="I38"/>
  <c r="J38"/>
  <c r="K38"/>
  <c r="L38"/>
  <c r="M38"/>
  <c r="N38"/>
  <c r="D39"/>
  <c r="E39"/>
  <c r="F39"/>
  <c r="G39"/>
  <c r="H39"/>
  <c r="I39"/>
  <c r="J39"/>
  <c r="K39"/>
  <c r="L39"/>
  <c r="M39"/>
  <c r="N39"/>
  <c r="D40"/>
  <c r="E40"/>
  <c r="F40"/>
  <c r="G40"/>
  <c r="H40"/>
  <c r="I40"/>
  <c r="J40"/>
  <c r="K40"/>
  <c r="L40"/>
  <c r="M40"/>
  <c r="N40"/>
  <c r="D41"/>
  <c r="E41"/>
  <c r="F41"/>
  <c r="G41"/>
  <c r="H41"/>
  <c r="I41"/>
  <c r="J41"/>
  <c r="K41"/>
  <c r="L41"/>
  <c r="M41"/>
  <c r="N41"/>
  <c r="D42"/>
  <c r="E42"/>
  <c r="F42"/>
  <c r="G42"/>
  <c r="H42"/>
  <c r="I42"/>
  <c r="J42"/>
  <c r="K42"/>
  <c r="L42"/>
  <c r="M42"/>
  <c r="N42"/>
  <c r="D43"/>
  <c r="E43"/>
  <c r="F43"/>
  <c r="G43"/>
  <c r="H43"/>
  <c r="I43"/>
  <c r="J43"/>
  <c r="K43"/>
  <c r="L43"/>
  <c r="M43"/>
  <c r="N43"/>
  <c r="D44"/>
  <c r="E44"/>
  <c r="F44"/>
  <c r="G44"/>
  <c r="H44"/>
  <c r="I44"/>
  <c r="J44"/>
  <c r="K44"/>
  <c r="L44"/>
  <c r="M44"/>
  <c r="N44"/>
  <c r="D45"/>
  <c r="E45"/>
  <c r="F45"/>
  <c r="G45"/>
  <c r="H45"/>
  <c r="I45"/>
  <c r="J45"/>
  <c r="K45"/>
  <c r="L45"/>
  <c r="M45"/>
  <c r="N45"/>
  <c r="D46"/>
  <c r="E46"/>
  <c r="F46"/>
  <c r="G46"/>
  <c r="H46"/>
  <c r="I46"/>
  <c r="J46"/>
  <c r="K46"/>
  <c r="L46"/>
  <c r="M46"/>
  <c r="N46"/>
  <c r="D47"/>
  <c r="E47"/>
  <c r="F47"/>
  <c r="G47"/>
  <c r="H47"/>
  <c r="I47"/>
  <c r="J47"/>
  <c r="K47"/>
  <c r="L47"/>
  <c r="M47"/>
  <c r="N47"/>
  <c r="D48"/>
  <c r="E48"/>
  <c r="F48"/>
  <c r="G48"/>
  <c r="H48"/>
  <c r="I48"/>
  <c r="J48"/>
  <c r="K48"/>
  <c r="L48"/>
  <c r="M48"/>
  <c r="N48"/>
  <c r="D49"/>
  <c r="E49"/>
  <c r="F49"/>
  <c r="G49"/>
  <c r="H49"/>
  <c r="I49"/>
  <c r="J49"/>
  <c r="K49"/>
  <c r="L49"/>
  <c r="M49"/>
  <c r="N49"/>
  <c r="D50"/>
  <c r="E50"/>
  <c r="F50"/>
  <c r="G50"/>
  <c r="H50"/>
  <c r="I50"/>
  <c r="J50"/>
  <c r="K50"/>
  <c r="L50"/>
  <c r="M50"/>
  <c r="N50"/>
  <c r="D51"/>
  <c r="E51"/>
  <c r="F51"/>
  <c r="G51"/>
  <c r="H51"/>
  <c r="I51"/>
  <c r="J51"/>
  <c r="K51"/>
  <c r="L51"/>
  <c r="M51"/>
  <c r="N51"/>
  <c r="D52"/>
  <c r="E52"/>
  <c r="F52"/>
  <c r="G52"/>
  <c r="H52"/>
  <c r="I52"/>
  <c r="J52"/>
  <c r="K52"/>
  <c r="L52"/>
  <c r="M52"/>
  <c r="N52"/>
  <c r="D53"/>
  <c r="E53"/>
  <c r="F53"/>
  <c r="G53"/>
  <c r="H53"/>
  <c r="I53"/>
  <c r="J53"/>
  <c r="K53"/>
  <c r="L53"/>
  <c r="M53"/>
  <c r="N53"/>
  <c r="D54"/>
  <c r="E54"/>
  <c r="F54"/>
  <c r="G54"/>
  <c r="H54"/>
  <c r="I54"/>
  <c r="J54"/>
  <c r="K54"/>
  <c r="L54"/>
  <c r="M54"/>
  <c r="N54"/>
  <c r="D55"/>
  <c r="E55"/>
  <c r="F55"/>
  <c r="G55"/>
  <c r="H55"/>
  <c r="I55"/>
  <c r="J55"/>
  <c r="K55"/>
  <c r="L55"/>
  <c r="M55"/>
  <c r="N55"/>
  <c r="D56"/>
  <c r="E56"/>
  <c r="F56"/>
  <c r="G56"/>
  <c r="H56"/>
  <c r="I56"/>
  <c r="J56"/>
  <c r="K56"/>
  <c r="L56"/>
  <c r="M56"/>
  <c r="N56"/>
  <c r="D57"/>
  <c r="E57"/>
  <c r="F57"/>
  <c r="G57"/>
  <c r="H57"/>
  <c r="I57"/>
  <c r="J57"/>
  <c r="K57"/>
  <c r="L57"/>
  <c r="M57"/>
  <c r="N57"/>
  <c r="D58"/>
  <c r="E58"/>
  <c r="F58"/>
  <c r="G58"/>
  <c r="H58"/>
  <c r="I58"/>
  <c r="J58"/>
  <c r="K58"/>
  <c r="L58"/>
  <c r="M58"/>
  <c r="N58"/>
  <c r="D59"/>
  <c r="E59"/>
  <c r="F59"/>
  <c r="G59"/>
  <c r="H59"/>
  <c r="I59"/>
  <c r="J59"/>
  <c r="K59"/>
  <c r="L59"/>
  <c r="M59"/>
  <c r="N59"/>
  <c r="D60"/>
  <c r="E60"/>
  <c r="F60"/>
  <c r="G60"/>
  <c r="H60"/>
  <c r="I60"/>
  <c r="J60"/>
  <c r="K60"/>
  <c r="L60"/>
  <c r="M60"/>
  <c r="N60"/>
  <c r="D61"/>
  <c r="E61"/>
  <c r="F61"/>
  <c r="G61"/>
  <c r="H61"/>
  <c r="I61"/>
  <c r="J61"/>
  <c r="K61"/>
  <c r="L61"/>
  <c r="M61"/>
  <c r="N61"/>
  <c r="D62"/>
  <c r="E62"/>
  <c r="F62"/>
  <c r="G62"/>
  <c r="H62"/>
  <c r="I62"/>
  <c r="J62"/>
  <c r="K62"/>
  <c r="L62"/>
  <c r="M62"/>
  <c r="N62"/>
  <c r="D63"/>
  <c r="E63"/>
  <c r="F63"/>
  <c r="G63"/>
  <c r="H63"/>
  <c r="I63"/>
  <c r="J63"/>
  <c r="K63"/>
  <c r="L63"/>
  <c r="M63"/>
  <c r="N63"/>
  <c r="D64"/>
  <c r="E64"/>
  <c r="F64"/>
  <c r="G64"/>
  <c r="H64"/>
  <c r="I64"/>
  <c r="J64"/>
  <c r="K64"/>
  <c r="L64"/>
  <c r="M64"/>
  <c r="N64"/>
  <c r="D65"/>
  <c r="E65"/>
  <c r="F65"/>
  <c r="G65"/>
  <c r="H65"/>
  <c r="I65"/>
  <c r="J65"/>
  <c r="K65"/>
  <c r="L65"/>
  <c r="M65"/>
  <c r="N65"/>
  <c r="D66"/>
  <c r="E66"/>
  <c r="F66"/>
  <c r="G66"/>
  <c r="H66"/>
  <c r="I66"/>
  <c r="J66"/>
  <c r="K66"/>
  <c r="L66"/>
  <c r="M66"/>
  <c r="N66"/>
  <c r="D67"/>
  <c r="E67"/>
  <c r="F67"/>
  <c r="G67"/>
  <c r="H67"/>
  <c r="I67"/>
  <c r="J67"/>
  <c r="K67"/>
  <c r="L67"/>
  <c r="M67"/>
  <c r="N67"/>
  <c r="D68"/>
  <c r="E68"/>
  <c r="F68"/>
  <c r="G68"/>
  <c r="H68"/>
  <c r="I68"/>
  <c r="J68"/>
  <c r="K68"/>
  <c r="L68"/>
  <c r="M68"/>
  <c r="N68"/>
  <c r="D69"/>
  <c r="E69"/>
  <c r="F69"/>
  <c r="G69"/>
  <c r="H69"/>
  <c r="I69"/>
  <c r="J69"/>
  <c r="K69"/>
  <c r="L69"/>
  <c r="M69"/>
  <c r="N69"/>
  <c r="D70"/>
  <c r="E70"/>
  <c r="F70"/>
  <c r="G70"/>
  <c r="H70"/>
  <c r="I70"/>
  <c r="J70"/>
  <c r="K70"/>
  <c r="L70"/>
  <c r="M70"/>
  <c r="N70"/>
  <c r="D71"/>
  <c r="E71"/>
  <c r="F71"/>
  <c r="G71"/>
  <c r="H71"/>
  <c r="I71"/>
  <c r="J71"/>
  <c r="K71"/>
  <c r="L71"/>
  <c r="M71"/>
  <c r="N71"/>
  <c r="D72"/>
  <c r="E72"/>
  <c r="F72"/>
  <c r="G72"/>
  <c r="H72"/>
  <c r="I72"/>
  <c r="J72"/>
  <c r="K72"/>
  <c r="L72"/>
  <c r="M72"/>
  <c r="N72"/>
  <c r="D73"/>
  <c r="E73"/>
  <c r="F73"/>
  <c r="G73"/>
  <c r="H73"/>
  <c r="I73"/>
  <c r="J73"/>
  <c r="K73"/>
  <c r="L73"/>
  <c r="M73"/>
  <c r="N73"/>
  <c r="D74"/>
  <c r="E74"/>
  <c r="F74"/>
  <c r="G74"/>
  <c r="H74"/>
  <c r="I74"/>
  <c r="J74"/>
  <c r="K74"/>
  <c r="L74"/>
  <c r="M74"/>
  <c r="N74"/>
  <c r="D75"/>
  <c r="E75"/>
  <c r="F75"/>
  <c r="G75"/>
  <c r="H75"/>
  <c r="I75"/>
  <c r="J75"/>
  <c r="K75"/>
  <c r="L75"/>
  <c r="M75"/>
  <c r="N75"/>
  <c r="D76"/>
  <c r="E76"/>
  <c r="F76"/>
  <c r="G76"/>
  <c r="H76"/>
  <c r="I76"/>
  <c r="J76"/>
  <c r="K76"/>
  <c r="L76"/>
  <c r="M76"/>
  <c r="N76"/>
  <c r="D77"/>
  <c r="E77"/>
  <c r="F77"/>
  <c r="G77"/>
  <c r="H77"/>
  <c r="I77"/>
  <c r="J77"/>
  <c r="K77"/>
  <c r="L77"/>
  <c r="M77"/>
  <c r="N77"/>
  <c r="D78"/>
  <c r="E78"/>
  <c r="F78"/>
  <c r="G78"/>
  <c r="H78"/>
  <c r="I78"/>
  <c r="J78"/>
  <c r="K78"/>
  <c r="L78"/>
  <c r="M78"/>
  <c r="N78"/>
  <c r="D79"/>
  <c r="E79"/>
  <c r="F79"/>
  <c r="G79"/>
  <c r="H79"/>
  <c r="I79"/>
  <c r="J79"/>
  <c r="K79"/>
  <c r="L79"/>
  <c r="M79"/>
  <c r="N79"/>
  <c r="D80"/>
  <c r="E80"/>
  <c r="F80"/>
  <c r="G80"/>
  <c r="H80"/>
  <c r="I80"/>
  <c r="J80"/>
  <c r="K80"/>
  <c r="L80"/>
  <c r="M80"/>
  <c r="N80"/>
  <c r="D81"/>
  <c r="E81"/>
  <c r="F81"/>
  <c r="G81"/>
  <c r="H81"/>
  <c r="I81"/>
  <c r="J81"/>
  <c r="K81"/>
  <c r="L81"/>
  <c r="M81"/>
  <c r="N81"/>
  <c r="D82"/>
  <c r="E82"/>
  <c r="F82"/>
  <c r="G82"/>
  <c r="H82"/>
  <c r="I82"/>
  <c r="J82"/>
  <c r="K82"/>
  <c r="L82"/>
  <c r="M82"/>
  <c r="N82"/>
  <c r="D83"/>
  <c r="E83"/>
  <c r="F83"/>
  <c r="G83"/>
  <c r="H83"/>
  <c r="I83"/>
  <c r="J83"/>
  <c r="K83"/>
  <c r="L83"/>
  <c r="M83"/>
  <c r="N83"/>
  <c r="D84"/>
  <c r="E84"/>
  <c r="F84"/>
  <c r="G84"/>
  <c r="H84"/>
  <c r="I84"/>
  <c r="J84"/>
  <c r="K84"/>
  <c r="L84"/>
  <c r="M84"/>
  <c r="N84"/>
  <c r="D85"/>
  <c r="E85"/>
  <c r="F85"/>
  <c r="G85"/>
  <c r="H85"/>
  <c r="I85"/>
  <c r="J85"/>
  <c r="K85"/>
  <c r="L85"/>
  <c r="M85"/>
  <c r="N85"/>
  <c r="D86"/>
  <c r="E86"/>
  <c r="F86"/>
  <c r="G86"/>
  <c r="H86"/>
  <c r="I86"/>
  <c r="J86"/>
  <c r="K86"/>
  <c r="L86"/>
  <c r="M86"/>
  <c r="N86"/>
  <c r="D87"/>
  <c r="E87"/>
  <c r="F87"/>
  <c r="G87"/>
  <c r="H87"/>
  <c r="I87"/>
  <c r="J87"/>
  <c r="K87"/>
  <c r="L87"/>
  <c r="M87"/>
  <c r="N87"/>
  <c r="B38"/>
  <c r="J36" s="1"/>
  <c r="B39"/>
  <c r="B40"/>
  <c r="B41"/>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O35"/>
  <c r="O34"/>
  <c r="O33"/>
  <c r="O32"/>
  <c r="O31"/>
  <c r="O30"/>
  <c r="O29"/>
  <c r="O28"/>
  <c r="O27"/>
  <c r="O26"/>
  <c r="O25"/>
  <c r="O24"/>
  <c r="O23"/>
  <c r="O22"/>
  <c r="O21"/>
  <c r="O20"/>
  <c r="O19"/>
  <c r="O18"/>
  <c r="O17"/>
  <c r="O16"/>
  <c r="O15"/>
  <c r="O14"/>
  <c r="O13"/>
  <c r="O12"/>
  <c r="O11"/>
  <c r="O10"/>
  <c r="AR31"/>
  <c r="AQ31"/>
  <c r="AP31"/>
  <c r="AO31"/>
  <c r="AN31"/>
  <c r="AM31"/>
  <c r="AL31"/>
  <c r="AK31"/>
  <c r="AJ31"/>
  <c r="AI31"/>
  <c r="AH31"/>
  <c r="AG31"/>
  <c r="AF31"/>
  <c r="AE31"/>
  <c r="AD31"/>
  <c r="AC31"/>
  <c r="AB31"/>
  <c r="AA31"/>
  <c r="Z31"/>
  <c r="Y31"/>
  <c r="X31"/>
  <c r="W31"/>
  <c r="V31"/>
  <c r="U31"/>
  <c r="T31"/>
  <c r="S31"/>
  <c r="R31"/>
  <c r="Q31"/>
  <c r="AR30"/>
  <c r="AQ30"/>
  <c r="AP30"/>
  <c r="AO30"/>
  <c r="AN30"/>
  <c r="AM30"/>
  <c r="AL30"/>
  <c r="AK30"/>
  <c r="AJ30"/>
  <c r="AI30"/>
  <c r="AH30"/>
  <c r="AG30"/>
  <c r="AF30"/>
  <c r="AE30"/>
  <c r="AD30"/>
  <c r="AC30"/>
  <c r="AB30"/>
  <c r="AA30"/>
  <c r="Z30"/>
  <c r="Y30"/>
  <c r="X30"/>
  <c r="W30"/>
  <c r="V30"/>
  <c r="U30"/>
  <c r="T30"/>
  <c r="S30"/>
  <c r="R30"/>
  <c r="Q30"/>
  <c r="AR29"/>
  <c r="AQ29"/>
  <c r="AP29"/>
  <c r="AO29"/>
  <c r="AN29"/>
  <c r="AM29"/>
  <c r="AL29"/>
  <c r="AK29"/>
  <c r="AJ29"/>
  <c r="AI29"/>
  <c r="AH29"/>
  <c r="AG29"/>
  <c r="AF29"/>
  <c r="AE29"/>
  <c r="AD29"/>
  <c r="AC29"/>
  <c r="AB29"/>
  <c r="AA29"/>
  <c r="Z29"/>
  <c r="Y29"/>
  <c r="X29"/>
  <c r="W29"/>
  <c r="V29"/>
  <c r="U29"/>
  <c r="T29"/>
  <c r="S29"/>
  <c r="R29"/>
  <c r="Q29"/>
  <c r="AR28"/>
  <c r="AQ28"/>
  <c r="AP28"/>
  <c r="AO28"/>
  <c r="AN28"/>
  <c r="AM28"/>
  <c r="AL28"/>
  <c r="AK28"/>
  <c r="AJ28"/>
  <c r="AI28"/>
  <c r="AH28"/>
  <c r="AG28"/>
  <c r="AF28"/>
  <c r="AE28"/>
  <c r="AD28"/>
  <c r="AC28"/>
  <c r="AB28"/>
  <c r="AA28"/>
  <c r="Z28"/>
  <c r="Y28"/>
  <c r="X28"/>
  <c r="W28"/>
  <c r="V28"/>
  <c r="U28"/>
  <c r="T28"/>
  <c r="S28"/>
  <c r="R28"/>
  <c r="Q28"/>
  <c r="AR27"/>
  <c r="AQ27"/>
  <c r="AP27"/>
  <c r="AO27"/>
  <c r="AN27"/>
  <c r="AM27"/>
  <c r="AL27"/>
  <c r="AK27"/>
  <c r="AJ27"/>
  <c r="AI27"/>
  <c r="AH27"/>
  <c r="AG27"/>
  <c r="AF27"/>
  <c r="AE27"/>
  <c r="AD27"/>
  <c r="AC27"/>
  <c r="AB27"/>
  <c r="AA27"/>
  <c r="Z27"/>
  <c r="Y27"/>
  <c r="X27"/>
  <c r="W27"/>
  <c r="V27"/>
  <c r="U27"/>
  <c r="T27"/>
  <c r="S27"/>
  <c r="R27"/>
  <c r="Q27"/>
  <c r="AR26"/>
  <c r="AQ26"/>
  <c r="AP26"/>
  <c r="AO26"/>
  <c r="AN26"/>
  <c r="AM26"/>
  <c r="AL26"/>
  <c r="AK26"/>
  <c r="AJ26"/>
  <c r="AI26"/>
  <c r="AH26"/>
  <c r="AG26"/>
  <c r="AF26"/>
  <c r="AE26"/>
  <c r="AD26"/>
  <c r="AC26"/>
  <c r="AB26"/>
  <c r="AA26"/>
  <c r="Z26"/>
  <c r="Y26"/>
  <c r="X26"/>
  <c r="W26"/>
  <c r="V26"/>
  <c r="U26"/>
  <c r="T26"/>
  <c r="S26"/>
  <c r="R26"/>
  <c r="Q26"/>
  <c r="AR25"/>
  <c r="AQ25"/>
  <c r="AP25"/>
  <c r="AO25"/>
  <c r="AN25"/>
  <c r="AM25"/>
  <c r="AL25"/>
  <c r="AK25"/>
  <c r="AJ25"/>
  <c r="AI25"/>
  <c r="AH25"/>
  <c r="AG25"/>
  <c r="AF25"/>
  <c r="AE25"/>
  <c r="AD25"/>
  <c r="AC25"/>
  <c r="AB25"/>
  <c r="AA25"/>
  <c r="Z25"/>
  <c r="Y25"/>
  <c r="X25"/>
  <c r="W25"/>
  <c r="V25"/>
  <c r="U25"/>
  <c r="T25"/>
  <c r="S25"/>
  <c r="R25"/>
  <c r="Q25"/>
  <c r="AR24"/>
  <c r="AQ24"/>
  <c r="AP24"/>
  <c r="AO24"/>
  <c r="AN24"/>
  <c r="AM24"/>
  <c r="AL24"/>
  <c r="AK24"/>
  <c r="AJ24"/>
  <c r="AI24"/>
  <c r="AH24"/>
  <c r="AG24"/>
  <c r="AF24"/>
  <c r="AE24"/>
  <c r="AD24"/>
  <c r="AC24"/>
  <c r="AB24"/>
  <c r="AA24"/>
  <c r="Z24"/>
  <c r="Y24"/>
  <c r="X24"/>
  <c r="W24"/>
  <c r="V24"/>
  <c r="U24"/>
  <c r="T24"/>
  <c r="S24"/>
  <c r="R24"/>
  <c r="Q24"/>
  <c r="AR23"/>
  <c r="AQ23"/>
  <c r="AP23"/>
  <c r="AO23"/>
  <c r="AN23"/>
  <c r="AM23"/>
  <c r="AL23"/>
  <c r="AK23"/>
  <c r="AJ23"/>
  <c r="AI23"/>
  <c r="AH23"/>
  <c r="AG23"/>
  <c r="AF23"/>
  <c r="AE23"/>
  <c r="AD23"/>
  <c r="AC23"/>
  <c r="AB23"/>
  <c r="AA23"/>
  <c r="Z23"/>
  <c r="Y23"/>
  <c r="X23"/>
  <c r="W23"/>
  <c r="V23"/>
  <c r="U23"/>
  <c r="T23"/>
  <c r="S23"/>
  <c r="R23"/>
  <c r="Q23"/>
  <c r="AR22"/>
  <c r="AQ22"/>
  <c r="AP22"/>
  <c r="AO22"/>
  <c r="AN22"/>
  <c r="AM22"/>
  <c r="AL22"/>
  <c r="AK22"/>
  <c r="AJ22"/>
  <c r="AI22"/>
  <c r="AH22"/>
  <c r="AG22"/>
  <c r="AF22"/>
  <c r="AE22"/>
  <c r="AD22"/>
  <c r="AC22"/>
  <c r="AB22"/>
  <c r="AA22"/>
  <c r="Z22"/>
  <c r="Y22"/>
  <c r="X22"/>
  <c r="W22"/>
  <c r="V22"/>
  <c r="U22"/>
  <c r="T22"/>
  <c r="S22"/>
  <c r="R22"/>
  <c r="Q22"/>
  <c r="AR21"/>
  <c r="AQ21"/>
  <c r="AP21"/>
  <c r="AO21"/>
  <c r="AN21"/>
  <c r="AM21"/>
  <c r="AL21"/>
  <c r="AK21"/>
  <c r="AJ21"/>
  <c r="AI21"/>
  <c r="AH21"/>
  <c r="AG21"/>
  <c r="AF21"/>
  <c r="AE21"/>
  <c r="AD21"/>
  <c r="AC21"/>
  <c r="AB21"/>
  <c r="AA21"/>
  <c r="Z21"/>
  <c r="Y21"/>
  <c r="X21"/>
  <c r="W21"/>
  <c r="V21"/>
  <c r="U21"/>
  <c r="T21"/>
  <c r="S21"/>
  <c r="R21"/>
  <c r="Q21"/>
  <c r="AR20"/>
  <c r="AQ20"/>
  <c r="AP20"/>
  <c r="AO20"/>
  <c r="AN20"/>
  <c r="AM20"/>
  <c r="AL20"/>
  <c r="AK20"/>
  <c r="AJ20"/>
  <c r="AI20"/>
  <c r="AH20"/>
  <c r="AG20"/>
  <c r="AF20"/>
  <c r="AE20"/>
  <c r="AD20"/>
  <c r="AC20"/>
  <c r="AB20"/>
  <c r="AA20"/>
  <c r="Z20"/>
  <c r="Y20"/>
  <c r="X20"/>
  <c r="W20"/>
  <c r="V20"/>
  <c r="U20"/>
  <c r="T20"/>
  <c r="S20"/>
  <c r="R20"/>
  <c r="Q20"/>
  <c r="AR19"/>
  <c r="AQ19"/>
  <c r="AP19"/>
  <c r="AO19"/>
  <c r="AN19"/>
  <c r="AM19"/>
  <c r="AL19"/>
  <c r="AK19"/>
  <c r="AJ19"/>
  <c r="AI19"/>
  <c r="AH19"/>
  <c r="AG19"/>
  <c r="AF19"/>
  <c r="AE19"/>
  <c r="AD19"/>
  <c r="AC19"/>
  <c r="AB19"/>
  <c r="AA19"/>
  <c r="Z19"/>
  <c r="Y19"/>
  <c r="X19"/>
  <c r="W19"/>
  <c r="V19"/>
  <c r="U19"/>
  <c r="T19"/>
  <c r="S19"/>
  <c r="R19"/>
  <c r="Q19"/>
  <c r="AR18"/>
  <c r="AQ18"/>
  <c r="AP18"/>
  <c r="AO18"/>
  <c r="AN18"/>
  <c r="AM18"/>
  <c r="AL18"/>
  <c r="AK18"/>
  <c r="AJ18"/>
  <c r="AI18"/>
  <c r="AH18"/>
  <c r="AG18"/>
  <c r="AF18"/>
  <c r="AE18"/>
  <c r="AD18"/>
  <c r="AC18"/>
  <c r="AB18"/>
  <c r="AA18"/>
  <c r="Z18"/>
  <c r="Y18"/>
  <c r="X18"/>
  <c r="W18"/>
  <c r="V18"/>
  <c r="U18"/>
  <c r="T18"/>
  <c r="S18"/>
  <c r="R18"/>
  <c r="Q18"/>
  <c r="AR17"/>
  <c r="AQ17"/>
  <c r="AP17"/>
  <c r="AO17"/>
  <c r="AN17"/>
  <c r="AM17"/>
  <c r="AL17"/>
  <c r="AK17"/>
  <c r="AJ17"/>
  <c r="AI17"/>
  <c r="AH17"/>
  <c r="AG17"/>
  <c r="AF17"/>
  <c r="AE17"/>
  <c r="AD17"/>
  <c r="AC17"/>
  <c r="AB17"/>
  <c r="AA17"/>
  <c r="Z17"/>
  <c r="Y17"/>
  <c r="X17"/>
  <c r="W17"/>
  <c r="V17"/>
  <c r="U17"/>
  <c r="T17"/>
  <c r="S17"/>
  <c r="R17"/>
  <c r="Q17"/>
  <c r="AR16"/>
  <c r="AQ16"/>
  <c r="AP16"/>
  <c r="AO16"/>
  <c r="AN16"/>
  <c r="AM16"/>
  <c r="AL16"/>
  <c r="AK16"/>
  <c r="AJ16"/>
  <c r="AI16"/>
  <c r="AH16"/>
  <c r="AG16"/>
  <c r="AF16"/>
  <c r="AE16"/>
  <c r="AD16"/>
  <c r="AC16"/>
  <c r="AB16"/>
  <c r="AA16"/>
  <c r="Z16"/>
  <c r="Y16"/>
  <c r="X16"/>
  <c r="W16"/>
  <c r="V16"/>
  <c r="U16"/>
  <c r="T16"/>
  <c r="S16"/>
  <c r="R16"/>
  <c r="Q16"/>
  <c r="AR15"/>
  <c r="AQ15"/>
  <c r="AP15"/>
  <c r="AO15"/>
  <c r="AN15"/>
  <c r="AM15"/>
  <c r="AL15"/>
  <c r="AK15"/>
  <c r="AJ15"/>
  <c r="AI15"/>
  <c r="AH15"/>
  <c r="AG15"/>
  <c r="AF15"/>
  <c r="AE15"/>
  <c r="AD15"/>
  <c r="AC15"/>
  <c r="AB15"/>
  <c r="AA15"/>
  <c r="Z15"/>
  <c r="Y15"/>
  <c r="X15"/>
  <c r="W15"/>
  <c r="V15"/>
  <c r="U15"/>
  <c r="T15"/>
  <c r="S15"/>
  <c r="R15"/>
  <c r="Q15"/>
  <c r="AR14"/>
  <c r="AQ14"/>
  <c r="AP14"/>
  <c r="AO14"/>
  <c r="AN14"/>
  <c r="AM14"/>
  <c r="AL14"/>
  <c r="AK14"/>
  <c r="AJ14"/>
  <c r="AI14"/>
  <c r="AH14"/>
  <c r="AG14"/>
  <c r="AF14"/>
  <c r="AE14"/>
  <c r="AD14"/>
  <c r="AC14"/>
  <c r="AB14"/>
  <c r="AA14"/>
  <c r="Z14"/>
  <c r="Y14"/>
  <c r="X14"/>
  <c r="W14"/>
  <c r="V14"/>
  <c r="U14"/>
  <c r="T14"/>
  <c r="S14"/>
  <c r="R14"/>
  <c r="Q14"/>
  <c r="AR13"/>
  <c r="AQ13"/>
  <c r="AP13"/>
  <c r="AO13"/>
  <c r="AN13"/>
  <c r="AM13"/>
  <c r="AL13"/>
  <c r="AK13"/>
  <c r="AJ13"/>
  <c r="AI13"/>
  <c r="AH13"/>
  <c r="AG13"/>
  <c r="AF13"/>
  <c r="AE13"/>
  <c r="AD13"/>
  <c r="AC13"/>
  <c r="AB13"/>
  <c r="AA13"/>
  <c r="Z13"/>
  <c r="Y13"/>
  <c r="X13"/>
  <c r="W13"/>
  <c r="V13"/>
  <c r="U13"/>
  <c r="T13"/>
  <c r="S13"/>
  <c r="R13"/>
  <c r="Q13"/>
  <c r="AR12"/>
  <c r="AQ12"/>
  <c r="AP12"/>
  <c r="AO12"/>
  <c r="AN12"/>
  <c r="AM12"/>
  <c r="AL12"/>
  <c r="AK12"/>
  <c r="AJ12"/>
  <c r="AI12"/>
  <c r="AH12"/>
  <c r="AG12"/>
  <c r="AF12"/>
  <c r="AE12"/>
  <c r="AD12"/>
  <c r="AC12"/>
  <c r="AB12"/>
  <c r="AA12"/>
  <c r="Z12"/>
  <c r="Y12"/>
  <c r="X12"/>
  <c r="W12"/>
  <c r="V12"/>
  <c r="U12"/>
  <c r="T12"/>
  <c r="S12"/>
  <c r="R12"/>
  <c r="Q12"/>
  <c r="AR11"/>
  <c r="AQ11"/>
  <c r="AP11"/>
  <c r="AO11"/>
  <c r="AN11"/>
  <c r="AM11"/>
  <c r="AL11"/>
  <c r="AK11"/>
  <c r="AJ11"/>
  <c r="AI11"/>
  <c r="AH11"/>
  <c r="AG11"/>
  <c r="AF11"/>
  <c r="AE11"/>
  <c r="AD11"/>
  <c r="AC11"/>
  <c r="AB11"/>
  <c r="AA11"/>
  <c r="Z11"/>
  <c r="Y11"/>
  <c r="X11"/>
  <c r="W11"/>
  <c r="V11"/>
  <c r="U11"/>
  <c r="T11"/>
  <c r="S11"/>
  <c r="R11"/>
  <c r="Q11"/>
  <c r="AR10"/>
  <c r="AQ10"/>
  <c r="AP10"/>
  <c r="AO10"/>
  <c r="AN10"/>
  <c r="AM10"/>
  <c r="AL10"/>
  <c r="AK10"/>
  <c r="AJ10"/>
  <c r="AI10"/>
  <c r="AH10"/>
  <c r="AG10"/>
  <c r="AF10"/>
  <c r="AE10"/>
  <c r="AD10"/>
  <c r="AC10"/>
  <c r="AB10"/>
  <c r="AA10"/>
  <c r="Z10"/>
  <c r="Y10"/>
  <c r="X10"/>
  <c r="W10"/>
  <c r="V10"/>
  <c r="U10"/>
  <c r="T10"/>
  <c r="S10"/>
  <c r="R10"/>
  <c r="Q10"/>
  <c r="AR9"/>
  <c r="AQ9"/>
  <c r="AP9"/>
  <c r="AO9"/>
  <c r="AN9"/>
  <c r="AM9"/>
  <c r="AL9"/>
  <c r="AK9"/>
  <c r="AJ9"/>
  <c r="AI9"/>
  <c r="AH9"/>
  <c r="AG9"/>
  <c r="AF9"/>
  <c r="AE9"/>
  <c r="AD9"/>
  <c r="AC9"/>
  <c r="AB9"/>
  <c r="AA9"/>
  <c r="Z9"/>
  <c r="Y9"/>
  <c r="X9"/>
  <c r="W9"/>
  <c r="V9"/>
  <c r="U9"/>
  <c r="T9"/>
  <c r="S9"/>
  <c r="R9"/>
  <c r="Q9"/>
  <c r="AR8"/>
  <c r="AQ8"/>
  <c r="AP8"/>
  <c r="AO8"/>
  <c r="AN8"/>
  <c r="AM8"/>
  <c r="AL8"/>
  <c r="AK8"/>
  <c r="AJ8"/>
  <c r="AI8"/>
  <c r="AH8"/>
  <c r="AG8"/>
  <c r="AF8"/>
  <c r="AE8"/>
  <c r="AD8"/>
  <c r="AC8"/>
  <c r="AB8"/>
  <c r="AA8"/>
  <c r="Z8"/>
  <c r="Y8"/>
  <c r="X8"/>
  <c r="W8"/>
  <c r="V8"/>
  <c r="U8"/>
  <c r="T8"/>
  <c r="S8"/>
  <c r="R8"/>
  <c r="Q8"/>
  <c r="N35"/>
  <c r="G11" i="138" l="1"/>
  <c r="G12" s="1"/>
  <c r="F21" i="140"/>
  <c r="F23"/>
  <c r="B21"/>
  <c r="F15"/>
  <c r="B15"/>
  <c r="F17"/>
  <c r="B17"/>
  <c r="F19"/>
  <c r="B19"/>
  <c r="D111" i="136"/>
  <c r="H22" s="1"/>
  <c r="B14"/>
  <c r="J59"/>
  <c r="I59"/>
  <c r="I68"/>
  <c r="J78"/>
  <c r="J74"/>
  <c r="I78"/>
  <c r="I74"/>
  <c r="H78"/>
  <c r="H74"/>
  <c r="J80"/>
  <c r="I80"/>
  <c r="H80"/>
  <c r="I48"/>
  <c r="J48"/>
  <c r="H48"/>
  <c r="J54"/>
  <c r="I54"/>
  <c r="H54"/>
  <c r="H16"/>
  <c r="E36" i="114"/>
  <c r="I36"/>
  <c r="M36"/>
  <c r="N36"/>
  <c r="D36"/>
  <c r="H36"/>
  <c r="L36"/>
  <c r="O36"/>
  <c r="C36"/>
  <c r="G36"/>
  <c r="K36"/>
  <c r="F36"/>
  <c r="D13"/>
  <c r="E13"/>
  <c r="F13"/>
  <c r="G13"/>
  <c r="H13"/>
  <c r="I13"/>
  <c r="J13"/>
  <c r="K13"/>
  <c r="L13"/>
  <c r="M13"/>
  <c r="N13"/>
  <c r="D16"/>
  <c r="E16"/>
  <c r="F16"/>
  <c r="G16"/>
  <c r="H16"/>
  <c r="I16"/>
  <c r="J16"/>
  <c r="K16"/>
  <c r="L16"/>
  <c r="M16"/>
  <c r="N16"/>
  <c r="D19"/>
  <c r="E19"/>
  <c r="F19"/>
  <c r="G19"/>
  <c r="H19"/>
  <c r="I19"/>
  <c r="J19"/>
  <c r="K19"/>
  <c r="L19"/>
  <c r="M19"/>
  <c r="N19"/>
  <c r="D23"/>
  <c r="E23"/>
  <c r="F23"/>
  <c r="G23"/>
  <c r="H23"/>
  <c r="I23"/>
  <c r="J23"/>
  <c r="K23"/>
  <c r="L23"/>
  <c r="M23"/>
  <c r="N23"/>
  <c r="D26"/>
  <c r="E26"/>
  <c r="F26"/>
  <c r="G26"/>
  <c r="H26"/>
  <c r="I26"/>
  <c r="J26"/>
  <c r="K26"/>
  <c r="L26"/>
  <c r="M26"/>
  <c r="N26"/>
  <c r="D29"/>
  <c r="E29"/>
  <c r="F29"/>
  <c r="G29"/>
  <c r="H29"/>
  <c r="I29"/>
  <c r="J29"/>
  <c r="K29"/>
  <c r="L29"/>
  <c r="M29"/>
  <c r="N29"/>
  <c r="D34"/>
  <c r="E34"/>
  <c r="F34"/>
  <c r="G34"/>
  <c r="H34"/>
  <c r="I34"/>
  <c r="J34"/>
  <c r="K34"/>
  <c r="L34"/>
  <c r="M34"/>
  <c r="N34"/>
  <c r="G25" i="130"/>
  <c r="G28" s="1"/>
  <c r="G24"/>
  <c r="G23"/>
  <c r="G22"/>
  <c r="G13"/>
  <c r="H30" i="136" l="1"/>
  <c r="J45"/>
  <c r="J50"/>
  <c r="I91"/>
  <c r="J22"/>
  <c r="J28"/>
  <c r="H28"/>
  <c r="J61"/>
  <c r="H45"/>
  <c r="I45"/>
  <c r="I28"/>
  <c r="H79"/>
  <c r="H68"/>
  <c r="J32"/>
  <c r="I29"/>
  <c r="I61"/>
  <c r="H91"/>
  <c r="J91"/>
  <c r="I30"/>
  <c r="J30"/>
  <c r="I36"/>
  <c r="H50"/>
  <c r="J85"/>
  <c r="J83"/>
  <c r="H85"/>
  <c r="H83"/>
  <c r="H32"/>
  <c r="I32"/>
  <c r="I83"/>
  <c r="I79"/>
  <c r="I72"/>
  <c r="J72"/>
  <c r="I50"/>
  <c r="H29"/>
  <c r="H36"/>
  <c r="H61"/>
  <c r="J29"/>
  <c r="J36"/>
  <c r="I22"/>
  <c r="J68"/>
  <c r="H72"/>
  <c r="J79"/>
  <c r="I85"/>
  <c r="H24"/>
  <c r="E14" s="1"/>
  <c r="I24"/>
  <c r="J24"/>
  <c r="H37"/>
  <c r="I37"/>
  <c r="J37"/>
  <c r="C13" i="130"/>
  <c r="G14" l="1"/>
  <c r="C19" s="1"/>
  <c r="G19" s="1"/>
  <c r="E19" s="1"/>
  <c r="C17"/>
  <c r="G17" s="1"/>
  <c r="E17" s="1"/>
  <c r="N54" i="136"/>
  <c r="H23"/>
  <c r="I23"/>
  <c r="J23"/>
  <c r="C14" i="130" l="1"/>
  <c r="S203" i="128"/>
  <c r="T200" s="1"/>
  <c r="Q203"/>
  <c r="R202" s="1"/>
  <c r="O203"/>
  <c r="P200" s="1"/>
  <c r="M203"/>
  <c r="N195" s="1"/>
  <c r="K203"/>
  <c r="L202" s="1"/>
  <c r="I203"/>
  <c r="G203"/>
  <c r="H201" s="1"/>
  <c r="E203"/>
  <c r="F195" s="1"/>
  <c r="C203"/>
  <c r="D195" s="1"/>
  <c r="T202"/>
  <c r="P202"/>
  <c r="T198"/>
  <c r="T196"/>
  <c r="T195"/>
  <c r="S190"/>
  <c r="T189" s="1"/>
  <c r="Q190"/>
  <c r="R185" s="1"/>
  <c r="O190"/>
  <c r="P189" s="1"/>
  <c r="M190"/>
  <c r="N178" s="1"/>
  <c r="K190"/>
  <c r="L183" s="1"/>
  <c r="I190"/>
  <c r="J186" s="1"/>
  <c r="G190"/>
  <c r="H188" s="1"/>
  <c r="E190"/>
  <c r="F178" s="1"/>
  <c r="C190"/>
  <c r="T181"/>
  <c r="S173"/>
  <c r="T172" s="1"/>
  <c r="Q173"/>
  <c r="R165" s="1"/>
  <c r="O173"/>
  <c r="P172" s="1"/>
  <c r="M173"/>
  <c r="N165" s="1"/>
  <c r="K173"/>
  <c r="I173"/>
  <c r="J165" s="1"/>
  <c r="G173"/>
  <c r="H172" s="1"/>
  <c r="E173"/>
  <c r="F165" s="1"/>
  <c r="C173"/>
  <c r="S160"/>
  <c r="Q160"/>
  <c r="R150" s="1"/>
  <c r="O160"/>
  <c r="P151" s="1"/>
  <c r="M160"/>
  <c r="N150" s="1"/>
  <c r="K160"/>
  <c r="I160"/>
  <c r="J150" s="1"/>
  <c r="G160"/>
  <c r="H156" s="1"/>
  <c r="E160"/>
  <c r="F150" s="1"/>
  <c r="C160"/>
  <c r="J153"/>
  <c r="S145"/>
  <c r="Q145"/>
  <c r="R137" s="1"/>
  <c r="O145"/>
  <c r="P138" s="1"/>
  <c r="M145"/>
  <c r="N137" s="1"/>
  <c r="K145"/>
  <c r="I145"/>
  <c r="J137" s="1"/>
  <c r="G145"/>
  <c r="H139" s="1"/>
  <c r="E145"/>
  <c r="F137" s="1"/>
  <c r="C145"/>
  <c r="D137" s="1"/>
  <c r="R144"/>
  <c r="S132"/>
  <c r="T129" s="1"/>
  <c r="Q132"/>
  <c r="R122" s="1"/>
  <c r="O132"/>
  <c r="P131" s="1"/>
  <c r="M132"/>
  <c r="N122" s="1"/>
  <c r="K132"/>
  <c r="L122" s="1"/>
  <c r="I132"/>
  <c r="J122" s="1"/>
  <c r="G132"/>
  <c r="H122" s="1"/>
  <c r="E132"/>
  <c r="F122" s="1"/>
  <c r="C132"/>
  <c r="S117"/>
  <c r="Q117"/>
  <c r="R109" s="1"/>
  <c r="O117"/>
  <c r="P116" s="1"/>
  <c r="M117"/>
  <c r="N109" s="1"/>
  <c r="K117"/>
  <c r="L114" s="1"/>
  <c r="I117"/>
  <c r="J109" s="1"/>
  <c r="G117"/>
  <c r="H114" s="1"/>
  <c r="E117"/>
  <c r="F109" s="1"/>
  <c r="C117"/>
  <c r="D109" s="1"/>
  <c r="S104"/>
  <c r="T95" s="1"/>
  <c r="Q104"/>
  <c r="R95" s="1"/>
  <c r="O104"/>
  <c r="P103" s="1"/>
  <c r="M104"/>
  <c r="N95" s="1"/>
  <c r="K104"/>
  <c r="I104"/>
  <c r="J95" s="1"/>
  <c r="G104"/>
  <c r="E104"/>
  <c r="F95" s="1"/>
  <c r="C104"/>
  <c r="D94" s="1"/>
  <c r="S90"/>
  <c r="T85" s="1"/>
  <c r="Q90"/>
  <c r="R82" s="1"/>
  <c r="O90"/>
  <c r="M90"/>
  <c r="N82" s="1"/>
  <c r="K90"/>
  <c r="L82" s="1"/>
  <c r="I90"/>
  <c r="J82" s="1"/>
  <c r="G90"/>
  <c r="E90"/>
  <c r="F82" s="1"/>
  <c r="C90"/>
  <c r="D89" s="1"/>
  <c r="S77"/>
  <c r="T67" s="1"/>
  <c r="Q77"/>
  <c r="R67" s="1"/>
  <c r="O77"/>
  <c r="P74" s="1"/>
  <c r="M77"/>
  <c r="N67" s="1"/>
  <c r="K77"/>
  <c r="I77"/>
  <c r="J67" s="1"/>
  <c r="G77"/>
  <c r="H76" s="1"/>
  <c r="E77"/>
  <c r="F67" s="1"/>
  <c r="C77"/>
  <c r="S62"/>
  <c r="T59" s="1"/>
  <c r="Q62"/>
  <c r="R61" s="1"/>
  <c r="O62"/>
  <c r="P59" s="1"/>
  <c r="M62"/>
  <c r="N54" s="1"/>
  <c r="K62"/>
  <c r="L55" s="1"/>
  <c r="I62"/>
  <c r="J54" s="1"/>
  <c r="G62"/>
  <c r="H61" s="1"/>
  <c r="E62"/>
  <c r="F54" s="1"/>
  <c r="C62"/>
  <c r="S49"/>
  <c r="T44" s="1"/>
  <c r="Q49"/>
  <c r="O49"/>
  <c r="P48" s="1"/>
  <c r="M49"/>
  <c r="N46" s="1"/>
  <c r="K49"/>
  <c r="L46" s="1"/>
  <c r="I49"/>
  <c r="J48" s="1"/>
  <c r="G49"/>
  <c r="H47" s="1"/>
  <c r="E49"/>
  <c r="F47" s="1"/>
  <c r="C49"/>
  <c r="D39" s="1"/>
  <c r="S34"/>
  <c r="T33" s="1"/>
  <c r="Q34"/>
  <c r="R25" s="1"/>
  <c r="O34"/>
  <c r="P26" s="1"/>
  <c r="M34"/>
  <c r="N26" s="1"/>
  <c r="K34"/>
  <c r="L29" s="1"/>
  <c r="I34"/>
  <c r="J33" s="1"/>
  <c r="G34"/>
  <c r="H31" s="1"/>
  <c r="E34"/>
  <c r="F26" s="1"/>
  <c r="C34"/>
  <c r="D28" s="1"/>
  <c r="R31"/>
  <c r="S21"/>
  <c r="T11" s="1"/>
  <c r="Q21"/>
  <c r="R12" s="1"/>
  <c r="O21"/>
  <c r="P17" s="1"/>
  <c r="M21"/>
  <c r="N11" s="1"/>
  <c r="K21"/>
  <c r="L12" s="1"/>
  <c r="I21"/>
  <c r="J20" s="1"/>
  <c r="G21"/>
  <c r="H19" s="1"/>
  <c r="E21"/>
  <c r="F11" s="1"/>
  <c r="C21"/>
  <c r="D19" s="1"/>
  <c r="AH39" i="118"/>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D200" i="128" l="1"/>
  <c r="D196"/>
  <c r="L195"/>
  <c r="D198"/>
  <c r="D202"/>
  <c r="F197"/>
  <c r="H125"/>
  <c r="P198"/>
  <c r="P201"/>
  <c r="H178"/>
  <c r="L196"/>
  <c r="L198"/>
  <c r="L200"/>
  <c r="P58"/>
  <c r="F202"/>
  <c r="P185"/>
  <c r="F141"/>
  <c r="J170"/>
  <c r="P72"/>
  <c r="R172"/>
  <c r="P180"/>
  <c r="P186"/>
  <c r="D27"/>
  <c r="N99"/>
  <c r="N136"/>
  <c r="H43"/>
  <c r="P60"/>
  <c r="N115"/>
  <c r="D166"/>
  <c r="J188"/>
  <c r="N16"/>
  <c r="R139"/>
  <c r="D30"/>
  <c r="H74"/>
  <c r="T99"/>
  <c r="H130"/>
  <c r="N139"/>
  <c r="N166"/>
  <c r="P178"/>
  <c r="H184"/>
  <c r="H189"/>
  <c r="N71"/>
  <c r="P67"/>
  <c r="J81"/>
  <c r="F97"/>
  <c r="F102"/>
  <c r="R113"/>
  <c r="P128"/>
  <c r="J136"/>
  <c r="H70"/>
  <c r="N100"/>
  <c r="R110"/>
  <c r="P126"/>
  <c r="R138"/>
  <c r="F142"/>
  <c r="P155"/>
  <c r="H164"/>
  <c r="L172"/>
  <c r="H180"/>
  <c r="P183"/>
  <c r="P187"/>
  <c r="J200"/>
  <c r="H155"/>
  <c r="D86"/>
  <c r="J114"/>
  <c r="J144"/>
  <c r="H158"/>
  <c r="R28"/>
  <c r="J142"/>
  <c r="H152"/>
  <c r="L157"/>
  <c r="R84"/>
  <c r="F94"/>
  <c r="N116"/>
  <c r="N123"/>
  <c r="F128"/>
  <c r="T137"/>
  <c r="R140"/>
  <c r="R142"/>
  <c r="R149"/>
  <c r="J154"/>
  <c r="F158"/>
  <c r="L165"/>
  <c r="N168"/>
  <c r="J181"/>
  <c r="J195"/>
  <c r="F196"/>
  <c r="J197"/>
  <c r="F185"/>
  <c r="N40"/>
  <c r="N98"/>
  <c r="F101"/>
  <c r="P109"/>
  <c r="N125"/>
  <c r="L166"/>
  <c r="J177"/>
  <c r="N182"/>
  <c r="F200"/>
  <c r="J201"/>
  <c r="N151"/>
  <c r="P168"/>
  <c r="N179"/>
  <c r="F184"/>
  <c r="D40"/>
  <c r="T46"/>
  <c r="J74"/>
  <c r="D84"/>
  <c r="F88"/>
  <c r="T101"/>
  <c r="P112"/>
  <c r="J115"/>
  <c r="F127"/>
  <c r="R57"/>
  <c r="T82"/>
  <c r="T87"/>
  <c r="P98"/>
  <c r="R108"/>
  <c r="P111"/>
  <c r="F124"/>
  <c r="R126"/>
  <c r="D129"/>
  <c r="T131"/>
  <c r="R141"/>
  <c r="J143"/>
  <c r="H149"/>
  <c r="F157"/>
  <c r="P159"/>
  <c r="T165"/>
  <c r="T166"/>
  <c r="P171"/>
  <c r="H177"/>
  <c r="T178"/>
  <c r="H181"/>
  <c r="P182"/>
  <c r="H186"/>
  <c r="R188"/>
  <c r="J194"/>
  <c r="N196"/>
  <c r="H199"/>
  <c r="L129"/>
  <c r="D183"/>
  <c r="R18"/>
  <c r="L26"/>
  <c r="D33"/>
  <c r="R17"/>
  <c r="T25"/>
  <c r="L28"/>
  <c r="L32"/>
  <c r="H38"/>
  <c r="F42"/>
  <c r="P95"/>
  <c r="H100"/>
  <c r="H111"/>
  <c r="P16"/>
  <c r="T27"/>
  <c r="D31"/>
  <c r="T31"/>
  <c r="F38"/>
  <c r="P40"/>
  <c r="N43"/>
  <c r="P47"/>
  <c r="N94"/>
  <c r="F98"/>
  <c r="H101"/>
  <c r="H113"/>
  <c r="H115"/>
  <c r="L123"/>
  <c r="R127"/>
  <c r="J129"/>
  <c r="J130"/>
  <c r="T140"/>
  <c r="H151"/>
  <c r="P153"/>
  <c r="R155"/>
  <c r="F164"/>
  <c r="N167"/>
  <c r="P170"/>
  <c r="J182"/>
  <c r="F183"/>
  <c r="J199"/>
  <c r="J14"/>
  <c r="P18"/>
  <c r="L31"/>
  <c r="H42"/>
  <c r="F45"/>
  <c r="J31"/>
  <c r="H44"/>
  <c r="D157"/>
  <c r="H29"/>
  <c r="P41"/>
  <c r="F44"/>
  <c r="D82"/>
  <c r="T83"/>
  <c r="L87"/>
  <c r="T88"/>
  <c r="H102"/>
  <c r="R10"/>
  <c r="L14"/>
  <c r="T17"/>
  <c r="D25"/>
  <c r="F27"/>
  <c r="D29"/>
  <c r="L30"/>
  <c r="L33"/>
  <c r="T39"/>
  <c r="N41"/>
  <c r="N42"/>
  <c r="D44"/>
  <c r="H45"/>
  <c r="T48"/>
  <c r="N56"/>
  <c r="T61"/>
  <c r="R69"/>
  <c r="R81"/>
  <c r="D83"/>
  <c r="T84"/>
  <c r="L86"/>
  <c r="L88"/>
  <c r="H99"/>
  <c r="P108"/>
  <c r="T109"/>
  <c r="H112"/>
  <c r="P113"/>
  <c r="P114"/>
  <c r="H116"/>
  <c r="P121"/>
  <c r="H126"/>
  <c r="J127"/>
  <c r="R128"/>
  <c r="P129"/>
  <c r="L131"/>
  <c r="L138"/>
  <c r="F140"/>
  <c r="P141"/>
  <c r="N142"/>
  <c r="H150"/>
  <c r="H153"/>
  <c r="D155"/>
  <c r="T155"/>
  <c r="P157"/>
  <c r="P164"/>
  <c r="J166"/>
  <c r="J167"/>
  <c r="H169"/>
  <c r="D172"/>
  <c r="F177"/>
  <c r="J180"/>
  <c r="L181"/>
  <c r="N185"/>
  <c r="R186"/>
  <c r="R196"/>
  <c r="R197"/>
  <c r="R198"/>
  <c r="N199"/>
  <c r="H55"/>
  <c r="L13"/>
  <c r="J13"/>
  <c r="F29"/>
  <c r="F43"/>
  <c r="F46"/>
  <c r="L85"/>
  <c r="J112"/>
  <c r="H18"/>
  <c r="H13"/>
  <c r="H16"/>
  <c r="L39"/>
  <c r="H48"/>
  <c r="P69"/>
  <c r="R70"/>
  <c r="R75"/>
  <c r="H81"/>
  <c r="N12"/>
  <c r="D14"/>
  <c r="P14"/>
  <c r="D26"/>
  <c r="H27"/>
  <c r="T29"/>
  <c r="D32"/>
  <c r="N33"/>
  <c r="T38"/>
  <c r="D42"/>
  <c r="D46"/>
  <c r="D48"/>
  <c r="H54"/>
  <c r="T55"/>
  <c r="H66"/>
  <c r="H69"/>
  <c r="J70"/>
  <c r="R72"/>
  <c r="P75"/>
  <c r="F87"/>
  <c r="J88"/>
  <c r="N89"/>
  <c r="D95"/>
  <c r="L97"/>
  <c r="F99"/>
  <c r="N101"/>
  <c r="T103"/>
  <c r="H110"/>
  <c r="D112"/>
  <c r="T112"/>
  <c r="D114"/>
  <c r="T114"/>
  <c r="P115"/>
  <c r="P124"/>
  <c r="N126"/>
  <c r="H127"/>
  <c r="J128"/>
  <c r="H129"/>
  <c r="R129"/>
  <c r="N130"/>
  <c r="H137"/>
  <c r="J139"/>
  <c r="J140"/>
  <c r="N141"/>
  <c r="H142"/>
  <c r="H143"/>
  <c r="F151"/>
  <c r="P152"/>
  <c r="H154"/>
  <c r="J155"/>
  <c r="P156"/>
  <c r="N157"/>
  <c r="N158"/>
  <c r="H165"/>
  <c r="F166"/>
  <c r="R166"/>
  <c r="P167"/>
  <c r="R169"/>
  <c r="R171"/>
  <c r="D178"/>
  <c r="J179"/>
  <c r="R181"/>
  <c r="N183"/>
  <c r="N184"/>
  <c r="R187"/>
  <c r="R189"/>
  <c r="N194"/>
  <c r="P195"/>
  <c r="J196"/>
  <c r="R200"/>
  <c r="P10"/>
  <c r="H10"/>
  <c r="H14"/>
  <c r="P27"/>
  <c r="J66"/>
  <c r="R73"/>
  <c r="H159"/>
  <c r="F12"/>
  <c r="T14"/>
  <c r="N18"/>
  <c r="L19"/>
  <c r="N27"/>
  <c r="P38"/>
  <c r="H40"/>
  <c r="H41"/>
  <c r="P44"/>
  <c r="P45"/>
  <c r="P46"/>
  <c r="F48"/>
  <c r="F55"/>
  <c r="H59"/>
  <c r="P68"/>
  <c r="F70"/>
  <c r="P73"/>
  <c r="R14"/>
  <c r="J18"/>
  <c r="J19"/>
  <c r="L25"/>
  <c r="T26"/>
  <c r="L27"/>
  <c r="T28"/>
  <c r="T30"/>
  <c r="T32"/>
  <c r="N38"/>
  <c r="N39"/>
  <c r="F40"/>
  <c r="F41"/>
  <c r="P42"/>
  <c r="P43"/>
  <c r="N44"/>
  <c r="N45"/>
  <c r="H46"/>
  <c r="L54"/>
  <c r="N55"/>
  <c r="D57"/>
  <c r="D59"/>
  <c r="L61"/>
  <c r="N66"/>
  <c r="D68"/>
  <c r="N70"/>
  <c r="P71"/>
  <c r="T72"/>
  <c r="P76"/>
  <c r="P81"/>
  <c r="J84"/>
  <c r="R85"/>
  <c r="N86"/>
  <c r="R88"/>
  <c r="R89"/>
  <c r="T94"/>
  <c r="J96"/>
  <c r="T97"/>
  <c r="D99"/>
  <c r="P99"/>
  <c r="P100"/>
  <c r="P101"/>
  <c r="L103"/>
  <c r="H108"/>
  <c r="H109"/>
  <c r="P110"/>
  <c r="R111"/>
  <c r="L112"/>
  <c r="J113"/>
  <c r="R114"/>
  <c r="F121"/>
  <c r="F123"/>
  <c r="N124"/>
  <c r="P125"/>
  <c r="P127"/>
  <c r="N128"/>
  <c r="F129"/>
  <c r="N129"/>
  <c r="F130"/>
  <c r="F131"/>
  <c r="R136"/>
  <c r="J138"/>
  <c r="L140"/>
  <c r="J141"/>
  <c r="P142"/>
  <c r="R143"/>
  <c r="F149"/>
  <c r="L150"/>
  <c r="F152"/>
  <c r="P154"/>
  <c r="L155"/>
  <c r="N156"/>
  <c r="H157"/>
  <c r="T157"/>
  <c r="P158"/>
  <c r="J164"/>
  <c r="F167"/>
  <c r="H168"/>
  <c r="P169"/>
  <c r="R170"/>
  <c r="P177"/>
  <c r="R178"/>
  <c r="P179"/>
  <c r="D181"/>
  <c r="P181"/>
  <c r="H183"/>
  <c r="T183"/>
  <c r="P184"/>
  <c r="T185"/>
  <c r="J187"/>
  <c r="P188"/>
  <c r="L189"/>
  <c r="F194"/>
  <c r="H195"/>
  <c r="R195"/>
  <c r="H196"/>
  <c r="P196"/>
  <c r="H197"/>
  <c r="H198"/>
  <c r="N200"/>
  <c r="N201"/>
  <c r="H202"/>
  <c r="D189"/>
  <c r="H28"/>
  <c r="P39"/>
  <c r="P53"/>
  <c r="P55"/>
  <c r="P57"/>
  <c r="H67"/>
  <c r="P70"/>
  <c r="H72"/>
  <c r="H75"/>
  <c r="P86"/>
  <c r="D97"/>
  <c r="J171"/>
  <c r="J172"/>
  <c r="L11"/>
  <c r="F16"/>
  <c r="N20"/>
  <c r="P28"/>
  <c r="P29"/>
  <c r="P31"/>
  <c r="D38"/>
  <c r="D41"/>
  <c r="T41"/>
  <c r="D43"/>
  <c r="T43"/>
  <c r="D45"/>
  <c r="L45"/>
  <c r="T45"/>
  <c r="L48"/>
  <c r="D55"/>
  <c r="D61"/>
  <c r="J11"/>
  <c r="F14"/>
  <c r="N14"/>
  <c r="R15"/>
  <c r="F18"/>
  <c r="F20"/>
  <c r="J27"/>
  <c r="R27"/>
  <c r="N29"/>
  <c r="J30"/>
  <c r="F31"/>
  <c r="N31"/>
  <c r="F33"/>
  <c r="L38"/>
  <c r="T40"/>
  <c r="J41"/>
  <c r="R41"/>
  <c r="T42"/>
  <c r="J43"/>
  <c r="R43"/>
  <c r="J45"/>
  <c r="R45"/>
  <c r="N47"/>
  <c r="D54"/>
  <c r="T54"/>
  <c r="J55"/>
  <c r="R55"/>
  <c r="H57"/>
  <c r="T57"/>
  <c r="J59"/>
  <c r="R60"/>
  <c r="F69"/>
  <c r="D70"/>
  <c r="L70"/>
  <c r="T70"/>
  <c r="J72"/>
  <c r="L74"/>
  <c r="D76"/>
  <c r="H82"/>
  <c r="F83"/>
  <c r="L84"/>
  <c r="N85"/>
  <c r="F86"/>
  <c r="D87"/>
  <c r="D88"/>
  <c r="N88"/>
  <c r="L89"/>
  <c r="L94"/>
  <c r="L95"/>
  <c r="N96"/>
  <c r="N97"/>
  <c r="L99"/>
  <c r="F100"/>
  <c r="R100"/>
  <c r="J101"/>
  <c r="R101"/>
  <c r="J102"/>
  <c r="J108"/>
  <c r="J110"/>
  <c r="J111"/>
  <c r="R112"/>
  <c r="N113"/>
  <c r="F114"/>
  <c r="N114"/>
  <c r="F115"/>
  <c r="N121"/>
  <c r="D123"/>
  <c r="T123"/>
  <c r="F125"/>
  <c r="F126"/>
  <c r="N127"/>
  <c r="H128"/>
  <c r="N131"/>
  <c r="D138"/>
  <c r="T138"/>
  <c r="D140"/>
  <c r="N140"/>
  <c r="D142"/>
  <c r="L142"/>
  <c r="T142"/>
  <c r="P143"/>
  <c r="P149"/>
  <c r="P150"/>
  <c r="R152"/>
  <c r="R153"/>
  <c r="R154"/>
  <c r="R156"/>
  <c r="J157"/>
  <c r="R157"/>
  <c r="J158"/>
  <c r="N159"/>
  <c r="N164"/>
  <c r="P165"/>
  <c r="H166"/>
  <c r="P166"/>
  <c r="H167"/>
  <c r="F168"/>
  <c r="F169"/>
  <c r="H170"/>
  <c r="H171"/>
  <c r="N177"/>
  <c r="J178"/>
  <c r="H179"/>
  <c r="R179"/>
  <c r="R180"/>
  <c r="H182"/>
  <c r="R182"/>
  <c r="J183"/>
  <c r="R183"/>
  <c r="J184"/>
  <c r="H185"/>
  <c r="F186"/>
  <c r="H187"/>
  <c r="P194"/>
  <c r="P197"/>
  <c r="J198"/>
  <c r="R199"/>
  <c r="F201"/>
  <c r="N202"/>
  <c r="J189"/>
  <c r="D17"/>
  <c r="F39"/>
  <c r="L40"/>
  <c r="L41"/>
  <c r="L42"/>
  <c r="L43"/>
  <c r="L44"/>
  <c r="L57"/>
  <c r="L59"/>
  <c r="D101"/>
  <c r="L101"/>
  <c r="D103"/>
  <c r="F143"/>
  <c r="J156"/>
  <c r="D10"/>
  <c r="D12"/>
  <c r="L15"/>
  <c r="D20"/>
  <c r="T20"/>
  <c r="R30"/>
  <c r="J32"/>
  <c r="L10"/>
  <c r="D11"/>
  <c r="J12"/>
  <c r="R13"/>
  <c r="J15"/>
  <c r="D16"/>
  <c r="L16"/>
  <c r="T16"/>
  <c r="L17"/>
  <c r="T19"/>
  <c r="R20"/>
  <c r="H25"/>
  <c r="P30"/>
  <c r="R33"/>
  <c r="J10"/>
  <c r="T10"/>
  <c r="R11"/>
  <c r="H12"/>
  <c r="P12"/>
  <c r="D13"/>
  <c r="P13"/>
  <c r="D15"/>
  <c r="T15"/>
  <c r="J16"/>
  <c r="R16"/>
  <c r="J17"/>
  <c r="D18"/>
  <c r="L18"/>
  <c r="T18"/>
  <c r="R19"/>
  <c r="H20"/>
  <c r="P20"/>
  <c r="P25"/>
  <c r="J26"/>
  <c r="J28"/>
  <c r="J29"/>
  <c r="R29"/>
  <c r="R32"/>
  <c r="H33"/>
  <c r="P33"/>
  <c r="J38"/>
  <c r="R38"/>
  <c r="H39"/>
  <c r="N48"/>
  <c r="R53"/>
  <c r="P56"/>
  <c r="J57"/>
  <c r="R58"/>
  <c r="H60"/>
  <c r="P61"/>
  <c r="P66"/>
  <c r="L67"/>
  <c r="H68"/>
  <c r="R68"/>
  <c r="J69"/>
  <c r="H71"/>
  <c r="R71"/>
  <c r="L72"/>
  <c r="H73"/>
  <c r="D74"/>
  <c r="J75"/>
  <c r="R76"/>
  <c r="D81"/>
  <c r="L81"/>
  <c r="T81"/>
  <c r="P82"/>
  <c r="L83"/>
  <c r="F84"/>
  <c r="N84"/>
  <c r="D85"/>
  <c r="H86"/>
  <c r="T86"/>
  <c r="N87"/>
  <c r="H88"/>
  <c r="P88"/>
  <c r="F89"/>
  <c r="T89"/>
  <c r="H94"/>
  <c r="P94"/>
  <c r="H95"/>
  <c r="F96"/>
  <c r="P96"/>
  <c r="H97"/>
  <c r="P97"/>
  <c r="H98"/>
  <c r="R98"/>
  <c r="J99"/>
  <c r="R99"/>
  <c r="J100"/>
  <c r="N102"/>
  <c r="F103"/>
  <c r="N103"/>
  <c r="N108"/>
  <c r="D110"/>
  <c r="L110"/>
  <c r="T110"/>
  <c r="N111"/>
  <c r="F112"/>
  <c r="N112"/>
  <c r="F113"/>
  <c r="R115"/>
  <c r="J116"/>
  <c r="R116"/>
  <c r="H121"/>
  <c r="R121"/>
  <c r="P122"/>
  <c r="H123"/>
  <c r="P123"/>
  <c r="H124"/>
  <c r="R124"/>
  <c r="J125"/>
  <c r="R125"/>
  <c r="J126"/>
  <c r="D127"/>
  <c r="L127"/>
  <c r="T127"/>
  <c r="P130"/>
  <c r="H131"/>
  <c r="F136"/>
  <c r="P136"/>
  <c r="L137"/>
  <c r="F138"/>
  <c r="N138"/>
  <c r="F139"/>
  <c r="P139"/>
  <c r="H140"/>
  <c r="P140"/>
  <c r="H141"/>
  <c r="D144"/>
  <c r="L144"/>
  <c r="T144"/>
  <c r="J149"/>
  <c r="D150"/>
  <c r="T150"/>
  <c r="J151"/>
  <c r="R151"/>
  <c r="J152"/>
  <c r="D153"/>
  <c r="L153"/>
  <c r="T153"/>
  <c r="N154"/>
  <c r="F155"/>
  <c r="N155"/>
  <c r="F156"/>
  <c r="R158"/>
  <c r="J159"/>
  <c r="R159"/>
  <c r="R164"/>
  <c r="R167"/>
  <c r="J168"/>
  <c r="R168"/>
  <c r="J169"/>
  <c r="D170"/>
  <c r="L170"/>
  <c r="T170"/>
  <c r="N171"/>
  <c r="F172"/>
  <c r="N172"/>
  <c r="R177"/>
  <c r="L178"/>
  <c r="D179"/>
  <c r="L179"/>
  <c r="T179"/>
  <c r="N180"/>
  <c r="F181"/>
  <c r="N181"/>
  <c r="F182"/>
  <c r="R184"/>
  <c r="J185"/>
  <c r="D187"/>
  <c r="L187"/>
  <c r="T187"/>
  <c r="N188"/>
  <c r="F189"/>
  <c r="N189"/>
  <c r="H194"/>
  <c r="R194"/>
  <c r="N197"/>
  <c r="F198"/>
  <c r="N198"/>
  <c r="F199"/>
  <c r="P199"/>
  <c r="H200"/>
  <c r="R201"/>
  <c r="J202"/>
  <c r="T12"/>
  <c r="T13"/>
  <c r="L20"/>
  <c r="R26"/>
  <c r="J53"/>
  <c r="R54"/>
  <c r="J56"/>
  <c r="J58"/>
  <c r="R59"/>
  <c r="J61"/>
  <c r="D67"/>
  <c r="L68"/>
  <c r="T74"/>
  <c r="L76"/>
  <c r="R102"/>
  <c r="J103"/>
  <c r="R103"/>
  <c r="F116"/>
  <c r="D131"/>
  <c r="H144"/>
  <c r="P144"/>
  <c r="F159"/>
  <c r="J25"/>
  <c r="H53"/>
  <c r="P54"/>
  <c r="H56"/>
  <c r="R56"/>
  <c r="H58"/>
  <c r="J60"/>
  <c r="R66"/>
  <c r="J68"/>
  <c r="T68"/>
  <c r="J71"/>
  <c r="D72"/>
  <c r="J73"/>
  <c r="R74"/>
  <c r="J76"/>
  <c r="T76"/>
  <c r="F81"/>
  <c r="N81"/>
  <c r="N83"/>
  <c r="H84"/>
  <c r="P84"/>
  <c r="F85"/>
  <c r="J94"/>
  <c r="R94"/>
  <c r="H96"/>
  <c r="R96"/>
  <c r="J97"/>
  <c r="R97"/>
  <c r="J98"/>
  <c r="P102"/>
  <c r="H103"/>
  <c r="F108"/>
  <c r="L109"/>
  <c r="F110"/>
  <c r="N110"/>
  <c r="F111"/>
  <c r="D116"/>
  <c r="L116"/>
  <c r="T116"/>
  <c r="J121"/>
  <c r="D122"/>
  <c r="T122"/>
  <c r="J123"/>
  <c r="R123"/>
  <c r="J124"/>
  <c r="D125"/>
  <c r="L125"/>
  <c r="T125"/>
  <c r="R130"/>
  <c r="J131"/>
  <c r="R131"/>
  <c r="H136"/>
  <c r="P137"/>
  <c r="H138"/>
  <c r="N143"/>
  <c r="F144"/>
  <c r="N144"/>
  <c r="N149"/>
  <c r="D151"/>
  <c r="L151"/>
  <c r="T151"/>
  <c r="N152"/>
  <c r="F153"/>
  <c r="N153"/>
  <c r="F154"/>
  <c r="D159"/>
  <c r="L159"/>
  <c r="T159"/>
  <c r="D165"/>
  <c r="D168"/>
  <c r="L168"/>
  <c r="T168"/>
  <c r="N169"/>
  <c r="F170"/>
  <c r="N170"/>
  <c r="F171"/>
  <c r="F179"/>
  <c r="F180"/>
  <c r="D185"/>
  <c r="L185"/>
  <c r="N186"/>
  <c r="F187"/>
  <c r="N187"/>
  <c r="F188"/>
  <c r="P15"/>
  <c r="H17"/>
  <c r="P19"/>
  <c r="P32"/>
  <c r="R39"/>
  <c r="F10"/>
  <c r="N10"/>
  <c r="H11"/>
  <c r="P11"/>
  <c r="F13"/>
  <c r="N13"/>
  <c r="F15"/>
  <c r="N15"/>
  <c r="F17"/>
  <c r="N17"/>
  <c r="F19"/>
  <c r="N19"/>
  <c r="F25"/>
  <c r="N25"/>
  <c r="H26"/>
  <c r="F28"/>
  <c r="N28"/>
  <c r="F30"/>
  <c r="N30"/>
  <c r="F32"/>
  <c r="N32"/>
  <c r="J40"/>
  <c r="R40"/>
  <c r="J42"/>
  <c r="R42"/>
  <c r="J44"/>
  <c r="R44"/>
  <c r="J46"/>
  <c r="R46"/>
  <c r="R47"/>
  <c r="N53"/>
  <c r="F58"/>
  <c r="F59"/>
  <c r="N59"/>
  <c r="N60"/>
  <c r="F73"/>
  <c r="F74"/>
  <c r="N74"/>
  <c r="N75"/>
  <c r="R83"/>
  <c r="J86"/>
  <c r="R86"/>
  <c r="R87"/>
  <c r="D47"/>
  <c r="L47"/>
  <c r="T47"/>
  <c r="F56"/>
  <c r="F57"/>
  <c r="N57"/>
  <c r="N58"/>
  <c r="F66"/>
  <c r="F71"/>
  <c r="F72"/>
  <c r="N72"/>
  <c r="N73"/>
  <c r="J85"/>
  <c r="J89"/>
  <c r="H15"/>
  <c r="H30"/>
  <c r="H32"/>
  <c r="J39"/>
  <c r="J47"/>
  <c r="R48"/>
  <c r="F53"/>
  <c r="F60"/>
  <c r="F61"/>
  <c r="N61"/>
  <c r="F68"/>
  <c r="N68"/>
  <c r="N69"/>
  <c r="F75"/>
  <c r="F76"/>
  <c r="N76"/>
  <c r="J83"/>
  <c r="J87"/>
  <c r="D53"/>
  <c r="L53"/>
  <c r="T53"/>
  <c r="D56"/>
  <c r="L56"/>
  <c r="T56"/>
  <c r="D58"/>
  <c r="L58"/>
  <c r="T58"/>
  <c r="D60"/>
  <c r="L60"/>
  <c r="T60"/>
  <c r="D66"/>
  <c r="L66"/>
  <c r="T66"/>
  <c r="D69"/>
  <c r="L69"/>
  <c r="T69"/>
  <c r="D71"/>
  <c r="L71"/>
  <c r="T71"/>
  <c r="D73"/>
  <c r="L73"/>
  <c r="T73"/>
  <c r="D75"/>
  <c r="L75"/>
  <c r="T75"/>
  <c r="H83"/>
  <c r="P83"/>
  <c r="H85"/>
  <c r="P85"/>
  <c r="H87"/>
  <c r="P87"/>
  <c r="H89"/>
  <c r="P89"/>
  <c r="D96"/>
  <c r="L96"/>
  <c r="T96"/>
  <c r="D98"/>
  <c r="L98"/>
  <c r="T98"/>
  <c r="D100"/>
  <c r="L100"/>
  <c r="T100"/>
  <c r="D102"/>
  <c r="L102"/>
  <c r="T102"/>
  <c r="D108"/>
  <c r="L108"/>
  <c r="T108"/>
  <c r="D111"/>
  <c r="L111"/>
  <c r="T111"/>
  <c r="D113"/>
  <c r="L113"/>
  <c r="T113"/>
  <c r="D115"/>
  <c r="L115"/>
  <c r="T115"/>
  <c r="D121"/>
  <c r="L121"/>
  <c r="T121"/>
  <c r="D124"/>
  <c r="L124"/>
  <c r="T124"/>
  <c r="D126"/>
  <c r="L126"/>
  <c r="T126"/>
  <c r="D128"/>
  <c r="L128"/>
  <c r="T128"/>
  <c r="D130"/>
  <c r="L130"/>
  <c r="T130"/>
  <c r="D136"/>
  <c r="L136"/>
  <c r="T136"/>
  <c r="D139"/>
  <c r="L139"/>
  <c r="T139"/>
  <c r="D141"/>
  <c r="L141"/>
  <c r="T141"/>
  <c r="D143"/>
  <c r="L143"/>
  <c r="T143"/>
  <c r="D149"/>
  <c r="L149"/>
  <c r="T149"/>
  <c r="D152"/>
  <c r="L152"/>
  <c r="T152"/>
  <c r="D154"/>
  <c r="L154"/>
  <c r="T154"/>
  <c r="D156"/>
  <c r="L156"/>
  <c r="T156"/>
  <c r="D158"/>
  <c r="L158"/>
  <c r="T158"/>
  <c r="D164"/>
  <c r="L164"/>
  <c r="T164"/>
  <c r="D167"/>
  <c r="L167"/>
  <c r="T167"/>
  <c r="D169"/>
  <c r="L169"/>
  <c r="T169"/>
  <c r="D171"/>
  <c r="L171"/>
  <c r="T171"/>
  <c r="D177"/>
  <c r="L177"/>
  <c r="T177"/>
  <c r="D180"/>
  <c r="L180"/>
  <c r="T180"/>
  <c r="D182"/>
  <c r="L182"/>
  <c r="T182"/>
  <c r="D184"/>
  <c r="L184"/>
  <c r="T184"/>
  <c r="D186"/>
  <c r="L186"/>
  <c r="T186"/>
  <c r="D188"/>
  <c r="L188"/>
  <c r="T188"/>
  <c r="D194"/>
  <c r="L194"/>
  <c r="T194"/>
  <c r="D197"/>
  <c r="L197"/>
  <c r="T197"/>
  <c r="D199"/>
  <c r="L199"/>
  <c r="T199"/>
  <c r="D201"/>
  <c r="L201"/>
  <c r="T201"/>
  <c r="D9" i="118"/>
  <c r="E9"/>
  <c r="F9"/>
  <c r="G9"/>
  <c r="H9"/>
  <c r="I9"/>
  <c r="J9"/>
  <c r="K9"/>
  <c r="L9"/>
  <c r="M9"/>
  <c r="N9"/>
  <c r="O9"/>
  <c r="P9"/>
  <c r="Q9"/>
  <c r="R9"/>
  <c r="S9"/>
  <c r="T9"/>
  <c r="U9"/>
  <c r="X9"/>
  <c r="Y9"/>
  <c r="Z9"/>
  <c r="AA9"/>
  <c r="AB9"/>
  <c r="AC9"/>
  <c r="AD9"/>
  <c r="AE9"/>
  <c r="AF9"/>
  <c r="AG9"/>
  <c r="AH9"/>
  <c r="AI9"/>
  <c r="AJ9"/>
  <c r="AK9"/>
  <c r="AL9"/>
  <c r="AM9"/>
  <c r="AN9"/>
  <c r="AO9"/>
  <c r="AR9"/>
  <c r="AS9"/>
  <c r="AT9"/>
  <c r="AU9"/>
  <c r="AV9"/>
  <c r="AW9"/>
  <c r="AX9"/>
  <c r="AY9"/>
  <c r="AZ9"/>
  <c r="BA9"/>
  <c r="BB9"/>
  <c r="BC9"/>
  <c r="BD9"/>
  <c r="BE9"/>
  <c r="BF9"/>
  <c r="BG9"/>
  <c r="BH9"/>
  <c r="BI9"/>
  <c r="D10"/>
  <c r="E10"/>
  <c r="F10"/>
  <c r="G10"/>
  <c r="H10"/>
  <c r="I10"/>
  <c r="J10"/>
  <c r="K10"/>
  <c r="L10"/>
  <c r="M10"/>
  <c r="N10"/>
  <c r="O10"/>
  <c r="P10"/>
  <c r="Q10"/>
  <c r="R10"/>
  <c r="S10"/>
  <c r="T10"/>
  <c r="U10"/>
  <c r="X10"/>
  <c r="Y10"/>
  <c r="Z10"/>
  <c r="AA10"/>
  <c r="AB10"/>
  <c r="AC10"/>
  <c r="AD10"/>
  <c r="AE10"/>
  <c r="AF10"/>
  <c r="AG10"/>
  <c r="AH10"/>
  <c r="AI10"/>
  <c r="AJ10"/>
  <c r="AK10"/>
  <c r="AL10"/>
  <c r="AM10"/>
  <c r="AN10"/>
  <c r="AO10"/>
  <c r="AR10"/>
  <c r="AS10"/>
  <c r="AT10"/>
  <c r="AU10"/>
  <c r="AV10"/>
  <c r="AW10"/>
  <c r="AX10"/>
  <c r="AY10"/>
  <c r="AZ10"/>
  <c r="BA10"/>
  <c r="BB10"/>
  <c r="BC10"/>
  <c r="BD10"/>
  <c r="BE10"/>
  <c r="BF10"/>
  <c r="BG10"/>
  <c r="BH10"/>
  <c r="BI10"/>
  <c r="D11"/>
  <c r="E11"/>
  <c r="F11"/>
  <c r="G11"/>
  <c r="H11"/>
  <c r="I11"/>
  <c r="J11"/>
  <c r="K11"/>
  <c r="L11"/>
  <c r="M11"/>
  <c r="N11"/>
  <c r="O11"/>
  <c r="P11"/>
  <c r="Q11"/>
  <c r="R11"/>
  <c r="S11"/>
  <c r="T11"/>
  <c r="U11"/>
  <c r="X11"/>
  <c r="Y11"/>
  <c r="Z11"/>
  <c r="AA11"/>
  <c r="AB11"/>
  <c r="AC11"/>
  <c r="AD11"/>
  <c r="AE11"/>
  <c r="AF11"/>
  <c r="AG11"/>
  <c r="AH11"/>
  <c r="AI11"/>
  <c r="AJ11"/>
  <c r="AK11"/>
  <c r="AL11"/>
  <c r="AM11"/>
  <c r="AN11"/>
  <c r="AO11"/>
  <c r="AR11"/>
  <c r="AS11"/>
  <c r="AT11"/>
  <c r="AU11"/>
  <c r="AV11"/>
  <c r="AW11"/>
  <c r="AX11"/>
  <c r="AY11"/>
  <c r="AZ11"/>
  <c r="BA11"/>
  <c r="BB11"/>
  <c r="BC11"/>
  <c r="BD11"/>
  <c r="BE11"/>
  <c r="BF11"/>
  <c r="BG11"/>
  <c r="BH11"/>
  <c r="BI11"/>
  <c r="D12"/>
  <c r="E12"/>
  <c r="F12"/>
  <c r="G12"/>
  <c r="H12"/>
  <c r="I12"/>
  <c r="J12"/>
  <c r="K12"/>
  <c r="L12"/>
  <c r="M12"/>
  <c r="N12"/>
  <c r="O12"/>
  <c r="P12"/>
  <c r="Q12"/>
  <c r="R12"/>
  <c r="S12"/>
  <c r="T12"/>
  <c r="U12"/>
  <c r="X12"/>
  <c r="Y12"/>
  <c r="Z12"/>
  <c r="AA12"/>
  <c r="AB12"/>
  <c r="AC12"/>
  <c r="AD12"/>
  <c r="AE12"/>
  <c r="AF12"/>
  <c r="AG12"/>
  <c r="AH12"/>
  <c r="AI12"/>
  <c r="AJ12"/>
  <c r="AK12"/>
  <c r="AL12"/>
  <c r="AM12"/>
  <c r="AN12"/>
  <c r="AO12"/>
  <c r="AR12"/>
  <c r="AS12"/>
  <c r="AT12"/>
  <c r="AU12"/>
  <c r="AV12"/>
  <c r="AW12"/>
  <c r="AX12"/>
  <c r="AY12"/>
  <c r="AZ12"/>
  <c r="BA12"/>
  <c r="BB12"/>
  <c r="BC12"/>
  <c r="BD12"/>
  <c r="BE12"/>
  <c r="BF12"/>
  <c r="BG12"/>
  <c r="BH12"/>
  <c r="BI12"/>
  <c r="D13"/>
  <c r="E13"/>
  <c r="F13"/>
  <c r="G13"/>
  <c r="H13"/>
  <c r="I13"/>
  <c r="J13"/>
  <c r="K13"/>
  <c r="L13"/>
  <c r="M13"/>
  <c r="N13"/>
  <c r="O13"/>
  <c r="P13"/>
  <c r="Q13"/>
  <c r="R13"/>
  <c r="S13"/>
  <c r="T13"/>
  <c r="U13"/>
  <c r="X13"/>
  <c r="Y13"/>
  <c r="Z13"/>
  <c r="AA13"/>
  <c r="AB13"/>
  <c r="AC13"/>
  <c r="AD13"/>
  <c r="AE13"/>
  <c r="AF13"/>
  <c r="AG13"/>
  <c r="AH13"/>
  <c r="AI13"/>
  <c r="AJ13"/>
  <c r="AK13"/>
  <c r="AL13"/>
  <c r="AM13"/>
  <c r="AN13"/>
  <c r="AO13"/>
  <c r="AR13"/>
  <c r="AS13"/>
  <c r="AT13"/>
  <c r="AU13"/>
  <c r="AV13"/>
  <c r="AW13"/>
  <c r="AX13"/>
  <c r="AY13"/>
  <c r="AZ13"/>
  <c r="BA13"/>
  <c r="BB13"/>
  <c r="BC13"/>
  <c r="BD13"/>
  <c r="BE13"/>
  <c r="BF13"/>
  <c r="BG13"/>
  <c r="BH13"/>
  <c r="BI13"/>
  <c r="D14"/>
  <c r="E14"/>
  <c r="F14"/>
  <c r="G14"/>
  <c r="H14"/>
  <c r="I14"/>
  <c r="J14"/>
  <c r="K14"/>
  <c r="L14"/>
  <c r="M14"/>
  <c r="N14"/>
  <c r="O14"/>
  <c r="P14"/>
  <c r="Q14"/>
  <c r="R14"/>
  <c r="S14"/>
  <c r="T14"/>
  <c r="U14"/>
  <c r="X14"/>
  <c r="Y14"/>
  <c r="Z14"/>
  <c r="AA14"/>
  <c r="AB14"/>
  <c r="AC14"/>
  <c r="AD14"/>
  <c r="AE14"/>
  <c r="AF14"/>
  <c r="AG14"/>
  <c r="AH14"/>
  <c r="AI14"/>
  <c r="AJ14"/>
  <c r="AK14"/>
  <c r="AL14"/>
  <c r="AM14"/>
  <c r="AN14"/>
  <c r="AO14"/>
  <c r="AR14"/>
  <c r="AS14"/>
  <c r="AT14"/>
  <c r="AU14"/>
  <c r="AV14"/>
  <c r="AW14"/>
  <c r="AX14"/>
  <c r="AY14"/>
  <c r="AZ14"/>
  <c r="BA14"/>
  <c r="BB14"/>
  <c r="BC14"/>
  <c r="BD14"/>
  <c r="BE14"/>
  <c r="BF14"/>
  <c r="BG14"/>
  <c r="BH14"/>
  <c r="BI14"/>
  <c r="D15"/>
  <c r="E15"/>
  <c r="F15"/>
  <c r="G15"/>
  <c r="H15"/>
  <c r="I15"/>
  <c r="J15"/>
  <c r="K15"/>
  <c r="L15"/>
  <c r="M15"/>
  <c r="N15"/>
  <c r="O15"/>
  <c r="P15"/>
  <c r="Q15"/>
  <c r="R15"/>
  <c r="S15"/>
  <c r="T15"/>
  <c r="U15"/>
  <c r="X15"/>
  <c r="Y15"/>
  <c r="Z15"/>
  <c r="AA15"/>
  <c r="AB15"/>
  <c r="AC15"/>
  <c r="AD15"/>
  <c r="AE15"/>
  <c r="AF15"/>
  <c r="AG15"/>
  <c r="AH15"/>
  <c r="AI15"/>
  <c r="AJ15"/>
  <c r="AK15"/>
  <c r="AL15"/>
  <c r="AM15"/>
  <c r="AN15"/>
  <c r="AO15"/>
  <c r="AR15"/>
  <c r="AS15"/>
  <c r="AT15"/>
  <c r="AU15"/>
  <c r="AV15"/>
  <c r="AW15"/>
  <c r="AX15"/>
  <c r="AY15"/>
  <c r="AZ15"/>
  <c r="BA15"/>
  <c r="BB15"/>
  <c r="BC15"/>
  <c r="BD15"/>
  <c r="BE15"/>
  <c r="BF15"/>
  <c r="BG15"/>
  <c r="BH15"/>
  <c r="BI15"/>
  <c r="D16"/>
  <c r="E16"/>
  <c r="F16"/>
  <c r="G16"/>
  <c r="H16"/>
  <c r="I16"/>
  <c r="J16"/>
  <c r="K16"/>
  <c r="L16"/>
  <c r="M16"/>
  <c r="N16"/>
  <c r="O16"/>
  <c r="P16"/>
  <c r="Q16"/>
  <c r="R16"/>
  <c r="S16"/>
  <c r="T16"/>
  <c r="U16"/>
  <c r="X16"/>
  <c r="Y16"/>
  <c r="Z16"/>
  <c r="AA16"/>
  <c r="AB16"/>
  <c r="AC16"/>
  <c r="AD16"/>
  <c r="AE16"/>
  <c r="AF16"/>
  <c r="AG16"/>
  <c r="AH16"/>
  <c r="AI16"/>
  <c r="AJ16"/>
  <c r="AK16"/>
  <c r="AL16"/>
  <c r="AM16"/>
  <c r="AN16"/>
  <c r="AO16"/>
  <c r="AR16"/>
  <c r="AS16"/>
  <c r="AT16"/>
  <c r="AU16"/>
  <c r="AV16"/>
  <c r="AW16"/>
  <c r="AX16"/>
  <c r="AY16"/>
  <c r="AZ16"/>
  <c r="BA16"/>
  <c r="BB16"/>
  <c r="BC16"/>
  <c r="BD16"/>
  <c r="BE16"/>
  <c r="BF16"/>
  <c r="BG16"/>
  <c r="BH16"/>
  <c r="BI16"/>
  <c r="D17"/>
  <c r="E17"/>
  <c r="F17"/>
  <c r="G17"/>
  <c r="H17"/>
  <c r="I17"/>
  <c r="J17"/>
  <c r="K17"/>
  <c r="L17"/>
  <c r="M17"/>
  <c r="N17"/>
  <c r="O17"/>
  <c r="P17"/>
  <c r="Q17"/>
  <c r="R17"/>
  <c r="S17"/>
  <c r="T17"/>
  <c r="U17"/>
  <c r="X17"/>
  <c r="Y17"/>
  <c r="Z17"/>
  <c r="AA17"/>
  <c r="AB17"/>
  <c r="AC17"/>
  <c r="AD17"/>
  <c r="AE17"/>
  <c r="AF17"/>
  <c r="AG17"/>
  <c r="AH17"/>
  <c r="AI17"/>
  <c r="AJ17"/>
  <c r="AK17"/>
  <c r="AL17"/>
  <c r="AM17"/>
  <c r="AN17"/>
  <c r="AO17"/>
  <c r="AR17"/>
  <c r="AS17"/>
  <c r="AT17"/>
  <c r="AU17"/>
  <c r="AV17"/>
  <c r="AW17"/>
  <c r="AX17"/>
  <c r="AY17"/>
  <c r="AZ17"/>
  <c r="BA17"/>
  <c r="BB17"/>
  <c r="BC17"/>
  <c r="BD17"/>
  <c r="BE17"/>
  <c r="BF17"/>
  <c r="BG17"/>
  <c r="BH17"/>
  <c r="BI17"/>
  <c r="D18"/>
  <c r="E18"/>
  <c r="F18"/>
  <c r="G18"/>
  <c r="H18"/>
  <c r="I18"/>
  <c r="J18"/>
  <c r="K18"/>
  <c r="L18"/>
  <c r="M18"/>
  <c r="N18"/>
  <c r="O18"/>
  <c r="P18"/>
  <c r="Q18"/>
  <c r="R18"/>
  <c r="S18"/>
  <c r="T18"/>
  <c r="U18"/>
  <c r="X18"/>
  <c r="Y18"/>
  <c r="Z18"/>
  <c r="AA18"/>
  <c r="AB18"/>
  <c r="AC18"/>
  <c r="AD18"/>
  <c r="AE18"/>
  <c r="AF18"/>
  <c r="AG18"/>
  <c r="AH18"/>
  <c r="AI18"/>
  <c r="AJ18"/>
  <c r="AK18"/>
  <c r="AL18"/>
  <c r="AM18"/>
  <c r="AN18"/>
  <c r="AO18"/>
  <c r="AR18"/>
  <c r="AS18"/>
  <c r="AT18"/>
  <c r="AU18"/>
  <c r="AV18"/>
  <c r="AW18"/>
  <c r="AX18"/>
  <c r="AY18"/>
  <c r="AZ18"/>
  <c r="BA18"/>
  <c r="BB18"/>
  <c r="BC18"/>
  <c r="BD18"/>
  <c r="BE18"/>
  <c r="BF18"/>
  <c r="BG18"/>
  <c r="BH18"/>
  <c r="BI18"/>
  <c r="D19"/>
  <c r="E19"/>
  <c r="F19"/>
  <c r="G19"/>
  <c r="H19"/>
  <c r="I19"/>
  <c r="J19"/>
  <c r="K19"/>
  <c r="L19"/>
  <c r="M19"/>
  <c r="N19"/>
  <c r="O19"/>
  <c r="P19"/>
  <c r="Q19"/>
  <c r="R19"/>
  <c r="S19"/>
  <c r="T19"/>
  <c r="U19"/>
  <c r="X19"/>
  <c r="Y19"/>
  <c r="Z19"/>
  <c r="AA19"/>
  <c r="AB19"/>
  <c r="AC19"/>
  <c r="AD19"/>
  <c r="AE19"/>
  <c r="AF19"/>
  <c r="AG19"/>
  <c r="AH19"/>
  <c r="AI19"/>
  <c r="AJ19"/>
  <c r="AK19"/>
  <c r="AL19"/>
  <c r="AM19"/>
  <c r="AN19"/>
  <c r="AO19"/>
  <c r="AR19"/>
  <c r="AS19"/>
  <c r="AT19"/>
  <c r="AU19"/>
  <c r="AV19"/>
  <c r="AW19"/>
  <c r="AX19"/>
  <c r="AY19"/>
  <c r="AZ19"/>
  <c r="BA19"/>
  <c r="BB19"/>
  <c r="BC19"/>
  <c r="BD19"/>
  <c r="BE19"/>
  <c r="BF19"/>
  <c r="BG19"/>
  <c r="BH19"/>
  <c r="BI19"/>
  <c r="D20"/>
  <c r="E20"/>
  <c r="F20"/>
  <c r="G20"/>
  <c r="H20"/>
  <c r="I20"/>
  <c r="J20"/>
  <c r="K20"/>
  <c r="L20"/>
  <c r="M20"/>
  <c r="N20"/>
  <c r="O20"/>
  <c r="P20"/>
  <c r="Q20"/>
  <c r="R20"/>
  <c r="S20"/>
  <c r="T20"/>
  <c r="U20"/>
  <c r="X20"/>
  <c r="Y20"/>
  <c r="Z20"/>
  <c r="AA20"/>
  <c r="AB20"/>
  <c r="AC20"/>
  <c r="AD20"/>
  <c r="AE20"/>
  <c r="AF20"/>
  <c r="AG20"/>
  <c r="AH20"/>
  <c r="AI20"/>
  <c r="AJ20"/>
  <c r="AK20"/>
  <c r="AL20"/>
  <c r="AM20"/>
  <c r="AN20"/>
  <c r="AO20"/>
  <c r="AR20"/>
  <c r="AS20"/>
  <c r="AT20"/>
  <c r="AU20"/>
  <c r="AV20"/>
  <c r="AW20"/>
  <c r="AX20"/>
  <c r="AY20"/>
  <c r="AZ20"/>
  <c r="BA20"/>
  <c r="BB20"/>
  <c r="BC20"/>
  <c r="BD20"/>
  <c r="BE20"/>
  <c r="BF20"/>
  <c r="BG20"/>
  <c r="BH20"/>
  <c r="BI20"/>
  <c r="D21"/>
  <c r="E21"/>
  <c r="F21"/>
  <c r="G21"/>
  <c r="H21"/>
  <c r="I21"/>
  <c r="J21"/>
  <c r="K21"/>
  <c r="L21"/>
  <c r="M21"/>
  <c r="N21"/>
  <c r="O21"/>
  <c r="P21"/>
  <c r="Q21"/>
  <c r="R21"/>
  <c r="S21"/>
  <c r="T21"/>
  <c r="U21"/>
  <c r="X21"/>
  <c r="Y21"/>
  <c r="Z21"/>
  <c r="AA21"/>
  <c r="AB21"/>
  <c r="AC21"/>
  <c r="AD21"/>
  <c r="AE21"/>
  <c r="AF21"/>
  <c r="AG21"/>
  <c r="AH21"/>
  <c r="AI21"/>
  <c r="AJ21"/>
  <c r="AK21"/>
  <c r="AL21"/>
  <c r="AM21"/>
  <c r="AN21"/>
  <c r="AO21"/>
  <c r="AR21"/>
  <c r="AS21"/>
  <c r="AT21"/>
  <c r="AU21"/>
  <c r="AV21"/>
  <c r="AW21"/>
  <c r="AX21"/>
  <c r="AY21"/>
  <c r="AZ21"/>
  <c r="BA21"/>
  <c r="BB21"/>
  <c r="BC21"/>
  <c r="BD21"/>
  <c r="BE21"/>
  <c r="BF21"/>
  <c r="BG21"/>
  <c r="BH21"/>
  <c r="BI21"/>
  <c r="D22"/>
  <c r="E22"/>
  <c r="F22"/>
  <c r="G22"/>
  <c r="H22"/>
  <c r="I22"/>
  <c r="J22"/>
  <c r="K22"/>
  <c r="L22"/>
  <c r="M22"/>
  <c r="N22"/>
  <c r="O22"/>
  <c r="P22"/>
  <c r="Q22"/>
  <c r="R22"/>
  <c r="S22"/>
  <c r="T22"/>
  <c r="U22"/>
  <c r="X22"/>
  <c r="Y22"/>
  <c r="Z22"/>
  <c r="AA22"/>
  <c r="AB22"/>
  <c r="AC22"/>
  <c r="AD22"/>
  <c r="AE22"/>
  <c r="AF22"/>
  <c r="AG22"/>
  <c r="AH22"/>
  <c r="AI22"/>
  <c r="AJ22"/>
  <c r="AK22"/>
  <c r="AL22"/>
  <c r="AM22"/>
  <c r="AN22"/>
  <c r="AO22"/>
  <c r="AR22"/>
  <c r="AS22"/>
  <c r="AT22"/>
  <c r="AU22"/>
  <c r="AV22"/>
  <c r="AW22"/>
  <c r="AX22"/>
  <c r="AY22"/>
  <c r="AZ22"/>
  <c r="BA22"/>
  <c r="BB22"/>
  <c r="BC22"/>
  <c r="BD22"/>
  <c r="BE22"/>
  <c r="BF22"/>
  <c r="BG22"/>
  <c r="BH22"/>
  <c r="BI22"/>
  <c r="D23"/>
  <c r="E23"/>
  <c r="F23"/>
  <c r="G23"/>
  <c r="H23"/>
  <c r="I23"/>
  <c r="J23"/>
  <c r="K23"/>
  <c r="L23"/>
  <c r="M23"/>
  <c r="N23"/>
  <c r="O23"/>
  <c r="P23"/>
  <c r="Q23"/>
  <c r="R23"/>
  <c r="S23"/>
  <c r="T23"/>
  <c r="U23"/>
  <c r="X23"/>
  <c r="Y23"/>
  <c r="Z23"/>
  <c r="AA23"/>
  <c r="AB23"/>
  <c r="AC23"/>
  <c r="AD23"/>
  <c r="AE23"/>
  <c r="AF23"/>
  <c r="AG23"/>
  <c r="AH23"/>
  <c r="AI23"/>
  <c r="AJ23"/>
  <c r="AK23"/>
  <c r="AL23"/>
  <c r="AM23"/>
  <c r="AN23"/>
  <c r="AO23"/>
  <c r="AR23"/>
  <c r="AS23"/>
  <c r="AT23"/>
  <c r="AU23"/>
  <c r="AV23"/>
  <c r="AW23"/>
  <c r="AX23"/>
  <c r="AY23"/>
  <c r="AZ23"/>
  <c r="BA23"/>
  <c r="BB23"/>
  <c r="BC23"/>
  <c r="BD23"/>
  <c r="BE23"/>
  <c r="BF23"/>
  <c r="BG23"/>
  <c r="BH23"/>
  <c r="BI23"/>
  <c r="D24"/>
  <c r="E24"/>
  <c r="F24"/>
  <c r="G24"/>
  <c r="H24"/>
  <c r="I24"/>
  <c r="J24"/>
  <c r="K24"/>
  <c r="L24"/>
  <c r="M24"/>
  <c r="N24"/>
  <c r="O24"/>
  <c r="P24"/>
  <c r="Q24"/>
  <c r="R24"/>
  <c r="S24"/>
  <c r="T24"/>
  <c r="U24"/>
  <c r="X24"/>
  <c r="Y24"/>
  <c r="Z24"/>
  <c r="AA24"/>
  <c r="AB24"/>
  <c r="AC24"/>
  <c r="AD24"/>
  <c r="AE24"/>
  <c r="AF24"/>
  <c r="AG24"/>
  <c r="AH24"/>
  <c r="AI24"/>
  <c r="AJ24"/>
  <c r="AK24"/>
  <c r="AL24"/>
  <c r="AM24"/>
  <c r="AN24"/>
  <c r="AO24"/>
  <c r="AR24"/>
  <c r="AS24"/>
  <c r="AT24"/>
  <c r="AU24"/>
  <c r="AV24"/>
  <c r="AW24"/>
  <c r="AX24"/>
  <c r="AY24"/>
  <c r="AZ24"/>
  <c r="BA24"/>
  <c r="BB24"/>
  <c r="BC24"/>
  <c r="BD24"/>
  <c r="BE24"/>
  <c r="BF24"/>
  <c r="BG24"/>
  <c r="BH24"/>
  <c r="BI24"/>
  <c r="D25"/>
  <c r="E25"/>
  <c r="F25"/>
  <c r="G25"/>
  <c r="H25"/>
  <c r="I25"/>
  <c r="J25"/>
  <c r="K25"/>
  <c r="L25"/>
  <c r="M25"/>
  <c r="N25"/>
  <c r="O25"/>
  <c r="P25"/>
  <c r="Q25"/>
  <c r="R25"/>
  <c r="S25"/>
  <c r="T25"/>
  <c r="U25"/>
  <c r="X25"/>
  <c r="Y25"/>
  <c r="Z25"/>
  <c r="AA25"/>
  <c r="AB25"/>
  <c r="AC25"/>
  <c r="AD25"/>
  <c r="AE25"/>
  <c r="AF25"/>
  <c r="AG25"/>
  <c r="AH25"/>
  <c r="AI25"/>
  <c r="AJ25"/>
  <c r="AK25"/>
  <c r="AL25"/>
  <c r="AM25"/>
  <c r="AN25"/>
  <c r="AO25"/>
  <c r="AR25"/>
  <c r="AS25"/>
  <c r="AT25"/>
  <c r="AU25"/>
  <c r="AV25"/>
  <c r="AW25"/>
  <c r="AX25"/>
  <c r="AY25"/>
  <c r="AZ25"/>
  <c r="BA25"/>
  <c r="BB25"/>
  <c r="BC25"/>
  <c r="BD25"/>
  <c r="BE25"/>
  <c r="BF25"/>
  <c r="BG25"/>
  <c r="BH25"/>
  <c r="BI25"/>
  <c r="D26"/>
  <c r="E26"/>
  <c r="F26"/>
  <c r="G26"/>
  <c r="H26"/>
  <c r="I26"/>
  <c r="J26"/>
  <c r="K26"/>
  <c r="L26"/>
  <c r="M26"/>
  <c r="N26"/>
  <c r="O26"/>
  <c r="P26"/>
  <c r="Q26"/>
  <c r="R26"/>
  <c r="S26"/>
  <c r="T26"/>
  <c r="U26"/>
  <c r="X26"/>
  <c r="Y26"/>
  <c r="Z26"/>
  <c r="AA26"/>
  <c r="AB26"/>
  <c r="AC26"/>
  <c r="AD26"/>
  <c r="AE26"/>
  <c r="AF26"/>
  <c r="AG26"/>
  <c r="AH26"/>
  <c r="AI26"/>
  <c r="AJ26"/>
  <c r="AK26"/>
  <c r="AL26"/>
  <c r="AM26"/>
  <c r="AN26"/>
  <c r="AO26"/>
  <c r="AR26"/>
  <c r="AS26"/>
  <c r="AT26"/>
  <c r="AU26"/>
  <c r="AV26"/>
  <c r="AW26"/>
  <c r="AX26"/>
  <c r="AY26"/>
  <c r="AZ26"/>
  <c r="BA26"/>
  <c r="BB26"/>
  <c r="BC26"/>
  <c r="BD26"/>
  <c r="BE26"/>
  <c r="BF26"/>
  <c r="BG26"/>
  <c r="BH26"/>
  <c r="BI26"/>
  <c r="D27"/>
  <c r="E27"/>
  <c r="F27"/>
  <c r="G27"/>
  <c r="H27"/>
  <c r="I27"/>
  <c r="J27"/>
  <c r="K27"/>
  <c r="L27"/>
  <c r="M27"/>
  <c r="N27"/>
  <c r="O27"/>
  <c r="P27"/>
  <c r="Q27"/>
  <c r="R27"/>
  <c r="S27"/>
  <c r="T27"/>
  <c r="U27"/>
  <c r="X27"/>
  <c r="Y27"/>
  <c r="Z27"/>
  <c r="AA27"/>
  <c r="AB27"/>
  <c r="AC27"/>
  <c r="AD27"/>
  <c r="AE27"/>
  <c r="AF27"/>
  <c r="AG27"/>
  <c r="AH27"/>
  <c r="AI27"/>
  <c r="AJ27"/>
  <c r="AK27"/>
  <c r="AL27"/>
  <c r="AM27"/>
  <c r="AN27"/>
  <c r="AO27"/>
  <c r="AR27"/>
  <c r="AS27"/>
  <c r="AT27"/>
  <c r="AU27"/>
  <c r="AV27"/>
  <c r="AW27"/>
  <c r="AX27"/>
  <c r="AY27"/>
  <c r="AZ27"/>
  <c r="BA27"/>
  <c r="BB27"/>
  <c r="BC27"/>
  <c r="BD27"/>
  <c r="BE27"/>
  <c r="BF27"/>
  <c r="BG27"/>
  <c r="BH27"/>
  <c r="BI27"/>
  <c r="D28"/>
  <c r="E28"/>
  <c r="F28"/>
  <c r="G28"/>
  <c r="H28"/>
  <c r="I28"/>
  <c r="J28"/>
  <c r="K28"/>
  <c r="L28"/>
  <c r="M28"/>
  <c r="N28"/>
  <c r="O28"/>
  <c r="P28"/>
  <c r="Q28"/>
  <c r="R28"/>
  <c r="S28"/>
  <c r="T28"/>
  <c r="U28"/>
  <c r="X28"/>
  <c r="Y28"/>
  <c r="Z28"/>
  <c r="AA28"/>
  <c r="AB28"/>
  <c r="AC28"/>
  <c r="AD28"/>
  <c r="AE28"/>
  <c r="AF28"/>
  <c r="AG28"/>
  <c r="AH28"/>
  <c r="AI28"/>
  <c r="AJ28"/>
  <c r="AK28"/>
  <c r="AL28"/>
  <c r="AM28"/>
  <c r="AN28"/>
  <c r="AO28"/>
  <c r="AR28"/>
  <c r="AS28"/>
  <c r="AT28"/>
  <c r="AU28"/>
  <c r="AV28"/>
  <c r="AW28"/>
  <c r="AX28"/>
  <c r="AY28"/>
  <c r="AZ28"/>
  <c r="BA28"/>
  <c r="BB28"/>
  <c r="BC28"/>
  <c r="BD28"/>
  <c r="BE28"/>
  <c r="BF28"/>
  <c r="BG28"/>
  <c r="BH28"/>
  <c r="BI28"/>
  <c r="D29"/>
  <c r="E29"/>
  <c r="F29"/>
  <c r="G29"/>
  <c r="H29"/>
  <c r="I29"/>
  <c r="J29"/>
  <c r="K29"/>
  <c r="L29"/>
  <c r="M29"/>
  <c r="N29"/>
  <c r="O29"/>
  <c r="P29"/>
  <c r="Q29"/>
  <c r="R29"/>
  <c r="S29"/>
  <c r="T29"/>
  <c r="U29"/>
  <c r="X29"/>
  <c r="Y29"/>
  <c r="Z29"/>
  <c r="AA29"/>
  <c r="AB29"/>
  <c r="AC29"/>
  <c r="AD29"/>
  <c r="AE29"/>
  <c r="AF29"/>
  <c r="AG29"/>
  <c r="AH29"/>
  <c r="AI29"/>
  <c r="AJ29"/>
  <c r="AK29"/>
  <c r="AL29"/>
  <c r="AM29"/>
  <c r="AN29"/>
  <c r="AO29"/>
  <c r="AR29"/>
  <c r="AS29"/>
  <c r="AT29"/>
  <c r="AU29"/>
  <c r="AV29"/>
  <c r="AW29"/>
  <c r="AX29"/>
  <c r="AY29"/>
  <c r="AZ29"/>
  <c r="BA29"/>
  <c r="BB29"/>
  <c r="BC29"/>
  <c r="BD29"/>
  <c r="BE29"/>
  <c r="BF29"/>
  <c r="BG29"/>
  <c r="BH29"/>
  <c r="BI29"/>
  <c r="D30"/>
  <c r="E30"/>
  <c r="F30"/>
  <c r="G30"/>
  <c r="H30"/>
  <c r="I30"/>
  <c r="J30"/>
  <c r="K30"/>
  <c r="L30"/>
  <c r="M30"/>
  <c r="N30"/>
  <c r="O30"/>
  <c r="P30"/>
  <c r="Q30"/>
  <c r="R30"/>
  <c r="S30"/>
  <c r="T30"/>
  <c r="U30"/>
  <c r="X30"/>
  <c r="Y30"/>
  <c r="Z30"/>
  <c r="AA30"/>
  <c r="AB30"/>
  <c r="AC30"/>
  <c r="AD30"/>
  <c r="AE30"/>
  <c r="AF30"/>
  <c r="AG30"/>
  <c r="AH30"/>
  <c r="AI30"/>
  <c r="AJ30"/>
  <c r="AK30"/>
  <c r="AL30"/>
  <c r="AM30"/>
  <c r="AN30"/>
  <c r="AO30"/>
  <c r="AR30"/>
  <c r="AS30"/>
  <c r="AT30"/>
  <c r="AU30"/>
  <c r="AV30"/>
  <c r="AW30"/>
  <c r="AX30"/>
  <c r="AY30"/>
  <c r="AZ30"/>
  <c r="BA30"/>
  <c r="BB30"/>
  <c r="BC30"/>
  <c r="BD30"/>
  <c r="BE30"/>
  <c r="BF30"/>
  <c r="BG30"/>
  <c r="BH30"/>
  <c r="BI30"/>
  <c r="D31"/>
  <c r="E31"/>
  <c r="F31"/>
  <c r="G31"/>
  <c r="H31"/>
  <c r="I31"/>
  <c r="J31"/>
  <c r="K31"/>
  <c r="L31"/>
  <c r="M31"/>
  <c r="N31"/>
  <c r="O31"/>
  <c r="P31"/>
  <c r="Q31"/>
  <c r="R31"/>
  <c r="S31"/>
  <c r="T31"/>
  <c r="U31"/>
  <c r="X31"/>
  <c r="Y31"/>
  <c r="Z31"/>
  <c r="AA31"/>
  <c r="AB31"/>
  <c r="AC31"/>
  <c r="AD31"/>
  <c r="AE31"/>
  <c r="AF31"/>
  <c r="AG31"/>
  <c r="AH31"/>
  <c r="AI31"/>
  <c r="AJ31"/>
  <c r="AK31"/>
  <c r="AL31"/>
  <c r="AM31"/>
  <c r="AN31"/>
  <c r="AO31"/>
  <c r="AR31"/>
  <c r="AS31"/>
  <c r="AT31"/>
  <c r="AU31"/>
  <c r="AV31"/>
  <c r="AW31"/>
  <c r="AX31"/>
  <c r="AY31"/>
  <c r="AZ31"/>
  <c r="BA31"/>
  <c r="BB31"/>
  <c r="BC31"/>
  <c r="BD31"/>
  <c r="BE31"/>
  <c r="BF31"/>
  <c r="BG31"/>
  <c r="BH31"/>
  <c r="BI31"/>
  <c r="D32"/>
  <c r="E32"/>
  <c r="F32"/>
  <c r="G32"/>
  <c r="H32"/>
  <c r="I32"/>
  <c r="J32"/>
  <c r="K32"/>
  <c r="L32"/>
  <c r="M32"/>
  <c r="N32"/>
  <c r="O32"/>
  <c r="P32"/>
  <c r="Q32"/>
  <c r="R32"/>
  <c r="S32"/>
  <c r="T32"/>
  <c r="U32"/>
  <c r="X32"/>
  <c r="Y32"/>
  <c r="Z32"/>
  <c r="AA32"/>
  <c r="AB32"/>
  <c r="AC32"/>
  <c r="AD32"/>
  <c r="AE32"/>
  <c r="AF32"/>
  <c r="AG32"/>
  <c r="AH32"/>
  <c r="AI32"/>
  <c r="AJ32"/>
  <c r="AK32"/>
  <c r="AL32"/>
  <c r="AM32"/>
  <c r="AN32"/>
  <c r="AO32"/>
  <c r="AR32"/>
  <c r="AS32"/>
  <c r="AT32"/>
  <c r="AU32"/>
  <c r="AV32"/>
  <c r="AW32"/>
  <c r="AX32"/>
  <c r="AY32"/>
  <c r="AZ32"/>
  <c r="BA32"/>
  <c r="BB32"/>
  <c r="BC32"/>
  <c r="BD32"/>
  <c r="BE32"/>
  <c r="BF32"/>
  <c r="BG32"/>
  <c r="BH32"/>
  <c r="BI32"/>
  <c r="D33"/>
  <c r="E33"/>
  <c r="F33"/>
  <c r="G33"/>
  <c r="H33"/>
  <c r="I33"/>
  <c r="J33"/>
  <c r="K33"/>
  <c r="L33"/>
  <c r="M33"/>
  <c r="N33"/>
  <c r="O33"/>
  <c r="P33"/>
  <c r="Q33"/>
  <c r="R33"/>
  <c r="S33"/>
  <c r="T33"/>
  <c r="U33"/>
  <c r="X33"/>
  <c r="Y33"/>
  <c r="Z33"/>
  <c r="AA33"/>
  <c r="AB33"/>
  <c r="AC33"/>
  <c r="AD33"/>
  <c r="AE33"/>
  <c r="AF33"/>
  <c r="AG33"/>
  <c r="AH33"/>
  <c r="AI33"/>
  <c r="AJ33"/>
  <c r="AK33"/>
  <c r="AL33"/>
  <c r="AM33"/>
  <c r="AN33"/>
  <c r="AO33"/>
  <c r="AR33"/>
  <c r="AS33"/>
  <c r="AT33"/>
  <c r="AU33"/>
  <c r="AV33"/>
  <c r="AW33"/>
  <c r="AX33"/>
  <c r="AY33"/>
  <c r="AZ33"/>
  <c r="BA33"/>
  <c r="BB33"/>
  <c r="BC33"/>
  <c r="BD33"/>
  <c r="BE33"/>
  <c r="BF33"/>
  <c r="BG33"/>
  <c r="BH33"/>
  <c r="BI33"/>
  <c r="D34"/>
  <c r="E34"/>
  <c r="F34"/>
  <c r="G34"/>
  <c r="H34"/>
  <c r="I34"/>
  <c r="J34"/>
  <c r="K34"/>
  <c r="L34"/>
  <c r="M34"/>
  <c r="N34"/>
  <c r="O34"/>
  <c r="P34"/>
  <c r="Q34"/>
  <c r="R34"/>
  <c r="S34"/>
  <c r="T34"/>
  <c r="U34"/>
  <c r="X34"/>
  <c r="Y34"/>
  <c r="Z34"/>
  <c r="AA34"/>
  <c r="AB34"/>
  <c r="AC34"/>
  <c r="AD34"/>
  <c r="AE34"/>
  <c r="AF34"/>
  <c r="AG34"/>
  <c r="AH34"/>
  <c r="AI34"/>
  <c r="AJ34"/>
  <c r="AK34"/>
  <c r="AL34"/>
  <c r="AM34"/>
  <c r="AN34"/>
  <c r="AO34"/>
  <c r="AR34"/>
  <c r="AS34"/>
  <c r="AT34"/>
  <c r="AU34"/>
  <c r="AV34"/>
  <c r="AW34"/>
  <c r="AX34"/>
  <c r="AY34"/>
  <c r="AZ34"/>
  <c r="BA34"/>
  <c r="BB34"/>
  <c r="BC34"/>
  <c r="BD34"/>
  <c r="BE34"/>
  <c r="BF34"/>
  <c r="BG34"/>
  <c r="BH34"/>
  <c r="BI34"/>
  <c r="D35"/>
  <c r="E35"/>
  <c r="F35"/>
  <c r="G35"/>
  <c r="H35"/>
  <c r="I35"/>
  <c r="J35"/>
  <c r="K35"/>
  <c r="L35"/>
  <c r="M35"/>
  <c r="N35"/>
  <c r="O35"/>
  <c r="P35"/>
  <c r="Q35"/>
  <c r="R35"/>
  <c r="S35"/>
  <c r="T35"/>
  <c r="U35"/>
  <c r="X35"/>
  <c r="Y35"/>
  <c r="Z35"/>
  <c r="AA35"/>
  <c r="AB35"/>
  <c r="AC35"/>
  <c r="AD35"/>
  <c r="AE35"/>
  <c r="AF35"/>
  <c r="AG35"/>
  <c r="AH35"/>
  <c r="AI35"/>
  <c r="AJ35"/>
  <c r="AK35"/>
  <c r="AL35"/>
  <c r="AM35"/>
  <c r="AN35"/>
  <c r="AO35"/>
  <c r="AR35"/>
  <c r="AS35"/>
  <c r="AT35"/>
  <c r="AU35"/>
  <c r="AV35"/>
  <c r="AW35"/>
  <c r="AX35"/>
  <c r="AY35"/>
  <c r="AZ35"/>
  <c r="BA35"/>
  <c r="BB35"/>
  <c r="BC35"/>
  <c r="BD35"/>
  <c r="BE35"/>
  <c r="BF35"/>
  <c r="BG35"/>
  <c r="BH35"/>
  <c r="BI35"/>
  <c r="D36"/>
  <c r="E36"/>
  <c r="F36"/>
  <c r="G36"/>
  <c r="H36"/>
  <c r="I36"/>
  <c r="J36"/>
  <c r="K36"/>
  <c r="L36"/>
  <c r="M36"/>
  <c r="N36"/>
  <c r="O36"/>
  <c r="P36"/>
  <c r="Q36"/>
  <c r="R36"/>
  <c r="S36"/>
  <c r="T36"/>
  <c r="U36"/>
  <c r="X36"/>
  <c r="Y36"/>
  <c r="Z36"/>
  <c r="AA36"/>
  <c r="AB36"/>
  <c r="AC36"/>
  <c r="AD36"/>
  <c r="AE36"/>
  <c r="AF36"/>
  <c r="AG36"/>
  <c r="AH36"/>
  <c r="AI36"/>
  <c r="AJ36"/>
  <c r="AK36"/>
  <c r="AL36"/>
  <c r="AM36"/>
  <c r="AN36"/>
  <c r="AO36"/>
  <c r="AR36"/>
  <c r="AS36"/>
  <c r="AT36"/>
  <c r="AU36"/>
  <c r="AV36"/>
  <c r="AW36"/>
  <c r="AX36"/>
  <c r="AY36"/>
  <c r="AZ36"/>
  <c r="BA36"/>
  <c r="BB36"/>
  <c r="BC36"/>
  <c r="BD36"/>
  <c r="BE36"/>
  <c r="BF36"/>
  <c r="BG36"/>
  <c r="BH36"/>
  <c r="BI36"/>
  <c r="D37"/>
  <c r="E37"/>
  <c r="F37"/>
  <c r="G37"/>
  <c r="H37"/>
  <c r="I37"/>
  <c r="J37"/>
  <c r="K37"/>
  <c r="L37"/>
  <c r="M37"/>
  <c r="N37"/>
  <c r="O37"/>
  <c r="P37"/>
  <c r="Q37"/>
  <c r="R37"/>
  <c r="S37"/>
  <c r="T37"/>
  <c r="U37"/>
  <c r="X37"/>
  <c r="Y37"/>
  <c r="Z37"/>
  <c r="AA37"/>
  <c r="AB37"/>
  <c r="AC37"/>
  <c r="AD37"/>
  <c r="AE37"/>
  <c r="AF37"/>
  <c r="AG37"/>
  <c r="AH37"/>
  <c r="AI37"/>
  <c r="AJ37"/>
  <c r="AK37"/>
  <c r="AL37"/>
  <c r="AM37"/>
  <c r="AN37"/>
  <c r="AO37"/>
  <c r="AR37"/>
  <c r="AS37"/>
  <c r="AT37"/>
  <c r="AU37"/>
  <c r="AV37"/>
  <c r="AW37"/>
  <c r="AX37"/>
  <c r="AY37"/>
  <c r="AZ37"/>
  <c r="BA37"/>
  <c r="BB37"/>
  <c r="BC37"/>
  <c r="BD37"/>
  <c r="BE37"/>
  <c r="BF37"/>
  <c r="BG37"/>
  <c r="BH37"/>
  <c r="BI37"/>
  <c r="D38"/>
  <c r="E38"/>
  <c r="F38"/>
  <c r="G38"/>
  <c r="H38"/>
  <c r="I38"/>
  <c r="J38"/>
  <c r="K38"/>
  <c r="L38"/>
  <c r="M38"/>
  <c r="N38"/>
  <c r="O38"/>
  <c r="P38"/>
  <c r="Q38"/>
  <c r="R38"/>
  <c r="S38"/>
  <c r="T38"/>
  <c r="U38"/>
  <c r="X38"/>
  <c r="Y38"/>
  <c r="Z38"/>
  <c r="AA38"/>
  <c r="AB38"/>
  <c r="AC38"/>
  <c r="AD38"/>
  <c r="AE38"/>
  <c r="AF38"/>
  <c r="AG38"/>
  <c r="AH38"/>
  <c r="AI38"/>
  <c r="AJ38"/>
  <c r="AK38"/>
  <c r="AL38"/>
  <c r="AM38"/>
  <c r="AN38"/>
  <c r="AO38"/>
  <c r="AR38"/>
  <c r="AS38"/>
  <c r="AT38"/>
  <c r="AU38"/>
  <c r="AV38"/>
  <c r="AW38"/>
  <c r="AX38"/>
  <c r="AY38"/>
  <c r="AZ38"/>
  <c r="BA38"/>
  <c r="BB38"/>
  <c r="BC38"/>
  <c r="BD38"/>
  <c r="BE38"/>
  <c r="BF38"/>
  <c r="BG38"/>
  <c r="BH38"/>
  <c r="BI38"/>
  <c r="D39"/>
  <c r="E39"/>
  <c r="F39"/>
  <c r="G39"/>
  <c r="H39"/>
  <c r="I39"/>
  <c r="J39"/>
  <c r="K39"/>
  <c r="L39"/>
  <c r="M39"/>
  <c r="N39"/>
  <c r="O39"/>
  <c r="P39"/>
  <c r="Q39"/>
  <c r="R39"/>
  <c r="S39"/>
  <c r="T39"/>
  <c r="U39"/>
  <c r="X39"/>
  <c r="Y39"/>
  <c r="Z39"/>
  <c r="AA39"/>
  <c r="AB39"/>
  <c r="AC39"/>
  <c r="AD39"/>
  <c r="AE39"/>
  <c r="AF39"/>
  <c r="AG39"/>
  <c r="AI39"/>
  <c r="AJ39"/>
  <c r="AK39"/>
  <c r="AL39"/>
  <c r="AM39"/>
  <c r="AN39"/>
  <c r="AO39"/>
  <c r="AR39"/>
  <c r="AS39"/>
  <c r="AT39"/>
  <c r="AU39"/>
  <c r="AV39"/>
  <c r="AW39"/>
  <c r="AX39"/>
  <c r="AY39"/>
  <c r="AZ39"/>
  <c r="BA39"/>
  <c r="BB39"/>
  <c r="BC39"/>
  <c r="BD39"/>
  <c r="BE39"/>
  <c r="BF39"/>
  <c r="BG39"/>
  <c r="BH39"/>
  <c r="BI39"/>
  <c r="D40"/>
  <c r="E40"/>
  <c r="F40"/>
  <c r="G40"/>
  <c r="H40"/>
  <c r="I40"/>
  <c r="J40"/>
  <c r="K40"/>
  <c r="L40"/>
  <c r="M40"/>
  <c r="N40"/>
  <c r="O40"/>
  <c r="P40"/>
  <c r="Q40"/>
  <c r="R40"/>
  <c r="S40"/>
  <c r="T40"/>
  <c r="U40"/>
  <c r="X40"/>
  <c r="Y40"/>
  <c r="Z40"/>
  <c r="AA40"/>
  <c r="AB40"/>
  <c r="AC40"/>
  <c r="AD40"/>
  <c r="AE40"/>
  <c r="AF40"/>
  <c r="AG40"/>
  <c r="AI40"/>
  <c r="AJ40"/>
  <c r="AK40"/>
  <c r="AL40"/>
  <c r="AM40"/>
  <c r="AN40"/>
  <c r="AO40"/>
  <c r="AR40"/>
  <c r="AS40"/>
  <c r="AT40"/>
  <c r="AU40"/>
  <c r="AV40"/>
  <c r="AW40"/>
  <c r="AX40"/>
  <c r="AY40"/>
  <c r="AZ40"/>
  <c r="BA40"/>
  <c r="BB40"/>
  <c r="BC40"/>
  <c r="BD40"/>
  <c r="BE40"/>
  <c r="BF40"/>
  <c r="BG40"/>
  <c r="BH40"/>
  <c r="BI40"/>
  <c r="D41"/>
  <c r="E41"/>
  <c r="F41"/>
  <c r="G41"/>
  <c r="H41"/>
  <c r="I41"/>
  <c r="J41"/>
  <c r="K41"/>
  <c r="L41"/>
  <c r="M41"/>
  <c r="N41"/>
  <c r="O41"/>
  <c r="P41"/>
  <c r="Q41"/>
  <c r="R41"/>
  <c r="S41"/>
  <c r="T41"/>
  <c r="U41"/>
  <c r="X41"/>
  <c r="Y41"/>
  <c r="Z41"/>
  <c r="AA41"/>
  <c r="AB41"/>
  <c r="AC41"/>
  <c r="AD41"/>
  <c r="AE41"/>
  <c r="AF41"/>
  <c r="AG41"/>
  <c r="AI41"/>
  <c r="AJ41"/>
  <c r="AK41"/>
  <c r="AL41"/>
  <c r="AM41"/>
  <c r="AN41"/>
  <c r="AO41"/>
  <c r="AR41"/>
  <c r="AS41"/>
  <c r="AT41"/>
  <c r="AU41"/>
  <c r="AV41"/>
  <c r="AW41"/>
  <c r="AX41"/>
  <c r="AY41"/>
  <c r="AZ41"/>
  <c r="BA41"/>
  <c r="BB41"/>
  <c r="BC41"/>
  <c r="BD41"/>
  <c r="BE41"/>
  <c r="BF41"/>
  <c r="BG41"/>
  <c r="BH41"/>
  <c r="BI41"/>
  <c r="D42"/>
  <c r="E42"/>
  <c r="F42"/>
  <c r="G42"/>
  <c r="H42"/>
  <c r="I42"/>
  <c r="J42"/>
  <c r="K42"/>
  <c r="L42"/>
  <c r="M42"/>
  <c r="N42"/>
  <c r="O42"/>
  <c r="P42"/>
  <c r="Q42"/>
  <c r="R42"/>
  <c r="S42"/>
  <c r="T42"/>
  <c r="U42"/>
  <c r="X42"/>
  <c r="Y42"/>
  <c r="Z42"/>
  <c r="AA42"/>
  <c r="AB42"/>
  <c r="AC42"/>
  <c r="AD42"/>
  <c r="AE42"/>
  <c r="AF42"/>
  <c r="AG42"/>
  <c r="AI42"/>
  <c r="AJ42"/>
  <c r="AK42"/>
  <c r="AL42"/>
  <c r="AM42"/>
  <c r="AN42"/>
  <c r="AO42"/>
  <c r="AR42"/>
  <c r="AS42"/>
  <c r="AT42"/>
  <c r="AU42"/>
  <c r="AV42"/>
  <c r="AW42"/>
  <c r="AX42"/>
  <c r="AY42"/>
  <c r="AZ42"/>
  <c r="BA42"/>
  <c r="BB42"/>
  <c r="BC42"/>
  <c r="BD42"/>
  <c r="BE42"/>
  <c r="BF42"/>
  <c r="BG42"/>
  <c r="BH42"/>
  <c r="BI42"/>
  <c r="D43"/>
  <c r="E43"/>
  <c r="F43"/>
  <c r="G43"/>
  <c r="H43"/>
  <c r="I43"/>
  <c r="J43"/>
  <c r="K43"/>
  <c r="L43"/>
  <c r="M43"/>
  <c r="N43"/>
  <c r="O43"/>
  <c r="P43"/>
  <c r="Q43"/>
  <c r="R43"/>
  <c r="S43"/>
  <c r="T43"/>
  <c r="U43"/>
  <c r="X43"/>
  <c r="Y43"/>
  <c r="Z43"/>
  <c r="AA43"/>
  <c r="AB43"/>
  <c r="AC43"/>
  <c r="AD43"/>
  <c r="AE43"/>
  <c r="AF43"/>
  <c r="AG43"/>
  <c r="AI43"/>
  <c r="AJ43"/>
  <c r="AK43"/>
  <c r="AL43"/>
  <c r="AM43"/>
  <c r="AN43"/>
  <c r="AO43"/>
  <c r="AR43"/>
  <c r="AS43"/>
  <c r="AT43"/>
  <c r="AU43"/>
  <c r="AV43"/>
  <c r="AW43"/>
  <c r="AX43"/>
  <c r="AY43"/>
  <c r="AZ43"/>
  <c r="BA43"/>
  <c r="BB43"/>
  <c r="BC43"/>
  <c r="BD43"/>
  <c r="BE43"/>
  <c r="BF43"/>
  <c r="BG43"/>
  <c r="BH43"/>
  <c r="BI43"/>
  <c r="D44"/>
  <c r="E44"/>
  <c r="F44"/>
  <c r="G44"/>
  <c r="H44"/>
  <c r="I44"/>
  <c r="J44"/>
  <c r="K44"/>
  <c r="L44"/>
  <c r="M44"/>
  <c r="N44"/>
  <c r="O44"/>
  <c r="P44"/>
  <c r="Q44"/>
  <c r="R44"/>
  <c r="S44"/>
  <c r="T44"/>
  <c r="U44"/>
  <c r="X44"/>
  <c r="Y44"/>
  <c r="Z44"/>
  <c r="AA44"/>
  <c r="AB44"/>
  <c r="AC44"/>
  <c r="AD44"/>
  <c r="AE44"/>
  <c r="AF44"/>
  <c r="AG44"/>
  <c r="AI44"/>
  <c r="AJ44"/>
  <c r="AK44"/>
  <c r="AL44"/>
  <c r="AM44"/>
  <c r="AN44"/>
  <c r="AO44"/>
  <c r="AR44"/>
  <c r="AS44"/>
  <c r="AT44"/>
  <c r="AU44"/>
  <c r="AV44"/>
  <c r="AW44"/>
  <c r="AX44"/>
  <c r="AY44"/>
  <c r="AZ44"/>
  <c r="BA44"/>
  <c r="BB44"/>
  <c r="BC44"/>
  <c r="BD44"/>
  <c r="BE44"/>
  <c r="BF44"/>
  <c r="BG44"/>
  <c r="BH44"/>
  <c r="BI44"/>
  <c r="D45"/>
  <c r="E45"/>
  <c r="F45"/>
  <c r="G45"/>
  <c r="H45"/>
  <c r="I45"/>
  <c r="J45"/>
  <c r="K45"/>
  <c r="L45"/>
  <c r="M45"/>
  <c r="N45"/>
  <c r="O45"/>
  <c r="P45"/>
  <c r="Q45"/>
  <c r="R45"/>
  <c r="S45"/>
  <c r="T45"/>
  <c r="U45"/>
  <c r="X45"/>
  <c r="Y45"/>
  <c r="Z45"/>
  <c r="AA45"/>
  <c r="AB45"/>
  <c r="AC45"/>
  <c r="AD45"/>
  <c r="AE45"/>
  <c r="AF45"/>
  <c r="AG45"/>
  <c r="AI45"/>
  <c r="AJ45"/>
  <c r="AK45"/>
  <c r="AL45"/>
  <c r="AM45"/>
  <c r="AN45"/>
  <c r="AO45"/>
  <c r="AR45"/>
  <c r="AS45"/>
  <c r="AT45"/>
  <c r="AU45"/>
  <c r="AV45"/>
  <c r="AW45"/>
  <c r="AX45"/>
  <c r="AY45"/>
  <c r="AZ45"/>
  <c r="BA45"/>
  <c r="BB45"/>
  <c r="BC45"/>
  <c r="BD45"/>
  <c r="BE45"/>
  <c r="BF45"/>
  <c r="BG45"/>
  <c r="BH45"/>
  <c r="BI45"/>
  <c r="D46"/>
  <c r="E46"/>
  <c r="F46"/>
  <c r="G46"/>
  <c r="H46"/>
  <c r="I46"/>
  <c r="J46"/>
  <c r="K46"/>
  <c r="L46"/>
  <c r="M46"/>
  <c r="N46"/>
  <c r="O46"/>
  <c r="P46"/>
  <c r="Q46"/>
  <c r="R46"/>
  <c r="S46"/>
  <c r="T46"/>
  <c r="U46"/>
  <c r="X46"/>
  <c r="Y46"/>
  <c r="Z46"/>
  <c r="AA46"/>
  <c r="AB46"/>
  <c r="AC46"/>
  <c r="AD46"/>
  <c r="AE46"/>
  <c r="AF46"/>
  <c r="AG46"/>
  <c r="AI46"/>
  <c r="AJ46"/>
  <c r="AK46"/>
  <c r="AL46"/>
  <c r="AM46"/>
  <c r="AN46"/>
  <c r="AO46"/>
  <c r="AR46"/>
  <c r="AS46"/>
  <c r="AT46"/>
  <c r="AU46"/>
  <c r="AV46"/>
  <c r="AW46"/>
  <c r="AX46"/>
  <c r="AY46"/>
  <c r="AZ46"/>
  <c r="BA46"/>
  <c r="BB46"/>
  <c r="BC46"/>
  <c r="BD46"/>
  <c r="BE46"/>
  <c r="BF46"/>
  <c r="BG46"/>
  <c r="BH46"/>
  <c r="BI46"/>
  <c r="D47"/>
  <c r="E47"/>
  <c r="F47"/>
  <c r="G47"/>
  <c r="H47"/>
  <c r="I47"/>
  <c r="J47"/>
  <c r="K47"/>
  <c r="L47"/>
  <c r="M47"/>
  <c r="N47"/>
  <c r="O47"/>
  <c r="P47"/>
  <c r="Q47"/>
  <c r="R47"/>
  <c r="S47"/>
  <c r="T47"/>
  <c r="U47"/>
  <c r="X47"/>
  <c r="Y47"/>
  <c r="Z47"/>
  <c r="AA47"/>
  <c r="AB47"/>
  <c r="AC47"/>
  <c r="AD47"/>
  <c r="AE47"/>
  <c r="AF47"/>
  <c r="AG47"/>
  <c r="AI47"/>
  <c r="AJ47"/>
  <c r="AK47"/>
  <c r="AL47"/>
  <c r="AM47"/>
  <c r="AN47"/>
  <c r="AO47"/>
  <c r="AR47"/>
  <c r="AS47"/>
  <c r="AT47"/>
  <c r="AU47"/>
  <c r="AV47"/>
  <c r="AW47"/>
  <c r="AX47"/>
  <c r="AY47"/>
  <c r="AZ47"/>
  <c r="BA47"/>
  <c r="BB47"/>
  <c r="BC47"/>
  <c r="BD47"/>
  <c r="BE47"/>
  <c r="BF47"/>
  <c r="BG47"/>
  <c r="BH47"/>
  <c r="BI47"/>
  <c r="D48"/>
  <c r="E48"/>
  <c r="F48"/>
  <c r="G48"/>
  <c r="H48"/>
  <c r="I48"/>
  <c r="J48"/>
  <c r="K48"/>
  <c r="L48"/>
  <c r="M48"/>
  <c r="N48"/>
  <c r="O48"/>
  <c r="P48"/>
  <c r="Q48"/>
  <c r="R48"/>
  <c r="S48"/>
  <c r="T48"/>
  <c r="U48"/>
  <c r="X48"/>
  <c r="Y48"/>
  <c r="Z48"/>
  <c r="AA48"/>
  <c r="AB48"/>
  <c r="AC48"/>
  <c r="AD48"/>
  <c r="AE48"/>
  <c r="AF48"/>
  <c r="AG48"/>
  <c r="AI48"/>
  <c r="AJ48"/>
  <c r="AK48"/>
  <c r="AL48"/>
  <c r="AM48"/>
  <c r="AN48"/>
  <c r="AO48"/>
  <c r="AR48"/>
  <c r="AS48"/>
  <c r="AT48"/>
  <c r="AU48"/>
  <c r="AV48"/>
  <c r="AW48"/>
  <c r="AX48"/>
  <c r="AY48"/>
  <c r="AZ48"/>
  <c r="BA48"/>
  <c r="BB48"/>
  <c r="BC48"/>
  <c r="BD48"/>
  <c r="BE48"/>
  <c r="BF48"/>
  <c r="BG48"/>
  <c r="BH48"/>
  <c r="BI48"/>
  <c r="D49"/>
  <c r="E49"/>
  <c r="F49"/>
  <c r="G49"/>
  <c r="H49"/>
  <c r="I49"/>
  <c r="J49"/>
  <c r="K49"/>
  <c r="L49"/>
  <c r="M49"/>
  <c r="N49"/>
  <c r="O49"/>
  <c r="P49"/>
  <c r="Q49"/>
  <c r="R49"/>
  <c r="S49"/>
  <c r="T49"/>
  <c r="U49"/>
  <c r="X49"/>
  <c r="Y49"/>
  <c r="Z49"/>
  <c r="AA49"/>
  <c r="AB49"/>
  <c r="AC49"/>
  <c r="AD49"/>
  <c r="AE49"/>
  <c r="AF49"/>
  <c r="AG49"/>
  <c r="AI49"/>
  <c r="AJ49"/>
  <c r="AK49"/>
  <c r="AL49"/>
  <c r="AM49"/>
  <c r="AN49"/>
  <c r="AO49"/>
  <c r="AR49"/>
  <c r="AS49"/>
  <c r="AT49"/>
  <c r="AU49"/>
  <c r="AV49"/>
  <c r="AW49"/>
  <c r="AX49"/>
  <c r="AY49"/>
  <c r="AZ49"/>
  <c r="BA49"/>
  <c r="BB49"/>
  <c r="BC49"/>
  <c r="BD49"/>
  <c r="BE49"/>
  <c r="BF49"/>
  <c r="BG49"/>
  <c r="BH49"/>
  <c r="BI49"/>
  <c r="D50"/>
  <c r="E50"/>
  <c r="F50"/>
  <c r="G50"/>
  <c r="H50"/>
  <c r="I50"/>
  <c r="J50"/>
  <c r="K50"/>
  <c r="L50"/>
  <c r="M50"/>
  <c r="N50"/>
  <c r="O50"/>
  <c r="P50"/>
  <c r="Q50"/>
  <c r="R50"/>
  <c r="S50"/>
  <c r="T50"/>
  <c r="U50"/>
  <c r="X50"/>
  <c r="Y50"/>
  <c r="Z50"/>
  <c r="AA50"/>
  <c r="AB50"/>
  <c r="AC50"/>
  <c r="AD50"/>
  <c r="AE50"/>
  <c r="AF50"/>
  <c r="AG50"/>
  <c r="AI50"/>
  <c r="AJ50"/>
  <c r="AK50"/>
  <c r="AL50"/>
  <c r="AM50"/>
  <c r="AN50"/>
  <c r="AO50"/>
  <c r="AR50"/>
  <c r="AS50"/>
  <c r="AT50"/>
  <c r="AU50"/>
  <c r="AV50"/>
  <c r="AW50"/>
  <c r="AX50"/>
  <c r="AY50"/>
  <c r="AZ50"/>
  <c r="BA50"/>
  <c r="BB50"/>
  <c r="BC50"/>
  <c r="BD50"/>
  <c r="BE50"/>
  <c r="BF50"/>
  <c r="BG50"/>
  <c r="BH50"/>
  <c r="BI50"/>
  <c r="D51"/>
  <c r="E51"/>
  <c r="F51"/>
  <c r="G51"/>
  <c r="H51"/>
  <c r="I51"/>
  <c r="J51"/>
  <c r="K51"/>
  <c r="L51"/>
  <c r="M51"/>
  <c r="N51"/>
  <c r="O51"/>
  <c r="P51"/>
  <c r="Q51"/>
  <c r="R51"/>
  <c r="S51"/>
  <c r="T51"/>
  <c r="U51"/>
  <c r="X51"/>
  <c r="Y51"/>
  <c r="Z51"/>
  <c r="AA51"/>
  <c r="AB51"/>
  <c r="AC51"/>
  <c r="AD51"/>
  <c r="AE51"/>
  <c r="AF51"/>
  <c r="AG51"/>
  <c r="AI51"/>
  <c r="AJ51"/>
  <c r="AK51"/>
  <c r="AL51"/>
  <c r="AM51"/>
  <c r="AN51"/>
  <c r="AO51"/>
  <c r="AR51"/>
  <c r="AS51"/>
  <c r="AT51"/>
  <c r="AU51"/>
  <c r="AV51"/>
  <c r="AW51"/>
  <c r="AX51"/>
  <c r="AY51"/>
  <c r="AZ51"/>
  <c r="BA51"/>
  <c r="BB51"/>
  <c r="BC51"/>
  <c r="BD51"/>
  <c r="BE51"/>
  <c r="BF51"/>
  <c r="BG51"/>
  <c r="BH51"/>
  <c r="BI51"/>
  <c r="D52"/>
  <c r="E52"/>
  <c r="F52"/>
  <c r="G52"/>
  <c r="H52"/>
  <c r="I52"/>
  <c r="J52"/>
  <c r="K52"/>
  <c r="L52"/>
  <c r="M52"/>
  <c r="N52"/>
  <c r="O52"/>
  <c r="P52"/>
  <c r="Q52"/>
  <c r="R52"/>
  <c r="S52"/>
  <c r="T52"/>
  <c r="U52"/>
  <c r="X52"/>
  <c r="Y52"/>
  <c r="Z52"/>
  <c r="AA52"/>
  <c r="AB52"/>
  <c r="AC52"/>
  <c r="AD52"/>
  <c r="AE52"/>
  <c r="AF52"/>
  <c r="AG52"/>
  <c r="AI52"/>
  <c r="AJ52"/>
  <c r="AK52"/>
  <c r="AL52"/>
  <c r="AM52"/>
  <c r="AN52"/>
  <c r="AO52"/>
  <c r="AR52"/>
  <c r="AS52"/>
  <c r="AT52"/>
  <c r="AU52"/>
  <c r="AV52"/>
  <c r="AW52"/>
  <c r="AX52"/>
  <c r="AY52"/>
  <c r="AZ52"/>
  <c r="BA52"/>
  <c r="BB52"/>
  <c r="BC52"/>
  <c r="BD52"/>
  <c r="BE52"/>
  <c r="BF52"/>
  <c r="BG52"/>
  <c r="BH52"/>
  <c r="BI52"/>
  <c r="D53"/>
  <c r="E53"/>
  <c r="F53"/>
  <c r="G53"/>
  <c r="H53"/>
  <c r="I53"/>
  <c r="J53"/>
  <c r="K53"/>
  <c r="L53"/>
  <c r="M53"/>
  <c r="N53"/>
  <c r="O53"/>
  <c r="P53"/>
  <c r="Q53"/>
  <c r="R53"/>
  <c r="S53"/>
  <c r="T53"/>
  <c r="U53"/>
  <c r="X53"/>
  <c r="Y53"/>
  <c r="Z53"/>
  <c r="AA53"/>
  <c r="AB53"/>
  <c r="AC53"/>
  <c r="AD53"/>
  <c r="AE53"/>
  <c r="AF53"/>
  <c r="AG53"/>
  <c r="AI53"/>
  <c r="AJ53"/>
  <c r="AK53"/>
  <c r="AL53"/>
  <c r="AM53"/>
  <c r="AN53"/>
  <c r="AO53"/>
  <c r="AR53"/>
  <c r="AS53"/>
  <c r="AT53"/>
  <c r="AU53"/>
  <c r="AV53"/>
  <c r="AW53"/>
  <c r="AX53"/>
  <c r="AY53"/>
  <c r="AZ53"/>
  <c r="BA53"/>
  <c r="BB53"/>
  <c r="BC53"/>
  <c r="BD53"/>
  <c r="BE53"/>
  <c r="BF53"/>
  <c r="BG53"/>
  <c r="BH53"/>
  <c r="BI53"/>
  <c r="D54"/>
  <c r="E54"/>
  <c r="F54"/>
  <c r="G54"/>
  <c r="H54"/>
  <c r="I54"/>
  <c r="J54"/>
  <c r="K54"/>
  <c r="L54"/>
  <c r="M54"/>
  <c r="N54"/>
  <c r="O54"/>
  <c r="P54"/>
  <c r="Q54"/>
  <c r="R54"/>
  <c r="S54"/>
  <c r="T54"/>
  <c r="U54"/>
  <c r="X54"/>
  <c r="Y54"/>
  <c r="Z54"/>
  <c r="AA54"/>
  <c r="AB54"/>
  <c r="AC54"/>
  <c r="AD54"/>
  <c r="AE54"/>
  <c r="AF54"/>
  <c r="AG54"/>
  <c r="AI54"/>
  <c r="AJ54"/>
  <c r="AK54"/>
  <c r="AL54"/>
  <c r="AM54"/>
  <c r="AN54"/>
  <c r="AO54"/>
  <c r="AR54"/>
  <c r="AS54"/>
  <c r="AT54"/>
  <c r="AU54"/>
  <c r="AV54"/>
  <c r="AW54"/>
  <c r="AX54"/>
  <c r="AY54"/>
  <c r="AZ54"/>
  <c r="BA54"/>
  <c r="BB54"/>
  <c r="BC54"/>
  <c r="BD54"/>
  <c r="BE54"/>
  <c r="BF54"/>
  <c r="BG54"/>
  <c r="BH54"/>
  <c r="BI54"/>
  <c r="D55"/>
  <c r="E55"/>
  <c r="F55"/>
  <c r="G55"/>
  <c r="H55"/>
  <c r="I55"/>
  <c r="J55"/>
  <c r="K55"/>
  <c r="L55"/>
  <c r="M55"/>
  <c r="N55"/>
  <c r="O55"/>
  <c r="P55"/>
  <c r="Q55"/>
  <c r="R55"/>
  <c r="S55"/>
  <c r="T55"/>
  <c r="U55"/>
  <c r="X55"/>
  <c r="Y55"/>
  <c r="Z55"/>
  <c r="AA55"/>
  <c r="AB55"/>
  <c r="AC55"/>
  <c r="AD55"/>
  <c r="AE55"/>
  <c r="AF55"/>
  <c r="AG55"/>
  <c r="AI55"/>
  <c r="AJ55"/>
  <c r="AK55"/>
  <c r="AL55"/>
  <c r="AM55"/>
  <c r="AN55"/>
  <c r="AO55"/>
  <c r="AR55"/>
  <c r="AS55"/>
  <c r="AT55"/>
  <c r="AU55"/>
  <c r="AV55"/>
  <c r="AW55"/>
  <c r="AX55"/>
  <c r="AY55"/>
  <c r="AZ55"/>
  <c r="BA55"/>
  <c r="BB55"/>
  <c r="BC55"/>
  <c r="BD55"/>
  <c r="BE55"/>
  <c r="BF55"/>
  <c r="BG55"/>
  <c r="BH55"/>
  <c r="BI55"/>
  <c r="D56"/>
  <c r="E56"/>
  <c r="F56"/>
  <c r="G56"/>
  <c r="H56"/>
  <c r="I56"/>
  <c r="J56"/>
  <c r="K56"/>
  <c r="L56"/>
  <c r="M56"/>
  <c r="N56"/>
  <c r="O56"/>
  <c r="P56"/>
  <c r="Q56"/>
  <c r="R56"/>
  <c r="S56"/>
  <c r="T56"/>
  <c r="U56"/>
  <c r="X56"/>
  <c r="Y56"/>
  <c r="Z56"/>
  <c r="AA56"/>
  <c r="AB56"/>
  <c r="AC56"/>
  <c r="AD56"/>
  <c r="AE56"/>
  <c r="AF56"/>
  <c r="AG56"/>
  <c r="AI56"/>
  <c r="AJ56"/>
  <c r="AK56"/>
  <c r="AL56"/>
  <c r="AM56"/>
  <c r="AN56"/>
  <c r="AO56"/>
  <c r="AR56"/>
  <c r="AS56"/>
  <c r="AT56"/>
  <c r="AU56"/>
  <c r="AV56"/>
  <c r="AW56"/>
  <c r="AX56"/>
  <c r="AY56"/>
  <c r="AZ56"/>
  <c r="BA56"/>
  <c r="BB56"/>
  <c r="BC56"/>
  <c r="BD56"/>
  <c r="BE56"/>
  <c r="BF56"/>
  <c r="BG56"/>
  <c r="BH56"/>
  <c r="BI56"/>
  <c r="D57"/>
  <c r="E57"/>
  <c r="F57"/>
  <c r="G57"/>
  <c r="H57"/>
  <c r="I57"/>
  <c r="J57"/>
  <c r="K57"/>
  <c r="L57"/>
  <c r="M57"/>
  <c r="N57"/>
  <c r="O57"/>
  <c r="P57"/>
  <c r="Q57"/>
  <c r="R57"/>
  <c r="S57"/>
  <c r="T57"/>
  <c r="U57"/>
  <c r="X57"/>
  <c r="Y57"/>
  <c r="Z57"/>
  <c r="AA57"/>
  <c r="AB57"/>
  <c r="AC57"/>
  <c r="AD57"/>
  <c r="AE57"/>
  <c r="AF57"/>
  <c r="AG57"/>
  <c r="AI57"/>
  <c r="AJ57"/>
  <c r="AK57"/>
  <c r="AL57"/>
  <c r="AM57"/>
  <c r="AN57"/>
  <c r="AO57"/>
  <c r="AR57"/>
  <c r="AS57"/>
  <c r="AT57"/>
  <c r="AU57"/>
  <c r="AV57"/>
  <c r="AW57"/>
  <c r="AX57"/>
  <c r="AY57"/>
  <c r="AZ57"/>
  <c r="BA57"/>
  <c r="BB57"/>
  <c r="BC57"/>
  <c r="BD57"/>
  <c r="BE57"/>
  <c r="BF57"/>
  <c r="BG57"/>
  <c r="BH57"/>
  <c r="BI57"/>
  <c r="D58"/>
  <c r="E58"/>
  <c r="F58"/>
  <c r="G58"/>
  <c r="H58"/>
  <c r="I58"/>
  <c r="J58"/>
  <c r="K58"/>
  <c r="L58"/>
  <c r="M58"/>
  <c r="N58"/>
  <c r="O58"/>
  <c r="P58"/>
  <c r="Q58"/>
  <c r="R58"/>
  <c r="S58"/>
  <c r="T58"/>
  <c r="U58"/>
  <c r="X58"/>
  <c r="Y58"/>
  <c r="Z58"/>
  <c r="AA58"/>
  <c r="AB58"/>
  <c r="AC58"/>
  <c r="AD58"/>
  <c r="AE58"/>
  <c r="AF58"/>
  <c r="AG58"/>
  <c r="AI58"/>
  <c r="AJ58"/>
  <c r="AK58"/>
  <c r="AL58"/>
  <c r="AM58"/>
  <c r="AN58"/>
  <c r="AO58"/>
  <c r="AR58"/>
  <c r="AS58"/>
  <c r="AT58"/>
  <c r="AU58"/>
  <c r="AV58"/>
  <c r="AW58"/>
  <c r="AX58"/>
  <c r="AY58"/>
  <c r="AZ58"/>
  <c r="BA58"/>
  <c r="BB58"/>
  <c r="BC58"/>
  <c r="BD58"/>
  <c r="BE58"/>
  <c r="BF58"/>
  <c r="BG58"/>
  <c r="BH58"/>
  <c r="BI58"/>
  <c r="D59"/>
  <c r="E59"/>
  <c r="F59"/>
  <c r="G59"/>
  <c r="H59"/>
  <c r="I59"/>
  <c r="J59"/>
  <c r="K59"/>
  <c r="L59"/>
  <c r="M59"/>
  <c r="N59"/>
  <c r="O59"/>
  <c r="P59"/>
  <c r="Q59"/>
  <c r="R59"/>
  <c r="S59"/>
  <c r="T59"/>
  <c r="U59"/>
  <c r="X59"/>
  <c r="Y59"/>
  <c r="Z59"/>
  <c r="AA59"/>
  <c r="AB59"/>
  <c r="AC59"/>
  <c r="AD59"/>
  <c r="AE59"/>
  <c r="AF59"/>
  <c r="AG59"/>
  <c r="AI59"/>
  <c r="AJ59"/>
  <c r="AK59"/>
  <c r="AL59"/>
  <c r="AM59"/>
  <c r="AN59"/>
  <c r="AO59"/>
  <c r="AR59"/>
  <c r="AS59"/>
  <c r="AT59"/>
  <c r="AU59"/>
  <c r="AV59"/>
  <c r="AW59"/>
  <c r="AX59"/>
  <c r="AY59"/>
  <c r="AZ59"/>
  <c r="BA59"/>
  <c r="BB59"/>
  <c r="BC59"/>
  <c r="BD59"/>
  <c r="BE59"/>
  <c r="BF59"/>
  <c r="BG59"/>
  <c r="BH59"/>
  <c r="BI59"/>
  <c r="D60"/>
  <c r="E60"/>
  <c r="F60"/>
  <c r="G60"/>
  <c r="H60"/>
  <c r="I60"/>
  <c r="J60"/>
  <c r="K60"/>
  <c r="L60"/>
  <c r="M60"/>
  <c r="N60"/>
  <c r="O60"/>
  <c r="P60"/>
  <c r="Q60"/>
  <c r="R60"/>
  <c r="S60"/>
  <c r="T60"/>
  <c r="U60"/>
  <c r="X60"/>
  <c r="Y60"/>
  <c r="Z60"/>
  <c r="AA60"/>
  <c r="AB60"/>
  <c r="AC60"/>
  <c r="AD60"/>
  <c r="AE60"/>
  <c r="AF60"/>
  <c r="AG60"/>
  <c r="AI60"/>
  <c r="AJ60"/>
  <c r="AK60"/>
  <c r="AL60"/>
  <c r="AM60"/>
  <c r="AN60"/>
  <c r="AO60"/>
  <c r="AR60"/>
  <c r="AS60"/>
  <c r="AT60"/>
  <c r="AU60"/>
  <c r="AV60"/>
  <c r="AW60"/>
  <c r="AX60"/>
  <c r="AY60"/>
  <c r="AZ60"/>
  <c r="BA60"/>
  <c r="BB60"/>
  <c r="BC60"/>
  <c r="BD60"/>
  <c r="BE60"/>
  <c r="BF60"/>
  <c r="BG60"/>
  <c r="BH60"/>
  <c r="BI60"/>
  <c r="D61"/>
  <c r="E61"/>
  <c r="F61"/>
  <c r="G61"/>
  <c r="H61"/>
  <c r="I61"/>
  <c r="J61"/>
  <c r="K61"/>
  <c r="L61"/>
  <c r="M61"/>
  <c r="N61"/>
  <c r="O61"/>
  <c r="P61"/>
  <c r="Q61"/>
  <c r="R61"/>
  <c r="S61"/>
  <c r="T61"/>
  <c r="U61"/>
  <c r="X61"/>
  <c r="Y61"/>
  <c r="Z61"/>
  <c r="AA61"/>
  <c r="AB61"/>
  <c r="AC61"/>
  <c r="AD61"/>
  <c r="AE61"/>
  <c r="AF61"/>
  <c r="AG61"/>
  <c r="AI61"/>
  <c r="AJ61"/>
  <c r="AK61"/>
  <c r="AL61"/>
  <c r="AM61"/>
  <c r="AN61"/>
  <c r="AO61"/>
  <c r="AR61"/>
  <c r="AS61"/>
  <c r="AT61"/>
  <c r="AU61"/>
  <c r="AV61"/>
  <c r="AW61"/>
  <c r="AX61"/>
  <c r="AY61"/>
  <c r="AZ61"/>
  <c r="BA61"/>
  <c r="BB61"/>
  <c r="BC61"/>
  <c r="BD61"/>
  <c r="BE61"/>
  <c r="BF61"/>
  <c r="BG61"/>
  <c r="BH61"/>
  <c r="BI61"/>
  <c r="D62"/>
  <c r="E62"/>
  <c r="F62"/>
  <c r="G62"/>
  <c r="H62"/>
  <c r="I62"/>
  <c r="J62"/>
  <c r="K62"/>
  <c r="L62"/>
  <c r="M62"/>
  <c r="N62"/>
  <c r="O62"/>
  <c r="P62"/>
  <c r="Q62"/>
  <c r="R62"/>
  <c r="S62"/>
  <c r="T62"/>
  <c r="U62"/>
  <c r="X62"/>
  <c r="Y62"/>
  <c r="Z62"/>
  <c r="AA62"/>
  <c r="AB62"/>
  <c r="AC62"/>
  <c r="AD62"/>
  <c r="AE62"/>
  <c r="AF62"/>
  <c r="AG62"/>
  <c r="AI62"/>
  <c r="AJ62"/>
  <c r="AK62"/>
  <c r="AL62"/>
  <c r="AM62"/>
  <c r="AN62"/>
  <c r="AO62"/>
  <c r="AR62"/>
  <c r="AS62"/>
  <c r="AT62"/>
  <c r="AU62"/>
  <c r="AV62"/>
  <c r="AW62"/>
  <c r="AX62"/>
  <c r="AY62"/>
  <c r="AZ62"/>
  <c r="BA62"/>
  <c r="BB62"/>
  <c r="BC62"/>
  <c r="BD62"/>
  <c r="BE62"/>
  <c r="BF62"/>
  <c r="BG62"/>
  <c r="BH62"/>
  <c r="BI62"/>
  <c r="D63"/>
  <c r="E63"/>
  <c r="F63"/>
  <c r="G63"/>
  <c r="H63"/>
  <c r="I63"/>
  <c r="J63"/>
  <c r="K63"/>
  <c r="L63"/>
  <c r="M63"/>
  <c r="N63"/>
  <c r="O63"/>
  <c r="P63"/>
  <c r="Q63"/>
  <c r="R63"/>
  <c r="S63"/>
  <c r="T63"/>
  <c r="U63"/>
  <c r="X63"/>
  <c r="Y63"/>
  <c r="Z63"/>
  <c r="AA63"/>
  <c r="AB63"/>
  <c r="AC63"/>
  <c r="AD63"/>
  <c r="AE63"/>
  <c r="AF63"/>
  <c r="AG63"/>
  <c r="AI63"/>
  <c r="AJ63"/>
  <c r="AK63"/>
  <c r="AL63"/>
  <c r="AM63"/>
  <c r="AN63"/>
  <c r="AO63"/>
  <c r="AR63"/>
  <c r="AS63"/>
  <c r="AT63"/>
  <c r="AU63"/>
  <c r="AV63"/>
  <c r="AW63"/>
  <c r="AX63"/>
  <c r="AY63"/>
  <c r="AZ63"/>
  <c r="BA63"/>
  <c r="BB63"/>
  <c r="BC63"/>
  <c r="BD63"/>
  <c r="BE63"/>
  <c r="BF63"/>
  <c r="BG63"/>
  <c r="BH63"/>
  <c r="BI63"/>
  <c r="D64"/>
  <c r="E64"/>
  <c r="F64"/>
  <c r="G64"/>
  <c r="H64"/>
  <c r="I64"/>
  <c r="J64"/>
  <c r="K64"/>
  <c r="L64"/>
  <c r="M64"/>
  <c r="N64"/>
  <c r="O64"/>
  <c r="P64"/>
  <c r="Q64"/>
  <c r="R64"/>
  <c r="S64"/>
  <c r="T64"/>
  <c r="U64"/>
  <c r="X64"/>
  <c r="Y64"/>
  <c r="Z64"/>
  <c r="AA64"/>
  <c r="AB64"/>
  <c r="AC64"/>
  <c r="AD64"/>
  <c r="AE64"/>
  <c r="AF64"/>
  <c r="AG64"/>
  <c r="AI64"/>
  <c r="AJ64"/>
  <c r="AK64"/>
  <c r="AL64"/>
  <c r="AM64"/>
  <c r="AN64"/>
  <c r="AO64"/>
  <c r="AR64"/>
  <c r="AS64"/>
  <c r="AT64"/>
  <c r="AU64"/>
  <c r="AV64"/>
  <c r="AW64"/>
  <c r="AX64"/>
  <c r="AY64"/>
  <c r="AZ64"/>
  <c r="BA64"/>
  <c r="BB64"/>
  <c r="BC64"/>
  <c r="BD64"/>
  <c r="BE64"/>
  <c r="BF64"/>
  <c r="BG64"/>
  <c r="BH64"/>
  <c r="BI64"/>
  <c r="D65"/>
  <c r="E65"/>
  <c r="F65"/>
  <c r="G65"/>
  <c r="H65"/>
  <c r="I65"/>
  <c r="J65"/>
  <c r="K65"/>
  <c r="L65"/>
  <c r="M65"/>
  <c r="N65"/>
  <c r="O65"/>
  <c r="P65"/>
  <c r="Q65"/>
  <c r="R65"/>
  <c r="S65"/>
  <c r="T65"/>
  <c r="U65"/>
  <c r="X65"/>
  <c r="Y65"/>
  <c r="Z65"/>
  <c r="AA65"/>
  <c r="AB65"/>
  <c r="AC65"/>
  <c r="AD65"/>
  <c r="AE65"/>
  <c r="AF65"/>
  <c r="AG65"/>
  <c r="AI65"/>
  <c r="AJ65"/>
  <c r="AK65"/>
  <c r="AL65"/>
  <c r="AM65"/>
  <c r="AN65"/>
  <c r="AO65"/>
  <c r="AR65"/>
  <c r="AS65"/>
  <c r="AT65"/>
  <c r="AU65"/>
  <c r="AV65"/>
  <c r="AW65"/>
  <c r="AX65"/>
  <c r="AY65"/>
  <c r="AZ65"/>
  <c r="BA65"/>
  <c r="BB65"/>
  <c r="BC65"/>
  <c r="BD65"/>
  <c r="BE65"/>
  <c r="BF65"/>
  <c r="BG65"/>
  <c r="BH65"/>
  <c r="BI65"/>
  <c r="D66"/>
  <c r="E66"/>
  <c r="F66"/>
  <c r="G66"/>
  <c r="H66"/>
  <c r="I66"/>
  <c r="J66"/>
  <c r="K66"/>
  <c r="L66"/>
  <c r="M66"/>
  <c r="N66"/>
  <c r="O66"/>
  <c r="P66"/>
  <c r="Q66"/>
  <c r="R66"/>
  <c r="S66"/>
  <c r="T66"/>
  <c r="U66"/>
  <c r="X66"/>
  <c r="Y66"/>
  <c r="Z66"/>
  <c r="AA66"/>
  <c r="AB66"/>
  <c r="AC66"/>
  <c r="AD66"/>
  <c r="AE66"/>
  <c r="AF66"/>
  <c r="AG66"/>
  <c r="AI66"/>
  <c r="AJ66"/>
  <c r="AK66"/>
  <c r="AL66"/>
  <c r="AM66"/>
  <c r="AN66"/>
  <c r="AO66"/>
  <c r="AR66"/>
  <c r="AS66"/>
  <c r="AT66"/>
  <c r="AU66"/>
  <c r="AV66"/>
  <c r="AW66"/>
  <c r="AX66"/>
  <c r="AY66"/>
  <c r="AZ66"/>
  <c r="BA66"/>
  <c r="BB66"/>
  <c r="BC66"/>
  <c r="BD66"/>
  <c r="BE66"/>
  <c r="BF66"/>
  <c r="BG66"/>
  <c r="BH66"/>
  <c r="BI66"/>
  <c r="D67"/>
  <c r="E67"/>
  <c r="F67"/>
  <c r="G67"/>
  <c r="H67"/>
  <c r="I67"/>
  <c r="J67"/>
  <c r="K67"/>
  <c r="L67"/>
  <c r="M67"/>
  <c r="N67"/>
  <c r="O67"/>
  <c r="P67"/>
  <c r="Q67"/>
  <c r="R67"/>
  <c r="S67"/>
  <c r="T67"/>
  <c r="U67"/>
  <c r="X67"/>
  <c r="Y67"/>
  <c r="Z67"/>
  <c r="AA67"/>
  <c r="AB67"/>
  <c r="AC67"/>
  <c r="AD67"/>
  <c r="AE67"/>
  <c r="AF67"/>
  <c r="AG67"/>
  <c r="AI67"/>
  <c r="AJ67"/>
  <c r="AK67"/>
  <c r="AL67"/>
  <c r="AM67"/>
  <c r="AN67"/>
  <c r="AO67"/>
  <c r="AR67"/>
  <c r="AS67"/>
  <c r="AT67"/>
  <c r="AU67"/>
  <c r="AV67"/>
  <c r="AW67"/>
  <c r="AX67"/>
  <c r="AY67"/>
  <c r="AZ67"/>
  <c r="BA67"/>
  <c r="BB67"/>
  <c r="BC67"/>
  <c r="BD67"/>
  <c r="BE67"/>
  <c r="BF67"/>
  <c r="BG67"/>
  <c r="BH67"/>
  <c r="BI67"/>
  <c r="D68"/>
  <c r="E68"/>
  <c r="F68"/>
  <c r="G68"/>
  <c r="H68"/>
  <c r="I68"/>
  <c r="J68"/>
  <c r="K68"/>
  <c r="L68"/>
  <c r="M68"/>
  <c r="N68"/>
  <c r="O68"/>
  <c r="P68"/>
  <c r="Q68"/>
  <c r="R68"/>
  <c r="S68"/>
  <c r="T68"/>
  <c r="U68"/>
  <c r="X68"/>
  <c r="Y68"/>
  <c r="Z68"/>
  <c r="AA68"/>
  <c r="AB68"/>
  <c r="AC68"/>
  <c r="AD68"/>
  <c r="AE68"/>
  <c r="AF68"/>
  <c r="AG68"/>
  <c r="AI68"/>
  <c r="AJ68"/>
  <c r="AK68"/>
  <c r="AL68"/>
  <c r="AM68"/>
  <c r="AN68"/>
  <c r="AO68"/>
  <c r="AR68"/>
  <c r="AS68"/>
  <c r="AT68"/>
  <c r="AU68"/>
  <c r="AV68"/>
  <c r="AW68"/>
  <c r="AX68"/>
  <c r="AY68"/>
  <c r="AZ68"/>
  <c r="BA68"/>
  <c r="BB68"/>
  <c r="BC68"/>
  <c r="BD68"/>
  <c r="BE68"/>
  <c r="BF68"/>
  <c r="BG68"/>
  <c r="BH68"/>
  <c r="BI68"/>
  <c r="D69"/>
  <c r="E69"/>
  <c r="F69"/>
  <c r="G69"/>
  <c r="H69"/>
  <c r="I69"/>
  <c r="J69"/>
  <c r="K69"/>
  <c r="L69"/>
  <c r="M69"/>
  <c r="N69"/>
  <c r="O69"/>
  <c r="P69"/>
  <c r="Q69"/>
  <c r="R69"/>
  <c r="S69"/>
  <c r="T69"/>
  <c r="U69"/>
  <c r="X69"/>
  <c r="Y69"/>
  <c r="Z69"/>
  <c r="AA69"/>
  <c r="AB69"/>
  <c r="AC69"/>
  <c r="AD69"/>
  <c r="AE69"/>
  <c r="AF69"/>
  <c r="AG69"/>
  <c r="AI69"/>
  <c r="AJ69"/>
  <c r="AK69"/>
  <c r="AL69"/>
  <c r="AM69"/>
  <c r="AN69"/>
  <c r="AO69"/>
  <c r="AR69"/>
  <c r="AS69"/>
  <c r="AT69"/>
  <c r="AU69"/>
  <c r="AV69"/>
  <c r="AW69"/>
  <c r="AX69"/>
  <c r="AY69"/>
  <c r="AZ69"/>
  <c r="BA69"/>
  <c r="BB69"/>
  <c r="BC69"/>
  <c r="BD69"/>
  <c r="BE69"/>
  <c r="BF69"/>
  <c r="BG69"/>
  <c r="BH69"/>
  <c r="BI69"/>
  <c r="D70"/>
  <c r="E70"/>
  <c r="F70"/>
  <c r="G70"/>
  <c r="H70"/>
  <c r="I70"/>
  <c r="J70"/>
  <c r="K70"/>
  <c r="L70"/>
  <c r="M70"/>
  <c r="N70"/>
  <c r="O70"/>
  <c r="P70"/>
  <c r="Q70"/>
  <c r="R70"/>
  <c r="S70"/>
  <c r="T70"/>
  <c r="U70"/>
  <c r="X70"/>
  <c r="Y70"/>
  <c r="Z70"/>
  <c r="AA70"/>
  <c r="AB70"/>
  <c r="AC70"/>
  <c r="AD70"/>
  <c r="AE70"/>
  <c r="AF70"/>
  <c r="AG70"/>
  <c r="AI70"/>
  <c r="AJ70"/>
  <c r="AK70"/>
  <c r="AL70"/>
  <c r="AM70"/>
  <c r="AN70"/>
  <c r="AO70"/>
  <c r="AR70"/>
  <c r="AS70"/>
  <c r="AT70"/>
  <c r="AU70"/>
  <c r="AV70"/>
  <c r="AW70"/>
  <c r="AX70"/>
  <c r="AY70"/>
  <c r="AZ70"/>
  <c r="BA70"/>
  <c r="BB70"/>
  <c r="BC70"/>
  <c r="BD70"/>
  <c r="BE70"/>
  <c r="BF70"/>
  <c r="BG70"/>
  <c r="BH70"/>
  <c r="BI70"/>
  <c r="D71"/>
  <c r="E71"/>
  <c r="F71"/>
  <c r="G71"/>
  <c r="H71"/>
  <c r="I71"/>
  <c r="J71"/>
  <c r="K71"/>
  <c r="L71"/>
  <c r="M71"/>
  <c r="N71"/>
  <c r="O71"/>
  <c r="P71"/>
  <c r="Q71"/>
  <c r="R71"/>
  <c r="S71"/>
  <c r="T71"/>
  <c r="U71"/>
  <c r="X71"/>
  <c r="Y71"/>
  <c r="Z71"/>
  <c r="AA71"/>
  <c r="AB71"/>
  <c r="AC71"/>
  <c r="AD71"/>
  <c r="AE71"/>
  <c r="AF71"/>
  <c r="AG71"/>
  <c r="AI71"/>
  <c r="AJ71"/>
  <c r="AK71"/>
  <c r="AL71"/>
  <c r="AM71"/>
  <c r="AN71"/>
  <c r="AO71"/>
  <c r="AR71"/>
  <c r="AS71"/>
  <c r="AT71"/>
  <c r="AU71"/>
  <c r="AV71"/>
  <c r="AW71"/>
  <c r="AX71"/>
  <c r="AY71"/>
  <c r="AZ71"/>
  <c r="BA71"/>
  <c r="BB71"/>
  <c r="BC71"/>
  <c r="BD71"/>
  <c r="BE71"/>
  <c r="BF71"/>
  <c r="BG71"/>
  <c r="BH71"/>
  <c r="BI71"/>
  <c r="D72"/>
  <c r="E72"/>
  <c r="F72"/>
  <c r="G72"/>
  <c r="H72"/>
  <c r="I72"/>
  <c r="J72"/>
  <c r="K72"/>
  <c r="L72"/>
  <c r="M72"/>
  <c r="N72"/>
  <c r="O72"/>
  <c r="P72"/>
  <c r="Q72"/>
  <c r="R72"/>
  <c r="S72"/>
  <c r="T72"/>
  <c r="U72"/>
  <c r="X72"/>
  <c r="Y72"/>
  <c r="Z72"/>
  <c r="AA72"/>
  <c r="AB72"/>
  <c r="AC72"/>
  <c r="AD72"/>
  <c r="AE72"/>
  <c r="AF72"/>
  <c r="AG72"/>
  <c r="AI72"/>
  <c r="AJ72"/>
  <c r="AK72"/>
  <c r="AL72"/>
  <c r="AM72"/>
  <c r="AN72"/>
  <c r="AO72"/>
  <c r="AR72"/>
  <c r="AS72"/>
  <c r="AT72"/>
  <c r="AU72"/>
  <c r="AV72"/>
  <c r="AW72"/>
  <c r="AX72"/>
  <c r="AY72"/>
  <c r="AZ72"/>
  <c r="BA72"/>
  <c r="BB72"/>
  <c r="BC72"/>
  <c r="BD72"/>
  <c r="BE72"/>
  <c r="BF72"/>
  <c r="BG72"/>
  <c r="BH72"/>
  <c r="BI72"/>
  <c r="D73"/>
  <c r="E73"/>
  <c r="F73"/>
  <c r="G73"/>
  <c r="H73"/>
  <c r="I73"/>
  <c r="J73"/>
  <c r="K73"/>
  <c r="L73"/>
  <c r="M73"/>
  <c r="N73"/>
  <c r="O73"/>
  <c r="P73"/>
  <c r="Q73"/>
  <c r="R73"/>
  <c r="S73"/>
  <c r="T73"/>
  <c r="U73"/>
  <c r="X73"/>
  <c r="Y73"/>
  <c r="Z73"/>
  <c r="AA73"/>
  <c r="AB73"/>
  <c r="AC73"/>
  <c r="AD73"/>
  <c r="AE73"/>
  <c r="AF73"/>
  <c r="AG73"/>
  <c r="AI73"/>
  <c r="AJ73"/>
  <c r="AK73"/>
  <c r="AL73"/>
  <c r="AM73"/>
  <c r="AN73"/>
  <c r="AO73"/>
  <c r="AR73"/>
  <c r="AS73"/>
  <c r="AT73"/>
  <c r="AU73"/>
  <c r="AV73"/>
  <c r="AW73"/>
  <c r="AX73"/>
  <c r="AY73"/>
  <c r="AZ73"/>
  <c r="BA73"/>
  <c r="BB73"/>
  <c r="BC73"/>
  <c r="BD73"/>
  <c r="BE73"/>
  <c r="BF73"/>
  <c r="BG73"/>
  <c r="BH73"/>
  <c r="BI73"/>
  <c r="D74"/>
  <c r="E74"/>
  <c r="F74"/>
  <c r="G74"/>
  <c r="H74"/>
  <c r="I74"/>
  <c r="J74"/>
  <c r="K74"/>
  <c r="L74"/>
  <c r="M74"/>
  <c r="N74"/>
  <c r="O74"/>
  <c r="P74"/>
  <c r="Q74"/>
  <c r="R74"/>
  <c r="S74"/>
  <c r="T74"/>
  <c r="U74"/>
  <c r="X74"/>
  <c r="Y74"/>
  <c r="Z74"/>
  <c r="AA74"/>
  <c r="AB74"/>
  <c r="AC74"/>
  <c r="AD74"/>
  <c r="AE74"/>
  <c r="AF74"/>
  <c r="AG74"/>
  <c r="AI74"/>
  <c r="AJ74"/>
  <c r="AK74"/>
  <c r="AL74"/>
  <c r="AM74"/>
  <c r="AN74"/>
  <c r="AO74"/>
  <c r="AR74"/>
  <c r="AS74"/>
  <c r="AT74"/>
  <c r="AU74"/>
  <c r="AV74"/>
  <c r="AW74"/>
  <c r="AX74"/>
  <c r="AY74"/>
  <c r="AZ74"/>
  <c r="BA74"/>
  <c r="BB74"/>
  <c r="BC74"/>
  <c r="BD74"/>
  <c r="BE74"/>
  <c r="BF74"/>
  <c r="BG74"/>
  <c r="BH74"/>
  <c r="BI74"/>
  <c r="D75"/>
  <c r="E75"/>
  <c r="F75"/>
  <c r="G75"/>
  <c r="H75"/>
  <c r="I75"/>
  <c r="J75"/>
  <c r="K75"/>
  <c r="L75"/>
  <c r="M75"/>
  <c r="N75"/>
  <c r="O75"/>
  <c r="P75"/>
  <c r="Q75"/>
  <c r="R75"/>
  <c r="S75"/>
  <c r="T75"/>
  <c r="U75"/>
  <c r="X75"/>
  <c r="Y75"/>
  <c r="Z75"/>
  <c r="AA75"/>
  <c r="AB75"/>
  <c r="AC75"/>
  <c r="AD75"/>
  <c r="AE75"/>
  <c r="AF75"/>
  <c r="AG75"/>
  <c r="AI75"/>
  <c r="AJ75"/>
  <c r="AK75"/>
  <c r="AL75"/>
  <c r="AM75"/>
  <c r="AN75"/>
  <c r="AO75"/>
  <c r="AR75"/>
  <c r="AS75"/>
  <c r="AT75"/>
  <c r="AU75"/>
  <c r="AV75"/>
  <c r="AW75"/>
  <c r="AX75"/>
  <c r="AY75"/>
  <c r="AZ75"/>
  <c r="BA75"/>
  <c r="BB75"/>
  <c r="BC75"/>
  <c r="BD75"/>
  <c r="BE75"/>
  <c r="BF75"/>
  <c r="BG75"/>
  <c r="BH75"/>
  <c r="BI75"/>
  <c r="D76"/>
  <c r="E76"/>
  <c r="F76"/>
  <c r="G76"/>
  <c r="H76"/>
  <c r="I76"/>
  <c r="J76"/>
  <c r="K76"/>
  <c r="L76"/>
  <c r="M76"/>
  <c r="N76"/>
  <c r="O76"/>
  <c r="P76"/>
  <c r="Q76"/>
  <c r="R76"/>
  <c r="S76"/>
  <c r="T76"/>
  <c r="U76"/>
  <c r="X76"/>
  <c r="Y76"/>
  <c r="Z76"/>
  <c r="AA76"/>
  <c r="AB76"/>
  <c r="AC76"/>
  <c r="AD76"/>
  <c r="AE76"/>
  <c r="AF76"/>
  <c r="AG76"/>
  <c r="AI76"/>
  <c r="AJ76"/>
  <c r="AK76"/>
  <c r="AL76"/>
  <c r="AM76"/>
  <c r="AN76"/>
  <c r="AO76"/>
  <c r="AR76"/>
  <c r="AS76"/>
  <c r="AT76"/>
  <c r="AU76"/>
  <c r="AV76"/>
  <c r="AW76"/>
  <c r="AX76"/>
  <c r="AY76"/>
  <c r="AZ76"/>
  <c r="BA76"/>
  <c r="BB76"/>
  <c r="BC76"/>
  <c r="BD76"/>
  <c r="BE76"/>
  <c r="BF76"/>
  <c r="BG76"/>
  <c r="BH76"/>
  <c r="BI76"/>
  <c r="D77"/>
  <c r="E77"/>
  <c r="F77"/>
  <c r="G77"/>
  <c r="H77"/>
  <c r="I77"/>
  <c r="J77"/>
  <c r="K77"/>
  <c r="L77"/>
  <c r="M77"/>
  <c r="N77"/>
  <c r="O77"/>
  <c r="P77"/>
  <c r="Q77"/>
  <c r="R77"/>
  <c r="S77"/>
  <c r="T77"/>
  <c r="U77"/>
  <c r="X77"/>
  <c r="Y77"/>
  <c r="Z77"/>
  <c r="AA77"/>
  <c r="AB77"/>
  <c r="AC77"/>
  <c r="AD77"/>
  <c r="AE77"/>
  <c r="AF77"/>
  <c r="AG77"/>
  <c r="AI77"/>
  <c r="AJ77"/>
  <c r="AK77"/>
  <c r="AL77"/>
  <c r="AM77"/>
  <c r="AN77"/>
  <c r="AO77"/>
  <c r="AR77"/>
  <c r="AS77"/>
  <c r="AT77"/>
  <c r="AU77"/>
  <c r="AV77"/>
  <c r="AW77"/>
  <c r="AX77"/>
  <c r="AY77"/>
  <c r="AZ77"/>
  <c r="BA77"/>
  <c r="BB77"/>
  <c r="BC77"/>
  <c r="BD77"/>
  <c r="BE77"/>
  <c r="BF77"/>
  <c r="BG77"/>
  <c r="BH77"/>
  <c r="BI77"/>
  <c r="D78"/>
  <c r="E78"/>
  <c r="F78"/>
  <c r="G78"/>
  <c r="H78"/>
  <c r="I78"/>
  <c r="J78"/>
  <c r="K78"/>
  <c r="L78"/>
  <c r="M78"/>
  <c r="N78"/>
  <c r="O78"/>
  <c r="P78"/>
  <c r="Q78"/>
  <c r="R78"/>
  <c r="S78"/>
  <c r="T78"/>
  <c r="U78"/>
  <c r="X78"/>
  <c r="Y78"/>
  <c r="Z78"/>
  <c r="AA78"/>
  <c r="AB78"/>
  <c r="AC78"/>
  <c r="AD78"/>
  <c r="AE78"/>
  <c r="AF78"/>
  <c r="AG78"/>
  <c r="AI78"/>
  <c r="AJ78"/>
  <c r="AK78"/>
  <c r="AL78"/>
  <c r="AM78"/>
  <c r="AN78"/>
  <c r="AO78"/>
  <c r="AR78"/>
  <c r="AS78"/>
  <c r="AT78"/>
  <c r="AU78"/>
  <c r="AV78"/>
  <c r="AW78"/>
  <c r="AX78"/>
  <c r="AY78"/>
  <c r="AZ78"/>
  <c r="BA78"/>
  <c r="BB78"/>
  <c r="BC78"/>
  <c r="BD78"/>
  <c r="BE78"/>
  <c r="BF78"/>
  <c r="BG78"/>
  <c r="BH78"/>
  <c r="BI78"/>
  <c r="D79"/>
  <c r="E79"/>
  <c r="F79"/>
  <c r="G79"/>
  <c r="H79"/>
  <c r="I79"/>
  <c r="J79"/>
  <c r="K79"/>
  <c r="L79"/>
  <c r="M79"/>
  <c r="N79"/>
  <c r="O79"/>
  <c r="P79"/>
  <c r="Q79"/>
  <c r="R79"/>
  <c r="S79"/>
  <c r="T79"/>
  <c r="U79"/>
  <c r="X79"/>
  <c r="Y79"/>
  <c r="Z79"/>
  <c r="AA79"/>
  <c r="AB79"/>
  <c r="AC79"/>
  <c r="AD79"/>
  <c r="AE79"/>
  <c r="AF79"/>
  <c r="AG79"/>
  <c r="AI79"/>
  <c r="AJ79"/>
  <c r="AK79"/>
  <c r="AL79"/>
  <c r="AM79"/>
  <c r="AN79"/>
  <c r="AO79"/>
  <c r="AR79"/>
  <c r="AS79"/>
  <c r="AT79"/>
  <c r="AU79"/>
  <c r="AV79"/>
  <c r="AW79"/>
  <c r="AX79"/>
  <c r="AY79"/>
  <c r="AZ79"/>
  <c r="BA79"/>
  <c r="BB79"/>
  <c r="BC79"/>
  <c r="BD79"/>
  <c r="BE79"/>
  <c r="BF79"/>
  <c r="BG79"/>
  <c r="BH79"/>
  <c r="BI79"/>
  <c r="D80"/>
  <c r="E80"/>
  <c r="F80"/>
  <c r="G80"/>
  <c r="H80"/>
  <c r="I80"/>
  <c r="J80"/>
  <c r="K80"/>
  <c r="L80"/>
  <c r="M80"/>
  <c r="N80"/>
  <c r="O80"/>
  <c r="P80"/>
  <c r="Q80"/>
  <c r="R80"/>
  <c r="S80"/>
  <c r="T80"/>
  <c r="U80"/>
  <c r="X80"/>
  <c r="Y80"/>
  <c r="Z80"/>
  <c r="AA80"/>
  <c r="AB80"/>
  <c r="AC80"/>
  <c r="AD80"/>
  <c r="AE80"/>
  <c r="AF80"/>
  <c r="AG80"/>
  <c r="AI80"/>
  <c r="AJ80"/>
  <c r="AK80"/>
  <c r="AL80"/>
  <c r="AM80"/>
  <c r="AN80"/>
  <c r="AO80"/>
  <c r="AR80"/>
  <c r="AS80"/>
  <c r="AT80"/>
  <c r="AU80"/>
  <c r="AV80"/>
  <c r="AW80"/>
  <c r="AX80"/>
  <c r="AY80"/>
  <c r="AZ80"/>
  <c r="BA80"/>
  <c r="BB80"/>
  <c r="BC80"/>
  <c r="BD80"/>
  <c r="BE80"/>
  <c r="BF80"/>
  <c r="BG80"/>
  <c r="BH80"/>
  <c r="BI80"/>
  <c r="D81"/>
  <c r="E81"/>
  <c r="F81"/>
  <c r="G81"/>
  <c r="H81"/>
  <c r="I81"/>
  <c r="J81"/>
  <c r="K81"/>
  <c r="L81"/>
  <c r="M81"/>
  <c r="N81"/>
  <c r="O81"/>
  <c r="P81"/>
  <c r="Q81"/>
  <c r="R81"/>
  <c r="S81"/>
  <c r="T81"/>
  <c r="U81"/>
  <c r="X81"/>
  <c r="Y81"/>
  <c r="Z81"/>
  <c r="AA81"/>
  <c r="AB81"/>
  <c r="AC81"/>
  <c r="AD81"/>
  <c r="AE81"/>
  <c r="AF81"/>
  <c r="AG81"/>
  <c r="AI81"/>
  <c r="AJ81"/>
  <c r="AK81"/>
  <c r="AL81"/>
  <c r="AM81"/>
  <c r="AN81"/>
  <c r="AO81"/>
  <c r="AR81"/>
  <c r="AS81"/>
  <c r="AT81"/>
  <c r="AU81"/>
  <c r="AV81"/>
  <c r="AW81"/>
  <c r="AX81"/>
  <c r="AY81"/>
  <c r="AZ81"/>
  <c r="BA81"/>
  <c r="BB81"/>
  <c r="BC81"/>
  <c r="BD81"/>
  <c r="BE81"/>
  <c r="BF81"/>
  <c r="BG81"/>
  <c r="BH81"/>
  <c r="BI81"/>
  <c r="D82"/>
  <c r="E82"/>
  <c r="F82"/>
  <c r="G82"/>
  <c r="H82"/>
  <c r="I82"/>
  <c r="J82"/>
  <c r="K82"/>
  <c r="L82"/>
  <c r="M82"/>
  <c r="N82"/>
  <c r="O82"/>
  <c r="P82"/>
  <c r="Q82"/>
  <c r="R82"/>
  <c r="S82"/>
  <c r="T82"/>
  <c r="U82"/>
  <c r="X82"/>
  <c r="Y82"/>
  <c r="Z82"/>
  <c r="AA82"/>
  <c r="AB82"/>
  <c r="AC82"/>
  <c r="AD82"/>
  <c r="AE82"/>
  <c r="AF82"/>
  <c r="AG82"/>
  <c r="AI82"/>
  <c r="AJ82"/>
  <c r="AK82"/>
  <c r="AL82"/>
  <c r="AM82"/>
  <c r="AN82"/>
  <c r="AO82"/>
  <c r="AR82"/>
  <c r="AS82"/>
  <c r="AT82"/>
  <c r="AU82"/>
  <c r="AV82"/>
  <c r="AW82"/>
  <c r="AX82"/>
  <c r="AY82"/>
  <c r="AZ82"/>
  <c r="BA82"/>
  <c r="BB82"/>
  <c r="BC82"/>
  <c r="BD82"/>
  <c r="BE82"/>
  <c r="BF82"/>
  <c r="BG82"/>
  <c r="BH82"/>
  <c r="BI82"/>
  <c r="D83"/>
  <c r="E83"/>
  <c r="F83"/>
  <c r="G83"/>
  <c r="H83"/>
  <c r="I83"/>
  <c r="J83"/>
  <c r="K83"/>
  <c r="L83"/>
  <c r="M83"/>
  <c r="N83"/>
  <c r="O83"/>
  <c r="P83"/>
  <c r="Q83"/>
  <c r="R83"/>
  <c r="S83"/>
  <c r="T83"/>
  <c r="U83"/>
  <c r="X83"/>
  <c r="Y83"/>
  <c r="Z83"/>
  <c r="AA83"/>
  <c r="AB83"/>
  <c r="AC83"/>
  <c r="AD83"/>
  <c r="AE83"/>
  <c r="AF83"/>
  <c r="AG83"/>
  <c r="AI83"/>
  <c r="AJ83"/>
  <c r="AK83"/>
  <c r="AL83"/>
  <c r="AM83"/>
  <c r="AN83"/>
  <c r="AO83"/>
  <c r="AR83"/>
  <c r="AS83"/>
  <c r="AT83"/>
  <c r="AU83"/>
  <c r="AV83"/>
  <c r="AW83"/>
  <c r="AX83"/>
  <c r="AY83"/>
  <c r="AZ83"/>
  <c r="BA83"/>
  <c r="BB83"/>
  <c r="BC83"/>
  <c r="BD83"/>
  <c r="BE83"/>
  <c r="BF83"/>
  <c r="BG83"/>
  <c r="BH83"/>
  <c r="BI83"/>
  <c r="D84"/>
  <c r="E84"/>
  <c r="F84"/>
  <c r="G84"/>
  <c r="H84"/>
  <c r="I84"/>
  <c r="J84"/>
  <c r="K84"/>
  <c r="L84"/>
  <c r="M84"/>
  <c r="N84"/>
  <c r="O84"/>
  <c r="P84"/>
  <c r="Q84"/>
  <c r="R84"/>
  <c r="S84"/>
  <c r="T84"/>
  <c r="U84"/>
  <c r="X84"/>
  <c r="Y84"/>
  <c r="Z84"/>
  <c r="AA84"/>
  <c r="AB84"/>
  <c r="AC84"/>
  <c r="AD84"/>
  <c r="AE84"/>
  <c r="AF84"/>
  <c r="AG84"/>
  <c r="AI84"/>
  <c r="AJ84"/>
  <c r="AK84"/>
  <c r="AL84"/>
  <c r="AM84"/>
  <c r="AN84"/>
  <c r="AO84"/>
  <c r="AR84"/>
  <c r="AS84"/>
  <c r="AT84"/>
  <c r="AU84"/>
  <c r="AV84"/>
  <c r="AW84"/>
  <c r="AX84"/>
  <c r="AY84"/>
  <c r="AZ84"/>
  <c r="BA84"/>
  <c r="BB84"/>
  <c r="BC84"/>
  <c r="BD84"/>
  <c r="BE84"/>
  <c r="BF84"/>
  <c r="BG84"/>
  <c r="BH84"/>
  <c r="BI84"/>
  <c r="D85"/>
  <c r="E85"/>
  <c r="F85"/>
  <c r="G85"/>
  <c r="H85"/>
  <c r="I85"/>
  <c r="J85"/>
  <c r="K85"/>
  <c r="L85"/>
  <c r="M85"/>
  <c r="N85"/>
  <c r="O85"/>
  <c r="P85"/>
  <c r="Q85"/>
  <c r="R85"/>
  <c r="S85"/>
  <c r="T85"/>
  <c r="U85"/>
  <c r="X85"/>
  <c r="Y85"/>
  <c r="Z85"/>
  <c r="AA85"/>
  <c r="AB85"/>
  <c r="AC85"/>
  <c r="AD85"/>
  <c r="AE85"/>
  <c r="AF85"/>
  <c r="AG85"/>
  <c r="AI85"/>
  <c r="AJ85"/>
  <c r="AK85"/>
  <c r="AL85"/>
  <c r="AM85"/>
  <c r="AN85"/>
  <c r="AO85"/>
  <c r="AR85"/>
  <c r="AS85"/>
  <c r="AT85"/>
  <c r="AU85"/>
  <c r="AV85"/>
  <c r="AW85"/>
  <c r="AX85"/>
  <c r="AY85"/>
  <c r="AZ85"/>
  <c r="BA85"/>
  <c r="BB85"/>
  <c r="BC85"/>
  <c r="BD85"/>
  <c r="BE85"/>
  <c r="BF85"/>
  <c r="BG85"/>
  <c r="BH85"/>
  <c r="BI85"/>
  <c r="D86"/>
  <c r="E86"/>
  <c r="F86"/>
  <c r="G86"/>
  <c r="H86"/>
  <c r="I86"/>
  <c r="J86"/>
  <c r="K86"/>
  <c r="L86"/>
  <c r="M86"/>
  <c r="N86"/>
  <c r="O86"/>
  <c r="P86"/>
  <c r="Q86"/>
  <c r="R86"/>
  <c r="S86"/>
  <c r="T86"/>
  <c r="U86"/>
  <c r="X86"/>
  <c r="Y86"/>
  <c r="Z86"/>
  <c r="AA86"/>
  <c r="AB86"/>
  <c r="AC86"/>
  <c r="AD86"/>
  <c r="AE86"/>
  <c r="AF86"/>
  <c r="AG86"/>
  <c r="AI86"/>
  <c r="AJ86"/>
  <c r="AK86"/>
  <c r="AL86"/>
  <c r="AM86"/>
  <c r="AN86"/>
  <c r="AO86"/>
  <c r="AR86"/>
  <c r="AS86"/>
  <c r="AT86"/>
  <c r="AU86"/>
  <c r="AV86"/>
  <c r="AW86"/>
  <c r="AX86"/>
  <c r="AY86"/>
  <c r="AZ86"/>
  <c r="BA86"/>
  <c r="BB86"/>
  <c r="BC86"/>
  <c r="BD86"/>
  <c r="BE86"/>
  <c r="BF86"/>
  <c r="BG86"/>
  <c r="BH86"/>
  <c r="BI86"/>
  <c r="D87"/>
  <c r="E87"/>
  <c r="F87"/>
  <c r="G87"/>
  <c r="H87"/>
  <c r="I87"/>
  <c r="J87"/>
  <c r="K87"/>
  <c r="L87"/>
  <c r="M87"/>
  <c r="N87"/>
  <c r="O87"/>
  <c r="P87"/>
  <c r="Q87"/>
  <c r="R87"/>
  <c r="S87"/>
  <c r="T87"/>
  <c r="U87"/>
  <c r="X87"/>
  <c r="Y87"/>
  <c r="Z87"/>
  <c r="AA87"/>
  <c r="AB87"/>
  <c r="AC87"/>
  <c r="AD87"/>
  <c r="AE87"/>
  <c r="AF87"/>
  <c r="AG87"/>
  <c r="AI87"/>
  <c r="AJ87"/>
  <c r="AK87"/>
  <c r="AL87"/>
  <c r="AM87"/>
  <c r="AN87"/>
  <c r="AO87"/>
  <c r="AR87"/>
  <c r="AS87"/>
  <c r="AT87"/>
  <c r="AU87"/>
  <c r="AV87"/>
  <c r="AW87"/>
  <c r="AX87"/>
  <c r="AY87"/>
  <c r="AZ87"/>
  <c r="BA87"/>
  <c r="BB87"/>
  <c r="BC87"/>
  <c r="BD87"/>
  <c r="BE87"/>
  <c r="BF87"/>
  <c r="BG87"/>
  <c r="BH87"/>
  <c r="BI87"/>
  <c r="D88"/>
  <c r="E88"/>
  <c r="F88"/>
  <c r="G88"/>
  <c r="H88"/>
  <c r="I88"/>
  <c r="J88"/>
  <c r="K88"/>
  <c r="L88"/>
  <c r="M88"/>
  <c r="N88"/>
  <c r="O88"/>
  <c r="P88"/>
  <c r="Q88"/>
  <c r="R88"/>
  <c r="S88"/>
  <c r="T88"/>
  <c r="U88"/>
  <c r="X88"/>
  <c r="Y88"/>
  <c r="Z88"/>
  <c r="AA88"/>
  <c r="AB88"/>
  <c r="AC88"/>
  <c r="AD88"/>
  <c r="AE88"/>
  <c r="AF88"/>
  <c r="AG88"/>
  <c r="AI88"/>
  <c r="AJ88"/>
  <c r="AK88"/>
  <c r="AL88"/>
  <c r="AM88"/>
  <c r="AN88"/>
  <c r="AO88"/>
  <c r="AR88"/>
  <c r="AS88"/>
  <c r="AT88"/>
  <c r="AU88"/>
  <c r="AV88"/>
  <c r="AW88"/>
  <c r="AX88"/>
  <c r="AY88"/>
  <c r="AZ88"/>
  <c r="BA88"/>
  <c r="BB88"/>
  <c r="BC88"/>
  <c r="BD88"/>
  <c r="BE88"/>
  <c r="BF88"/>
  <c r="BG88"/>
  <c r="BH88"/>
  <c r="BI88"/>
  <c r="D89"/>
  <c r="E89"/>
  <c r="F89"/>
  <c r="G89"/>
  <c r="H89"/>
  <c r="I89"/>
  <c r="J89"/>
  <c r="K89"/>
  <c r="L89"/>
  <c r="M89"/>
  <c r="N89"/>
  <c r="O89"/>
  <c r="P89"/>
  <c r="Q89"/>
  <c r="R89"/>
  <c r="S89"/>
  <c r="T89"/>
  <c r="U89"/>
  <c r="X89"/>
  <c r="Y89"/>
  <c r="Z89"/>
  <c r="AA89"/>
  <c r="AB89"/>
  <c r="AC89"/>
  <c r="AD89"/>
  <c r="AE89"/>
  <c r="AF89"/>
  <c r="AG89"/>
  <c r="AI89"/>
  <c r="AJ89"/>
  <c r="AK89"/>
  <c r="AL89"/>
  <c r="AM89"/>
  <c r="AN89"/>
  <c r="AO89"/>
  <c r="AR89"/>
  <c r="AS89"/>
  <c r="AT89"/>
  <c r="AU89"/>
  <c r="AV89"/>
  <c r="AW89"/>
  <c r="AX89"/>
  <c r="AY89"/>
  <c r="AZ89"/>
  <c r="BA89"/>
  <c r="BB89"/>
  <c r="BC89"/>
  <c r="BD89"/>
  <c r="BE89"/>
  <c r="BF89"/>
  <c r="BG89"/>
  <c r="BH89"/>
  <c r="BI89"/>
  <c r="D90"/>
  <c r="E90"/>
  <c r="F90"/>
  <c r="G90"/>
  <c r="H90"/>
  <c r="I90"/>
  <c r="J90"/>
  <c r="K90"/>
  <c r="L90"/>
  <c r="M90"/>
  <c r="N90"/>
  <c r="O90"/>
  <c r="P90"/>
  <c r="Q90"/>
  <c r="R90"/>
  <c r="S90"/>
  <c r="T90"/>
  <c r="U90"/>
  <c r="X90"/>
  <c r="Y90"/>
  <c r="Z90"/>
  <c r="AA90"/>
  <c r="AB90"/>
  <c r="AC90"/>
  <c r="AD90"/>
  <c r="AE90"/>
  <c r="AF90"/>
  <c r="AG90"/>
  <c r="AI90"/>
  <c r="AJ90"/>
  <c r="AK90"/>
  <c r="AL90"/>
  <c r="AM90"/>
  <c r="AN90"/>
  <c r="AO90"/>
  <c r="AR90"/>
  <c r="AS90"/>
  <c r="AT90"/>
  <c r="AU90"/>
  <c r="AV90"/>
  <c r="AW90"/>
  <c r="AX90"/>
  <c r="AY90"/>
  <c r="AZ90"/>
  <c r="BA90"/>
  <c r="BB90"/>
  <c r="BC90"/>
  <c r="BD90"/>
  <c r="BE90"/>
  <c r="BF90"/>
  <c r="BG90"/>
  <c r="BH90"/>
  <c r="BI90"/>
  <c r="D91"/>
  <c r="E91"/>
  <c r="F91"/>
  <c r="G91"/>
  <c r="H91"/>
  <c r="I91"/>
  <c r="J91"/>
  <c r="K91"/>
  <c r="L91"/>
  <c r="M91"/>
  <c r="N91"/>
  <c r="O91"/>
  <c r="P91"/>
  <c r="Q91"/>
  <c r="R91"/>
  <c r="S91"/>
  <c r="T91"/>
  <c r="U91"/>
  <c r="X91"/>
  <c r="Y91"/>
  <c r="Z91"/>
  <c r="AA91"/>
  <c r="AB91"/>
  <c r="AC91"/>
  <c r="AD91"/>
  <c r="AE91"/>
  <c r="AF91"/>
  <c r="AG91"/>
  <c r="AI91"/>
  <c r="AJ91"/>
  <c r="AK91"/>
  <c r="AL91"/>
  <c r="AM91"/>
  <c r="AN91"/>
  <c r="AO91"/>
  <c r="AR91"/>
  <c r="AS91"/>
  <c r="AT91"/>
  <c r="AU91"/>
  <c r="AV91"/>
  <c r="AW91"/>
  <c r="AX91"/>
  <c r="AY91"/>
  <c r="AZ91"/>
  <c r="BA91"/>
  <c r="BB91"/>
  <c r="BC91"/>
  <c r="BD91"/>
  <c r="BE91"/>
  <c r="BF91"/>
  <c r="BG91"/>
  <c r="BH91"/>
  <c r="BI91"/>
  <c r="D92"/>
  <c r="E92"/>
  <c r="F92"/>
  <c r="G92"/>
  <c r="H92"/>
  <c r="I92"/>
  <c r="J92"/>
  <c r="K92"/>
  <c r="L92"/>
  <c r="M92"/>
  <c r="N92"/>
  <c r="O92"/>
  <c r="P92"/>
  <c r="Q92"/>
  <c r="R92"/>
  <c r="S92"/>
  <c r="T92"/>
  <c r="U92"/>
  <c r="X92"/>
  <c r="Y92"/>
  <c r="Z92"/>
  <c r="AA92"/>
  <c r="AB92"/>
  <c r="AC92"/>
  <c r="AD92"/>
  <c r="AE92"/>
  <c r="AF92"/>
  <c r="AG92"/>
  <c r="AI92"/>
  <c r="AJ92"/>
  <c r="AK92"/>
  <c r="AL92"/>
  <c r="AM92"/>
  <c r="AN92"/>
  <c r="AO92"/>
  <c r="AR92"/>
  <c r="AS92"/>
  <c r="AT92"/>
  <c r="AU92"/>
  <c r="AV92"/>
  <c r="AW92"/>
  <c r="AX92"/>
  <c r="AY92"/>
  <c r="AZ92"/>
  <c r="BA92"/>
  <c r="BB92"/>
  <c r="BC92"/>
  <c r="BD92"/>
  <c r="BE92"/>
  <c r="BF92"/>
  <c r="BG92"/>
  <c r="BH92"/>
  <c r="BI92"/>
  <c r="D93"/>
  <c r="E93"/>
  <c r="F93"/>
  <c r="G93"/>
  <c r="H93"/>
  <c r="I93"/>
  <c r="J93"/>
  <c r="K93"/>
  <c r="L93"/>
  <c r="M93"/>
  <c r="N93"/>
  <c r="O93"/>
  <c r="P93"/>
  <c r="Q93"/>
  <c r="R93"/>
  <c r="S93"/>
  <c r="T93"/>
  <c r="U93"/>
  <c r="X93"/>
  <c r="Y93"/>
  <c r="Z93"/>
  <c r="AA93"/>
  <c r="AB93"/>
  <c r="AC93"/>
  <c r="AD93"/>
  <c r="AE93"/>
  <c r="AF93"/>
  <c r="AG93"/>
  <c r="AI93"/>
  <c r="AJ93"/>
  <c r="AK93"/>
  <c r="AL93"/>
  <c r="AM93"/>
  <c r="AN93"/>
  <c r="AO93"/>
  <c r="AR93"/>
  <c r="AS93"/>
  <c r="AT93"/>
  <c r="AU93"/>
  <c r="AV93"/>
  <c r="AW93"/>
  <c r="AX93"/>
  <c r="AY93"/>
  <c r="AZ93"/>
  <c r="BA93"/>
  <c r="BB93"/>
  <c r="BC93"/>
  <c r="BD93"/>
  <c r="BE93"/>
  <c r="BF93"/>
  <c r="BG93"/>
  <c r="BH93"/>
  <c r="BI93"/>
  <c r="D94"/>
  <c r="E94"/>
  <c r="F94"/>
  <c r="G94"/>
  <c r="H94"/>
  <c r="I94"/>
  <c r="J94"/>
  <c r="K94"/>
  <c r="L94"/>
  <c r="M94"/>
  <c r="N94"/>
  <c r="O94"/>
  <c r="P94"/>
  <c r="Q94"/>
  <c r="R94"/>
  <c r="S94"/>
  <c r="T94"/>
  <c r="U94"/>
  <c r="X94"/>
  <c r="Y94"/>
  <c r="Z94"/>
  <c r="AA94"/>
  <c r="AB94"/>
  <c r="AC94"/>
  <c r="AD94"/>
  <c r="AE94"/>
  <c r="AF94"/>
  <c r="AG94"/>
  <c r="AI94"/>
  <c r="AJ94"/>
  <c r="AK94"/>
  <c r="AL94"/>
  <c r="AM94"/>
  <c r="AN94"/>
  <c r="AO94"/>
  <c r="AR94"/>
  <c r="AS94"/>
  <c r="AT94"/>
  <c r="AU94"/>
  <c r="AV94"/>
  <c r="AW94"/>
  <c r="AX94"/>
  <c r="AY94"/>
  <c r="AZ94"/>
  <c r="BA94"/>
  <c r="BB94"/>
  <c r="BC94"/>
  <c r="BD94"/>
  <c r="BE94"/>
  <c r="BF94"/>
  <c r="BG94"/>
  <c r="BH94"/>
  <c r="BI94"/>
  <c r="D95"/>
  <c r="E95"/>
  <c r="F95"/>
  <c r="G95"/>
  <c r="H95"/>
  <c r="I95"/>
  <c r="J95"/>
  <c r="K95"/>
  <c r="L95"/>
  <c r="M95"/>
  <c r="N95"/>
  <c r="O95"/>
  <c r="P95"/>
  <c r="Q95"/>
  <c r="R95"/>
  <c r="S95"/>
  <c r="T95"/>
  <c r="U95"/>
  <c r="X95"/>
  <c r="Y95"/>
  <c r="Z95"/>
  <c r="AA95"/>
  <c r="AB95"/>
  <c r="AC95"/>
  <c r="AD95"/>
  <c r="AE95"/>
  <c r="AF95"/>
  <c r="AG95"/>
  <c r="AI95"/>
  <c r="AJ95"/>
  <c r="AK95"/>
  <c r="AL95"/>
  <c r="AM95"/>
  <c r="AN95"/>
  <c r="AO95"/>
  <c r="AR95"/>
  <c r="AS95"/>
  <c r="AT95"/>
  <c r="AU95"/>
  <c r="AV95"/>
  <c r="AW95"/>
  <c r="AX95"/>
  <c r="AY95"/>
  <c r="AZ95"/>
  <c r="BA95"/>
  <c r="BB95"/>
  <c r="BC95"/>
  <c r="BD95"/>
  <c r="BE95"/>
  <c r="BF95"/>
  <c r="BG95"/>
  <c r="BH95"/>
  <c r="BI95"/>
  <c r="D96"/>
  <c r="E96"/>
  <c r="F96"/>
  <c r="G96"/>
  <c r="H96"/>
  <c r="I96"/>
  <c r="J96"/>
  <c r="K96"/>
  <c r="L96"/>
  <c r="M96"/>
  <c r="N96"/>
  <c r="O96"/>
  <c r="P96"/>
  <c r="Q96"/>
  <c r="R96"/>
  <c r="S96"/>
  <c r="T96"/>
  <c r="U96"/>
  <c r="X96"/>
  <c r="Y96"/>
  <c r="Z96"/>
  <c r="AA96"/>
  <c r="AB96"/>
  <c r="AC96"/>
  <c r="AD96"/>
  <c r="AE96"/>
  <c r="AF96"/>
  <c r="AG96"/>
  <c r="AI96"/>
  <c r="AJ96"/>
  <c r="AK96"/>
  <c r="AL96"/>
  <c r="AM96"/>
  <c r="AN96"/>
  <c r="AO96"/>
  <c r="AR96"/>
  <c r="AS96"/>
  <c r="AT96"/>
  <c r="AU96"/>
  <c r="AV96"/>
  <c r="AW96"/>
  <c r="AX96"/>
  <c r="AY96"/>
  <c r="AZ96"/>
  <c r="BA96"/>
  <c r="BB96"/>
  <c r="BC96"/>
  <c r="BD96"/>
  <c r="BE96"/>
  <c r="BF96"/>
  <c r="BG96"/>
  <c r="BH96"/>
  <c r="BI96"/>
  <c r="D97"/>
  <c r="E97"/>
  <c r="F97"/>
  <c r="G97"/>
  <c r="H97"/>
  <c r="I97"/>
  <c r="J97"/>
  <c r="K97"/>
  <c r="L97"/>
  <c r="M97"/>
  <c r="N97"/>
  <c r="O97"/>
  <c r="P97"/>
  <c r="Q97"/>
  <c r="R97"/>
  <c r="S97"/>
  <c r="T97"/>
  <c r="U97"/>
  <c r="X97"/>
  <c r="Y97"/>
  <c r="Z97"/>
  <c r="AA97"/>
  <c r="AB97"/>
  <c r="AC97"/>
  <c r="AD97"/>
  <c r="AE97"/>
  <c r="AF97"/>
  <c r="AG97"/>
  <c r="AI97"/>
  <c r="AJ97"/>
  <c r="AK97"/>
  <c r="AL97"/>
  <c r="AM97"/>
  <c r="AN97"/>
  <c r="AO97"/>
  <c r="AR97"/>
  <c r="AS97"/>
  <c r="AT97"/>
  <c r="AU97"/>
  <c r="AV97"/>
  <c r="AW97"/>
  <c r="AX97"/>
  <c r="AY97"/>
  <c r="AZ97"/>
  <c r="BA97"/>
  <c r="BB97"/>
  <c r="BC97"/>
  <c r="BD97"/>
  <c r="BE97"/>
  <c r="BF97"/>
  <c r="BG97"/>
  <c r="BH97"/>
  <c r="BI97"/>
  <c r="D98"/>
  <c r="E98"/>
  <c r="F98"/>
  <c r="G98"/>
  <c r="H98"/>
  <c r="I98"/>
  <c r="J98"/>
  <c r="K98"/>
  <c r="L98"/>
  <c r="M98"/>
  <c r="N98"/>
  <c r="O98"/>
  <c r="P98"/>
  <c r="Q98"/>
  <c r="R98"/>
  <c r="S98"/>
  <c r="T98"/>
  <c r="U98"/>
  <c r="X98"/>
  <c r="Y98"/>
  <c r="Z98"/>
  <c r="AA98"/>
  <c r="AB98"/>
  <c r="AC98"/>
  <c r="AD98"/>
  <c r="AE98"/>
  <c r="AF98"/>
  <c r="AG98"/>
  <c r="AI98"/>
  <c r="AJ98"/>
  <c r="AK98"/>
  <c r="AL98"/>
  <c r="AM98"/>
  <c r="AN98"/>
  <c r="AO98"/>
  <c r="AR98"/>
  <c r="AS98"/>
  <c r="AT98"/>
  <c r="AU98"/>
  <c r="AV98"/>
  <c r="AW98"/>
  <c r="AX98"/>
  <c r="AY98"/>
  <c r="AZ98"/>
  <c r="BA98"/>
  <c r="BB98"/>
  <c r="BC98"/>
  <c r="BD98"/>
  <c r="BE98"/>
  <c r="BF98"/>
  <c r="BG98"/>
  <c r="BH98"/>
  <c r="BI98"/>
  <c r="D99"/>
  <c r="E99"/>
  <c r="F99"/>
  <c r="G99"/>
  <c r="H99"/>
  <c r="I99"/>
  <c r="J99"/>
  <c r="K99"/>
  <c r="L99"/>
  <c r="M99"/>
  <c r="N99"/>
  <c r="O99"/>
  <c r="P99"/>
  <c r="Q99"/>
  <c r="R99"/>
  <c r="S99"/>
  <c r="T99"/>
  <c r="U99"/>
  <c r="X99"/>
  <c r="Y99"/>
  <c r="Z99"/>
  <c r="AA99"/>
  <c r="AB99"/>
  <c r="AC99"/>
  <c r="AD99"/>
  <c r="AE99"/>
  <c r="AF99"/>
  <c r="AG99"/>
  <c r="AI99"/>
  <c r="AJ99"/>
  <c r="AK99"/>
  <c r="AL99"/>
  <c r="AM99"/>
  <c r="AN99"/>
  <c r="AO99"/>
  <c r="AR99"/>
  <c r="AS99"/>
  <c r="AT99"/>
  <c r="AU99"/>
  <c r="AV99"/>
  <c r="AW99"/>
  <c r="AX99"/>
  <c r="AY99"/>
  <c r="AZ99"/>
  <c r="BA99"/>
  <c r="BB99"/>
  <c r="BC99"/>
  <c r="BD99"/>
  <c r="BE99"/>
  <c r="BF99"/>
  <c r="BG99"/>
  <c r="BH99"/>
  <c r="BI99"/>
  <c r="D100"/>
  <c r="E100"/>
  <c r="F100"/>
  <c r="G100"/>
  <c r="H100"/>
  <c r="I100"/>
  <c r="J100"/>
  <c r="K100"/>
  <c r="L100"/>
  <c r="M100"/>
  <c r="N100"/>
  <c r="O100"/>
  <c r="P100"/>
  <c r="Q100"/>
  <c r="R100"/>
  <c r="S100"/>
  <c r="T100"/>
  <c r="U100"/>
  <c r="X100"/>
  <c r="Y100"/>
  <c r="Z100"/>
  <c r="AA100"/>
  <c r="AB100"/>
  <c r="AC100"/>
  <c r="AD100"/>
  <c r="AE100"/>
  <c r="AF100"/>
  <c r="AG100"/>
  <c r="AI100"/>
  <c r="AJ100"/>
  <c r="AK100"/>
  <c r="AL100"/>
  <c r="AM100"/>
  <c r="AN100"/>
  <c r="AO100"/>
  <c r="AR100"/>
  <c r="AS100"/>
  <c r="AT100"/>
  <c r="AU100"/>
  <c r="AV100"/>
  <c r="AW100"/>
  <c r="AX100"/>
  <c r="AY100"/>
  <c r="AZ100"/>
  <c r="BA100"/>
  <c r="BB100"/>
  <c r="BC100"/>
  <c r="BD100"/>
  <c r="BE100"/>
  <c r="BF100"/>
  <c r="BG100"/>
  <c r="BH100"/>
  <c r="BI100"/>
  <c r="D101"/>
  <c r="E101"/>
  <c r="F101"/>
  <c r="G101"/>
  <c r="H101"/>
  <c r="I101"/>
  <c r="J101"/>
  <c r="K101"/>
  <c r="L101"/>
  <c r="M101"/>
  <c r="N101"/>
  <c r="O101"/>
  <c r="P101"/>
  <c r="Q101"/>
  <c r="R101"/>
  <c r="S101"/>
  <c r="T101"/>
  <c r="U101"/>
  <c r="X101"/>
  <c r="Y101"/>
  <c r="Z101"/>
  <c r="AA101"/>
  <c r="AB101"/>
  <c r="AC101"/>
  <c r="AD101"/>
  <c r="AE101"/>
  <c r="AF101"/>
  <c r="AG101"/>
  <c r="AI101"/>
  <c r="AJ101"/>
  <c r="AK101"/>
  <c r="AL101"/>
  <c r="AM101"/>
  <c r="AN101"/>
  <c r="AO101"/>
  <c r="AR101"/>
  <c r="AS101"/>
  <c r="AT101"/>
  <c r="AU101"/>
  <c r="AV101"/>
  <c r="AW101"/>
  <c r="AX101"/>
  <c r="AY101"/>
  <c r="AZ101"/>
  <c r="BA101"/>
  <c r="BB101"/>
  <c r="BC101"/>
  <c r="BD101"/>
  <c r="BE101"/>
  <c r="BF101"/>
  <c r="BG101"/>
  <c r="BH101"/>
  <c r="BI101"/>
  <c r="D102"/>
  <c r="E102"/>
  <c r="F102"/>
  <c r="G102"/>
  <c r="H102"/>
  <c r="I102"/>
  <c r="J102"/>
  <c r="K102"/>
  <c r="L102"/>
  <c r="M102"/>
  <c r="N102"/>
  <c r="O102"/>
  <c r="P102"/>
  <c r="Q102"/>
  <c r="R102"/>
  <c r="S102"/>
  <c r="T102"/>
  <c r="U102"/>
  <c r="X102"/>
  <c r="Y102"/>
  <c r="Z102"/>
  <c r="AA102"/>
  <c r="AB102"/>
  <c r="AC102"/>
  <c r="AD102"/>
  <c r="AE102"/>
  <c r="AF102"/>
  <c r="AG102"/>
  <c r="AI102"/>
  <c r="AJ102"/>
  <c r="AK102"/>
  <c r="AL102"/>
  <c r="AM102"/>
  <c r="AN102"/>
  <c r="AO102"/>
  <c r="AR102"/>
  <c r="AS102"/>
  <c r="AT102"/>
  <c r="AU102"/>
  <c r="AV102"/>
  <c r="AW102"/>
  <c r="AX102"/>
  <c r="AY102"/>
  <c r="AZ102"/>
  <c r="BA102"/>
  <c r="BB102"/>
  <c r="BC102"/>
  <c r="BD102"/>
  <c r="BE102"/>
  <c r="BF102"/>
  <c r="BG102"/>
  <c r="BH102"/>
  <c r="BI102"/>
  <c r="D103"/>
  <c r="E103"/>
  <c r="F103"/>
  <c r="G103"/>
  <c r="H103"/>
  <c r="I103"/>
  <c r="J103"/>
  <c r="K103"/>
  <c r="L103"/>
  <c r="M103"/>
  <c r="N103"/>
  <c r="O103"/>
  <c r="P103"/>
  <c r="Q103"/>
  <c r="R103"/>
  <c r="S103"/>
  <c r="T103"/>
  <c r="U103"/>
  <c r="X103"/>
  <c r="Y103"/>
  <c r="Z103"/>
  <c r="AA103"/>
  <c r="AB103"/>
  <c r="AC103"/>
  <c r="AD103"/>
  <c r="AE103"/>
  <c r="AF103"/>
  <c r="AG103"/>
  <c r="AI103"/>
  <c r="AJ103"/>
  <c r="AK103"/>
  <c r="AL103"/>
  <c r="AM103"/>
  <c r="AN103"/>
  <c r="AO103"/>
  <c r="AR103"/>
  <c r="AS103"/>
  <c r="AT103"/>
  <c r="AU103"/>
  <c r="AV103"/>
  <c r="AW103"/>
  <c r="AX103"/>
  <c r="AY103"/>
  <c r="AZ103"/>
  <c r="BA103"/>
  <c r="BB103"/>
  <c r="BC103"/>
  <c r="BD103"/>
  <c r="BE103"/>
  <c r="BF103"/>
  <c r="BG103"/>
  <c r="BH103"/>
  <c r="BI103"/>
  <c r="D104"/>
  <c r="E104"/>
  <c r="F104"/>
  <c r="G104"/>
  <c r="H104"/>
  <c r="I104"/>
  <c r="J104"/>
  <c r="K104"/>
  <c r="L104"/>
  <c r="M104"/>
  <c r="N104"/>
  <c r="O104"/>
  <c r="P104"/>
  <c r="Q104"/>
  <c r="R104"/>
  <c r="S104"/>
  <c r="T104"/>
  <c r="U104"/>
  <c r="X104"/>
  <c r="Y104"/>
  <c r="Z104"/>
  <c r="AA104"/>
  <c r="AB104"/>
  <c r="AC104"/>
  <c r="AD104"/>
  <c r="AE104"/>
  <c r="AF104"/>
  <c r="AG104"/>
  <c r="AI104"/>
  <c r="AJ104"/>
  <c r="AK104"/>
  <c r="AL104"/>
  <c r="AM104"/>
  <c r="AN104"/>
  <c r="AO104"/>
  <c r="AR104"/>
  <c r="AS104"/>
  <c r="AT104"/>
  <c r="AU104"/>
  <c r="AV104"/>
  <c r="AW104"/>
  <c r="AX104"/>
  <c r="AY104"/>
  <c r="AZ104"/>
  <c r="BA104"/>
  <c r="BB104"/>
  <c r="BC104"/>
  <c r="BD104"/>
  <c r="BE104"/>
  <c r="BF104"/>
  <c r="BG104"/>
  <c r="BH104"/>
  <c r="BI104"/>
  <c r="D105"/>
  <c r="E105"/>
  <c r="F105"/>
  <c r="G105"/>
  <c r="H105"/>
  <c r="I105"/>
  <c r="J105"/>
  <c r="K105"/>
  <c r="L105"/>
  <c r="M105"/>
  <c r="N105"/>
  <c r="O105"/>
  <c r="P105"/>
  <c r="Q105"/>
  <c r="R105"/>
  <c r="S105"/>
  <c r="T105"/>
  <c r="U105"/>
  <c r="X105"/>
  <c r="Y105"/>
  <c r="Z105"/>
  <c r="AA105"/>
  <c r="AB105"/>
  <c r="AC105"/>
  <c r="AD105"/>
  <c r="AE105"/>
  <c r="AF105"/>
  <c r="AG105"/>
  <c r="AI105"/>
  <c r="AJ105"/>
  <c r="AK105"/>
  <c r="AL105"/>
  <c r="AM105"/>
  <c r="AN105"/>
  <c r="AO105"/>
  <c r="AR105"/>
  <c r="AS105"/>
  <c r="AT105"/>
  <c r="AU105"/>
  <c r="AV105"/>
  <c r="AW105"/>
  <c r="AX105"/>
  <c r="AY105"/>
  <c r="AZ105"/>
  <c r="BA105"/>
  <c r="BB105"/>
  <c r="BC105"/>
  <c r="BD105"/>
  <c r="BE105"/>
  <c r="BF105"/>
  <c r="BG105"/>
  <c r="BH105"/>
  <c r="BI105"/>
  <c r="D106"/>
  <c r="E106"/>
  <c r="F106"/>
  <c r="G106"/>
  <c r="H106"/>
  <c r="I106"/>
  <c r="J106"/>
  <c r="K106"/>
  <c r="L106"/>
  <c r="M106"/>
  <c r="N106"/>
  <c r="O106"/>
  <c r="P106"/>
  <c r="Q106"/>
  <c r="R106"/>
  <c r="S106"/>
  <c r="T106"/>
  <c r="U106"/>
  <c r="X106"/>
  <c r="Y106"/>
  <c r="Z106"/>
  <c r="AA106"/>
  <c r="AB106"/>
  <c r="AC106"/>
  <c r="AD106"/>
  <c r="AE106"/>
  <c r="AF106"/>
  <c r="AG106"/>
  <c r="AI106"/>
  <c r="AJ106"/>
  <c r="AK106"/>
  <c r="AL106"/>
  <c r="AM106"/>
  <c r="AN106"/>
  <c r="AO106"/>
  <c r="AR106"/>
  <c r="AS106"/>
  <c r="AT106"/>
  <c r="AU106"/>
  <c r="AV106"/>
  <c r="AW106"/>
  <c r="AX106"/>
  <c r="AY106"/>
  <c r="AZ106"/>
  <c r="BA106"/>
  <c r="BB106"/>
  <c r="BC106"/>
  <c r="BD106"/>
  <c r="BE106"/>
  <c r="BF106"/>
  <c r="BG106"/>
  <c r="BH106"/>
  <c r="BI106"/>
  <c r="D107"/>
  <c r="E107"/>
  <c r="F107"/>
  <c r="G107"/>
  <c r="H107"/>
  <c r="I107"/>
  <c r="J107"/>
  <c r="K107"/>
  <c r="L107"/>
  <c r="M107"/>
  <c r="N107"/>
  <c r="O107"/>
  <c r="P107"/>
  <c r="Q107"/>
  <c r="R107"/>
  <c r="S107"/>
  <c r="T107"/>
  <c r="U107"/>
  <c r="X107"/>
  <c r="Y107"/>
  <c r="Z107"/>
  <c r="AA107"/>
  <c r="AB107"/>
  <c r="AC107"/>
  <c r="AD107"/>
  <c r="AE107"/>
  <c r="AF107"/>
  <c r="AG107"/>
  <c r="AI107"/>
  <c r="AJ107"/>
  <c r="AK107"/>
  <c r="AL107"/>
  <c r="AM107"/>
  <c r="AN107"/>
  <c r="AO107"/>
  <c r="AR107"/>
  <c r="AS107"/>
  <c r="AT107"/>
  <c r="AU107"/>
  <c r="AV107"/>
  <c r="AW107"/>
  <c r="AX107"/>
  <c r="AY107"/>
  <c r="AZ107"/>
  <c r="BA107"/>
  <c r="BB107"/>
  <c r="BC107"/>
  <c r="BD107"/>
  <c r="BE107"/>
  <c r="BF107"/>
  <c r="BG107"/>
  <c r="BH107"/>
  <c r="BI107"/>
  <c r="D108"/>
  <c r="E108"/>
  <c r="F108"/>
  <c r="G108"/>
  <c r="H108"/>
  <c r="I108"/>
  <c r="J108"/>
  <c r="K108"/>
  <c r="L108"/>
  <c r="M108"/>
  <c r="N108"/>
  <c r="O108"/>
  <c r="P108"/>
  <c r="Q108"/>
  <c r="R108"/>
  <c r="S108"/>
  <c r="T108"/>
  <c r="U108"/>
  <c r="X108"/>
  <c r="Y108"/>
  <c r="Z108"/>
  <c r="AA108"/>
  <c r="AB108"/>
  <c r="AC108"/>
  <c r="AD108"/>
  <c r="AE108"/>
  <c r="AF108"/>
  <c r="AG108"/>
  <c r="AI108"/>
  <c r="AJ108"/>
  <c r="AK108"/>
  <c r="AL108"/>
  <c r="AM108"/>
  <c r="AN108"/>
  <c r="AO108"/>
  <c r="AR108"/>
  <c r="AS108"/>
  <c r="AT108"/>
  <c r="AU108"/>
  <c r="AV108"/>
  <c r="AW108"/>
  <c r="AX108"/>
  <c r="AY108"/>
  <c r="AZ108"/>
  <c r="BA108"/>
  <c r="BB108"/>
  <c r="BC108"/>
  <c r="BD108"/>
  <c r="BE108"/>
  <c r="BF108"/>
  <c r="BG108"/>
  <c r="BH108"/>
  <c r="BI108"/>
  <c r="D109"/>
  <c r="E109"/>
  <c r="F109"/>
  <c r="G109"/>
  <c r="H109"/>
  <c r="I109"/>
  <c r="J109"/>
  <c r="K109"/>
  <c r="L109"/>
  <c r="M109"/>
  <c r="N109"/>
  <c r="O109"/>
  <c r="P109"/>
  <c r="Q109"/>
  <c r="R109"/>
  <c r="S109"/>
  <c r="T109"/>
  <c r="U109"/>
  <c r="X109"/>
  <c r="Y109"/>
  <c r="Z109"/>
  <c r="AA109"/>
  <c r="AB109"/>
  <c r="AC109"/>
  <c r="AD109"/>
  <c r="AE109"/>
  <c r="AF109"/>
  <c r="AG109"/>
  <c r="AI109"/>
  <c r="AJ109"/>
  <c r="AK109"/>
  <c r="AL109"/>
  <c r="AM109"/>
  <c r="AN109"/>
  <c r="AO109"/>
  <c r="AR109"/>
  <c r="AS109"/>
  <c r="AT109"/>
  <c r="AU109"/>
  <c r="AV109"/>
  <c r="AW109"/>
  <c r="AX109"/>
  <c r="AY109"/>
  <c r="AZ109"/>
  <c r="BA109"/>
  <c r="BB109"/>
  <c r="BC109"/>
  <c r="BD109"/>
  <c r="BE109"/>
  <c r="BF109"/>
  <c r="BG109"/>
  <c r="BH109"/>
  <c r="BI109"/>
  <c r="D110"/>
  <c r="E110"/>
  <c r="F110"/>
  <c r="G110"/>
  <c r="H110"/>
  <c r="I110"/>
  <c r="J110"/>
  <c r="K110"/>
  <c r="L110"/>
  <c r="M110"/>
  <c r="N110"/>
  <c r="O110"/>
  <c r="P110"/>
  <c r="Q110"/>
  <c r="R110"/>
  <c r="S110"/>
  <c r="T110"/>
  <c r="U110"/>
  <c r="X110"/>
  <c r="Y110"/>
  <c r="Z110"/>
  <c r="AA110"/>
  <c r="AB110"/>
  <c r="AC110"/>
  <c r="AD110"/>
  <c r="AE110"/>
  <c r="AF110"/>
  <c r="AG110"/>
  <c r="AI110"/>
  <c r="AJ110"/>
  <c r="AK110"/>
  <c r="AL110"/>
  <c r="AM110"/>
  <c r="AN110"/>
  <c r="AO110"/>
  <c r="AR110"/>
  <c r="AS110"/>
  <c r="AT110"/>
  <c r="AU110"/>
  <c r="AV110"/>
  <c r="AW110"/>
  <c r="AX110"/>
  <c r="AY110"/>
  <c r="AZ110"/>
  <c r="BA110"/>
  <c r="BB110"/>
  <c r="BC110"/>
  <c r="BD110"/>
  <c r="BE110"/>
  <c r="BF110"/>
  <c r="BG110"/>
  <c r="BH110"/>
  <c r="BI110"/>
  <c r="D111"/>
  <c r="E111"/>
  <c r="F111"/>
  <c r="G111"/>
  <c r="H111"/>
  <c r="I111"/>
  <c r="J111"/>
  <c r="K111"/>
  <c r="L111"/>
  <c r="M111"/>
  <c r="N111"/>
  <c r="O111"/>
  <c r="P111"/>
  <c r="Q111"/>
  <c r="R111"/>
  <c r="S111"/>
  <c r="T111"/>
  <c r="U111"/>
  <c r="X111"/>
  <c r="Y111"/>
  <c r="Z111"/>
  <c r="AA111"/>
  <c r="AB111"/>
  <c r="AC111"/>
  <c r="AD111"/>
  <c r="AE111"/>
  <c r="AF111"/>
  <c r="AG111"/>
  <c r="AI111"/>
  <c r="AJ111"/>
  <c r="AK111"/>
  <c r="AL111"/>
  <c r="AM111"/>
  <c r="AN111"/>
  <c r="AO111"/>
  <c r="AR111"/>
  <c r="AS111"/>
  <c r="AT111"/>
  <c r="AU111"/>
  <c r="AV111"/>
  <c r="AW111"/>
  <c r="AX111"/>
  <c r="AY111"/>
  <c r="AZ111"/>
  <c r="BA111"/>
  <c r="BB111"/>
  <c r="BC111"/>
  <c r="BD111"/>
  <c r="BE111"/>
  <c r="BF111"/>
  <c r="BG111"/>
  <c r="BH111"/>
  <c r="BI111"/>
  <c r="D112"/>
  <c r="E112"/>
  <c r="F112"/>
  <c r="G112"/>
  <c r="H112"/>
  <c r="I112"/>
  <c r="J112"/>
  <c r="K112"/>
  <c r="L112"/>
  <c r="M112"/>
  <c r="N112"/>
  <c r="O112"/>
  <c r="P112"/>
  <c r="Q112"/>
  <c r="R112"/>
  <c r="S112"/>
  <c r="T112"/>
  <c r="U112"/>
  <c r="X112"/>
  <c r="Y112"/>
  <c r="Z112"/>
  <c r="AA112"/>
  <c r="AB112"/>
  <c r="AC112"/>
  <c r="AD112"/>
  <c r="AE112"/>
  <c r="AF112"/>
  <c r="AG112"/>
  <c r="AI112"/>
  <c r="AJ112"/>
  <c r="AK112"/>
  <c r="AL112"/>
  <c r="AM112"/>
  <c r="AN112"/>
  <c r="AO112"/>
  <c r="AR112"/>
  <c r="AS112"/>
  <c r="AT112"/>
  <c r="AU112"/>
  <c r="AV112"/>
  <c r="AW112"/>
  <c r="AX112"/>
  <c r="AY112"/>
  <c r="AZ112"/>
  <c r="BA112"/>
  <c r="BB112"/>
  <c r="BC112"/>
  <c r="BD112"/>
  <c r="BE112"/>
  <c r="BF112"/>
  <c r="BG112"/>
  <c r="BH112"/>
  <c r="BI112"/>
  <c r="AS8"/>
  <c r="AT8"/>
  <c r="AU8"/>
  <c r="AV8"/>
  <c r="AW8"/>
  <c r="AX8"/>
  <c r="AY8"/>
  <c r="AZ8"/>
  <c r="BA8"/>
  <c r="BB8"/>
  <c r="BC8"/>
  <c r="BD8"/>
  <c r="BE8"/>
  <c r="BF8"/>
  <c r="BG8"/>
  <c r="BH8"/>
  <c r="BI8"/>
  <c r="AR8"/>
  <c r="Y8"/>
  <c r="Z8"/>
  <c r="AA8"/>
  <c r="AB8"/>
  <c r="AC8"/>
  <c r="AD8"/>
  <c r="AE8"/>
  <c r="AF8"/>
  <c r="AG8"/>
  <c r="AH8"/>
  <c r="AI8"/>
  <c r="AJ8"/>
  <c r="AK8"/>
  <c r="AL8"/>
  <c r="AM8"/>
  <c r="AN8"/>
  <c r="AO8"/>
  <c r="X8"/>
  <c r="E8"/>
  <c r="F8"/>
  <c r="G8"/>
  <c r="H8"/>
  <c r="I8"/>
  <c r="J8"/>
  <c r="K8"/>
  <c r="L8"/>
  <c r="M8"/>
  <c r="N8"/>
  <c r="O8"/>
  <c r="P8"/>
  <c r="Q8"/>
  <c r="R8"/>
  <c r="S8"/>
  <c r="T8"/>
  <c r="U8"/>
  <c r="D8"/>
  <c r="U45" i="128" l="1"/>
  <c r="O227" s="1"/>
  <c r="U200"/>
  <c r="C234" s="1"/>
  <c r="U140"/>
  <c r="I233" s="1"/>
  <c r="U33"/>
  <c r="U234" s="1"/>
  <c r="U67"/>
  <c r="O213" s="1"/>
  <c r="U137"/>
  <c r="C230" s="1"/>
  <c r="U202"/>
  <c r="U237" s="1"/>
  <c r="U70"/>
  <c r="C233" s="1"/>
  <c r="U129"/>
  <c r="C213" s="1"/>
  <c r="U41"/>
  <c r="C229" s="1"/>
  <c r="U150"/>
  <c r="O247" s="1"/>
  <c r="U82"/>
  <c r="I243" s="1"/>
  <c r="U196"/>
  <c r="O238" s="1"/>
  <c r="U101"/>
  <c r="I244" s="1"/>
  <c r="U183"/>
  <c r="U240" s="1"/>
  <c r="U127"/>
  <c r="O223" s="1"/>
  <c r="U48"/>
  <c r="C219" s="1"/>
  <c r="U109"/>
  <c r="O231" s="1"/>
  <c r="U181"/>
  <c r="O242" s="1"/>
  <c r="U112"/>
  <c r="I214" s="1"/>
  <c r="U99"/>
  <c r="I219" s="1"/>
  <c r="U157"/>
  <c r="I225" s="1"/>
  <c r="U20"/>
  <c r="U233" s="1"/>
  <c r="U195"/>
  <c r="I241" s="1"/>
  <c r="U166"/>
  <c r="U219" s="1"/>
  <c r="U86"/>
  <c r="I231" s="1"/>
  <c r="U59"/>
  <c r="U95"/>
  <c r="O229" s="1"/>
  <c r="U31"/>
  <c r="C218" s="1"/>
  <c r="U199"/>
  <c r="U221" s="1"/>
  <c r="U186"/>
  <c r="I216" s="1"/>
  <c r="U177"/>
  <c r="U164"/>
  <c r="U152"/>
  <c r="U229" s="1"/>
  <c r="U43"/>
  <c r="I235" s="1"/>
  <c r="U14"/>
  <c r="C215" s="1"/>
  <c r="U125"/>
  <c r="I245" s="1"/>
  <c r="U110"/>
  <c r="O216" s="1"/>
  <c r="U97"/>
  <c r="I238" s="1"/>
  <c r="U94"/>
  <c r="I212" s="1"/>
  <c r="U81"/>
  <c r="U224" s="1"/>
  <c r="U38"/>
  <c r="I222" s="1"/>
  <c r="U142"/>
  <c r="U216" s="1"/>
  <c r="U27"/>
  <c r="O220" s="1"/>
  <c r="U55"/>
  <c r="I236" s="1"/>
  <c r="U139"/>
  <c r="I246" s="1"/>
  <c r="U126"/>
  <c r="U218" s="1"/>
  <c r="U113"/>
  <c r="I220" s="1"/>
  <c r="U100"/>
  <c r="I213" s="1"/>
  <c r="U89"/>
  <c r="I218" s="1"/>
  <c r="U54"/>
  <c r="I228" s="1"/>
  <c r="U114"/>
  <c r="I224" s="1"/>
  <c r="U85"/>
  <c r="O215" s="1"/>
  <c r="U73"/>
  <c r="O228" s="1"/>
  <c r="U60"/>
  <c r="O212" s="1"/>
  <c r="U185"/>
  <c r="U243" s="1"/>
  <c r="U198"/>
  <c r="I226" s="1"/>
  <c r="U172"/>
  <c r="O224" s="1"/>
  <c r="U88"/>
  <c r="U215" s="1"/>
  <c r="U178"/>
  <c r="U226" s="1"/>
  <c r="U25"/>
  <c r="U223" s="1"/>
  <c r="U13"/>
  <c r="U232" s="1"/>
  <c r="U10"/>
  <c r="U18"/>
  <c r="O239" s="1"/>
  <c r="U39"/>
  <c r="O226" s="1"/>
  <c r="U44"/>
  <c r="I211" s="1"/>
  <c r="U40"/>
  <c r="I234" s="1"/>
  <c r="U26"/>
  <c r="U212" s="1"/>
  <c r="U19"/>
  <c r="U11"/>
  <c r="U230" s="1"/>
  <c r="U165"/>
  <c r="I248" s="1"/>
  <c r="U32"/>
  <c r="I227" s="1"/>
  <c r="U28"/>
  <c r="O236" s="1"/>
  <c r="U168"/>
  <c r="O235" s="1"/>
  <c r="U131"/>
  <c r="O217" s="1"/>
  <c r="U123"/>
  <c r="O222" s="1"/>
  <c r="U46"/>
  <c r="U241" s="1"/>
  <c r="U42"/>
  <c r="I242" s="1"/>
  <c r="U187"/>
  <c r="U239" s="1"/>
  <c r="U153"/>
  <c r="I247" s="1"/>
  <c r="U151"/>
  <c r="U214" s="1"/>
  <c r="U144"/>
  <c r="C214" s="1"/>
  <c r="U29"/>
  <c r="C221" s="1"/>
  <c r="U103"/>
  <c r="U235" s="1"/>
  <c r="U17"/>
  <c r="U211" s="1"/>
  <c r="U179"/>
  <c r="U220" s="1"/>
  <c r="U170"/>
  <c r="C226" s="1"/>
  <c r="U116"/>
  <c r="C225" s="1"/>
  <c r="U189"/>
  <c r="U244" s="1"/>
  <c r="U84"/>
  <c r="C241" s="1"/>
  <c r="U30"/>
  <c r="C228" s="1"/>
  <c r="U122"/>
  <c r="I239" s="1"/>
  <c r="U138"/>
  <c r="O233" s="1"/>
  <c r="U16"/>
  <c r="C224" s="1"/>
  <c r="U12"/>
  <c r="C227" s="1"/>
  <c r="U159"/>
  <c r="O218" s="1"/>
  <c r="U155"/>
  <c r="I215" s="1"/>
  <c r="U57"/>
  <c r="C232" s="1"/>
  <c r="U15"/>
  <c r="I217" s="1"/>
  <c r="U213"/>
  <c r="I221"/>
  <c r="U197"/>
  <c r="C216" s="1"/>
  <c r="U184"/>
  <c r="O225" s="1"/>
  <c r="U171"/>
  <c r="C223" s="1"/>
  <c r="U158"/>
  <c r="C217" s="1"/>
  <c r="U149"/>
  <c r="U136"/>
  <c r="U124"/>
  <c r="O246" s="1"/>
  <c r="U111"/>
  <c r="O232" s="1"/>
  <c r="U98"/>
  <c r="I223" s="1"/>
  <c r="U71"/>
  <c r="O230" s="1"/>
  <c r="U58"/>
  <c r="I229" s="1"/>
  <c r="U76"/>
  <c r="O214" s="1"/>
  <c r="U68"/>
  <c r="O240" s="1"/>
  <c r="U74"/>
  <c r="I230" s="1"/>
  <c r="U194"/>
  <c r="U182"/>
  <c r="U227" s="1"/>
  <c r="U169"/>
  <c r="C242" s="1"/>
  <c r="U156"/>
  <c r="C231" s="1"/>
  <c r="U143"/>
  <c r="U228" s="1"/>
  <c r="U130"/>
  <c r="I232" s="1"/>
  <c r="U121"/>
  <c r="U108"/>
  <c r="U96"/>
  <c r="U87"/>
  <c r="C212" s="1"/>
  <c r="U83"/>
  <c r="O244" s="1"/>
  <c r="U69"/>
  <c r="I237" s="1"/>
  <c r="U56"/>
  <c r="C220" s="1"/>
  <c r="U61"/>
  <c r="U238" s="1"/>
  <c r="U72"/>
  <c r="C235" s="1"/>
  <c r="U231"/>
  <c r="U222"/>
  <c r="U201"/>
  <c r="C211" s="1"/>
  <c r="U188"/>
  <c r="U242" s="1"/>
  <c r="U180"/>
  <c r="U217" s="1"/>
  <c r="U167"/>
  <c r="U225" s="1"/>
  <c r="U154"/>
  <c r="C239" s="1"/>
  <c r="U141"/>
  <c r="O241" s="1"/>
  <c r="U128"/>
  <c r="I240" s="1"/>
  <c r="U115"/>
  <c r="O237" s="1"/>
  <c r="U102"/>
  <c r="C222" s="1"/>
  <c r="U75"/>
  <c r="C236" s="1"/>
  <c r="U66"/>
  <c r="U53"/>
  <c r="U47"/>
  <c r="O211" s="1"/>
  <c r="M35" i="114"/>
  <c r="L35"/>
  <c r="K35"/>
  <c r="J35"/>
  <c r="I35"/>
  <c r="H35"/>
  <c r="G35"/>
  <c r="F35"/>
  <c r="E35"/>
  <c r="D35"/>
  <c r="N33"/>
  <c r="M33"/>
  <c r="L33"/>
  <c r="K33"/>
  <c r="J33"/>
  <c r="I33"/>
  <c r="H33"/>
  <c r="G33"/>
  <c r="F33"/>
  <c r="E33"/>
  <c r="D33"/>
  <c r="N32"/>
  <c r="M32"/>
  <c r="L32"/>
  <c r="K32"/>
  <c r="J32"/>
  <c r="I32"/>
  <c r="H32"/>
  <c r="G32"/>
  <c r="F32"/>
  <c r="E32"/>
  <c r="D32"/>
  <c r="N31"/>
  <c r="M31"/>
  <c r="L31"/>
  <c r="K31"/>
  <c r="J31"/>
  <c r="I31"/>
  <c r="H31"/>
  <c r="G31"/>
  <c r="F31"/>
  <c r="E31"/>
  <c r="D31"/>
  <c r="N30"/>
  <c r="M30"/>
  <c r="L30"/>
  <c r="K30"/>
  <c r="J30"/>
  <c r="I30"/>
  <c r="H30"/>
  <c r="G30"/>
  <c r="F30"/>
  <c r="E30"/>
  <c r="D30"/>
  <c r="N28"/>
  <c r="M28"/>
  <c r="L28"/>
  <c r="K28"/>
  <c r="J28"/>
  <c r="I28"/>
  <c r="H28"/>
  <c r="G28"/>
  <c r="F28"/>
  <c r="E28"/>
  <c r="D28"/>
  <c r="N27"/>
  <c r="M27"/>
  <c r="L27"/>
  <c r="K27"/>
  <c r="J27"/>
  <c r="I27"/>
  <c r="H27"/>
  <c r="G27"/>
  <c r="F27"/>
  <c r="E27"/>
  <c r="D27"/>
  <c r="N25"/>
  <c r="M25"/>
  <c r="L25"/>
  <c r="K25"/>
  <c r="J25"/>
  <c r="I25"/>
  <c r="H25"/>
  <c r="G25"/>
  <c r="F25"/>
  <c r="E25"/>
  <c r="D25"/>
  <c r="N24"/>
  <c r="M24"/>
  <c r="L24"/>
  <c r="K24"/>
  <c r="J24"/>
  <c r="I24"/>
  <c r="H24"/>
  <c r="G24"/>
  <c r="F24"/>
  <c r="E24"/>
  <c r="D24"/>
  <c r="N22"/>
  <c r="M22"/>
  <c r="L22"/>
  <c r="K22"/>
  <c r="J22"/>
  <c r="I22"/>
  <c r="H22"/>
  <c r="G22"/>
  <c r="F22"/>
  <c r="E22"/>
  <c r="D22"/>
  <c r="N21"/>
  <c r="M21"/>
  <c r="L21"/>
  <c r="K21"/>
  <c r="J21"/>
  <c r="I21"/>
  <c r="H21"/>
  <c r="G21"/>
  <c r="F21"/>
  <c r="E21"/>
  <c r="D21"/>
  <c r="N20"/>
  <c r="M20"/>
  <c r="L20"/>
  <c r="K20"/>
  <c r="J20"/>
  <c r="I20"/>
  <c r="H20"/>
  <c r="G20"/>
  <c r="F20"/>
  <c r="E20"/>
  <c r="D20"/>
  <c r="N18"/>
  <c r="M18"/>
  <c r="L18"/>
  <c r="K18"/>
  <c r="J18"/>
  <c r="I18"/>
  <c r="H18"/>
  <c r="G18"/>
  <c r="F18"/>
  <c r="E18"/>
  <c r="D18"/>
  <c r="N17"/>
  <c r="M17"/>
  <c r="L17"/>
  <c r="K17"/>
  <c r="J17"/>
  <c r="I17"/>
  <c r="H17"/>
  <c r="G17"/>
  <c r="F17"/>
  <c r="E17"/>
  <c r="D17"/>
  <c r="N15"/>
  <c r="M15"/>
  <c r="L15"/>
  <c r="K15"/>
  <c r="J15"/>
  <c r="I15"/>
  <c r="H15"/>
  <c r="G15"/>
  <c r="F15"/>
  <c r="E15"/>
  <c r="D15"/>
  <c r="N14"/>
  <c r="M14"/>
  <c r="L14"/>
  <c r="K14"/>
  <c r="J14"/>
  <c r="I14"/>
  <c r="H14"/>
  <c r="G14"/>
  <c r="F14"/>
  <c r="E14"/>
  <c r="D14"/>
  <c r="N12"/>
  <c r="M12"/>
  <c r="L12"/>
  <c r="K12"/>
  <c r="J12"/>
  <c r="I12"/>
  <c r="H12"/>
  <c r="G12"/>
  <c r="F12"/>
  <c r="E12"/>
  <c r="D12"/>
  <c r="N11"/>
  <c r="M11"/>
  <c r="L11"/>
  <c r="K11"/>
  <c r="J11"/>
  <c r="I11"/>
  <c r="H11"/>
  <c r="G11"/>
  <c r="F11"/>
  <c r="E11"/>
  <c r="D11"/>
  <c r="N10"/>
  <c r="M10"/>
  <c r="L10"/>
  <c r="K10"/>
  <c r="J10"/>
  <c r="I10"/>
  <c r="H10"/>
  <c r="G10"/>
  <c r="F10"/>
  <c r="E10"/>
  <c r="D10"/>
  <c r="D24" i="113"/>
  <c r="D20"/>
  <c r="D21"/>
  <c r="D22"/>
  <c r="D23"/>
  <c r="D25"/>
  <c r="D26"/>
  <c r="D27"/>
  <c r="D28"/>
  <c r="D29"/>
  <c r="D30"/>
  <c r="D31"/>
  <c r="M84" i="18"/>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83"/>
  <c r="M12"/>
  <c r="M11"/>
  <c r="M13"/>
  <c r="M14"/>
  <c r="M17"/>
  <c r="M19"/>
  <c r="M21"/>
  <c r="M22"/>
  <c r="M27"/>
  <c r="M28"/>
  <c r="M30"/>
  <c r="M31"/>
  <c r="M32"/>
  <c r="M33"/>
  <c r="M36"/>
  <c r="M37"/>
  <c r="M38"/>
  <c r="M39"/>
  <c r="M40"/>
  <c r="M41"/>
  <c r="M42"/>
  <c r="M44"/>
  <c r="M47"/>
  <c r="M48"/>
  <c r="M49"/>
  <c r="M51"/>
  <c r="M52"/>
  <c r="M53"/>
  <c r="M57"/>
  <c r="M58"/>
  <c r="M59"/>
  <c r="M60"/>
  <c r="M65"/>
  <c r="M66"/>
  <c r="M67"/>
  <c r="M68"/>
  <c r="M69"/>
  <c r="M70"/>
  <c r="M71"/>
  <c r="M73"/>
  <c r="M74"/>
  <c r="M75"/>
  <c r="M77"/>
  <c r="M78"/>
  <c r="M10"/>
  <c r="C24" i="23"/>
  <c r="C13" i="22"/>
  <c r="G13" s="1"/>
  <c r="M27" i="89"/>
  <c r="M13"/>
  <c r="H22" i="90"/>
  <c r="I22" s="1"/>
  <c r="H11"/>
  <c r="I11" s="1"/>
  <c r="I12"/>
  <c r="H15"/>
  <c r="I15" s="1"/>
  <c r="I10"/>
  <c r="H18"/>
  <c r="I18" s="1"/>
  <c r="H16"/>
  <c r="I16" s="1"/>
  <c r="H14"/>
  <c r="I14" s="1"/>
  <c r="H13"/>
  <c r="I13" s="1"/>
  <c r="H20"/>
  <c r="I20" s="1"/>
  <c r="H21"/>
  <c r="I21" s="1"/>
  <c r="H17"/>
  <c r="I17" s="1"/>
  <c r="H19"/>
  <c r="I19" s="1"/>
  <c r="E64" i="89"/>
  <c r="E63"/>
  <c r="E62"/>
  <c r="E61"/>
  <c r="E60"/>
  <c r="E59"/>
  <c r="E58"/>
  <c r="E57"/>
  <c r="E56"/>
  <c r="E55"/>
  <c r="E54"/>
  <c r="E53"/>
  <c r="E52"/>
  <c r="E51"/>
  <c r="E50"/>
  <c r="E49"/>
  <c r="E48"/>
  <c r="E47"/>
  <c r="E46"/>
  <c r="E45"/>
  <c r="E44"/>
  <c r="E43"/>
  <c r="E42"/>
  <c r="E41"/>
  <c r="E40"/>
  <c r="E39"/>
  <c r="E38"/>
  <c r="E37"/>
  <c r="D64"/>
  <c r="D63"/>
  <c r="D62"/>
  <c r="D61"/>
  <c r="D60"/>
  <c r="D59"/>
  <c r="D58"/>
  <c r="D57"/>
  <c r="D56"/>
  <c r="D55"/>
  <c r="D54"/>
  <c r="D53"/>
  <c r="D52"/>
  <c r="D51"/>
  <c r="D50"/>
  <c r="D49"/>
  <c r="D48"/>
  <c r="D47"/>
  <c r="D46"/>
  <c r="D45"/>
  <c r="D44"/>
  <c r="D43"/>
  <c r="D42"/>
  <c r="D41"/>
  <c r="D40"/>
  <c r="D39"/>
  <c r="D38"/>
  <c r="D37"/>
  <c r="AY64"/>
  <c r="AX64"/>
  <c r="AW64"/>
  <c r="AV64"/>
  <c r="AU64"/>
  <c r="AT64"/>
  <c r="AS64"/>
  <c r="AR64"/>
  <c r="AQ64"/>
  <c r="AP64"/>
  <c r="AO64"/>
  <c r="AN64"/>
  <c r="AM64"/>
  <c r="AL64"/>
  <c r="AK64"/>
  <c r="AJ64"/>
  <c r="AI64"/>
  <c r="AH64"/>
  <c r="AG64"/>
  <c r="AF64"/>
  <c r="AE64"/>
  <c r="AD64"/>
  <c r="AC64"/>
  <c r="AB64"/>
  <c r="AA64"/>
  <c r="Z64"/>
  <c r="Y64"/>
  <c r="X64"/>
  <c r="W64"/>
  <c r="V64"/>
  <c r="U64"/>
  <c r="T64"/>
  <c r="S64"/>
  <c r="R64"/>
  <c r="Q64"/>
  <c r="P64"/>
  <c r="O64"/>
  <c r="N64"/>
  <c r="M64"/>
  <c r="L64"/>
  <c r="K64"/>
  <c r="J64"/>
  <c r="I64"/>
  <c r="H64"/>
  <c r="G64"/>
  <c r="AY63"/>
  <c r="AX63"/>
  <c r="AW63"/>
  <c r="AV63"/>
  <c r="AU63"/>
  <c r="AT63"/>
  <c r="AS63"/>
  <c r="AR63"/>
  <c r="AQ63"/>
  <c r="AP63"/>
  <c r="AO63"/>
  <c r="AN63"/>
  <c r="AM63"/>
  <c r="AL63"/>
  <c r="AK63"/>
  <c r="AJ63"/>
  <c r="AI63"/>
  <c r="AH63"/>
  <c r="AG63"/>
  <c r="AF63"/>
  <c r="AE63"/>
  <c r="AD63"/>
  <c r="AC63"/>
  <c r="AB63"/>
  <c r="AA63"/>
  <c r="Z63"/>
  <c r="Y63"/>
  <c r="X63"/>
  <c r="W63"/>
  <c r="V63"/>
  <c r="U63"/>
  <c r="T63"/>
  <c r="S63"/>
  <c r="R63"/>
  <c r="Q63"/>
  <c r="P63"/>
  <c r="O63"/>
  <c r="N63"/>
  <c r="M63"/>
  <c r="L63"/>
  <c r="K63"/>
  <c r="J63"/>
  <c r="I63"/>
  <c r="H63"/>
  <c r="G63"/>
  <c r="AY62"/>
  <c r="AX62"/>
  <c r="AW62"/>
  <c r="AV62"/>
  <c r="AU62"/>
  <c r="AT62"/>
  <c r="AS62"/>
  <c r="AR62"/>
  <c r="AQ62"/>
  <c r="AP62"/>
  <c r="AO62"/>
  <c r="AN62"/>
  <c r="AM62"/>
  <c r="AL62"/>
  <c r="AK62"/>
  <c r="AJ62"/>
  <c r="AI62"/>
  <c r="AH62"/>
  <c r="AG62"/>
  <c r="AF62"/>
  <c r="AE62"/>
  <c r="AD62"/>
  <c r="AC62"/>
  <c r="AB62"/>
  <c r="AA62"/>
  <c r="Z62"/>
  <c r="Y62"/>
  <c r="X62"/>
  <c r="W62"/>
  <c r="V62"/>
  <c r="U62"/>
  <c r="T62"/>
  <c r="S62"/>
  <c r="R62"/>
  <c r="Q62"/>
  <c r="P62"/>
  <c r="O62"/>
  <c r="N62"/>
  <c r="M62"/>
  <c r="L62"/>
  <c r="K62"/>
  <c r="J62"/>
  <c r="I62"/>
  <c r="H62"/>
  <c r="G62"/>
  <c r="AY61"/>
  <c r="AX61"/>
  <c r="AW61"/>
  <c r="AV61"/>
  <c r="AU61"/>
  <c r="AT61"/>
  <c r="AS61"/>
  <c r="AR61"/>
  <c r="AQ61"/>
  <c r="AP61"/>
  <c r="AO61"/>
  <c r="AN61"/>
  <c r="AM61"/>
  <c r="AL61"/>
  <c r="AK61"/>
  <c r="AJ61"/>
  <c r="AI61"/>
  <c r="AH61"/>
  <c r="AG61"/>
  <c r="AF61"/>
  <c r="AE61"/>
  <c r="AD61"/>
  <c r="AC61"/>
  <c r="AB61"/>
  <c r="AA61"/>
  <c r="Z61"/>
  <c r="Y61"/>
  <c r="X61"/>
  <c r="W61"/>
  <c r="V61"/>
  <c r="U61"/>
  <c r="T61"/>
  <c r="S61"/>
  <c r="R61"/>
  <c r="Q61"/>
  <c r="P61"/>
  <c r="O61"/>
  <c r="N61"/>
  <c r="M61"/>
  <c r="L61"/>
  <c r="K61"/>
  <c r="J61"/>
  <c r="I61"/>
  <c r="H61"/>
  <c r="G61"/>
  <c r="AY60"/>
  <c r="AX60"/>
  <c r="AW60"/>
  <c r="AV60"/>
  <c r="AU60"/>
  <c r="AT60"/>
  <c r="AS60"/>
  <c r="AR60"/>
  <c r="AQ60"/>
  <c r="AP60"/>
  <c r="AO60"/>
  <c r="AN60"/>
  <c r="AM60"/>
  <c r="AL60"/>
  <c r="AK60"/>
  <c r="AJ60"/>
  <c r="AI60"/>
  <c r="AH60"/>
  <c r="AG60"/>
  <c r="AF60"/>
  <c r="AE60"/>
  <c r="AD60"/>
  <c r="AC60"/>
  <c r="AB60"/>
  <c r="AA60"/>
  <c r="Z60"/>
  <c r="Y60"/>
  <c r="X60"/>
  <c r="W60"/>
  <c r="V60"/>
  <c r="U60"/>
  <c r="T60"/>
  <c r="S60"/>
  <c r="R60"/>
  <c r="Q60"/>
  <c r="P60"/>
  <c r="O60"/>
  <c r="N60"/>
  <c r="M60"/>
  <c r="L60"/>
  <c r="K60"/>
  <c r="J60"/>
  <c r="I60"/>
  <c r="H60"/>
  <c r="G60"/>
  <c r="AY59"/>
  <c r="AX59"/>
  <c r="AW59"/>
  <c r="AV59"/>
  <c r="AU59"/>
  <c r="AT59"/>
  <c r="AS59"/>
  <c r="AR59"/>
  <c r="AQ59"/>
  <c r="AP59"/>
  <c r="AO59"/>
  <c r="AN59"/>
  <c r="AM59"/>
  <c r="AL59"/>
  <c r="AK59"/>
  <c r="AJ59"/>
  <c r="AI59"/>
  <c r="AH59"/>
  <c r="AG59"/>
  <c r="AF59"/>
  <c r="AE59"/>
  <c r="AD59"/>
  <c r="AC59"/>
  <c r="AB59"/>
  <c r="AA59"/>
  <c r="Z59"/>
  <c r="Y59"/>
  <c r="X59"/>
  <c r="W59"/>
  <c r="V59"/>
  <c r="U59"/>
  <c r="T59"/>
  <c r="S59"/>
  <c r="R59"/>
  <c r="Q59"/>
  <c r="P59"/>
  <c r="O59"/>
  <c r="N59"/>
  <c r="M59"/>
  <c r="L59"/>
  <c r="K59"/>
  <c r="J59"/>
  <c r="I59"/>
  <c r="H59"/>
  <c r="G59"/>
  <c r="AY58"/>
  <c r="AX58"/>
  <c r="AW58"/>
  <c r="AV58"/>
  <c r="AU58"/>
  <c r="AT58"/>
  <c r="AS58"/>
  <c r="AR58"/>
  <c r="AQ58"/>
  <c r="AP58"/>
  <c r="AO58"/>
  <c r="AN58"/>
  <c r="AM58"/>
  <c r="AL58"/>
  <c r="AK58"/>
  <c r="AJ58"/>
  <c r="AI58"/>
  <c r="AH58"/>
  <c r="AG58"/>
  <c r="AF58"/>
  <c r="AE58"/>
  <c r="AD58"/>
  <c r="AC58"/>
  <c r="AB58"/>
  <c r="AA58"/>
  <c r="Z58"/>
  <c r="Y58"/>
  <c r="X58"/>
  <c r="W58"/>
  <c r="V58"/>
  <c r="U58"/>
  <c r="T58"/>
  <c r="S58"/>
  <c r="R58"/>
  <c r="Q58"/>
  <c r="P58"/>
  <c r="O58"/>
  <c r="N58"/>
  <c r="M58"/>
  <c r="L58"/>
  <c r="K58"/>
  <c r="J58"/>
  <c r="I58"/>
  <c r="H58"/>
  <c r="G58"/>
  <c r="AY57"/>
  <c r="AX57"/>
  <c r="AW57"/>
  <c r="AV57"/>
  <c r="AU57"/>
  <c r="AT57"/>
  <c r="AS57"/>
  <c r="AR57"/>
  <c r="AQ57"/>
  <c r="AP57"/>
  <c r="AO57"/>
  <c r="AN57"/>
  <c r="AM57"/>
  <c r="AL57"/>
  <c r="AK57"/>
  <c r="AJ57"/>
  <c r="AI57"/>
  <c r="AH57"/>
  <c r="AG57"/>
  <c r="AF57"/>
  <c r="AE57"/>
  <c r="AD57"/>
  <c r="AC57"/>
  <c r="AB57"/>
  <c r="AA57"/>
  <c r="Z57"/>
  <c r="Y57"/>
  <c r="X57"/>
  <c r="W57"/>
  <c r="V57"/>
  <c r="U57"/>
  <c r="T57"/>
  <c r="S57"/>
  <c r="R57"/>
  <c r="Q57"/>
  <c r="P57"/>
  <c r="O57"/>
  <c r="N57"/>
  <c r="M57"/>
  <c r="L57"/>
  <c r="K57"/>
  <c r="J57"/>
  <c r="I57"/>
  <c r="H57"/>
  <c r="G57"/>
  <c r="AY56"/>
  <c r="AX56"/>
  <c r="AW56"/>
  <c r="AV56"/>
  <c r="AU56"/>
  <c r="AT56"/>
  <c r="AS56"/>
  <c r="AR56"/>
  <c r="AQ56"/>
  <c r="AP56"/>
  <c r="AO56"/>
  <c r="AN56"/>
  <c r="AM56"/>
  <c r="AL56"/>
  <c r="AK56"/>
  <c r="AJ56"/>
  <c r="AI56"/>
  <c r="AH56"/>
  <c r="AG56"/>
  <c r="AF56"/>
  <c r="AE56"/>
  <c r="AD56"/>
  <c r="AC56"/>
  <c r="AB56"/>
  <c r="AA56"/>
  <c r="Z56"/>
  <c r="Y56"/>
  <c r="X56"/>
  <c r="W56"/>
  <c r="V56"/>
  <c r="U56"/>
  <c r="T56"/>
  <c r="S56"/>
  <c r="R56"/>
  <c r="Q56"/>
  <c r="P56"/>
  <c r="O56"/>
  <c r="N56"/>
  <c r="M56"/>
  <c r="L56"/>
  <c r="K56"/>
  <c r="J56"/>
  <c r="I56"/>
  <c r="H56"/>
  <c r="G56"/>
  <c r="AY55"/>
  <c r="AX55"/>
  <c r="AW55"/>
  <c r="AV55"/>
  <c r="AU55"/>
  <c r="AT55"/>
  <c r="AS55"/>
  <c r="AR55"/>
  <c r="AQ55"/>
  <c r="AP55"/>
  <c r="AO55"/>
  <c r="AN55"/>
  <c r="AM55"/>
  <c r="AL55"/>
  <c r="AK55"/>
  <c r="AJ55"/>
  <c r="AI55"/>
  <c r="AH55"/>
  <c r="AG55"/>
  <c r="AF55"/>
  <c r="AE55"/>
  <c r="AD55"/>
  <c r="AC55"/>
  <c r="AB55"/>
  <c r="AA55"/>
  <c r="Z55"/>
  <c r="Y55"/>
  <c r="X55"/>
  <c r="W55"/>
  <c r="V55"/>
  <c r="U55"/>
  <c r="T55"/>
  <c r="S55"/>
  <c r="R55"/>
  <c r="Q55"/>
  <c r="P55"/>
  <c r="O55"/>
  <c r="N55"/>
  <c r="M55"/>
  <c r="L55"/>
  <c r="K55"/>
  <c r="J55"/>
  <c r="I55"/>
  <c r="H55"/>
  <c r="G55"/>
  <c r="AY54"/>
  <c r="AX54"/>
  <c r="AW54"/>
  <c r="AV54"/>
  <c r="AU54"/>
  <c r="AT54"/>
  <c r="AS54"/>
  <c r="AR54"/>
  <c r="AQ54"/>
  <c r="AP54"/>
  <c r="AO54"/>
  <c r="AN54"/>
  <c r="AM54"/>
  <c r="AL54"/>
  <c r="AK54"/>
  <c r="AJ54"/>
  <c r="AI54"/>
  <c r="AH54"/>
  <c r="AG54"/>
  <c r="AF54"/>
  <c r="AE54"/>
  <c r="AD54"/>
  <c r="AC54"/>
  <c r="AB54"/>
  <c r="AA54"/>
  <c r="Z54"/>
  <c r="Y54"/>
  <c r="X54"/>
  <c r="W54"/>
  <c r="V54"/>
  <c r="U54"/>
  <c r="T54"/>
  <c r="S54"/>
  <c r="R54"/>
  <c r="Q54"/>
  <c r="P54"/>
  <c r="O54"/>
  <c r="N54"/>
  <c r="M54"/>
  <c r="L54"/>
  <c r="K54"/>
  <c r="J54"/>
  <c r="I54"/>
  <c r="H54"/>
  <c r="G54"/>
  <c r="AY53"/>
  <c r="AX53"/>
  <c r="AW53"/>
  <c r="AV53"/>
  <c r="AU53"/>
  <c r="AT53"/>
  <c r="AS53"/>
  <c r="AR53"/>
  <c r="AQ53"/>
  <c r="AP53"/>
  <c r="AO53"/>
  <c r="AN53"/>
  <c r="AM53"/>
  <c r="AL53"/>
  <c r="AK53"/>
  <c r="AJ53"/>
  <c r="AI53"/>
  <c r="AH53"/>
  <c r="AG53"/>
  <c r="AF53"/>
  <c r="AE53"/>
  <c r="AD53"/>
  <c r="AC53"/>
  <c r="AB53"/>
  <c r="AA53"/>
  <c r="Z53"/>
  <c r="Y53"/>
  <c r="X53"/>
  <c r="W53"/>
  <c r="V53"/>
  <c r="U53"/>
  <c r="T53"/>
  <c r="S53"/>
  <c r="R53"/>
  <c r="Q53"/>
  <c r="P53"/>
  <c r="O53"/>
  <c r="N53"/>
  <c r="M53"/>
  <c r="L53"/>
  <c r="K53"/>
  <c r="J53"/>
  <c r="I53"/>
  <c r="H53"/>
  <c r="G53"/>
  <c r="AY52"/>
  <c r="AX52"/>
  <c r="AW52"/>
  <c r="AV52"/>
  <c r="AU52"/>
  <c r="AT52"/>
  <c r="AS52"/>
  <c r="AR52"/>
  <c r="AQ52"/>
  <c r="AP52"/>
  <c r="AO52"/>
  <c r="AN52"/>
  <c r="AM52"/>
  <c r="AL52"/>
  <c r="AK52"/>
  <c r="AJ52"/>
  <c r="AI52"/>
  <c r="AH52"/>
  <c r="AG52"/>
  <c r="AF52"/>
  <c r="AE52"/>
  <c r="AD52"/>
  <c r="AC52"/>
  <c r="AB52"/>
  <c r="AA52"/>
  <c r="Z52"/>
  <c r="Y52"/>
  <c r="X52"/>
  <c r="W52"/>
  <c r="V52"/>
  <c r="U52"/>
  <c r="T52"/>
  <c r="S52"/>
  <c r="R52"/>
  <c r="Q52"/>
  <c r="P52"/>
  <c r="O52"/>
  <c r="N52"/>
  <c r="M52"/>
  <c r="L52"/>
  <c r="K52"/>
  <c r="J52"/>
  <c r="I52"/>
  <c r="H52"/>
  <c r="G52"/>
  <c r="AY51"/>
  <c r="AX51"/>
  <c r="AW51"/>
  <c r="AV51"/>
  <c r="AU51"/>
  <c r="AT51"/>
  <c r="AS51"/>
  <c r="AR51"/>
  <c r="AQ51"/>
  <c r="AP51"/>
  <c r="AO51"/>
  <c r="AN51"/>
  <c r="AM51"/>
  <c r="AL51"/>
  <c r="AK51"/>
  <c r="AJ51"/>
  <c r="AI51"/>
  <c r="AH51"/>
  <c r="AG51"/>
  <c r="AF51"/>
  <c r="AE51"/>
  <c r="AD51"/>
  <c r="AC51"/>
  <c r="AB51"/>
  <c r="AA51"/>
  <c r="Z51"/>
  <c r="Y51"/>
  <c r="X51"/>
  <c r="W51"/>
  <c r="V51"/>
  <c r="U51"/>
  <c r="T51"/>
  <c r="S51"/>
  <c r="R51"/>
  <c r="Q51"/>
  <c r="P51"/>
  <c r="O51"/>
  <c r="N51"/>
  <c r="M51"/>
  <c r="L51"/>
  <c r="K51"/>
  <c r="J51"/>
  <c r="I51"/>
  <c r="H51"/>
  <c r="G51"/>
  <c r="AY50"/>
  <c r="AX50"/>
  <c r="AW50"/>
  <c r="AV50"/>
  <c r="AU50"/>
  <c r="AT50"/>
  <c r="AS50"/>
  <c r="AR50"/>
  <c r="AQ50"/>
  <c r="AP50"/>
  <c r="AO50"/>
  <c r="AN50"/>
  <c r="AM50"/>
  <c r="AL50"/>
  <c r="AK50"/>
  <c r="AJ50"/>
  <c r="AI50"/>
  <c r="AH50"/>
  <c r="AG50"/>
  <c r="AF50"/>
  <c r="AE50"/>
  <c r="AD50"/>
  <c r="AC50"/>
  <c r="AB50"/>
  <c r="AA50"/>
  <c r="Z50"/>
  <c r="Y50"/>
  <c r="X50"/>
  <c r="W50"/>
  <c r="V50"/>
  <c r="U50"/>
  <c r="T50"/>
  <c r="S50"/>
  <c r="R50"/>
  <c r="Q50"/>
  <c r="P50"/>
  <c r="O50"/>
  <c r="N50"/>
  <c r="M50"/>
  <c r="L50"/>
  <c r="K50"/>
  <c r="J50"/>
  <c r="I50"/>
  <c r="H50"/>
  <c r="G50"/>
  <c r="AX49"/>
  <c r="AW49"/>
  <c r="AV49"/>
  <c r="AU49"/>
  <c r="AT49"/>
  <c r="AS49"/>
  <c r="AR49"/>
  <c r="AQ49"/>
  <c r="AP49"/>
  <c r="AO49"/>
  <c r="AN49"/>
  <c r="AM49"/>
  <c r="AL49"/>
  <c r="AK49"/>
  <c r="AJ49"/>
  <c r="AI49"/>
  <c r="AH49"/>
  <c r="AG49"/>
  <c r="AF49"/>
  <c r="AE49"/>
  <c r="AD49"/>
  <c r="AC49"/>
  <c r="AB49"/>
  <c r="AA49"/>
  <c r="Z49"/>
  <c r="Y49"/>
  <c r="X49"/>
  <c r="W49"/>
  <c r="V49"/>
  <c r="U49"/>
  <c r="T49"/>
  <c r="S49"/>
  <c r="R49"/>
  <c r="Q49"/>
  <c r="P49"/>
  <c r="O49"/>
  <c r="N49"/>
  <c r="M49"/>
  <c r="L49"/>
  <c r="K49"/>
  <c r="J49"/>
  <c r="I49"/>
  <c r="H49"/>
  <c r="G49"/>
  <c r="AW48"/>
  <c r="AV48"/>
  <c r="AU48"/>
  <c r="AT48"/>
  <c r="AS48"/>
  <c r="AR48"/>
  <c r="AQ48"/>
  <c r="AP48"/>
  <c r="AO48"/>
  <c r="AN48"/>
  <c r="AM48"/>
  <c r="AL48"/>
  <c r="AK48"/>
  <c r="AJ48"/>
  <c r="AI48"/>
  <c r="AH48"/>
  <c r="AG48"/>
  <c r="AF48"/>
  <c r="AE48"/>
  <c r="AD48"/>
  <c r="AC48"/>
  <c r="AB48"/>
  <c r="AA48"/>
  <c r="Z48"/>
  <c r="Y48"/>
  <c r="X48"/>
  <c r="W48"/>
  <c r="V48"/>
  <c r="U48"/>
  <c r="T48"/>
  <c r="S48"/>
  <c r="R48"/>
  <c r="Q48"/>
  <c r="P48"/>
  <c r="O48"/>
  <c r="N48"/>
  <c r="M48"/>
  <c r="L48"/>
  <c r="K48"/>
  <c r="J48"/>
  <c r="I48"/>
  <c r="H48"/>
  <c r="G48"/>
  <c r="AV47"/>
  <c r="AU47"/>
  <c r="AT47"/>
  <c r="AS47"/>
  <c r="AR47"/>
  <c r="AQ47"/>
  <c r="AP47"/>
  <c r="AO47"/>
  <c r="AN47"/>
  <c r="AM47"/>
  <c r="AL47"/>
  <c r="AK47"/>
  <c r="AJ47"/>
  <c r="AI47"/>
  <c r="AH47"/>
  <c r="AG47"/>
  <c r="AF47"/>
  <c r="AE47"/>
  <c r="AD47"/>
  <c r="AC47"/>
  <c r="AB47"/>
  <c r="AA47"/>
  <c r="Z47"/>
  <c r="Y47"/>
  <c r="X47"/>
  <c r="W47"/>
  <c r="V47"/>
  <c r="U47"/>
  <c r="T47"/>
  <c r="S47"/>
  <c r="R47"/>
  <c r="Q47"/>
  <c r="P47"/>
  <c r="O47"/>
  <c r="N47"/>
  <c r="M47"/>
  <c r="L47"/>
  <c r="K47"/>
  <c r="J47"/>
  <c r="I47"/>
  <c r="H47"/>
  <c r="G47"/>
  <c r="AU46"/>
  <c r="AT46"/>
  <c r="AS46"/>
  <c r="AR46"/>
  <c r="AQ46"/>
  <c r="AP46"/>
  <c r="AO46"/>
  <c r="AN46"/>
  <c r="AM46"/>
  <c r="AL46"/>
  <c r="AK46"/>
  <c r="AJ46"/>
  <c r="AI46"/>
  <c r="AH46"/>
  <c r="AG46"/>
  <c r="AF46"/>
  <c r="AE46"/>
  <c r="AD46"/>
  <c r="AC46"/>
  <c r="AB46"/>
  <c r="AA46"/>
  <c r="Z46"/>
  <c r="Y46"/>
  <c r="X46"/>
  <c r="W46"/>
  <c r="V46"/>
  <c r="U46"/>
  <c r="T46"/>
  <c r="S46"/>
  <c r="R46"/>
  <c r="Q46"/>
  <c r="P46"/>
  <c r="O46"/>
  <c r="N46"/>
  <c r="M46"/>
  <c r="L46"/>
  <c r="K46"/>
  <c r="J46"/>
  <c r="I46"/>
  <c r="H46"/>
  <c r="G46"/>
  <c r="AT45"/>
  <c r="AS45"/>
  <c r="AR45"/>
  <c r="AQ45"/>
  <c r="AP45"/>
  <c r="AO45"/>
  <c r="AN45"/>
  <c r="AM45"/>
  <c r="AL45"/>
  <c r="AK45"/>
  <c r="AJ45"/>
  <c r="AI45"/>
  <c r="AH45"/>
  <c r="AG45"/>
  <c r="AF45"/>
  <c r="AE45"/>
  <c r="AD45"/>
  <c r="AC45"/>
  <c r="AB45"/>
  <c r="AA45"/>
  <c r="Z45"/>
  <c r="Y45"/>
  <c r="X45"/>
  <c r="W45"/>
  <c r="V45"/>
  <c r="U45"/>
  <c r="T45"/>
  <c r="S45"/>
  <c r="R45"/>
  <c r="Q45"/>
  <c r="P45"/>
  <c r="O45"/>
  <c r="N45"/>
  <c r="M45"/>
  <c r="L45"/>
  <c r="K45"/>
  <c r="J45"/>
  <c r="I45"/>
  <c r="H45"/>
  <c r="G45"/>
  <c r="AS44"/>
  <c r="AR44"/>
  <c r="AQ44"/>
  <c r="AP44"/>
  <c r="AO44"/>
  <c r="AN44"/>
  <c r="AM44"/>
  <c r="AL44"/>
  <c r="AK44"/>
  <c r="AJ44"/>
  <c r="AI44"/>
  <c r="AH44"/>
  <c r="AG44"/>
  <c r="AF44"/>
  <c r="AE44"/>
  <c r="AD44"/>
  <c r="AC44"/>
  <c r="AB44"/>
  <c r="AA44"/>
  <c r="Z44"/>
  <c r="Y44"/>
  <c r="X44"/>
  <c r="W44"/>
  <c r="V44"/>
  <c r="U44"/>
  <c r="T44"/>
  <c r="S44"/>
  <c r="R44"/>
  <c r="Q44"/>
  <c r="P44"/>
  <c r="O44"/>
  <c r="N44"/>
  <c r="M44"/>
  <c r="L44"/>
  <c r="K44"/>
  <c r="J44"/>
  <c r="I44"/>
  <c r="H44"/>
  <c r="G44"/>
  <c r="AR43"/>
  <c r="AQ43"/>
  <c r="AP43"/>
  <c r="AO43"/>
  <c r="AN43"/>
  <c r="AM43"/>
  <c r="AL43"/>
  <c r="AK43"/>
  <c r="AJ43"/>
  <c r="AI43"/>
  <c r="AH43"/>
  <c r="AG43"/>
  <c r="AF43"/>
  <c r="AE43"/>
  <c r="AD43"/>
  <c r="AC43"/>
  <c r="AB43"/>
  <c r="AA43"/>
  <c r="Z43"/>
  <c r="Y43"/>
  <c r="X43"/>
  <c r="W43"/>
  <c r="V43"/>
  <c r="U43"/>
  <c r="T43"/>
  <c r="S43"/>
  <c r="R43"/>
  <c r="Q43"/>
  <c r="P43"/>
  <c r="O43"/>
  <c r="N43"/>
  <c r="M43"/>
  <c r="L43"/>
  <c r="K43"/>
  <c r="J43"/>
  <c r="I43"/>
  <c r="H43"/>
  <c r="G43"/>
  <c r="AQ42"/>
  <c r="AP42"/>
  <c r="AO42"/>
  <c r="AN42"/>
  <c r="AM42"/>
  <c r="AL42"/>
  <c r="AK42"/>
  <c r="AJ42"/>
  <c r="AI42"/>
  <c r="AH42"/>
  <c r="AG42"/>
  <c r="AF42"/>
  <c r="AE42"/>
  <c r="AD42"/>
  <c r="AC42"/>
  <c r="AB42"/>
  <c r="AA42"/>
  <c r="Z42"/>
  <c r="Y42"/>
  <c r="X42"/>
  <c r="W42"/>
  <c r="V42"/>
  <c r="U42"/>
  <c r="T42"/>
  <c r="S42"/>
  <c r="R42"/>
  <c r="Q42"/>
  <c r="P42"/>
  <c r="O42"/>
  <c r="N42"/>
  <c r="M42"/>
  <c r="L42"/>
  <c r="K42"/>
  <c r="J42"/>
  <c r="I42"/>
  <c r="H42"/>
  <c r="G42"/>
  <c r="AP41"/>
  <c r="AO41"/>
  <c r="AN41"/>
  <c r="AM41"/>
  <c r="AL41"/>
  <c r="AK41"/>
  <c r="AJ41"/>
  <c r="AI41"/>
  <c r="AH41"/>
  <c r="AG41"/>
  <c r="AF41"/>
  <c r="AE41"/>
  <c r="AD41"/>
  <c r="AC41"/>
  <c r="AB41"/>
  <c r="AA41"/>
  <c r="Z41"/>
  <c r="Y41"/>
  <c r="X41"/>
  <c r="W41"/>
  <c r="V41"/>
  <c r="U41"/>
  <c r="T41"/>
  <c r="S41"/>
  <c r="R41"/>
  <c r="Q41"/>
  <c r="P41"/>
  <c r="O41"/>
  <c r="N41"/>
  <c r="M41"/>
  <c r="L41"/>
  <c r="K41"/>
  <c r="J41"/>
  <c r="I41"/>
  <c r="H41"/>
  <c r="G41"/>
  <c r="AO40"/>
  <c r="AN40"/>
  <c r="AM40"/>
  <c r="AL40"/>
  <c r="AK40"/>
  <c r="AJ40"/>
  <c r="AI40"/>
  <c r="AH40"/>
  <c r="AG40"/>
  <c r="AF40"/>
  <c r="AE40"/>
  <c r="AD40"/>
  <c r="AC40"/>
  <c r="AB40"/>
  <c r="AA40"/>
  <c r="Z40"/>
  <c r="Y40"/>
  <c r="X40"/>
  <c r="W40"/>
  <c r="V40"/>
  <c r="U40"/>
  <c r="T40"/>
  <c r="S40"/>
  <c r="R40"/>
  <c r="Q40"/>
  <c r="P40"/>
  <c r="O40"/>
  <c r="N40"/>
  <c r="M40"/>
  <c r="L40"/>
  <c r="K40"/>
  <c r="J40"/>
  <c r="I40"/>
  <c r="H40"/>
  <c r="G40"/>
  <c r="AN39"/>
  <c r="AM39"/>
  <c r="AL39"/>
  <c r="AK39"/>
  <c r="AJ39"/>
  <c r="AI39"/>
  <c r="AH39"/>
  <c r="AG39"/>
  <c r="AF39"/>
  <c r="AE39"/>
  <c r="AD39"/>
  <c r="AC39"/>
  <c r="AB39"/>
  <c r="AA39"/>
  <c r="Z39"/>
  <c r="Y39"/>
  <c r="X39"/>
  <c r="W39"/>
  <c r="V39"/>
  <c r="U39"/>
  <c r="T39"/>
  <c r="S39"/>
  <c r="R39"/>
  <c r="Q39"/>
  <c r="P39"/>
  <c r="O39"/>
  <c r="N39"/>
  <c r="M39"/>
  <c r="L39"/>
  <c r="K39"/>
  <c r="J39"/>
  <c r="I39"/>
  <c r="H39"/>
  <c r="G39"/>
  <c r="AM38"/>
  <c r="AL38"/>
  <c r="AK38"/>
  <c r="AJ38"/>
  <c r="AI38"/>
  <c r="AH38"/>
  <c r="AG38"/>
  <c r="AF38"/>
  <c r="AE38"/>
  <c r="AD38"/>
  <c r="AC38"/>
  <c r="AB38"/>
  <c r="AA38"/>
  <c r="Z38"/>
  <c r="Y38"/>
  <c r="X38"/>
  <c r="W38"/>
  <c r="V38"/>
  <c r="U38"/>
  <c r="T38"/>
  <c r="S38"/>
  <c r="R38"/>
  <c r="Q38"/>
  <c r="P38"/>
  <c r="O38"/>
  <c r="N38"/>
  <c r="M38"/>
  <c r="L38"/>
  <c r="K38"/>
  <c r="J38"/>
  <c r="I38"/>
  <c r="H38"/>
  <c r="G38"/>
  <c r="AL37"/>
  <c r="AK37"/>
  <c r="AJ37"/>
  <c r="AI37"/>
  <c r="AH37"/>
  <c r="AG37"/>
  <c r="AF37"/>
  <c r="AE37"/>
  <c r="AD37"/>
  <c r="AC37"/>
  <c r="AB37"/>
  <c r="AA37"/>
  <c r="Z37"/>
  <c r="Y37"/>
  <c r="X37"/>
  <c r="W37"/>
  <c r="V37"/>
  <c r="U37"/>
  <c r="T37"/>
  <c r="S37"/>
  <c r="R37"/>
  <c r="Q37"/>
  <c r="P37"/>
  <c r="O37"/>
  <c r="N37"/>
  <c r="M37"/>
  <c r="L37"/>
  <c r="K37"/>
  <c r="J37"/>
  <c r="I37"/>
  <c r="H37"/>
  <c r="G37"/>
  <c r="F64"/>
  <c r="F63"/>
  <c r="F62"/>
  <c r="F61"/>
  <c r="F60"/>
  <c r="F59"/>
  <c r="F58"/>
  <c r="F57"/>
  <c r="F56"/>
  <c r="F55"/>
  <c r="F54"/>
  <c r="F53"/>
  <c r="F52"/>
  <c r="F51"/>
  <c r="F50"/>
  <c r="F49"/>
  <c r="F48"/>
  <c r="F47"/>
  <c r="F46"/>
  <c r="F45"/>
  <c r="F44"/>
  <c r="F43"/>
  <c r="F42"/>
  <c r="F41"/>
  <c r="F40"/>
  <c r="F39"/>
  <c r="F38"/>
  <c r="F37"/>
  <c r="AK36"/>
  <c r="R28"/>
  <c r="U35"/>
  <c r="S31"/>
  <c r="S23"/>
  <c r="S19"/>
  <c r="AJ36"/>
  <c r="AI36"/>
  <c r="AH36"/>
  <c r="AG36"/>
  <c r="AF36"/>
  <c r="AE36"/>
  <c r="AD36"/>
  <c r="AC36"/>
  <c r="AB36"/>
  <c r="AA36"/>
  <c r="Z36"/>
  <c r="Y36"/>
  <c r="X36"/>
  <c r="W36"/>
  <c r="V36"/>
  <c r="U36"/>
  <c r="T36"/>
  <c r="S36"/>
  <c r="R36"/>
  <c r="Q36"/>
  <c r="P36"/>
  <c r="O36"/>
  <c r="N36"/>
  <c r="M36"/>
  <c r="L36"/>
  <c r="K36"/>
  <c r="J36"/>
  <c r="I36"/>
  <c r="H36"/>
  <c r="G36"/>
  <c r="F36"/>
  <c r="E36"/>
  <c r="D36"/>
  <c r="AJ35"/>
  <c r="AI35"/>
  <c r="AH35"/>
  <c r="AG35"/>
  <c r="AF35"/>
  <c r="AE35"/>
  <c r="AD35"/>
  <c r="AC35"/>
  <c r="AB35"/>
  <c r="AA35"/>
  <c r="Z35"/>
  <c r="Y35"/>
  <c r="X35"/>
  <c r="W35"/>
  <c r="V35"/>
  <c r="T35"/>
  <c r="S35"/>
  <c r="R35"/>
  <c r="Q35"/>
  <c r="P35"/>
  <c r="O35"/>
  <c r="N35"/>
  <c r="M35"/>
  <c r="L35"/>
  <c r="K35"/>
  <c r="J35"/>
  <c r="I35"/>
  <c r="H35"/>
  <c r="G35"/>
  <c r="F35"/>
  <c r="E35"/>
  <c r="D35"/>
  <c r="AI34"/>
  <c r="AH34"/>
  <c r="AG34"/>
  <c r="AF34"/>
  <c r="AE34"/>
  <c r="AD34"/>
  <c r="AC34"/>
  <c r="AB34"/>
  <c r="AA34"/>
  <c r="Z34"/>
  <c r="Y34"/>
  <c r="X34"/>
  <c r="W34"/>
  <c r="V34"/>
  <c r="U34"/>
  <c r="T34"/>
  <c r="S34"/>
  <c r="R34"/>
  <c r="Q34"/>
  <c r="P34"/>
  <c r="O34"/>
  <c r="N34"/>
  <c r="M34"/>
  <c r="L34"/>
  <c r="K34"/>
  <c r="J34"/>
  <c r="I34"/>
  <c r="H34"/>
  <c r="G34"/>
  <c r="F34"/>
  <c r="E34"/>
  <c r="D34"/>
  <c r="AH33"/>
  <c r="AG33"/>
  <c r="AF33"/>
  <c r="AE33"/>
  <c r="AD33"/>
  <c r="AC33"/>
  <c r="AB33"/>
  <c r="AA33"/>
  <c r="Z33"/>
  <c r="Y33"/>
  <c r="X33"/>
  <c r="W33"/>
  <c r="V33"/>
  <c r="U33"/>
  <c r="T33"/>
  <c r="S33"/>
  <c r="R33"/>
  <c r="Q33"/>
  <c r="P33"/>
  <c r="O33"/>
  <c r="N33"/>
  <c r="M33"/>
  <c r="L33"/>
  <c r="K33"/>
  <c r="J33"/>
  <c r="I33"/>
  <c r="H33"/>
  <c r="G33"/>
  <c r="F33"/>
  <c r="E33"/>
  <c r="D33"/>
  <c r="AG32"/>
  <c r="AF32"/>
  <c r="AE32"/>
  <c r="AD32"/>
  <c r="AC32"/>
  <c r="AB32"/>
  <c r="AA32"/>
  <c r="Z32"/>
  <c r="Y32"/>
  <c r="X32"/>
  <c r="W32"/>
  <c r="V32"/>
  <c r="U32"/>
  <c r="T32"/>
  <c r="S32"/>
  <c r="R32"/>
  <c r="Q32"/>
  <c r="P32"/>
  <c r="O32"/>
  <c r="N32"/>
  <c r="M32"/>
  <c r="L32"/>
  <c r="K32"/>
  <c r="J32"/>
  <c r="I32"/>
  <c r="H32"/>
  <c r="G32"/>
  <c r="F32"/>
  <c r="E32"/>
  <c r="D32"/>
  <c r="AF31"/>
  <c r="AE31"/>
  <c r="AD31"/>
  <c r="AC31"/>
  <c r="AB31"/>
  <c r="AA31"/>
  <c r="Z31"/>
  <c r="Y31"/>
  <c r="X31"/>
  <c r="W31"/>
  <c r="V31"/>
  <c r="U31"/>
  <c r="T31"/>
  <c r="R31"/>
  <c r="Q31"/>
  <c r="P31"/>
  <c r="O31"/>
  <c r="N31"/>
  <c r="M31"/>
  <c r="L31"/>
  <c r="K31"/>
  <c r="J31"/>
  <c r="I31"/>
  <c r="H31"/>
  <c r="G31"/>
  <c r="F31"/>
  <c r="E31"/>
  <c r="D31"/>
  <c r="AE30"/>
  <c r="AD30"/>
  <c r="AC30"/>
  <c r="AB30"/>
  <c r="AA30"/>
  <c r="Z30"/>
  <c r="Y30"/>
  <c r="X30"/>
  <c r="W30"/>
  <c r="V30"/>
  <c r="U30"/>
  <c r="T30"/>
  <c r="S30"/>
  <c r="R30"/>
  <c r="Q30"/>
  <c r="P30"/>
  <c r="O30"/>
  <c r="N30"/>
  <c r="M30"/>
  <c r="L30"/>
  <c r="K30"/>
  <c r="J30"/>
  <c r="I30"/>
  <c r="H30"/>
  <c r="G30"/>
  <c r="F30"/>
  <c r="E30"/>
  <c r="D30"/>
  <c r="AD29"/>
  <c r="AC29"/>
  <c r="AB29"/>
  <c r="AA29"/>
  <c r="Z29"/>
  <c r="Y29"/>
  <c r="X29"/>
  <c r="W29"/>
  <c r="V29"/>
  <c r="U29"/>
  <c r="T29"/>
  <c r="S29"/>
  <c r="R29"/>
  <c r="Q29"/>
  <c r="P29"/>
  <c r="O29"/>
  <c r="N29"/>
  <c r="M29"/>
  <c r="L29"/>
  <c r="K29"/>
  <c r="J29"/>
  <c r="I29"/>
  <c r="H29"/>
  <c r="G29"/>
  <c r="F29"/>
  <c r="E29"/>
  <c r="D29"/>
  <c r="AC28"/>
  <c r="AB28"/>
  <c r="AA28"/>
  <c r="Z28"/>
  <c r="Y28"/>
  <c r="X28"/>
  <c r="W28"/>
  <c r="V28"/>
  <c r="U28"/>
  <c r="T28"/>
  <c r="S28"/>
  <c r="Q28"/>
  <c r="P28"/>
  <c r="O28"/>
  <c r="N28"/>
  <c r="M28"/>
  <c r="L28"/>
  <c r="K28"/>
  <c r="J28"/>
  <c r="I28"/>
  <c r="H28"/>
  <c r="G28"/>
  <c r="F28"/>
  <c r="E28"/>
  <c r="D28"/>
  <c r="AB27"/>
  <c r="AA27"/>
  <c r="Z27"/>
  <c r="Y27"/>
  <c r="X27"/>
  <c r="W27"/>
  <c r="V27"/>
  <c r="U27"/>
  <c r="T27"/>
  <c r="S27"/>
  <c r="R27"/>
  <c r="Q27"/>
  <c r="P27"/>
  <c r="O27"/>
  <c r="N27"/>
  <c r="L27"/>
  <c r="K27"/>
  <c r="J27"/>
  <c r="I27"/>
  <c r="H27"/>
  <c r="G27"/>
  <c r="F27"/>
  <c r="E27"/>
  <c r="D27"/>
  <c r="AA26"/>
  <c r="Z26"/>
  <c r="Y26"/>
  <c r="X26"/>
  <c r="W26"/>
  <c r="V26"/>
  <c r="U26"/>
  <c r="T26"/>
  <c r="S26"/>
  <c r="R26"/>
  <c r="Q26"/>
  <c r="P26"/>
  <c r="O26"/>
  <c r="N26"/>
  <c r="M26"/>
  <c r="L26"/>
  <c r="K26"/>
  <c r="J26"/>
  <c r="I26"/>
  <c r="H26"/>
  <c r="G26"/>
  <c r="F26"/>
  <c r="E26"/>
  <c r="D26"/>
  <c r="Z25"/>
  <c r="Y25"/>
  <c r="X25"/>
  <c r="W25"/>
  <c r="V25"/>
  <c r="U25"/>
  <c r="T25"/>
  <c r="S25"/>
  <c r="R25"/>
  <c r="Q25"/>
  <c r="P25"/>
  <c r="O25"/>
  <c r="N25"/>
  <c r="M25"/>
  <c r="L25"/>
  <c r="K25"/>
  <c r="J25"/>
  <c r="I25"/>
  <c r="H25"/>
  <c r="G25"/>
  <c r="F25"/>
  <c r="E25"/>
  <c r="D25"/>
  <c r="Y24"/>
  <c r="X24"/>
  <c r="W24"/>
  <c r="V24"/>
  <c r="U24"/>
  <c r="T24"/>
  <c r="S24"/>
  <c r="R24"/>
  <c r="Q24"/>
  <c r="P24"/>
  <c r="O24"/>
  <c r="N24"/>
  <c r="M24"/>
  <c r="L24"/>
  <c r="K24"/>
  <c r="J24"/>
  <c r="I24"/>
  <c r="H24"/>
  <c r="G24"/>
  <c r="F24"/>
  <c r="E24"/>
  <c r="D24"/>
  <c r="X23"/>
  <c r="W23"/>
  <c r="V23"/>
  <c r="U23"/>
  <c r="T23"/>
  <c r="R23"/>
  <c r="Q23"/>
  <c r="P23"/>
  <c r="O23"/>
  <c r="N23"/>
  <c r="M23"/>
  <c r="L23"/>
  <c r="K23"/>
  <c r="J23"/>
  <c r="I23"/>
  <c r="H23"/>
  <c r="G23"/>
  <c r="F23"/>
  <c r="E23"/>
  <c r="D23"/>
  <c r="W22"/>
  <c r="V22"/>
  <c r="U22"/>
  <c r="T22"/>
  <c r="S22"/>
  <c r="R22"/>
  <c r="Q22"/>
  <c r="P22"/>
  <c r="O22"/>
  <c r="N22"/>
  <c r="M22"/>
  <c r="L22"/>
  <c r="K22"/>
  <c r="J22"/>
  <c r="I22"/>
  <c r="H22"/>
  <c r="G22"/>
  <c r="F22"/>
  <c r="E22"/>
  <c r="D22"/>
  <c r="V21"/>
  <c r="U21"/>
  <c r="T21"/>
  <c r="S21"/>
  <c r="R21"/>
  <c r="Q21"/>
  <c r="P21"/>
  <c r="O21"/>
  <c r="N21"/>
  <c r="M21"/>
  <c r="L21"/>
  <c r="K21"/>
  <c r="J21"/>
  <c r="I21"/>
  <c r="H21"/>
  <c r="G21"/>
  <c r="F21"/>
  <c r="E21"/>
  <c r="D21"/>
  <c r="U20"/>
  <c r="T20"/>
  <c r="S20"/>
  <c r="R20"/>
  <c r="Q20"/>
  <c r="P20"/>
  <c r="O20"/>
  <c r="N20"/>
  <c r="M20"/>
  <c r="L20"/>
  <c r="K20"/>
  <c r="J20"/>
  <c r="I20"/>
  <c r="H20"/>
  <c r="G20"/>
  <c r="F20"/>
  <c r="E20"/>
  <c r="D20"/>
  <c r="T19"/>
  <c r="R19"/>
  <c r="Q19"/>
  <c r="P19"/>
  <c r="O19"/>
  <c r="N19"/>
  <c r="M19"/>
  <c r="L19"/>
  <c r="K19"/>
  <c r="J19"/>
  <c r="I19"/>
  <c r="H19"/>
  <c r="G19"/>
  <c r="F19"/>
  <c r="E19"/>
  <c r="D19"/>
  <c r="S18"/>
  <c r="R18"/>
  <c r="Q18"/>
  <c r="P18"/>
  <c r="O18"/>
  <c r="N18"/>
  <c r="M18"/>
  <c r="L18"/>
  <c r="K18"/>
  <c r="J18"/>
  <c r="I18"/>
  <c r="H18"/>
  <c r="G18"/>
  <c r="F18"/>
  <c r="E18"/>
  <c r="D18"/>
  <c r="R17"/>
  <c r="Q17"/>
  <c r="P17"/>
  <c r="O17"/>
  <c r="N17"/>
  <c r="M17"/>
  <c r="L17"/>
  <c r="K17"/>
  <c r="J17"/>
  <c r="I17"/>
  <c r="H17"/>
  <c r="G17"/>
  <c r="F17"/>
  <c r="E17"/>
  <c r="D17"/>
  <c r="Q16"/>
  <c r="P16"/>
  <c r="O16"/>
  <c r="N16"/>
  <c r="M16"/>
  <c r="L16"/>
  <c r="K16"/>
  <c r="J16"/>
  <c r="I16"/>
  <c r="H16"/>
  <c r="G16"/>
  <c r="F16"/>
  <c r="E16"/>
  <c r="D16"/>
  <c r="P15"/>
  <c r="O15"/>
  <c r="N15"/>
  <c r="M15"/>
  <c r="L15"/>
  <c r="K15"/>
  <c r="J15"/>
  <c r="I15"/>
  <c r="H15"/>
  <c r="G15"/>
  <c r="F15"/>
  <c r="E15"/>
  <c r="D15"/>
  <c r="O14"/>
  <c r="N14"/>
  <c r="M14"/>
  <c r="L14"/>
  <c r="K14"/>
  <c r="J14"/>
  <c r="I14"/>
  <c r="H14"/>
  <c r="G14"/>
  <c r="F14"/>
  <c r="E14"/>
  <c r="D14"/>
  <c r="N13"/>
  <c r="L13"/>
  <c r="K13"/>
  <c r="J13"/>
  <c r="I13"/>
  <c r="H13"/>
  <c r="G13"/>
  <c r="F13"/>
  <c r="E13"/>
  <c r="D13"/>
  <c r="M12"/>
  <c r="L12"/>
  <c r="K12"/>
  <c r="J12"/>
  <c r="I12"/>
  <c r="H12"/>
  <c r="G12"/>
  <c r="F12"/>
  <c r="E12"/>
  <c r="D12"/>
  <c r="L11"/>
  <c r="K11"/>
  <c r="J11"/>
  <c r="I11"/>
  <c r="H11"/>
  <c r="G11"/>
  <c r="F11"/>
  <c r="E11"/>
  <c r="D11"/>
  <c r="K10"/>
  <c r="J10"/>
  <c r="I10"/>
  <c r="H10"/>
  <c r="G10"/>
  <c r="F10"/>
  <c r="E10"/>
  <c r="D10"/>
  <c r="J9"/>
  <c r="I9"/>
  <c r="H9"/>
  <c r="G9"/>
  <c r="F9"/>
  <c r="E9"/>
  <c r="D9"/>
  <c r="E17" i="6"/>
  <c r="E18"/>
  <c r="E19"/>
  <c r="E20"/>
  <c r="E21"/>
  <c r="E22"/>
  <c r="E23"/>
  <c r="E24"/>
  <c r="E25"/>
  <c r="E26"/>
  <c r="E16"/>
  <c r="C56" i="23"/>
  <c r="C312" s="1"/>
  <c r="C301"/>
  <c r="C320" s="1"/>
  <c r="E34" i="74"/>
  <c r="E35"/>
  <c r="E36"/>
  <c r="E33"/>
  <c r="F35"/>
  <c r="F36"/>
  <c r="F34"/>
  <c r="F33"/>
  <c r="L122" i="37"/>
  <c r="L123"/>
  <c r="L124"/>
  <c r="L125"/>
  <c r="L126"/>
  <c r="L127"/>
  <c r="L128"/>
  <c r="L129"/>
  <c r="L130"/>
  <c r="L131"/>
  <c r="L132"/>
  <c r="L133"/>
  <c r="L134"/>
  <c r="L135"/>
  <c r="L108"/>
  <c r="L109"/>
  <c r="L110"/>
  <c r="L111"/>
  <c r="L112"/>
  <c r="L113"/>
  <c r="L114"/>
  <c r="L115"/>
  <c r="L116"/>
  <c r="L117"/>
  <c r="L118"/>
  <c r="L119"/>
  <c r="L120"/>
  <c r="L121"/>
  <c r="L94"/>
  <c r="L95"/>
  <c r="L96"/>
  <c r="L97"/>
  <c r="L98"/>
  <c r="L99"/>
  <c r="L100"/>
  <c r="L101"/>
  <c r="L102"/>
  <c r="L103"/>
  <c r="L104"/>
  <c r="L105"/>
  <c r="L106"/>
  <c r="L107"/>
  <c r="L80"/>
  <c r="L81"/>
  <c r="L82"/>
  <c r="L83"/>
  <c r="L84"/>
  <c r="L85"/>
  <c r="L86"/>
  <c r="L87"/>
  <c r="L88"/>
  <c r="L89"/>
  <c r="L90"/>
  <c r="L91"/>
  <c r="L92"/>
  <c r="L93"/>
  <c r="L66"/>
  <c r="L67"/>
  <c r="L68"/>
  <c r="L69"/>
  <c r="L70"/>
  <c r="L71"/>
  <c r="L72"/>
  <c r="L73"/>
  <c r="L74"/>
  <c r="L75"/>
  <c r="L76"/>
  <c r="L77"/>
  <c r="L78"/>
  <c r="L79"/>
  <c r="L52"/>
  <c r="L53"/>
  <c r="L54"/>
  <c r="L55"/>
  <c r="L56"/>
  <c r="L57"/>
  <c r="L58"/>
  <c r="L59"/>
  <c r="L60"/>
  <c r="L61"/>
  <c r="L62"/>
  <c r="L63"/>
  <c r="L64"/>
  <c r="L65"/>
  <c r="L38"/>
  <c r="L39"/>
  <c r="L40"/>
  <c r="L41"/>
  <c r="L42"/>
  <c r="L43"/>
  <c r="L44"/>
  <c r="L45"/>
  <c r="L46"/>
  <c r="L47"/>
  <c r="L48"/>
  <c r="L49"/>
  <c r="L50"/>
  <c r="L51"/>
  <c r="L24"/>
  <c r="L25"/>
  <c r="L26"/>
  <c r="L27"/>
  <c r="L28"/>
  <c r="L29"/>
  <c r="L30"/>
  <c r="L31"/>
  <c r="L32"/>
  <c r="L33"/>
  <c r="L34"/>
  <c r="L35"/>
  <c r="L36"/>
  <c r="L37"/>
  <c r="L12"/>
  <c r="L13"/>
  <c r="L14"/>
  <c r="L15"/>
  <c r="L16"/>
  <c r="L17"/>
  <c r="L18"/>
  <c r="L19"/>
  <c r="L20"/>
  <c r="L21"/>
  <c r="L22"/>
  <c r="L23"/>
  <c r="L11"/>
  <c r="L10"/>
  <c r="D24" i="23"/>
  <c r="D320" s="1"/>
  <c r="D301"/>
  <c r="E24"/>
  <c r="E320" s="1"/>
  <c r="E301"/>
  <c r="F24"/>
  <c r="F301"/>
  <c r="G24"/>
  <c r="G301"/>
  <c r="G320"/>
  <c r="H24"/>
  <c r="H320" s="1"/>
  <c r="H301"/>
  <c r="I24"/>
  <c r="I301"/>
  <c r="D272"/>
  <c r="D319" s="1"/>
  <c r="E272"/>
  <c r="E319" s="1"/>
  <c r="F272"/>
  <c r="F319"/>
  <c r="G272"/>
  <c r="G319" s="1"/>
  <c r="H272"/>
  <c r="H319"/>
  <c r="I272"/>
  <c r="C272"/>
  <c r="C319" s="1"/>
  <c r="D240"/>
  <c r="D318" s="1"/>
  <c r="E240"/>
  <c r="E318" s="1"/>
  <c r="F240"/>
  <c r="F318" s="1"/>
  <c r="G240"/>
  <c r="G318"/>
  <c r="H240"/>
  <c r="H318" s="1"/>
  <c r="I240"/>
  <c r="I318"/>
  <c r="C240"/>
  <c r="C318" s="1"/>
  <c r="D210"/>
  <c r="D317" s="1"/>
  <c r="E210"/>
  <c r="E317" s="1"/>
  <c r="F210"/>
  <c r="F317" s="1"/>
  <c r="G210"/>
  <c r="G317" s="1"/>
  <c r="H210"/>
  <c r="H317" s="1"/>
  <c r="I210"/>
  <c r="I317" s="1"/>
  <c r="C210"/>
  <c r="C317" s="1"/>
  <c r="D180"/>
  <c r="D316" s="1"/>
  <c r="E180"/>
  <c r="E316" s="1"/>
  <c r="F180"/>
  <c r="F316" s="1"/>
  <c r="G180"/>
  <c r="G316" s="1"/>
  <c r="H180"/>
  <c r="H316" s="1"/>
  <c r="I180"/>
  <c r="I316" s="1"/>
  <c r="C180"/>
  <c r="C316" s="1"/>
  <c r="D150"/>
  <c r="D315" s="1"/>
  <c r="E150"/>
  <c r="E315" s="1"/>
  <c r="F150"/>
  <c r="F315" s="1"/>
  <c r="G150"/>
  <c r="G315"/>
  <c r="H150"/>
  <c r="H315" s="1"/>
  <c r="I150"/>
  <c r="I315"/>
  <c r="C150"/>
  <c r="C315" s="1"/>
  <c r="D120"/>
  <c r="D314"/>
  <c r="E120"/>
  <c r="E314" s="1"/>
  <c r="F120"/>
  <c r="F314"/>
  <c r="G120"/>
  <c r="G314" s="1"/>
  <c r="H120"/>
  <c r="H314" s="1"/>
  <c r="I120"/>
  <c r="I314" s="1"/>
  <c r="C120"/>
  <c r="C314" s="1"/>
  <c r="D88"/>
  <c r="D313" s="1"/>
  <c r="E88"/>
  <c r="E313" s="1"/>
  <c r="F88"/>
  <c r="F313" s="1"/>
  <c r="G88"/>
  <c r="G313" s="1"/>
  <c r="H88"/>
  <c r="H313" s="1"/>
  <c r="I88"/>
  <c r="I313" s="1"/>
  <c r="C88"/>
  <c r="C313" s="1"/>
  <c r="D56"/>
  <c r="D312" s="1"/>
  <c r="E56"/>
  <c r="E312" s="1"/>
  <c r="F56"/>
  <c r="F312" s="1"/>
  <c r="G56"/>
  <c r="G312" s="1"/>
  <c r="H56"/>
  <c r="H312" s="1"/>
  <c r="I56"/>
  <c r="I312" s="1"/>
  <c r="C108" i="22"/>
  <c r="H108" s="1"/>
  <c r="C107"/>
  <c r="H107" s="1"/>
  <c r="C106"/>
  <c r="G106" s="1"/>
  <c r="C105"/>
  <c r="G105" s="1"/>
  <c r="C104"/>
  <c r="H104" s="1"/>
  <c r="C103"/>
  <c r="H103" s="1"/>
  <c r="C102"/>
  <c r="G102" s="1"/>
  <c r="C101"/>
  <c r="G101" s="1"/>
  <c r="C100"/>
  <c r="H100" s="1"/>
  <c r="C99"/>
  <c r="H99" s="1"/>
  <c r="C98"/>
  <c r="G98" s="1"/>
  <c r="C97"/>
  <c r="G97" s="1"/>
  <c r="C96"/>
  <c r="H96" s="1"/>
  <c r="C95"/>
  <c r="H95" s="1"/>
  <c r="C94"/>
  <c r="G94" s="1"/>
  <c r="C93"/>
  <c r="G93" s="1"/>
  <c r="C92"/>
  <c r="H92" s="1"/>
  <c r="C91"/>
  <c r="H91" s="1"/>
  <c r="C90"/>
  <c r="G90" s="1"/>
  <c r="C89"/>
  <c r="G89" s="1"/>
  <c r="C88"/>
  <c r="H88" s="1"/>
  <c r="C87"/>
  <c r="H87" s="1"/>
  <c r="C86"/>
  <c r="G86" s="1"/>
  <c r="C85"/>
  <c r="G85" s="1"/>
  <c r="C84"/>
  <c r="H84" s="1"/>
  <c r="C83"/>
  <c r="H83" s="1"/>
  <c r="C82"/>
  <c r="G82" s="1"/>
  <c r="C81"/>
  <c r="G81" s="1"/>
  <c r="C80"/>
  <c r="H80" s="1"/>
  <c r="C79"/>
  <c r="H79" s="1"/>
  <c r="C78"/>
  <c r="G78" s="1"/>
  <c r="C77"/>
  <c r="G77" s="1"/>
  <c r="C76"/>
  <c r="H76" s="1"/>
  <c r="C75"/>
  <c r="H75" s="1"/>
  <c r="C74"/>
  <c r="G74" s="1"/>
  <c r="C73"/>
  <c r="G73" s="1"/>
  <c r="C72"/>
  <c r="H72" s="1"/>
  <c r="C71"/>
  <c r="H71" s="1"/>
  <c r="C70"/>
  <c r="G70" s="1"/>
  <c r="C69"/>
  <c r="G69" s="1"/>
  <c r="C68"/>
  <c r="H68" s="1"/>
  <c r="C67"/>
  <c r="H67" s="1"/>
  <c r="C66"/>
  <c r="G66" s="1"/>
  <c r="C65"/>
  <c r="G65" s="1"/>
  <c r="C64"/>
  <c r="H64" s="1"/>
  <c r="C63"/>
  <c r="H63" s="1"/>
  <c r="C62"/>
  <c r="G62" s="1"/>
  <c r="C61"/>
  <c r="G61" s="1"/>
  <c r="C60"/>
  <c r="H60" s="1"/>
  <c r="C59"/>
  <c r="H59" s="1"/>
  <c r="C58"/>
  <c r="G58" s="1"/>
  <c r="C57"/>
  <c r="G57" s="1"/>
  <c r="C56"/>
  <c r="H56" s="1"/>
  <c r="C55"/>
  <c r="H55" s="1"/>
  <c r="C54"/>
  <c r="G54" s="1"/>
  <c r="C53"/>
  <c r="G53" s="1"/>
  <c r="C52"/>
  <c r="H52" s="1"/>
  <c r="C51"/>
  <c r="H51" s="1"/>
  <c r="C50"/>
  <c r="G50" s="1"/>
  <c r="C49"/>
  <c r="G49" s="1"/>
  <c r="C48"/>
  <c r="H48" s="1"/>
  <c r="C47"/>
  <c r="H47" s="1"/>
  <c r="C46"/>
  <c r="G46" s="1"/>
  <c r="C45"/>
  <c r="G45" s="1"/>
  <c r="C44"/>
  <c r="H44" s="1"/>
  <c r="C43"/>
  <c r="H43" s="1"/>
  <c r="C42"/>
  <c r="G42" s="1"/>
  <c r="C41"/>
  <c r="G41" s="1"/>
  <c r="C40"/>
  <c r="H40" s="1"/>
  <c r="C39"/>
  <c r="H39" s="1"/>
  <c r="C38"/>
  <c r="G38" s="1"/>
  <c r="C37"/>
  <c r="G37" s="1"/>
  <c r="C36"/>
  <c r="H36" s="1"/>
  <c r="C35"/>
  <c r="H35" s="1"/>
  <c r="C34"/>
  <c r="G34" s="1"/>
  <c r="C33"/>
  <c r="G33" s="1"/>
  <c r="C32"/>
  <c r="H32" s="1"/>
  <c r="C31"/>
  <c r="H31" s="1"/>
  <c r="C30"/>
  <c r="G30" s="1"/>
  <c r="C29"/>
  <c r="G29" s="1"/>
  <c r="C28"/>
  <c r="H28" s="1"/>
  <c r="C27"/>
  <c r="H27" s="1"/>
  <c r="C26"/>
  <c r="G26" s="1"/>
  <c r="C25"/>
  <c r="G25" s="1"/>
  <c r="C24"/>
  <c r="H24" s="1"/>
  <c r="C23"/>
  <c r="H23" s="1"/>
  <c r="C22"/>
  <c r="G22" s="1"/>
  <c r="C21"/>
  <c r="G21" s="1"/>
  <c r="C20"/>
  <c r="H20" s="1"/>
  <c r="C19"/>
  <c r="H19" s="1"/>
  <c r="C18"/>
  <c r="G18" s="1"/>
  <c r="C17"/>
  <c r="G17" s="1"/>
  <c r="C16"/>
  <c r="H16" s="1"/>
  <c r="C15"/>
  <c r="H15" s="1"/>
  <c r="C14"/>
  <c r="G14" s="1"/>
  <c r="C12"/>
  <c r="H12" s="1"/>
  <c r="C11"/>
  <c r="G11" s="1"/>
  <c r="F320" i="23" l="1"/>
  <c r="I320"/>
  <c r="I319"/>
  <c r="O219" i="128"/>
  <c r="U207"/>
  <c r="U21"/>
  <c r="V25"/>
  <c r="V26"/>
  <c r="V10"/>
  <c r="V11"/>
  <c r="U34"/>
  <c r="C207"/>
  <c r="E207"/>
  <c r="U90"/>
  <c r="U190"/>
  <c r="V195"/>
  <c r="V194"/>
  <c r="U236"/>
  <c r="U203"/>
  <c r="V150"/>
  <c r="O234"/>
  <c r="V149"/>
  <c r="U160"/>
  <c r="C238"/>
  <c r="V137"/>
  <c r="V136"/>
  <c r="U145"/>
  <c r="V81"/>
  <c r="V178"/>
  <c r="V165"/>
  <c r="M207"/>
  <c r="S207"/>
  <c r="G207"/>
  <c r="V38"/>
  <c r="O207"/>
  <c r="O221"/>
  <c r="V95"/>
  <c r="V66"/>
  <c r="O243"/>
  <c r="U77"/>
  <c r="V67"/>
  <c r="C237"/>
  <c r="V122"/>
  <c r="V121"/>
  <c r="U132"/>
  <c r="U104"/>
  <c r="I207"/>
  <c r="V177"/>
  <c r="V82"/>
  <c r="V164"/>
  <c r="V39"/>
  <c r="Q207"/>
  <c r="C240"/>
  <c r="U62"/>
  <c r="V54"/>
  <c r="V53"/>
  <c r="V109"/>
  <c r="V108"/>
  <c r="O245"/>
  <c r="U117"/>
  <c r="V94"/>
  <c r="U173"/>
  <c r="K207"/>
  <c r="U49"/>
  <c r="E107" i="22"/>
  <c r="E103"/>
  <c r="E99"/>
  <c r="E95"/>
  <c r="E91"/>
  <c r="E87"/>
  <c r="E83"/>
  <c r="E79"/>
  <c r="E75"/>
  <c r="E71"/>
  <c r="E67"/>
  <c r="E63"/>
  <c r="E59"/>
  <c r="E55"/>
  <c r="E51"/>
  <c r="E47"/>
  <c r="E43"/>
  <c r="E39"/>
  <c r="E35"/>
  <c r="E31"/>
  <c r="E27"/>
  <c r="E23"/>
  <c r="E19"/>
  <c r="E15"/>
  <c r="F11"/>
  <c r="F105"/>
  <c r="F101"/>
  <c r="F97"/>
  <c r="F93"/>
  <c r="F89"/>
  <c r="F85"/>
  <c r="F81"/>
  <c r="F77"/>
  <c r="F73"/>
  <c r="F69"/>
  <c r="F65"/>
  <c r="F61"/>
  <c r="F57"/>
  <c r="F53"/>
  <c r="F49"/>
  <c r="F45"/>
  <c r="F41"/>
  <c r="F37"/>
  <c r="F33"/>
  <c r="F29"/>
  <c r="F25"/>
  <c r="F21"/>
  <c r="F17"/>
  <c r="F13"/>
  <c r="G107"/>
  <c r="G103"/>
  <c r="G99"/>
  <c r="G95"/>
  <c r="G91"/>
  <c r="G87"/>
  <c r="G83"/>
  <c r="G79"/>
  <c r="G75"/>
  <c r="G71"/>
  <c r="G67"/>
  <c r="G63"/>
  <c r="G59"/>
  <c r="G55"/>
  <c r="G51"/>
  <c r="G47"/>
  <c r="G43"/>
  <c r="G39"/>
  <c r="G35"/>
  <c r="G31"/>
  <c r="G27"/>
  <c r="G23"/>
  <c r="G19"/>
  <c r="G15"/>
  <c r="H11"/>
  <c r="H105"/>
  <c r="H101"/>
  <c r="H97"/>
  <c r="H93"/>
  <c r="H89"/>
  <c r="H85"/>
  <c r="H81"/>
  <c r="H77"/>
  <c r="H73"/>
  <c r="H69"/>
  <c r="H65"/>
  <c r="H61"/>
  <c r="H57"/>
  <c r="H53"/>
  <c r="H49"/>
  <c r="H45"/>
  <c r="H41"/>
  <c r="H37"/>
  <c r="H33"/>
  <c r="H29"/>
  <c r="H25"/>
  <c r="H21"/>
  <c r="H17"/>
  <c r="H13"/>
  <c r="E108"/>
  <c r="E104"/>
  <c r="E100"/>
  <c r="E96"/>
  <c r="E92"/>
  <c r="E88"/>
  <c r="E84"/>
  <c r="E80"/>
  <c r="E76"/>
  <c r="E72"/>
  <c r="E68"/>
  <c r="E64"/>
  <c r="E60"/>
  <c r="E56"/>
  <c r="E52"/>
  <c r="E48"/>
  <c r="E44"/>
  <c r="E40"/>
  <c r="E36"/>
  <c r="E32"/>
  <c r="E28"/>
  <c r="E24"/>
  <c r="E20"/>
  <c r="E16"/>
  <c r="E12"/>
  <c r="F106"/>
  <c r="F102"/>
  <c r="F98"/>
  <c r="F94"/>
  <c r="F90"/>
  <c r="F86"/>
  <c r="F82"/>
  <c r="F78"/>
  <c r="F74"/>
  <c r="F70"/>
  <c r="F66"/>
  <c r="F62"/>
  <c r="F58"/>
  <c r="F54"/>
  <c r="F50"/>
  <c r="F46"/>
  <c r="F42"/>
  <c r="F38"/>
  <c r="F34"/>
  <c r="F30"/>
  <c r="F26"/>
  <c r="F22"/>
  <c r="F18"/>
  <c r="F14"/>
  <c r="G108"/>
  <c r="G104"/>
  <c r="G100"/>
  <c r="G96"/>
  <c r="G92"/>
  <c r="G88"/>
  <c r="G84"/>
  <c r="G80"/>
  <c r="G76"/>
  <c r="G72"/>
  <c r="G68"/>
  <c r="G64"/>
  <c r="G60"/>
  <c r="G56"/>
  <c r="G52"/>
  <c r="G48"/>
  <c r="G44"/>
  <c r="G40"/>
  <c r="G36"/>
  <c r="G32"/>
  <c r="G28"/>
  <c r="G24"/>
  <c r="G20"/>
  <c r="G16"/>
  <c r="G12"/>
  <c r="H106"/>
  <c r="H102"/>
  <c r="H98"/>
  <c r="H94"/>
  <c r="H90"/>
  <c r="H86"/>
  <c r="H82"/>
  <c r="H78"/>
  <c r="H74"/>
  <c r="H70"/>
  <c r="H66"/>
  <c r="H62"/>
  <c r="H58"/>
  <c r="H54"/>
  <c r="H50"/>
  <c r="H46"/>
  <c r="H42"/>
  <c r="H38"/>
  <c r="H34"/>
  <c r="H30"/>
  <c r="H26"/>
  <c r="H22"/>
  <c r="H18"/>
  <c r="H14"/>
  <c r="E11"/>
  <c r="E105"/>
  <c r="E101"/>
  <c r="E97"/>
  <c r="E93"/>
  <c r="E89"/>
  <c r="E85"/>
  <c r="E81"/>
  <c r="E77"/>
  <c r="E73"/>
  <c r="E69"/>
  <c r="E65"/>
  <c r="E61"/>
  <c r="E57"/>
  <c r="E53"/>
  <c r="E49"/>
  <c r="E45"/>
  <c r="E41"/>
  <c r="E37"/>
  <c r="E33"/>
  <c r="E29"/>
  <c r="E25"/>
  <c r="E21"/>
  <c r="E17"/>
  <c r="E13"/>
  <c r="F107"/>
  <c r="F103"/>
  <c r="F99"/>
  <c r="F95"/>
  <c r="F91"/>
  <c r="F87"/>
  <c r="F83"/>
  <c r="F79"/>
  <c r="F75"/>
  <c r="F71"/>
  <c r="F67"/>
  <c r="F63"/>
  <c r="F59"/>
  <c r="F55"/>
  <c r="F51"/>
  <c r="F47"/>
  <c r="F43"/>
  <c r="F39"/>
  <c r="F35"/>
  <c r="F31"/>
  <c r="F27"/>
  <c r="F23"/>
  <c r="F19"/>
  <c r="F15"/>
  <c r="E106"/>
  <c r="E102"/>
  <c r="E98"/>
  <c r="E94"/>
  <c r="E90"/>
  <c r="E86"/>
  <c r="E82"/>
  <c r="E78"/>
  <c r="E74"/>
  <c r="E70"/>
  <c r="E66"/>
  <c r="E62"/>
  <c r="E58"/>
  <c r="E54"/>
  <c r="E50"/>
  <c r="E46"/>
  <c r="E42"/>
  <c r="E38"/>
  <c r="E34"/>
  <c r="E30"/>
  <c r="E26"/>
  <c r="E22"/>
  <c r="E18"/>
  <c r="E14"/>
  <c r="F108"/>
  <c r="F104"/>
  <c r="F100"/>
  <c r="F96"/>
  <c r="F92"/>
  <c r="F88"/>
  <c r="F84"/>
  <c r="F80"/>
  <c r="F76"/>
  <c r="F72"/>
  <c r="F68"/>
  <c r="F64"/>
  <c r="F60"/>
  <c r="F56"/>
  <c r="F52"/>
  <c r="F48"/>
  <c r="F44"/>
  <c r="F40"/>
  <c r="F36"/>
  <c r="F32"/>
  <c r="F28"/>
  <c r="F24"/>
  <c r="F20"/>
  <c r="F16"/>
  <c r="F12"/>
  <c r="V207" i="128" l="1"/>
  <c r="V206"/>
  <c r="G71" i="140" l="1"/>
  <c r="G72"/>
  <c r="C72" l="1"/>
  <c r="C71" s="1"/>
  <c r="C74" l="1"/>
  <c r="C73"/>
  <c r="C75" l="1"/>
  <c r="C77" s="1"/>
  <c r="C76"/>
  <c r="C82" l="1"/>
  <c r="C61"/>
  <c r="C62"/>
  <c r="C78"/>
  <c r="C83" s="1"/>
  <c r="E16" l="1"/>
  <c r="D62"/>
  <c r="E24" s="1"/>
  <c r="E15"/>
  <c r="D61"/>
  <c r="E23" s="1"/>
  <c r="E18" l="1"/>
  <c r="E20" s="1"/>
  <c r="E22" s="1"/>
  <c r="E17"/>
  <c r="E19" s="1"/>
  <c r="E21" s="1"/>
</calcChain>
</file>

<file path=xl/comments1.xml><?xml version="1.0" encoding="utf-8"?>
<comments xmlns="http://schemas.openxmlformats.org/spreadsheetml/2006/main">
  <authors>
    <author>HP</author>
    <author>Test</author>
    <author>Host</author>
    <author>IA</author>
  </authors>
  <commentList>
    <comment ref="B45" authorId="0">
      <text>
        <r>
          <rPr>
            <sz val="9"/>
            <color indexed="81"/>
            <rFont val="Tahoma"/>
            <family val="2"/>
            <charset val="204"/>
          </rPr>
          <t xml:space="preserve">Единственный специалист по Баллисте, который не имеет на старте навыка Артиллерии </t>
        </r>
        <r>
          <rPr>
            <i/>
            <sz val="9"/>
            <color indexed="81"/>
            <rFont val="Tahoma"/>
            <family val="2"/>
            <charset val="204"/>
          </rPr>
          <t xml:space="preserve">(Добавил </t>
        </r>
        <r>
          <rPr>
            <b/>
            <i/>
            <sz val="9"/>
            <color indexed="81"/>
            <rFont val="Tahoma"/>
            <family val="2"/>
            <charset val="204"/>
          </rPr>
          <t>ThatOne</t>
        </r>
        <r>
          <rPr>
            <i/>
            <sz val="9"/>
            <color indexed="81"/>
            <rFont val="Tahoma"/>
            <family val="2"/>
            <charset val="204"/>
          </rPr>
          <t xml:space="preserve">, </t>
        </r>
        <r>
          <rPr>
            <i/>
            <u/>
            <sz val="9"/>
            <color indexed="81"/>
            <rFont val="Tahoma"/>
            <family val="2"/>
            <charset val="204"/>
          </rPr>
          <t>forums.ag.ru</t>
        </r>
        <r>
          <rPr>
            <i/>
            <sz val="9"/>
            <color indexed="81"/>
            <rFont val="Tahoma"/>
            <family val="2"/>
            <charset val="204"/>
          </rPr>
          <t>)</t>
        </r>
        <r>
          <rPr>
            <sz val="9"/>
            <color indexed="81"/>
            <rFont val="Tahoma"/>
            <family val="2"/>
            <charset val="204"/>
          </rPr>
          <t>.</t>
        </r>
      </text>
    </comment>
    <comment ref="E66" authorId="1">
      <text>
        <r>
          <rPr>
            <b/>
            <sz val="8"/>
            <color indexed="81"/>
            <rFont val="Tahoma"/>
            <family val="2"/>
            <charset val="204"/>
          </rPr>
          <t>Один из двух героев, которые не могут колдовать своё профильное заклинание с начала игры. Второй герой - Ксарфакс.</t>
        </r>
      </text>
    </comment>
    <comment ref="E72" authorId="1">
      <text>
        <r>
          <rPr>
            <b/>
            <sz val="8"/>
            <color indexed="81"/>
            <rFont val="Tahoma"/>
            <family val="2"/>
            <charset val="204"/>
          </rPr>
          <t>Один из двух героев, которые не могут колдовать своё профильное заклинание с начала игры. Второй герой - Ксирон.</t>
        </r>
      </text>
    </comment>
    <comment ref="B96" authorId="1">
      <text>
        <r>
          <rPr>
            <b/>
            <sz val="8"/>
            <color indexed="81"/>
            <rFont val="Tahoma"/>
            <family val="2"/>
            <charset val="204"/>
          </rPr>
          <t>Имеет самую дорогостоящую максимальную стартовую армию.</t>
        </r>
      </text>
    </comment>
    <comment ref="H141" authorId="2">
      <text>
        <r>
          <rPr>
            <b/>
            <sz val="8"/>
            <color indexed="81"/>
            <rFont val="Tahoma"/>
            <family val="2"/>
            <charset val="204"/>
          </rPr>
          <t>Самый быстрый герой на старте</t>
        </r>
      </text>
    </comment>
    <comment ref="G155" authorId="3">
      <text>
        <r>
          <rPr>
            <b/>
            <sz val="8"/>
            <color indexed="81"/>
            <rFont val="Tahoma"/>
            <family val="2"/>
            <charset val="204"/>
          </rPr>
          <t>Экспертного уровня</t>
        </r>
      </text>
    </comment>
  </commentList>
</comments>
</file>

<file path=xl/comments2.xml><?xml version="1.0" encoding="utf-8"?>
<comments xmlns="http://schemas.openxmlformats.org/spreadsheetml/2006/main">
  <authors>
    <author>HP</author>
  </authors>
  <commentList>
    <comment ref="C5" authorId="0">
      <text>
        <r>
          <rPr>
            <b/>
            <sz val="9"/>
            <color indexed="81"/>
            <rFont val="Tahoma"/>
            <family val="2"/>
            <charset val="204"/>
          </rPr>
          <t>Здоровье существа</t>
        </r>
      </text>
    </comment>
    <comment ref="W5" authorId="0">
      <text>
        <r>
          <rPr>
            <b/>
            <sz val="9"/>
            <color indexed="81"/>
            <rFont val="Tahoma"/>
            <family val="2"/>
            <charset val="204"/>
          </rPr>
          <t>Здоровье существа</t>
        </r>
      </text>
    </comment>
    <comment ref="AQ5" authorId="0">
      <text>
        <r>
          <rPr>
            <b/>
            <sz val="9"/>
            <color indexed="81"/>
            <rFont val="Tahoma"/>
            <family val="2"/>
            <charset val="204"/>
          </rPr>
          <t>Здоровье существа</t>
        </r>
      </text>
    </comment>
  </commentList>
</comments>
</file>

<file path=xl/comments3.xml><?xml version="1.0" encoding="utf-8"?>
<comments xmlns="http://schemas.openxmlformats.org/spreadsheetml/2006/main">
  <authors>
    <author>HP</author>
  </authors>
  <commentList>
    <comment ref="D129" authorId="0">
      <text>
        <r>
          <rPr>
            <b/>
            <sz val="9"/>
            <color indexed="81"/>
            <rFont val="Tahoma"/>
            <family val="2"/>
            <charset val="204"/>
          </rPr>
          <t>Баг:</t>
        </r>
        <r>
          <rPr>
            <sz val="9"/>
            <color indexed="81"/>
            <rFont val="Tahoma"/>
            <family val="2"/>
            <charset val="204"/>
          </rPr>
          <t xml:space="preserve"> На самом деле игра считает Ледяных элементалей существами 4 уровня</t>
        </r>
      </text>
    </comment>
    <comment ref="D131" authorId="0">
      <text>
        <r>
          <rPr>
            <b/>
            <sz val="9"/>
            <color indexed="81"/>
            <rFont val="Tahoma"/>
            <family val="2"/>
            <charset val="204"/>
          </rPr>
          <t>Баг:</t>
        </r>
        <r>
          <rPr>
            <sz val="9"/>
            <color indexed="81"/>
            <rFont val="Tahoma"/>
            <family val="2"/>
            <charset val="204"/>
          </rPr>
          <t xml:space="preserve"> На самом деле игра считает Энергетических элементалей существами 5 уровня</t>
        </r>
      </text>
    </comment>
    <comment ref="D133" authorId="0">
      <text>
        <r>
          <rPr>
            <b/>
            <sz val="9"/>
            <color indexed="81"/>
            <rFont val="Tahoma"/>
            <family val="2"/>
            <charset val="204"/>
          </rPr>
          <t>Баг:</t>
        </r>
        <r>
          <rPr>
            <sz val="9"/>
            <color indexed="81"/>
            <rFont val="Tahoma"/>
            <family val="2"/>
            <charset val="204"/>
          </rPr>
          <t xml:space="preserve"> На самом деле игра считает Магмовых элементалей существами 3 уровня</t>
        </r>
      </text>
    </comment>
  </commentList>
</comments>
</file>

<file path=xl/comments4.xml><?xml version="1.0" encoding="utf-8"?>
<comments xmlns="http://schemas.openxmlformats.org/spreadsheetml/2006/main">
  <authors>
    <author>HP</author>
  </authors>
  <commentList>
    <comment ref="I13" authorId="0">
      <text>
        <r>
          <rPr>
            <b/>
            <sz val="9"/>
            <color indexed="81"/>
            <rFont val="Tahoma"/>
            <family val="2"/>
            <charset val="204"/>
          </rPr>
          <t>Не действует Радость, Благословление и Бешенство</t>
        </r>
      </text>
    </comment>
    <comment ref="J13" authorId="0">
      <text>
        <r>
          <rPr>
            <b/>
            <sz val="9"/>
            <color indexed="81"/>
            <rFont val="Tahoma"/>
            <family val="2"/>
            <charset val="204"/>
          </rPr>
          <t>Не действует Бешенство и Радость</t>
        </r>
      </text>
    </comment>
    <comment ref="K13" authorId="0">
      <text>
        <r>
          <rPr>
            <b/>
            <sz val="9"/>
            <color indexed="81"/>
            <rFont val="Tahoma"/>
            <family val="2"/>
            <charset val="204"/>
          </rPr>
          <t>Не действует Бешенство и Радость</t>
        </r>
      </text>
    </comment>
    <comment ref="M13" authorId="0">
      <text>
        <r>
          <rPr>
            <b/>
            <sz val="9"/>
            <color indexed="81"/>
            <rFont val="Tahoma"/>
            <family val="2"/>
            <charset val="204"/>
          </rPr>
          <t>Не действует Ускорение, Удача (кроме Баллисты), Бешенство, Благословление, Контрудар, Палач (кроме Баллисты), Радость</t>
        </r>
      </text>
    </comment>
    <comment ref="C15" authorId="0">
      <text>
        <r>
          <rPr>
            <b/>
            <sz val="9"/>
            <color indexed="81"/>
            <rFont val="Tahoma"/>
            <family val="2"/>
            <charset val="204"/>
          </rPr>
          <t>Работает при наличии Мощи отца драконов</t>
        </r>
      </text>
    </comment>
    <comment ref="C16" authorId="0">
      <text>
        <r>
          <rPr>
            <b/>
            <sz val="9"/>
            <color indexed="81"/>
            <rFont val="Tahoma"/>
            <family val="2"/>
            <charset val="204"/>
          </rPr>
          <t>Работает при наличии Мощи отца драконов</t>
        </r>
      </text>
    </comment>
    <comment ref="C25" authorId="0">
      <text>
        <r>
          <rPr>
            <b/>
            <sz val="9"/>
            <color indexed="81"/>
            <rFont val="Tahoma"/>
            <family val="2"/>
            <charset val="204"/>
          </rPr>
          <t>Работает при наличии Мощи отца драконов</t>
        </r>
      </text>
    </comment>
    <comment ref="M29" authorId="0">
      <text>
        <r>
          <rPr>
            <b/>
            <sz val="9"/>
            <color indexed="81"/>
            <rFont val="Tahoma"/>
            <family val="2"/>
            <charset val="204"/>
          </rPr>
          <t>Действует только на Баллисту</t>
        </r>
      </text>
    </comment>
    <comment ref="J38" authorId="0">
      <text>
        <r>
          <rPr>
            <b/>
            <sz val="9"/>
            <color indexed="81"/>
            <rFont val="Tahoma"/>
            <family val="2"/>
            <charset val="204"/>
          </rPr>
          <t>Не действует на Элементалей огня и Энергетических элементалей</t>
        </r>
      </text>
    </comment>
    <comment ref="C40" authorId="0">
      <text>
        <r>
          <rPr>
            <b/>
            <sz val="9"/>
            <color indexed="81"/>
            <rFont val="Tahoma"/>
            <family val="2"/>
            <charset val="204"/>
          </rPr>
          <t>Работает при наличии Мощи отца драконов</t>
        </r>
      </text>
    </comment>
    <comment ref="D41" authorId="0">
      <text>
        <r>
          <rPr>
            <b/>
            <sz val="9"/>
            <color indexed="81"/>
            <rFont val="Tahoma"/>
            <family val="2"/>
            <charset val="204"/>
          </rPr>
          <t>Работает при наличии Сферы запрещения</t>
        </r>
      </text>
    </comment>
    <comment ref="I42" authorId="0">
      <text>
        <r>
          <rPr>
            <b/>
            <sz val="9"/>
            <color indexed="81"/>
            <rFont val="Tahoma"/>
            <family val="2"/>
            <charset val="204"/>
          </rPr>
          <t>Не действует Благословление</t>
        </r>
      </text>
    </comment>
    <comment ref="K42" authorId="0">
      <text>
        <r>
          <rPr>
            <b/>
            <sz val="9"/>
            <color indexed="81"/>
            <rFont val="Tahoma"/>
            <family val="2"/>
            <charset val="204"/>
          </rPr>
          <t>Не действует Бешенство и Радость</t>
        </r>
      </text>
    </comment>
    <comment ref="M42" authorId="0">
      <text>
        <r>
          <rPr>
            <b/>
            <sz val="9"/>
            <color indexed="81"/>
            <rFont val="Tahoma"/>
            <family val="2"/>
            <charset val="204"/>
          </rPr>
          <t>Не действует Ускорение, Медлительность и Благословление</t>
        </r>
      </text>
    </comment>
    <comment ref="D43" authorId="0">
      <text>
        <r>
          <rPr>
            <b/>
            <sz val="9"/>
            <color indexed="81"/>
            <rFont val="Tahoma"/>
            <family val="2"/>
            <charset val="204"/>
          </rPr>
          <t>Работает только при нажатии на F</t>
        </r>
      </text>
    </comment>
    <comment ref="E43" authorId="0">
      <text>
        <r>
          <rPr>
            <b/>
            <sz val="9"/>
            <color indexed="81"/>
            <rFont val="Tahoma"/>
            <family val="2"/>
            <charset val="204"/>
          </rPr>
          <t>Работает Магическая стрела при нажатии на F. Площадные заклинания также даются колдовать на F, но они не наносят урона</t>
        </r>
      </text>
    </comment>
    <comment ref="F43" authorId="0">
      <text>
        <r>
          <rPr>
            <b/>
            <sz val="9"/>
            <color indexed="81"/>
            <rFont val="Tahoma"/>
            <family val="2"/>
            <charset val="204"/>
          </rPr>
          <t>Работают заклинания 1-2 уровня при нажатии на F. Площадные заклинания также даются колдовать на F, но они не наносят урона</t>
        </r>
      </text>
    </comment>
    <comment ref="C44" authorId="0">
      <text>
        <r>
          <rPr>
            <b/>
            <sz val="9"/>
            <color indexed="81"/>
            <rFont val="Tahoma"/>
            <family val="2"/>
            <charset val="204"/>
          </rPr>
          <t>Работает при наличии Мощи отца драконов</t>
        </r>
      </text>
    </comment>
    <comment ref="E45" authorId="0">
      <text>
        <r>
          <rPr>
            <b/>
            <sz val="9"/>
            <color indexed="81"/>
            <rFont val="Tahoma"/>
            <family val="2"/>
            <charset val="204"/>
          </rPr>
          <t>Работает, но отсутствует анимация эффекта при нанесении дополнительного урона от кислоты</t>
        </r>
      </text>
    </comment>
  </commentList>
</comments>
</file>

<file path=xl/comments5.xml><?xml version="1.0" encoding="utf-8"?>
<comments xmlns="http://schemas.openxmlformats.org/spreadsheetml/2006/main">
  <authors>
    <author>Данилов</author>
  </authors>
  <commentList>
    <comment ref="L57" authorId="0">
      <text>
        <r>
          <rPr>
            <b/>
            <sz val="8"/>
            <color indexed="81"/>
            <rFont val="Tahoma"/>
            <family val="2"/>
            <charset val="204"/>
          </rPr>
          <t>Условное значение</t>
        </r>
      </text>
    </comment>
    <comment ref="L58" authorId="0">
      <text>
        <r>
          <rPr>
            <b/>
            <sz val="8"/>
            <color indexed="81"/>
            <rFont val="Tahoma"/>
            <family val="2"/>
            <charset val="204"/>
          </rPr>
          <t>Условное значение</t>
        </r>
      </text>
    </comment>
  </commentList>
</comments>
</file>

<file path=xl/comments6.xml><?xml version="1.0" encoding="utf-8"?>
<comments xmlns="http://schemas.openxmlformats.org/spreadsheetml/2006/main">
  <authors>
    <author>Test</author>
    <author>HP</author>
  </authors>
  <commentList>
    <comment ref="B26" authorId="0">
      <text>
        <r>
          <rPr>
            <b/>
            <sz val="8"/>
            <color indexed="81"/>
            <rFont val="Tahoma"/>
            <family val="2"/>
            <charset val="204"/>
          </rPr>
          <t>Чит-код, после которого игра не обзовёт Вас Мошенником.</t>
        </r>
      </text>
    </comment>
    <comment ref="B60" authorId="0">
      <text>
        <r>
          <rPr>
            <b/>
            <sz val="8"/>
            <color indexed="81"/>
            <rFont val="Tahoma"/>
            <family val="2"/>
            <charset val="204"/>
          </rPr>
          <t>Чит-код, после которого игра не обзовёт Вас Мошенником.</t>
        </r>
      </text>
    </comment>
    <comment ref="B61" authorId="1">
      <text>
        <r>
          <rPr>
            <b/>
            <sz val="8"/>
            <color indexed="81"/>
            <rFont val="Tahoma"/>
            <family val="2"/>
            <charset val="204"/>
          </rPr>
          <t>Чит-код, после которого игра не обзовёт Вас Мошенником.</t>
        </r>
      </text>
    </comment>
  </commentList>
</comments>
</file>

<file path=xl/sharedStrings.xml><?xml version="1.0" encoding="utf-8"?>
<sst xmlns="http://schemas.openxmlformats.org/spreadsheetml/2006/main" count="29359" uniqueCount="10170">
  <si>
    <t>Cages</t>
  </si>
  <si>
    <t>Captain's Quarters</t>
  </si>
  <si>
    <t>5.10</t>
  </si>
  <si>
    <t>Аламар служил Арчибальду Железному Кулаку, и во время войн успеха ему было очень просто покинуть Энрот, следуя за разгромом Арчибальда. С тех пор он живет в Нихоне и тайно служит Лордам Подземелий.</t>
  </si>
  <si>
    <t>Прирост</t>
  </si>
  <si>
    <t>Доспехи</t>
  </si>
  <si>
    <t>Грифоны</t>
  </si>
  <si>
    <t>Сильвия</t>
  </si>
  <si>
    <t>Aardvark</t>
  </si>
  <si>
    <t>Муравьед</t>
  </si>
  <si>
    <t>Raven</t>
  </si>
  <si>
    <t>Ворон</t>
  </si>
  <si>
    <t>Hedgehog</t>
  </si>
  <si>
    <t>Rat</t>
  </si>
  <si>
    <t>Крыса</t>
  </si>
  <si>
    <t>Badger</t>
  </si>
  <si>
    <t>Барсук</t>
  </si>
  <si>
    <t>Dog</t>
  </si>
  <si>
    <t>Собака</t>
  </si>
  <si>
    <t>Squirrel</t>
  </si>
  <si>
    <t>Белка</t>
  </si>
  <si>
    <t>Tortoise</t>
  </si>
  <si>
    <t>Черепаха</t>
  </si>
  <si>
    <t>Eagle</t>
  </si>
  <si>
    <t>Mongoose</t>
  </si>
  <si>
    <t>Мангуст</t>
  </si>
  <si>
    <t>Weasel</t>
  </si>
  <si>
    <t>Ласка</t>
  </si>
  <si>
    <t>Gopher</t>
  </si>
  <si>
    <t>Суслик</t>
  </si>
  <si>
    <t>Ant</t>
  </si>
  <si>
    <t>Spider</t>
  </si>
  <si>
    <t>Butterfly</t>
  </si>
  <si>
    <t>Grasshopper</t>
  </si>
  <si>
    <t>Hornet</t>
  </si>
  <si>
    <t>Beetle</t>
  </si>
  <si>
    <t>Earthworm</t>
  </si>
  <si>
    <t>Spirit Guardian</t>
  </si>
  <si>
    <t>Colossus</t>
  </si>
  <si>
    <t>Skyship</t>
  </si>
  <si>
    <t>Небесный Корабль</t>
  </si>
  <si>
    <t>Soul Prison</t>
  </si>
  <si>
    <t>Сад откровения</t>
  </si>
  <si>
    <t>Темница Душ</t>
  </si>
  <si>
    <t>3.1. «200 лучше, чем 141».</t>
  </si>
  <si>
    <t>Муравей</t>
  </si>
  <si>
    <t>Паук</t>
  </si>
  <si>
    <t>Бабочка</t>
  </si>
  <si>
    <t>Саранча</t>
  </si>
  <si>
    <t>Locust</t>
  </si>
  <si>
    <t>Кузнечик</t>
  </si>
  <si>
    <t>Шершень</t>
  </si>
  <si>
    <t>Шмель</t>
  </si>
  <si>
    <t>Bumblebee</t>
  </si>
  <si>
    <t>Ladybug</t>
  </si>
  <si>
    <t>Призрак</t>
  </si>
  <si>
    <t>Порядок приоритета в атаке следующий:</t>
  </si>
  <si>
    <t>Arms of Legion</t>
  </si>
  <si>
    <t>Блэкшард Мертвого Рыцаря</t>
  </si>
  <si>
    <t>Наги</t>
  </si>
  <si>
    <t>Огры</t>
  </si>
  <si>
    <t xml:space="preserve">Семья Клавиуса всегда занимала высокое положение при дворе, владела многими землями имела политический вес. Клавиуса, старшего сына, отправили служить в армию, как отправляли всех старших сыновей в роду в течение многих веков. </t>
  </si>
  <si>
    <t>Лента Посла</t>
  </si>
  <si>
    <t>Брелок Жизни</t>
  </si>
  <si>
    <t>Брелок Смерти</t>
  </si>
  <si>
    <t>Diamond Golem</t>
  </si>
  <si>
    <t>Показать заклинания для битвы</t>
  </si>
  <si>
    <t>F1</t>
  </si>
  <si>
    <t>Дыхание смерти</t>
  </si>
  <si>
    <t>Хроники Героев</t>
  </si>
  <si>
    <t>1-4</t>
  </si>
  <si>
    <t>Навигация</t>
  </si>
  <si>
    <t>Лорд Хаарт</t>
  </si>
  <si>
    <t>Имущество</t>
  </si>
  <si>
    <t>Сорша</t>
  </si>
  <si>
    <t>Нападение</t>
  </si>
  <si>
    <t>Рыцари</t>
  </si>
  <si>
    <t>Сокровище</t>
  </si>
  <si>
    <t>Treasure</t>
  </si>
  <si>
    <t>Второстепенный</t>
  </si>
  <si>
    <t>Minor</t>
  </si>
  <si>
    <t>Основной</t>
  </si>
  <si>
    <t>Major</t>
  </si>
  <si>
    <t>Реликт</t>
  </si>
  <si>
    <t>Relic</t>
  </si>
  <si>
    <t>Шадоуден</t>
  </si>
  <si>
    <t>Scar</t>
  </si>
  <si>
    <t>Скар</t>
  </si>
  <si>
    <t>Malev</t>
  </si>
  <si>
    <t>Малев</t>
  </si>
  <si>
    <t>Castigare</t>
  </si>
  <si>
    <t>Кастигар</t>
  </si>
  <si>
    <t>Dragonnade</t>
  </si>
  <si>
    <t>Дрэгоннад</t>
  </si>
  <si>
    <t>Hypnotize</t>
  </si>
  <si>
    <t>Forgetfulness</t>
  </si>
  <si>
    <t>Blind</t>
  </si>
  <si>
    <t>Магия огня</t>
  </si>
  <si>
    <t>Магия воздуха</t>
  </si>
  <si>
    <t>Магия воды</t>
  </si>
  <si>
    <t>Элементаль огня</t>
  </si>
  <si>
    <t>Castle Gate</t>
  </si>
  <si>
    <t>Снятие заклинаний</t>
  </si>
  <si>
    <t>Поиск пути</t>
  </si>
  <si>
    <t>Маги</t>
  </si>
  <si>
    <t>Disguise</t>
  </si>
  <si>
    <t>View Air</t>
  </si>
  <si>
    <t>Fly</t>
  </si>
  <si>
    <t>Water Walk</t>
  </si>
  <si>
    <t>Радуга</t>
  </si>
  <si>
    <t>Улучшенный лабиринт</t>
  </si>
  <si>
    <t>Улучшенное логово мантикор</t>
  </si>
  <si>
    <t>Улучшенная часовня безмолвия</t>
  </si>
  <si>
    <t>Улучшенная пещера дракона</t>
  </si>
  <si>
    <t>Teleport</t>
  </si>
  <si>
    <t>Ул. Мастерская</t>
  </si>
  <si>
    <t>Upg. Parapet</t>
  </si>
  <si>
    <t>Ул. Парапет</t>
  </si>
  <si>
    <t>Upg. Golem Factory</t>
  </si>
  <si>
    <t>Атака</t>
  </si>
  <si>
    <t>Защита</t>
  </si>
  <si>
    <t>Улучшенный заоблачный храм</t>
  </si>
  <si>
    <t>Библиотека</t>
  </si>
  <si>
    <t>Смотровая башня</t>
  </si>
  <si>
    <t>Стена знаний</t>
  </si>
  <si>
    <t>Enter</t>
  </si>
  <si>
    <t>TAB</t>
  </si>
  <si>
    <t>Выход из игры</t>
  </si>
  <si>
    <t>1.1.</t>
  </si>
  <si>
    <t>1.2.</t>
  </si>
  <si>
    <t>1.3.</t>
  </si>
  <si>
    <t>1.4.</t>
  </si>
  <si>
    <t>2.1.</t>
  </si>
  <si>
    <t>2.2.</t>
  </si>
  <si>
    <t>1.5.</t>
  </si>
  <si>
    <t>Лидерство</t>
  </si>
  <si>
    <t>Стрельба</t>
  </si>
  <si>
    <t>-</t>
  </si>
  <si>
    <t>Антимагия (1)</t>
  </si>
  <si>
    <t>Воздушный щит (2)</t>
  </si>
  <si>
    <t>Лечение (3)</t>
  </si>
  <si>
    <t>Палач (4)</t>
  </si>
  <si>
    <t>Точность (5)</t>
  </si>
  <si>
    <t>Защита от воды (1)</t>
  </si>
  <si>
    <t>Защита от земли (1)</t>
  </si>
  <si>
    <t>Защита от огня (1)</t>
  </si>
  <si>
    <t>несколько</t>
  </si>
  <si>
    <t>пара</t>
  </si>
  <si>
    <t>Upg. Wyvern Nest</t>
  </si>
  <si>
    <t>Птица грома</t>
  </si>
  <si>
    <t>Король циклопов</t>
  </si>
  <si>
    <t>Древнее чудище</t>
  </si>
  <si>
    <t>Храм Валгаллы</t>
  </si>
  <si>
    <t>Черный ход</t>
  </si>
  <si>
    <t>Гильдия наемных работников</t>
  </si>
  <si>
    <t>Логово мантикор</t>
  </si>
  <si>
    <t>Улучшенный загон</t>
  </si>
  <si>
    <t>Улучшенный чердак гарпий</t>
  </si>
  <si>
    <t>Улучшенный камень глаз</t>
  </si>
  <si>
    <t>Адские гончие</t>
  </si>
  <si>
    <t>+30%</t>
  </si>
  <si>
    <t>Дракон</t>
  </si>
  <si>
    <t>Вистан</t>
  </si>
  <si>
    <t>Тазар</t>
  </si>
  <si>
    <t>Алкин</t>
  </si>
  <si>
    <t>Корбак</t>
  </si>
  <si>
    <t>Гервульф</t>
  </si>
  <si>
    <t>Брохильд</t>
  </si>
  <si>
    <t>Мирланда</t>
  </si>
  <si>
    <t>Ведьма</t>
  </si>
  <si>
    <t xml:space="preserve">Аш получила свое имя во время первого нападения на Эрафию. Ее войско сумело захватить несколько дюжин Эльфов и Гномов, находящихся в деревянной крепости. Она сотворила всего лишь одно заклинание, и крепость превратилась в кучку пепла. </t>
  </si>
  <si>
    <t>Магическая медаль маны</t>
  </si>
  <si>
    <t>Pandora's Box</t>
  </si>
  <si>
    <t>Обсерватория красного дерева</t>
  </si>
  <si>
    <t>Cover of Darkness</t>
  </si>
  <si>
    <t>Кольцо Жизненной Силы</t>
  </si>
  <si>
    <t>Медаль Дипломата</t>
  </si>
  <si>
    <t>Кольцо Жизни</t>
  </si>
  <si>
    <t>Emblem of Cognizance</t>
  </si>
  <si>
    <t>Statesman's Medal</t>
  </si>
  <si>
    <t>Diplomat's Ring</t>
  </si>
  <si>
    <t>Кольцо дипломата</t>
  </si>
  <si>
    <t>Кристиан</t>
  </si>
  <si>
    <t>Tan</t>
  </si>
  <si>
    <t>Green</t>
  </si>
  <si>
    <t>Orange</t>
  </si>
  <si>
    <t>Purple</t>
  </si>
  <si>
    <t>Teal</t>
  </si>
  <si>
    <t>Pink</t>
  </si>
  <si>
    <t>Knight</t>
  </si>
  <si>
    <t>Cleric</t>
  </si>
  <si>
    <t>Ranger</t>
  </si>
  <si>
    <t>Druid</t>
  </si>
  <si>
    <t>Alchemist</t>
  </si>
  <si>
    <t>Wizard</t>
  </si>
  <si>
    <t>Upg. Guardhouse</t>
  </si>
  <si>
    <t>Руки Легиона</t>
  </si>
  <si>
    <t>Gem Pond</t>
  </si>
  <si>
    <t>Gold Mine</t>
  </si>
  <si>
    <t>10 обычных</t>
  </si>
  <si>
    <t>5 ценных</t>
  </si>
  <si>
    <t>Battle Scholar Academy</t>
  </si>
  <si>
    <t>Birthing Pools</t>
  </si>
  <si>
    <t>Brimstone Stormclouds</t>
  </si>
  <si>
    <t>Brotherhood of the Sword</t>
  </si>
  <si>
    <t>Cage of Warlords</t>
  </si>
  <si>
    <t xml:space="preserve">Рион работал полевым медиком в Эрафийской Армии. Но когда  его командир погиб в сражении с ордами Криганов, он доказал, что может принять командование на себя. Рион смог сдерживать натиск неприятеля до тех пор, пока не подошло подкрепление. </t>
  </si>
  <si>
    <t>F4</t>
  </si>
  <si>
    <t>Help</t>
  </si>
  <si>
    <t>Переключение в режим окна и обратно</t>
  </si>
  <si>
    <t>Да</t>
  </si>
  <si>
    <t>Отмена, Выход или Нет (в зависимости от ситуации)</t>
  </si>
  <si>
    <t>Сельская управа</t>
  </si>
  <si>
    <t>Префектура</t>
  </si>
  <si>
    <t>Муниципалитет</t>
  </si>
  <si>
    <t>Лоинс</t>
  </si>
  <si>
    <t>Обучение</t>
  </si>
  <si>
    <t>Каитлин</t>
  </si>
  <si>
    <t>NWCALREADYGOTONE</t>
  </si>
  <si>
    <t>Hobgoblin</t>
  </si>
  <si>
    <t>Wolf Rider</t>
  </si>
  <si>
    <t>Wolf Raider</t>
  </si>
  <si>
    <t>Orc Chieftain</t>
  </si>
  <si>
    <t>Ogre</t>
  </si>
  <si>
    <t>Ogre Mage</t>
  </si>
  <si>
    <t>Roc</t>
  </si>
  <si>
    <t>Thunder Bird</t>
  </si>
  <si>
    <t>Буй</t>
  </si>
  <si>
    <t>Русалки</t>
  </si>
  <si>
    <t>Mermaids</t>
  </si>
  <si>
    <t>1.6.</t>
  </si>
  <si>
    <t>2.3.</t>
  </si>
  <si>
    <t>2.4.</t>
  </si>
  <si>
    <t>2.5.</t>
  </si>
  <si>
    <t>2.6.</t>
  </si>
  <si>
    <t>Лостхолд</t>
  </si>
  <si>
    <t>Coldshadow</t>
  </si>
  <si>
    <t>Колдшэдоу</t>
  </si>
  <si>
    <t>Kragg</t>
  </si>
  <si>
    <t>Крагг</t>
  </si>
  <si>
    <t>Drago Breach</t>
  </si>
  <si>
    <t>Драгобрич</t>
  </si>
  <si>
    <t>Hartgrim</t>
  </si>
  <si>
    <t>Хартгрим</t>
  </si>
  <si>
    <t>Sandflash</t>
  </si>
  <si>
    <t>Сандфлэш</t>
  </si>
  <si>
    <t>Morganheim</t>
  </si>
  <si>
    <t>Моргенхейм</t>
  </si>
  <si>
    <t>Cragmoor</t>
  </si>
  <si>
    <t>Крэгмур</t>
  </si>
  <si>
    <t>Dragonspire</t>
  </si>
  <si>
    <t>Дрэгонспир</t>
  </si>
  <si>
    <t>Battlement</t>
  </si>
  <si>
    <t>Батлмэнт</t>
  </si>
  <si>
    <t>Bocc</t>
  </si>
  <si>
    <t>Босс</t>
  </si>
  <si>
    <t>Slau</t>
  </si>
  <si>
    <t>Слау</t>
  </si>
  <si>
    <t>Tormina</t>
  </si>
  <si>
    <t>Тормина</t>
  </si>
  <si>
    <t>Dolere</t>
  </si>
  <si>
    <t>Долэр</t>
  </si>
  <si>
    <t>Rockwarren</t>
  </si>
  <si>
    <t>Рокварен</t>
  </si>
  <si>
    <t>Kruber</t>
  </si>
  <si>
    <t>Крубер</t>
  </si>
  <si>
    <t>Rovener</t>
  </si>
  <si>
    <t>Ровенер</t>
  </si>
  <si>
    <t>Marshank</t>
  </si>
  <si>
    <t>Маршанк</t>
  </si>
  <si>
    <t>Deadfall</t>
  </si>
  <si>
    <t>Дидфалл</t>
  </si>
  <si>
    <t>Coolmire</t>
  </si>
  <si>
    <t>Кулмир</t>
  </si>
  <si>
    <t>Backwater</t>
  </si>
  <si>
    <t>Эдрик</t>
  </si>
  <si>
    <t>Наездники на волках</t>
  </si>
  <si>
    <t>Кавалеристы</t>
  </si>
  <si>
    <t>Мантикоры</t>
  </si>
  <si>
    <t>Штраф</t>
  </si>
  <si>
    <t>Кэнан</t>
  </si>
  <si>
    <t>Highcastle</t>
  </si>
  <si>
    <t>Ваззар</t>
  </si>
  <si>
    <t>Lanting</t>
  </si>
  <si>
    <t>Лантинг</t>
  </si>
  <si>
    <t>Death Knight</t>
  </si>
  <si>
    <t>Поменять местами героев внутри замка</t>
  </si>
  <si>
    <t>Стрелки Влево/Вправо</t>
  </si>
  <si>
    <t>Листать страницы</t>
  </si>
  <si>
    <t>Листать закладки</t>
  </si>
  <si>
    <t>Показать заклинания для карты приключений</t>
  </si>
  <si>
    <t>2.10</t>
  </si>
  <si>
    <t>Раса</t>
  </si>
  <si>
    <t>"Родная земля"</t>
  </si>
  <si>
    <t>Ледяная Стрела</t>
  </si>
  <si>
    <t>Языки Пламени Красного Дракона</t>
  </si>
  <si>
    <t>Шлем-Череп</t>
  </si>
  <si>
    <t>Застывшей Глаз Дракона</t>
  </si>
  <si>
    <t>Магическая Накидка</t>
  </si>
  <si>
    <t>Значок Смелости</t>
  </si>
  <si>
    <t>Характерные особенности города</t>
  </si>
  <si>
    <t>Чарна поддалась соблазну темных сил. Хотя ее магические способности никогда не позволят ей стать настоящим Чародеем, она более чем хороший воин.</t>
  </si>
  <si>
    <t>Змии</t>
  </si>
  <si>
    <t xml:space="preserve">Дед Брохильда научился выслеживать диких Виверн при помощи разведчиков, летающих над низинами Таталии. Секрет приручения этих существ был передан отцу Брохильда, а затем и ему самому. </t>
  </si>
  <si>
    <t>где</t>
  </si>
  <si>
    <t>Gnoll</t>
  </si>
  <si>
    <t>5.2</t>
  </si>
  <si>
    <t>Roland</t>
  </si>
  <si>
    <t>Mutare Drake</t>
  </si>
  <si>
    <t>I</t>
  </si>
  <si>
    <t>Город</t>
  </si>
  <si>
    <t>Монастырь</t>
  </si>
  <si>
    <t>WOGGANDALF</t>
  </si>
  <si>
    <t>WOGFRODO</t>
  </si>
  <si>
    <t>WOGDENETHOR</t>
  </si>
  <si>
    <t>School of Magic</t>
  </si>
  <si>
    <t>Школа магии </t>
  </si>
  <si>
    <t>Shrine of Magic Incarnation</t>
  </si>
  <si>
    <t>Святыня магического воплощения</t>
  </si>
  <si>
    <t>Shrine of Magic Gesture</t>
  </si>
  <si>
    <t xml:space="preserve">Теодора можно смело назвать одним из лучших заклинателей Бракады. Кончено, маги со всего света стремятся поучиться у него. Они  пускаются в путь, как простые пилигримы, надеясь погреться в лучах его мудрости. </t>
  </si>
  <si>
    <t xml:space="preserve">Сначала Кира хотела научиться магии, чтобы заставлять мужчин влюбляться в себя. Потом, однако, она оставила это намерение, обнаружив, что у нее есть настоящие магические таланты, которым можно найти лучшее применение. </t>
  </si>
  <si>
    <t>Фиона была цирковой дрессировщицей в восточной Эрафии перед вторжением Дьяволов. Она быстро доказала, что может справиться и с наиболее темпераментными Адскими Гончими. Ее немедленно взяли в ряды Армии Эофола.</t>
  </si>
  <si>
    <t>Деемер</t>
  </si>
  <si>
    <t>Сепхинороф</t>
  </si>
  <si>
    <t>Дарксторн</t>
  </si>
  <si>
    <t>Йог</t>
  </si>
  <si>
    <t>Варвар</t>
  </si>
  <si>
    <t>Goblin</t>
  </si>
  <si>
    <t>Orc</t>
  </si>
  <si>
    <t>Altar of Fire</t>
  </si>
  <si>
    <t>Алтарь Огня</t>
  </si>
  <si>
    <t>Altar of Earth</t>
  </si>
  <si>
    <t>Altar of Thought</t>
  </si>
  <si>
    <t>Водоем</t>
  </si>
  <si>
    <t>Фонтан Молодости</t>
  </si>
  <si>
    <t>Флаг Единства</t>
  </si>
  <si>
    <t>Конюшня</t>
  </si>
  <si>
    <t>2.1. Движение.</t>
  </si>
  <si>
    <t>Бастион грифонов</t>
  </si>
  <si>
    <t>Хранилище ресурсов</t>
  </si>
  <si>
    <t>Верфь</t>
  </si>
  <si>
    <t>Конюшни</t>
  </si>
  <si>
    <t>Стрелок</t>
  </si>
  <si>
    <t>Королевский грифон</t>
  </si>
  <si>
    <t>Грамотность</t>
  </si>
  <si>
    <t>Розик</t>
  </si>
  <si>
    <t>Вой</t>
  </si>
  <si>
    <t>Вердиш</t>
  </si>
  <si>
    <t>Мерист</t>
  </si>
  <si>
    <t>Стиг</t>
  </si>
  <si>
    <t>Герб Доблести</t>
  </si>
  <si>
    <t>Гильдия магов 2 уровня</t>
  </si>
  <si>
    <t>Upg. Hell Hole</t>
  </si>
  <si>
    <t>Ул. Провал</t>
  </si>
  <si>
    <t>Примечание</t>
  </si>
  <si>
    <t>Перчатки всадника</t>
  </si>
  <si>
    <t>Ожерелье Морского Проведения</t>
  </si>
  <si>
    <t>Оазис</t>
  </si>
  <si>
    <t>Святая земля</t>
  </si>
  <si>
    <t>Favorable Winds</t>
  </si>
  <si>
    <t>Попутные ветра</t>
  </si>
  <si>
    <t>Кольцо мага</t>
  </si>
  <si>
    <t>Sephinroth</t>
  </si>
  <si>
    <t>Darkstorn</t>
  </si>
  <si>
    <t>Yog</t>
  </si>
  <si>
    <t>Gurnisson</t>
  </si>
  <si>
    <t>Jabarkas</t>
  </si>
  <si>
    <t>Shiva</t>
  </si>
  <si>
    <t>Gretchin</t>
  </si>
  <si>
    <t>Crystal Dragon</t>
  </si>
  <si>
    <t>Azure Dragon</t>
  </si>
  <si>
    <t>Орк</t>
  </si>
  <si>
    <t>Арбалетчик</t>
  </si>
  <si>
    <t>Гном</t>
  </si>
  <si>
    <t>Гог</t>
  </si>
  <si>
    <t>Зомби</t>
  </si>
  <si>
    <t>Гарпия</t>
  </si>
  <si>
    <t>Ящер</t>
  </si>
  <si>
    <t>Вор</t>
  </si>
  <si>
    <t>Angelic Alliance</t>
  </si>
  <si>
    <t>Гильдия магов 1 уровня</t>
  </si>
  <si>
    <t>Ресурсы</t>
  </si>
  <si>
    <t>5000</t>
  </si>
  <si>
    <t>Ballista</t>
  </si>
  <si>
    <t>Артиллерия</t>
  </si>
  <si>
    <t>Баллиста</t>
  </si>
  <si>
    <t>Турис</t>
  </si>
  <si>
    <t>Тактика</t>
  </si>
  <si>
    <t>Рион</t>
  </si>
  <si>
    <t>Священник</t>
  </si>
  <si>
    <t>Мудрость</t>
  </si>
  <si>
    <t>Первая помощь</t>
  </si>
  <si>
    <t>Трава</t>
  </si>
  <si>
    <t>Лава</t>
  </si>
  <si>
    <t>Подземка</t>
  </si>
  <si>
    <t>Мощёная дорога</t>
  </si>
  <si>
    <t>Брон</t>
  </si>
  <si>
    <t>Хозяин зверей</t>
  </si>
  <si>
    <t>2.4</t>
  </si>
  <si>
    <t>2.5</t>
  </si>
  <si>
    <t>2.6</t>
  </si>
  <si>
    <t>The Grail</t>
  </si>
  <si>
    <t>Щит Гномьих Богов</t>
  </si>
  <si>
    <t>Мощь отца драконов</t>
  </si>
  <si>
    <t>Альянс ангелов</t>
  </si>
  <si>
    <t>Колодец волшебника</t>
  </si>
  <si>
    <t>Статуя легиона</t>
  </si>
  <si>
    <t>Плащ короля нечисти</t>
  </si>
  <si>
    <t>Глиф отваги</t>
  </si>
  <si>
    <t xml:space="preserve">Никто не знает настоящего имени Пир, но говорят, что когда-то она была Гуманистом. Это идиотский культ, целью которого было изгнание из Эрафии всех ее обитателей, которые не являлись людьми. Только она знает ,что побудило ее служить Дьяволам Эофола. </t>
  </si>
  <si>
    <t>1 сера</t>
  </si>
  <si>
    <t>Могила воина</t>
  </si>
  <si>
    <t>Destroy Undead</t>
  </si>
  <si>
    <t>Armageddon</t>
  </si>
  <si>
    <t>Shield</t>
  </si>
  <si>
    <t>Air Shield</t>
  </si>
  <si>
    <t>Fire Shield</t>
  </si>
  <si>
    <t>Базовый прирост фей -</t>
  </si>
  <si>
    <t>Колосс</t>
  </si>
  <si>
    <t>Повышает на 2 балла боевой дух всех дружественных героев.</t>
  </si>
  <si>
    <t>Хранитель Духа</t>
  </si>
  <si>
    <t>Повышает на 2 балла удачу всех дружественных героев.</t>
  </si>
  <si>
    <t>Bow of Elven Cherrywood</t>
  </si>
  <si>
    <t>Bowstring of the Unicorn's Mane</t>
  </si>
  <si>
    <t>Angel Feather Arrows</t>
  </si>
  <si>
    <t>Стрелы из ангельских перьев</t>
  </si>
  <si>
    <t>Bird of Perception</t>
  </si>
  <si>
    <t>Stoic Watchman</t>
  </si>
  <si>
    <t>Орки</t>
  </si>
  <si>
    <t>Гоблины</t>
  </si>
  <si>
    <t>Улучшенная яма василисков</t>
  </si>
  <si>
    <t>Неподвижный глаз дракона</t>
  </si>
  <si>
    <t>Clover of Fortune</t>
  </si>
  <si>
    <t>Cards of Prophecy</t>
  </si>
  <si>
    <t>Ladybird of Luck</t>
  </si>
  <si>
    <t>Badge of Courage</t>
  </si>
  <si>
    <t>Башня орков</t>
  </si>
  <si>
    <t>Форт огров</t>
  </si>
  <si>
    <t>Гнездо на скале</t>
  </si>
  <si>
    <t>Пещера циклопов</t>
  </si>
  <si>
    <t>Утес чудищ</t>
  </si>
  <si>
    <t>Улучшенные казармы гоблинов</t>
  </si>
  <si>
    <t>Улучшенный волчий загон</t>
  </si>
  <si>
    <t>Улучшенная башня орков</t>
  </si>
  <si>
    <t>Улучшенный форт огров</t>
  </si>
  <si>
    <t>Улучшенное гнездо на скале</t>
  </si>
  <si>
    <t>Улучшенная пещера циклопов</t>
  </si>
  <si>
    <t>Общие артефакты</t>
  </si>
  <si>
    <t>Далее</t>
  </si>
  <si>
    <t>Ящеры</t>
  </si>
  <si>
    <t>Начальное заклинание</t>
  </si>
  <si>
    <t>1.3</t>
  </si>
  <si>
    <r>
      <t>(</t>
    </r>
    <r>
      <rPr>
        <b/>
        <sz val="10"/>
        <rFont val="Arial"/>
        <family val="2"/>
        <charset val="204"/>
      </rPr>
      <t>выделен</t>
    </r>
    <r>
      <rPr>
        <sz val="10"/>
        <rFont val="Arial"/>
        <family val="2"/>
        <charset val="204"/>
      </rPr>
      <t xml:space="preserve"> - продвинутый уровень)</t>
    </r>
  </si>
  <si>
    <t>Endless Bag of Gold</t>
  </si>
  <si>
    <t>x</t>
  </si>
  <si>
    <t>20000</t>
  </si>
  <si>
    <t>50000</t>
  </si>
  <si>
    <t>Орден огня</t>
  </si>
  <si>
    <t>Уровень 2</t>
  </si>
  <si>
    <t>Заброшенная шахта</t>
  </si>
  <si>
    <t>Dirt</t>
  </si>
  <si>
    <t xml:space="preserve"> Грязь </t>
  </si>
  <si>
    <t>Desert</t>
  </si>
  <si>
    <t>Order of Fire</t>
  </si>
  <si>
    <t>Циклопы</t>
  </si>
  <si>
    <t>Erdamon</t>
  </si>
  <si>
    <t>Гурниссон</t>
  </si>
  <si>
    <t>Жабаркас</t>
  </si>
  <si>
    <t>Шива</t>
  </si>
  <si>
    <t>Гретчин</t>
  </si>
  <si>
    <t>Креллион</t>
  </si>
  <si>
    <t>Крэг Хэк</t>
  </si>
  <si>
    <t>Тираксор</t>
  </si>
  <si>
    <t>Гирд</t>
  </si>
  <si>
    <t>Боевой маг</t>
  </si>
  <si>
    <t>Вей</t>
  </si>
  <si>
    <t>Necromancer</t>
  </si>
  <si>
    <t>Overlord</t>
  </si>
  <si>
    <t>Warlock</t>
  </si>
  <si>
    <t>Barbarian</t>
  </si>
  <si>
    <t>Battle Mage</t>
  </si>
  <si>
    <t>Beastmaster</t>
  </si>
  <si>
    <t>Planeswalker</t>
  </si>
  <si>
    <t>Elementalist</t>
  </si>
  <si>
    <t>Особый тип ландшафта</t>
  </si>
  <si>
    <t>Cursed Ground</t>
  </si>
  <si>
    <t>Magic Plains</t>
  </si>
  <si>
    <t>Магические равнины</t>
  </si>
  <si>
    <t>Маяк</t>
  </si>
  <si>
    <t>Медуза</t>
  </si>
  <si>
    <t>nwcmorpheus</t>
  </si>
  <si>
    <t>Загон</t>
  </si>
  <si>
    <t>Чердак гарпий</t>
  </si>
  <si>
    <t>Кольцо Драгоценных Камней</t>
  </si>
  <si>
    <t>Upg. Gorgon Lair</t>
  </si>
  <si>
    <t>Бесы</t>
  </si>
  <si>
    <t>8 обычных</t>
  </si>
  <si>
    <t>6 обычных</t>
  </si>
  <si>
    <t>4 обычных</t>
  </si>
  <si>
    <t>1/5 ценного</t>
  </si>
  <si>
    <t>1/4 ценного</t>
  </si>
  <si>
    <t>1/3 ценного</t>
  </si>
  <si>
    <t>Gremlin</t>
  </si>
  <si>
    <t>Master Gremlin</t>
  </si>
  <si>
    <t>Stone Gargoyle</t>
  </si>
  <si>
    <t>Нейтралы</t>
  </si>
  <si>
    <t>few</t>
  </si>
  <si>
    <t>several</t>
  </si>
  <si>
    <t>pack</t>
  </si>
  <si>
    <t>lots</t>
  </si>
  <si>
    <t>horde</t>
  </si>
  <si>
    <t>throng</t>
  </si>
  <si>
    <t>swarm</t>
  </si>
  <si>
    <t>zounds…</t>
  </si>
  <si>
    <t>legion</t>
  </si>
  <si>
    <t>Полное собрание</t>
  </si>
  <si>
    <t>стая</t>
  </si>
  <si>
    <t>свора</t>
  </si>
  <si>
    <t>тысячи</t>
  </si>
  <si>
    <r>
      <t>Чудища</t>
    </r>
    <r>
      <rPr>
        <sz val="10"/>
        <rFont val="Arial"/>
        <family val="2"/>
        <charset val="204"/>
      </rPr>
      <t xml:space="preserve"> - при атаке снижают защиту врага на 40%, </t>
    </r>
    <r>
      <rPr>
        <sz val="10"/>
        <color indexed="12"/>
        <rFont val="Arial"/>
        <family val="2"/>
        <charset val="204"/>
      </rPr>
      <t>Древние чудища</t>
    </r>
    <r>
      <rPr>
        <sz val="10"/>
        <rFont val="Arial"/>
        <family val="2"/>
        <charset val="204"/>
      </rPr>
      <t xml:space="preserve"> - на 80%.</t>
    </r>
  </si>
  <si>
    <t>Unicorn Glade</t>
  </si>
  <si>
    <t>Dragon Cliffs</t>
  </si>
  <si>
    <t>Голубка Удачи</t>
  </si>
  <si>
    <t>Mystical garden</t>
  </si>
  <si>
    <t>Мистический сад</t>
  </si>
  <si>
    <t>Windmill</t>
  </si>
  <si>
    <t>Watermill</t>
  </si>
  <si>
    <t>Водяная мельница</t>
  </si>
  <si>
    <t>Chest</t>
  </si>
  <si>
    <t>Сундук</t>
  </si>
  <si>
    <t>Campfire</t>
  </si>
  <si>
    <t>Floatsam</t>
  </si>
  <si>
    <t>Обломки</t>
  </si>
  <si>
    <t>Seachest</t>
  </si>
  <si>
    <t>Survivor</t>
  </si>
  <si>
    <t>Wagon</t>
  </si>
  <si>
    <t>Warrior's Tomb</t>
  </si>
  <si>
    <t>Pyramid</t>
  </si>
  <si>
    <t>Imp Cache</t>
  </si>
  <si>
    <t>Тайник бесов</t>
  </si>
  <si>
    <t>Dwarven Treasury</t>
  </si>
  <si>
    <t>Сокровищница гномов</t>
  </si>
  <si>
    <t>Medusa Stores</t>
  </si>
  <si>
    <t>Особенность фортификационного рва</t>
  </si>
  <si>
    <t>nwcphisherprice</t>
  </si>
  <si>
    <t>Counterstrike</t>
  </si>
  <si>
    <t>Berserk</t>
  </si>
  <si>
    <t>Troll</t>
  </si>
  <si>
    <t>Enchanter</t>
  </si>
  <si>
    <t>Faerie Dragon</t>
  </si>
  <si>
    <t>Rust Dragon</t>
  </si>
  <si>
    <t>Shield of the Dwarven Lords</t>
  </si>
  <si>
    <t>Shield of the Yawning Dead</t>
  </si>
  <si>
    <t>Ice Elemental</t>
  </si>
  <si>
    <t>Magma Elemental</t>
  </si>
  <si>
    <t>Корнэрстон</t>
  </si>
  <si>
    <t>Kanan</t>
  </si>
  <si>
    <t>3000 золота</t>
  </si>
  <si>
    <t>10 Стражей</t>
  </si>
  <si>
    <t>15 Стражей</t>
  </si>
  <si>
    <t>30</t>
  </si>
  <si>
    <t>Баллистика</t>
  </si>
  <si>
    <t xml:space="preserve">Арлаш - один из немногих Троглодитов, кому доверили вести армии Нихона. Он обладает недюжинным способности в баллистике, и, когда надо опустошить вражескую крепость, часто обращаются к нему. </t>
  </si>
  <si>
    <t>Дас принадлежит к клану воинов. Его учителя в военном деле были, казалось, старше самого времени. Он один из лучших военачальников Нихона, особенно когда предводительствует другими Минотаврами.</t>
  </si>
  <si>
    <t>Туловище Легиона</t>
  </si>
  <si>
    <t>Нага</t>
  </si>
  <si>
    <t>Кавалерист</t>
  </si>
  <si>
    <t>Исполняемая процедура</t>
  </si>
  <si>
    <t>nwcquigon</t>
  </si>
  <si>
    <t>nwcpadme</t>
  </si>
  <si>
    <t>nwccoruscant</t>
  </si>
  <si>
    <t>nwczion</t>
  </si>
  <si>
    <t>немного</t>
  </si>
  <si>
    <t>5-9</t>
  </si>
  <si>
    <t>кучка</t>
  </si>
  <si>
    <t>мало</t>
  </si>
  <si>
    <t>10-19</t>
  </si>
  <si>
    <t>отряд</t>
  </si>
  <si>
    <t>группа</t>
  </si>
  <si>
    <t>около десятка</t>
  </si>
  <si>
    <t>20 - 49</t>
  </si>
  <si>
    <t>толпа</t>
  </si>
  <si>
    <t>много</t>
  </si>
  <si>
    <t>50 - 99</t>
  </si>
  <si>
    <t>орда</t>
  </si>
  <si>
    <t>100 - 249</t>
  </si>
  <si>
    <t>множество</t>
  </si>
  <si>
    <t>сотня</t>
  </si>
  <si>
    <t>250 - 499</t>
  </si>
  <si>
    <t>сонмище</t>
  </si>
  <si>
    <t>Dimension Door</t>
  </si>
  <si>
    <t>Town Portal</t>
  </si>
  <si>
    <t>Quicksand</t>
  </si>
  <si>
    <t>Land Mine</t>
  </si>
  <si>
    <t>Force Field</t>
  </si>
  <si>
    <t>Fire Wall</t>
  </si>
  <si>
    <t>Earthquake</t>
  </si>
  <si>
    <t>Magic Arrow</t>
  </si>
  <si>
    <t>Ice Bolt</t>
  </si>
  <si>
    <t>Lightning Bolt</t>
  </si>
  <si>
    <t>Implosion</t>
  </si>
  <si>
    <t>Chain Lightning</t>
  </si>
  <si>
    <t>Frost Ring</t>
  </si>
  <si>
    <t>Fireball</t>
  </si>
  <si>
    <t>Meteor Shower</t>
  </si>
  <si>
    <t>Death Ripple</t>
  </si>
  <si>
    <t>Улучшенный пруд гидр</t>
  </si>
  <si>
    <t>Клетка богов войны</t>
  </si>
  <si>
    <t>Обелиск крови</t>
  </si>
  <si>
    <t>Квартира капитанов</t>
  </si>
  <si>
    <t>Знаки страха</t>
  </si>
  <si>
    <t>Стрекоза</t>
  </si>
  <si>
    <t>Могучая горгона</t>
  </si>
  <si>
    <t>Виверна</t>
  </si>
  <si>
    <t>Scouting</t>
  </si>
  <si>
    <t>Diplomacy</t>
  </si>
  <si>
    <t>Navigation</t>
  </si>
  <si>
    <t>Leadership</t>
  </si>
  <si>
    <t>Wisdom</t>
  </si>
  <si>
    <t>Код</t>
  </si>
  <si>
    <t>Цепная Молния</t>
  </si>
  <si>
    <t>2.8</t>
  </si>
  <si>
    <t xml:space="preserve">Калид обладает редкой, но очень полезной способностью определять по запаху спрятанную серу. Лорды Подземелий используют ее, когда им нужна сера для запугивания драконов.  </t>
  </si>
  <si>
    <t>Гром титана</t>
  </si>
  <si>
    <t>Некрополис</t>
  </si>
  <si>
    <t>Темница</t>
  </si>
  <si>
    <t>Цитадель</t>
  </si>
  <si>
    <t>Крепость</t>
  </si>
  <si>
    <t>Griffin</t>
  </si>
  <si>
    <t>Дьяволы</t>
  </si>
  <si>
    <t>Единороги</t>
  </si>
  <si>
    <t>Hall of Valhalla</t>
  </si>
  <si>
    <t>Library</t>
  </si>
  <si>
    <t>Hall of Sins</t>
  </si>
  <si>
    <t>Kennels</t>
  </si>
  <si>
    <t>Demon Gate</t>
  </si>
  <si>
    <t>Hell Hole</t>
  </si>
  <si>
    <t>Fire Lake</t>
  </si>
  <si>
    <t>Forsaken Palace</t>
  </si>
  <si>
    <t>Тролль</t>
  </si>
  <si>
    <t>Горгона</t>
  </si>
  <si>
    <t>Лич</t>
  </si>
  <si>
    <t>Минотавр</t>
  </si>
  <si>
    <t>Снайпер</t>
  </si>
  <si>
    <t>Бонус (MP)</t>
  </si>
  <si>
    <t>10 ценных</t>
  </si>
  <si>
    <t>5 обычных</t>
  </si>
  <si>
    <t>20 обычных</t>
  </si>
  <si>
    <t>Дух Уныния</t>
  </si>
  <si>
    <t>Ангел</t>
  </si>
  <si>
    <t>Гидра</t>
  </si>
  <si>
    <t>Гигант</t>
  </si>
  <si>
    <t>Чудище</t>
  </si>
  <si>
    <t>Чемпион</t>
  </si>
  <si>
    <t>Страх</t>
  </si>
  <si>
    <t>Магическая Стрела</t>
  </si>
  <si>
    <t xml:space="preserve">Слабость </t>
  </si>
  <si>
    <t>туча</t>
  </si>
  <si>
    <t>500 - 999</t>
  </si>
  <si>
    <t>полчище</t>
  </si>
  <si>
    <t>несметное</t>
  </si>
  <si>
    <t>тьма</t>
  </si>
  <si>
    <t>до черта</t>
  </si>
  <si>
    <t>1000 +</t>
  </si>
  <si>
    <t>легион</t>
  </si>
  <si>
    <t>Кораблекрушение</t>
  </si>
  <si>
    <t>Crypt</t>
  </si>
  <si>
    <t>Upg. Cursed Temple</t>
  </si>
  <si>
    <t>Upg. Graveyard</t>
  </si>
  <si>
    <t>Ул. Кладбище</t>
  </si>
  <si>
    <t>Upg. Tomb of Souls</t>
  </si>
  <si>
    <t>Upg. Estate</t>
  </si>
  <si>
    <t>Ул. Поместье</t>
  </si>
  <si>
    <t>Upg. Mausoleum</t>
  </si>
  <si>
    <t>Ул. Мавзолей</t>
  </si>
  <si>
    <t>Upg. Hall of Darkness</t>
  </si>
  <si>
    <t>English version</t>
  </si>
  <si>
    <t>15</t>
  </si>
  <si>
    <t xml:space="preserve">Вердиш чуть не погибла во время вторжения в ее землю Лордов Подземелий. К счастью, она мастер врачевания и смогла вылечить почти смертельные раны, полученные ею в битве. </t>
  </si>
  <si>
    <t>Лечение</t>
  </si>
  <si>
    <t>Контрудар</t>
  </si>
  <si>
    <t>Берсерк</t>
  </si>
  <si>
    <t>Pillar of Eyes</t>
  </si>
  <si>
    <t>Братство меча</t>
  </si>
  <si>
    <t>Книга заклинаний</t>
  </si>
  <si>
    <t>Окно просмотра армии</t>
  </si>
  <si>
    <t>Общие</t>
  </si>
  <si>
    <t>H</t>
  </si>
  <si>
    <t>M</t>
  </si>
  <si>
    <t>K</t>
  </si>
  <si>
    <t>U</t>
  </si>
  <si>
    <t>C</t>
  </si>
  <si>
    <t>Z</t>
  </si>
  <si>
    <t>W</t>
  </si>
  <si>
    <t>Q</t>
  </si>
  <si>
    <t>E</t>
  </si>
  <si>
    <t>A</t>
  </si>
  <si>
    <t>Выбрать следующего героя</t>
  </si>
  <si>
    <t>Ходить выбранным героем</t>
  </si>
  <si>
    <t>Обзор королевства</t>
  </si>
  <si>
    <t>Записная книжка</t>
  </si>
  <si>
    <t>Конец хода</t>
  </si>
  <si>
    <t>Фактур</t>
  </si>
  <si>
    <t>Cloudfire</t>
  </si>
  <si>
    <t>Клоудфир</t>
  </si>
  <si>
    <t>Cloudspire</t>
  </si>
  <si>
    <t>Клоудспир</t>
  </si>
  <si>
    <t>Cover of darkness</t>
  </si>
  <si>
    <t>Cartographer</t>
  </si>
  <si>
    <t>Sign</t>
  </si>
  <si>
    <t>Ocean bottle</t>
  </si>
  <si>
    <t>Monolith One Way</t>
  </si>
  <si>
    <t>Monolith Two Way</t>
  </si>
  <si>
    <t>Whirlpool</t>
  </si>
  <si>
    <t>Subterranean Gate</t>
  </si>
  <si>
    <t>Keymaster's tents</t>
  </si>
  <si>
    <t>Border &amp; Quest Guards</t>
  </si>
  <si>
    <t>Border gates</t>
  </si>
  <si>
    <t>Boats</t>
  </si>
  <si>
    <t>Сопротивление</t>
  </si>
  <si>
    <t>Lake of the Scarlet Swan</t>
  </si>
  <si>
    <t>Rally Flag</t>
  </si>
  <si>
    <t>Idol of Fortune</t>
  </si>
  <si>
    <t>Идол удачи</t>
  </si>
  <si>
    <t>Мантия равновесия</t>
  </si>
  <si>
    <t>Ржавый дракон</t>
  </si>
  <si>
    <t>Лазурный дракон</t>
  </si>
  <si>
    <t>Нейтрал</t>
  </si>
  <si>
    <t>1</t>
  </si>
  <si>
    <t>Шахты</t>
  </si>
  <si>
    <t>+25%</t>
  </si>
  <si>
    <t>+50%</t>
  </si>
  <si>
    <t>+39%</t>
  </si>
  <si>
    <t>+14%</t>
  </si>
  <si>
    <t>+53%</t>
  </si>
  <si>
    <t>+28%</t>
  </si>
  <si>
    <t>Форестглэн</t>
  </si>
  <si>
    <t>Gorgon</t>
  </si>
  <si>
    <t>Mighty Gorgon</t>
  </si>
  <si>
    <t>Wyvern</t>
  </si>
  <si>
    <t>Wyvern Monarch</t>
  </si>
  <si>
    <t>Hydra</t>
  </si>
  <si>
    <t>Chaos Hydra</t>
  </si>
  <si>
    <t>Чудища</t>
  </si>
  <si>
    <t>Misfortune</t>
  </si>
  <si>
    <t>Haste</t>
  </si>
  <si>
    <t>Slow</t>
  </si>
  <si>
    <t>Slayer</t>
  </si>
  <si>
    <t>Frenzy</t>
  </si>
  <si>
    <t>Titan's Lightning Bolt</t>
  </si>
  <si>
    <t>N</t>
  </si>
  <si>
    <t>Шлем Сатанинской Ярости</t>
  </si>
  <si>
    <t>2.2. Влияние местности.</t>
  </si>
  <si>
    <t>Ксарфакс служил в Эрафийской Армии, пока не был захвачен в плен во время битвы с Криганами в 1162 П.Б.(После Безмолвия). Криганы, поняв, какой силой он наделен, перевоспитали Ксарфакса, сделав из него своего верного и могучего последователя.</t>
  </si>
  <si>
    <t>4</t>
  </si>
  <si>
    <t>5</t>
  </si>
  <si>
    <t>Медаль дипломата</t>
  </si>
  <si>
    <t>Сапоги левитации</t>
  </si>
  <si>
    <t>Сфера илистого озера</t>
  </si>
  <si>
    <t>Затраченное время в днях</t>
  </si>
  <si>
    <t>Pikemen</t>
  </si>
  <si>
    <t>Halberdier</t>
  </si>
  <si>
    <t>Marksman</t>
  </si>
  <si>
    <t>Royal Griffin</t>
  </si>
  <si>
    <t>Swordsman</t>
  </si>
  <si>
    <t>Crusader</t>
  </si>
  <si>
    <t>Monk</t>
  </si>
  <si>
    <t>Гарпии</t>
  </si>
  <si>
    <t>Artifact Merchants</t>
  </si>
  <si>
    <t>Ballista Yard</t>
  </si>
  <si>
    <t>Glyphs of Fear</t>
  </si>
  <si>
    <t>Upg. Homestead</t>
  </si>
  <si>
    <t>Ул. Усадьба</t>
  </si>
  <si>
    <t>Estate</t>
  </si>
  <si>
    <t>Mausoleum</t>
  </si>
  <si>
    <t>Мавзолей</t>
  </si>
  <si>
    <t>Hall of Darkness</t>
  </si>
  <si>
    <t>Dragon Vault</t>
  </si>
  <si>
    <t>Fiur</t>
  </si>
  <si>
    <t>Kalt</t>
  </si>
  <si>
    <t>Luna</t>
  </si>
  <si>
    <t>Brissa</t>
  </si>
  <si>
    <t>Ciele</t>
  </si>
  <si>
    <t>Labetha</t>
  </si>
  <si>
    <t>Inteus</t>
  </si>
  <si>
    <t>Aenain</t>
  </si>
  <si>
    <t>Gelare</t>
  </si>
  <si>
    <t>Grindan</t>
  </si>
  <si>
    <t>Summon Boat</t>
  </si>
  <si>
    <t>Scuttle Boat</t>
  </si>
  <si>
    <t>Visions</t>
  </si>
  <si>
    <t>View Earth</t>
  </si>
  <si>
    <t>Remove Obstacle</t>
  </si>
  <si>
    <t>Clone</t>
  </si>
  <si>
    <t>Доспехи из чешуи дракона</t>
  </si>
  <si>
    <t>Dragonbone Greaves</t>
  </si>
  <si>
    <t>Dragon Wing Tabard</t>
  </si>
  <si>
    <t>Плащ из крыльев дракона</t>
  </si>
  <si>
    <t>Necklace of Dragonteeth</t>
  </si>
  <si>
    <t>Ожерелье из зубов дракона</t>
  </si>
  <si>
    <t>Crown of Dragontooth</t>
  </si>
  <si>
    <t>Still Eye of the Dragon</t>
  </si>
  <si>
    <t>Отправка сообщения всем игрокам</t>
  </si>
  <si>
    <t>Отправка сообщения красному игроку</t>
  </si>
  <si>
    <t>Отправка сообщения синему игроку</t>
  </si>
  <si>
    <t>Отправка сообщения коричневому игроку</t>
  </si>
  <si>
    <t>Отправка сообщения зеленому игроку</t>
  </si>
  <si>
    <t>Отправка сообщения оранжевому игроку</t>
  </si>
  <si>
    <t>- Player's Manual for "RoE HMM III" by "3DO" &amp; "New World Computing"</t>
  </si>
  <si>
    <t>Ash</t>
  </si>
  <si>
    <t>Zydar</t>
  </si>
  <si>
    <t>Xarfax</t>
  </si>
  <si>
    <t>Straker</t>
  </si>
  <si>
    <t>Vokial</t>
  </si>
  <si>
    <t>Moandor</t>
  </si>
  <si>
    <t>Charna</t>
  </si>
  <si>
    <t>Tamika</t>
  </si>
  <si>
    <t>Isra</t>
  </si>
  <si>
    <t>Clavius</t>
  </si>
  <si>
    <t>Galthran</t>
  </si>
  <si>
    <t>Septienna</t>
  </si>
  <si>
    <t>Aislinn</t>
  </si>
  <si>
    <t>Sandro</t>
  </si>
  <si>
    <t>Nimbus</t>
  </si>
  <si>
    <t>Thant</t>
  </si>
  <si>
    <t>Xsi</t>
  </si>
  <si>
    <t>Красный</t>
  </si>
  <si>
    <t>Синий</t>
  </si>
  <si>
    <t>Коричневый</t>
  </si>
  <si>
    <t>Зеленый</t>
  </si>
  <si>
    <t>Щит из Чешуи Дракона</t>
  </si>
  <si>
    <t>Секира Кентавра</t>
  </si>
  <si>
    <t>Адский Меч</t>
  </si>
  <si>
    <t>Открыть книгу заклинаний</t>
  </si>
  <si>
    <t>Цитадель -</t>
  </si>
  <si>
    <t>Upg. Hydra Pond</t>
  </si>
  <si>
    <t>Magic Lantern</t>
  </si>
  <si>
    <t>Altar of Air</t>
  </si>
  <si>
    <t>Altar of Water</t>
  </si>
  <si>
    <t>Великий эльф</t>
  </si>
  <si>
    <t>Боевой единорог</t>
  </si>
  <si>
    <t>Золотой дракон</t>
  </si>
  <si>
    <t>Таинственный пруд</t>
  </si>
  <si>
    <t>3</t>
  </si>
  <si>
    <t>Особое строение (Сад жизни) -</t>
  </si>
  <si>
    <t>Статуя Легиона -</t>
  </si>
  <si>
    <t>Василиски</t>
  </si>
  <si>
    <t>Grave Raven</t>
  </si>
  <si>
    <t>Грэвравен</t>
  </si>
  <si>
    <t>Dark Cloud</t>
  </si>
  <si>
    <t>Дарклуд</t>
  </si>
  <si>
    <t>Coldsoul</t>
  </si>
  <si>
    <t>Колдсоул</t>
  </si>
  <si>
    <t>Coldreign</t>
  </si>
  <si>
    <t>Колдригн</t>
  </si>
  <si>
    <t>Dark Eternal</t>
  </si>
  <si>
    <t>Дарктернал</t>
  </si>
  <si>
    <t>Krellion</t>
  </si>
  <si>
    <t>Crag Hack</t>
  </si>
  <si>
    <t>Tyraxor</t>
  </si>
  <si>
    <t>Gird</t>
  </si>
  <si>
    <t>Vey</t>
  </si>
  <si>
    <t>Когда Розик была ребенком, она часто страдала от лихорадок. Никто не ожидал, что она выживет. Но она таки выжила и даже утверждает, что именно лихорадки дали ей магическую силу.</t>
  </si>
  <si>
    <t>Upg. Archers' Tower</t>
  </si>
  <si>
    <t>Магия земли</t>
  </si>
  <si>
    <t>Стена огня</t>
  </si>
  <si>
    <t>Кольцо холода</t>
  </si>
  <si>
    <t>Инхам</t>
  </si>
  <si>
    <t>Мистицизм</t>
  </si>
  <si>
    <t>Монахи</t>
  </si>
  <si>
    <t>Саня</t>
  </si>
  <si>
    <t xml:space="preserve">Зоркость </t>
  </si>
  <si>
    <t>Зоркость</t>
  </si>
  <si>
    <t>Землетрясение</t>
  </si>
  <si>
    <t>Хижина ведьмы</t>
  </si>
  <si>
    <t>Рынок</t>
  </si>
  <si>
    <t>Воскрешённый некромантским культом своих последователей, Лорд Хаарт стал ещё более опасным врагом чем раньше.</t>
  </si>
  <si>
    <t>Ctrl + Стрелки</t>
  </si>
  <si>
    <t>Тива стала Героем, когда доказала, что она уже может поспорить со своими учителями, и что она сообразительнее всех своих сверстников. Она достигла больших успехов.</t>
  </si>
  <si>
    <t>nwcignoranceisbliss</t>
  </si>
  <si>
    <t>nwctheconstruct</t>
  </si>
  <si>
    <t>nwcbluepill</t>
  </si>
  <si>
    <t>nwcredpill</t>
  </si>
  <si>
    <t>nwcthereisnospoon</t>
  </si>
  <si>
    <t>Конюшни кентавров</t>
  </si>
  <si>
    <t>Коттедж гномов</t>
  </si>
  <si>
    <t>Усадьба</t>
  </si>
  <si>
    <t>Заколдованный ручей</t>
  </si>
  <si>
    <t>Эльф</t>
  </si>
  <si>
    <t>Уровень 5</t>
  </si>
  <si>
    <t>Уровень 4</t>
  </si>
  <si>
    <t>Уровень 3</t>
  </si>
  <si>
    <t>Оплот</t>
  </si>
  <si>
    <t>Количество "структур"</t>
  </si>
  <si>
    <t>Вампир</t>
  </si>
  <si>
    <t>Арка дендроидов</t>
  </si>
  <si>
    <t>Лужайка единорогов</t>
  </si>
  <si>
    <t>Могущественный лич</t>
  </si>
  <si>
    <t>Костяной дракон</t>
  </si>
  <si>
    <t>Серебряный пегас</t>
  </si>
  <si>
    <t>Кочевник</t>
  </si>
  <si>
    <t>11 и выше</t>
  </si>
  <si>
    <t>Тип территории</t>
  </si>
  <si>
    <t>Норма</t>
  </si>
  <si>
    <t>Грязь</t>
  </si>
  <si>
    <t>Скелеты</t>
  </si>
  <si>
    <t>Силид</t>
  </si>
  <si>
    <t>Gladeroot</t>
  </si>
  <si>
    <t>Глэтерот</t>
  </si>
  <si>
    <t>Forest Glen</t>
  </si>
  <si>
    <t>Врата</t>
  </si>
  <si>
    <t>Стена</t>
  </si>
  <si>
    <t>Выстрелов</t>
  </si>
  <si>
    <t>Prot. from Earth</t>
  </si>
  <si>
    <t>Anti-Magic</t>
  </si>
  <si>
    <t>Dispel</t>
  </si>
  <si>
    <t>Magic Mirror</t>
  </si>
  <si>
    <t>Cure</t>
  </si>
  <si>
    <t>Resurrection</t>
  </si>
  <si>
    <t>Animate Dead</t>
  </si>
  <si>
    <t>Sacrifice</t>
  </si>
  <si>
    <t>Bless</t>
  </si>
  <si>
    <t>Curse</t>
  </si>
  <si>
    <t>Bloodlust</t>
  </si>
  <si>
    <t>Precision</t>
  </si>
  <si>
    <t>Weakness</t>
  </si>
  <si>
    <t>Грааль</t>
  </si>
  <si>
    <t>II</t>
  </si>
  <si>
    <t>Щит тоскующих мертвецов</t>
  </si>
  <si>
    <t>Шлем небесного грома</t>
  </si>
  <si>
    <t>Нагрудник из серного камня</t>
  </si>
  <si>
    <t>Колье неприступности</t>
  </si>
  <si>
    <t>Галтран</t>
  </si>
  <si>
    <t>Септиенна</t>
  </si>
  <si>
    <t>Некромант</t>
  </si>
  <si>
    <t>Шлем сатанинской ярости</t>
  </si>
  <si>
    <t>Карающая дубина огра</t>
  </si>
  <si>
    <t>Разное</t>
  </si>
  <si>
    <t>15000</t>
  </si>
  <si>
    <t>8000</t>
  </si>
  <si>
    <t>Магический ручей</t>
  </si>
  <si>
    <t>Magic Well</t>
  </si>
  <si>
    <t>Магический колодец</t>
  </si>
  <si>
    <t>University</t>
  </si>
  <si>
    <t>Altar of Sacrifice</t>
  </si>
  <si>
    <t>Sirens</t>
  </si>
  <si>
    <t>Fear</t>
  </si>
  <si>
    <t>Stone Gaze</t>
  </si>
  <si>
    <t>Poison</t>
  </si>
  <si>
    <t>Яд</t>
  </si>
  <si>
    <t>Bind</t>
  </si>
  <si>
    <t>Disease</t>
  </si>
  <si>
    <t>Mana drain</t>
  </si>
  <si>
    <t>Mana channel</t>
  </si>
  <si>
    <t>Средняя верхняя стена</t>
  </si>
  <si>
    <t>Ворота</t>
  </si>
  <si>
    <t>Средняя нижняя стена</t>
  </si>
  <si>
    <t>Нижняя стена</t>
  </si>
  <si>
    <t>Нижняя башня</t>
  </si>
  <si>
    <t>Центральная башня</t>
  </si>
  <si>
    <t>2.7</t>
  </si>
  <si>
    <t>Гретчин не только замечательный лидер, но и вторая мама для своих солдат. И так скажут все кто следует за ней.</t>
  </si>
  <si>
    <t>Магическая стрела</t>
  </si>
  <si>
    <t>First Aid</t>
  </si>
  <si>
    <t>Дополнительный иммунитет различных Элементалей</t>
  </si>
  <si>
    <t>10 самоцветов</t>
  </si>
  <si>
    <t>Мастерская</t>
  </si>
  <si>
    <t>Парапет</t>
  </si>
  <si>
    <t>Башня магов</t>
  </si>
  <si>
    <t>Алтарь желаний</t>
  </si>
  <si>
    <t>Золотой павильон</t>
  </si>
  <si>
    <t>ping</t>
  </si>
  <si>
    <t>Улучшенная мастерская</t>
  </si>
  <si>
    <t>Улучшенный парапет</t>
  </si>
  <si>
    <t>Улучшенная фабрика големов</t>
  </si>
  <si>
    <t>Улучшенный алтарь желаний</t>
  </si>
  <si>
    <t>Открыть меню системных опций</t>
  </si>
  <si>
    <t>D</t>
  </si>
  <si>
    <t>T</t>
  </si>
  <si>
    <t>F5</t>
  </si>
  <si>
    <t>F6</t>
  </si>
  <si>
    <t>F7</t>
  </si>
  <si>
    <t>F8</t>
  </si>
  <si>
    <t>Стрелки Вверх/Вниз</t>
  </si>
  <si>
    <t>Пробел</t>
  </si>
  <si>
    <t>Ожерелье из Зубов Дракона</t>
  </si>
  <si>
    <t xml:space="preserve">Даже после того, как Моандор стал Личем, он сохранил всю свою харизматическую силу. Она помогает ему руководить другими Личами и набирать новых. Это ему удается гораздо лучше, чем всем остальным героям. </t>
  </si>
  <si>
    <t>Штормовой элементаль</t>
  </si>
  <si>
    <t xml:space="preserve">В качестве основных источников использовались: </t>
  </si>
  <si>
    <t>Cape of Conjuring</t>
  </si>
  <si>
    <t>Equestrian's Gloves</t>
  </si>
  <si>
    <t>Boots of Speed</t>
  </si>
  <si>
    <t>Плащ из Драконьих Крыльев</t>
  </si>
  <si>
    <t>Неподвижный Глаз Дракона</t>
  </si>
  <si>
    <t>Charm of Mana</t>
  </si>
  <si>
    <t>Амулет маны</t>
  </si>
  <si>
    <t>Talisman of Mana</t>
  </si>
  <si>
    <t>Талисман маны</t>
  </si>
  <si>
    <t>Нила</t>
  </si>
  <si>
    <t>0</t>
  </si>
  <si>
    <t>Оранжевый</t>
  </si>
  <si>
    <t>Розовый</t>
  </si>
  <si>
    <t>Attack Skill</t>
  </si>
  <si>
    <t>Defense Skill</t>
  </si>
  <si>
    <t>Spell Power</t>
  </si>
  <si>
    <t>Knowledge</t>
  </si>
  <si>
    <t>Basic</t>
  </si>
  <si>
    <t>Базовое</t>
  </si>
  <si>
    <t>Advanced</t>
  </si>
  <si>
    <t>Продвинутое</t>
  </si>
  <si>
    <t>Expert</t>
  </si>
  <si>
    <t>Экспертное</t>
  </si>
  <si>
    <t>Bas</t>
  </si>
  <si>
    <t>Баз.</t>
  </si>
  <si>
    <t>Adv</t>
  </si>
  <si>
    <t>Exp</t>
  </si>
  <si>
    <t>Эксп.</t>
  </si>
  <si>
    <t>Типы артефактов</t>
  </si>
  <si>
    <t>Гноллы</t>
  </si>
  <si>
    <t>Туника короля циклопов</t>
  </si>
  <si>
    <t>Breastplate of Brimstone</t>
  </si>
  <si>
    <t>Titan's Cuirass</t>
  </si>
  <si>
    <t>Armor of Wonder</t>
  </si>
  <si>
    <t>Sandals of the Saint</t>
  </si>
  <si>
    <t>Mysticism</t>
  </si>
  <si>
    <t>Luck</t>
  </si>
  <si>
    <t>Eagle Eye</t>
  </si>
  <si>
    <t>Necromancy</t>
  </si>
  <si>
    <t>Estates</t>
  </si>
  <si>
    <t>Fire Magic</t>
  </si>
  <si>
    <t>Air Magic</t>
  </si>
  <si>
    <t>Water Magic</t>
  </si>
  <si>
    <t>Earth Magic</t>
  </si>
  <si>
    <t>Learning</t>
  </si>
  <si>
    <t>Offense</t>
  </si>
  <si>
    <t>Intelligence</t>
  </si>
  <si>
    <t>Сфера Небесного Свода</t>
  </si>
  <si>
    <t>Upg. Pillar of Eyes</t>
  </si>
  <si>
    <t>Показать/Скрыть сетку</t>
  </si>
  <si>
    <t>Показать/Скрыть информацию о войсках</t>
  </si>
  <si>
    <t>Включить/Отключить тень курсора</t>
  </si>
  <si>
    <t>Включить/Отключить тень перемещения</t>
  </si>
  <si>
    <t>Сбежать</t>
  </si>
  <si>
    <t>Откупиться (сдаться)</t>
  </si>
  <si>
    <t>Перемещение сообщений (логи) о битве</t>
  </si>
  <si>
    <t>Стрелка вверх</t>
  </si>
  <si>
    <t>Стрелка вниз</t>
  </si>
  <si>
    <t>Предыдущий город</t>
  </si>
  <si>
    <t>Magic Spring</t>
  </si>
  <si>
    <t>Дни</t>
  </si>
  <si>
    <t>Ур.</t>
  </si>
  <si>
    <t>Единорог</t>
  </si>
  <si>
    <t>Скорпикора</t>
  </si>
  <si>
    <t>Мантикора</t>
  </si>
  <si>
    <t>Hut of the Magi</t>
  </si>
  <si>
    <t>Eye of the Magi</t>
  </si>
  <si>
    <t>Cyclops</t>
  </si>
  <si>
    <t>Dispel Helpful Spells</t>
  </si>
  <si>
    <t>Death Stare</t>
  </si>
  <si>
    <t>Смертельный взгляд</t>
  </si>
  <si>
    <t>Acid Breath</t>
  </si>
  <si>
    <t>Циклоп</t>
  </si>
  <si>
    <t>Чародей</t>
  </si>
  <si>
    <t>Предложенная в этом обзоре тактика игры, в первую очередь отражает видение и предпочтения автора этого текста. Безусловно, она не является единственно возможной. У каждого опытного игрока найдется множество своих замечаний на этот счет. Тем не менее, предложенная информация на мой взгляд, будет крайне полезна как знатокам игры, так и тем, кто себя к таковым не относит... :)</t>
  </si>
  <si>
    <t>Rainhaven</t>
  </si>
  <si>
    <t>Райхавен</t>
  </si>
  <si>
    <t>Strongglen</t>
  </si>
  <si>
    <t>Стронглэн</t>
  </si>
  <si>
    <t>Marishen</t>
  </si>
  <si>
    <t>Маришэн</t>
  </si>
  <si>
    <t>Guardian of Earth</t>
  </si>
  <si>
    <t>Warlords' Monument</t>
  </si>
  <si>
    <t>Blood Obelisk</t>
  </si>
  <si>
    <t>Aurora Borealias</t>
  </si>
  <si>
    <t>Храм Грааля</t>
  </si>
  <si>
    <t>Grail / Храм Грааля</t>
  </si>
  <si>
    <t>Redwood Observatory</t>
  </si>
  <si>
    <t>Pillar of Fire</t>
  </si>
  <si>
    <t>Портал славы</t>
  </si>
  <si>
    <t>Улучшенный портал славы</t>
  </si>
  <si>
    <t xml:space="preserve">Улучшенное логово горгоны </t>
  </si>
  <si>
    <t>Улучшенное гнездо виверн</t>
  </si>
  <si>
    <t>Мантия Равновесия</t>
  </si>
  <si>
    <t>Crown of the Supreme Magi</t>
  </si>
  <si>
    <t>Корона верховного мага</t>
  </si>
  <si>
    <t>Hellstorm Helmet</t>
  </si>
  <si>
    <t>Thunder Helmet</t>
  </si>
  <si>
    <t>Breastplate of Petrified Wood</t>
  </si>
  <si>
    <t>Rib Cage</t>
  </si>
  <si>
    <t>Scales of the Greater Basilisk</t>
  </si>
  <si>
    <t>Тактика и стратегия развития</t>
  </si>
  <si>
    <t>Upg. Lizard Den</t>
  </si>
  <si>
    <t>Upg. Serpent Fly Hive</t>
  </si>
  <si>
    <t>Ring of Conjuring</t>
  </si>
  <si>
    <t>Хижина мага</t>
  </si>
  <si>
    <t>Глаз мага</t>
  </si>
  <si>
    <t>Картограф</t>
  </si>
  <si>
    <t>Двусторонний монолит</t>
  </si>
  <si>
    <t>Односторонний монолит</t>
  </si>
  <si>
    <t>Красный дракон</t>
  </si>
  <si>
    <t>Fiery Fields</t>
  </si>
  <si>
    <t>Огненные поля</t>
  </si>
  <si>
    <t>Lucid Pools</t>
  </si>
  <si>
    <t>Чистые пруды</t>
  </si>
  <si>
    <t>Magic Clouds</t>
  </si>
  <si>
    <t>Магические облака</t>
  </si>
  <si>
    <t>Rocklands</t>
  </si>
  <si>
    <t>Скальные земли</t>
  </si>
  <si>
    <t>Clover Field</t>
  </si>
  <si>
    <t>Evil Fog</t>
  </si>
  <si>
    <t>Дьявольский туман</t>
  </si>
  <si>
    <t>Holy Ground</t>
  </si>
  <si>
    <t>Щит Проклятых</t>
  </si>
  <si>
    <t>Upg. Enchanted Spring</t>
  </si>
  <si>
    <t>Upg. Dendroid Arches</t>
  </si>
  <si>
    <t>Homestead</t>
  </si>
  <si>
    <t>Enchanted Spring</t>
  </si>
  <si>
    <t>Дракон был величайшим бойцом в своей деревне, а потом и в области. Он решил идти служить Тралоску. Его неоспоримое влияние (особенно на других Гноллов) так сильно, что к нему в войско постоянно стремятся новые волонтеры.</t>
  </si>
  <si>
    <t>1500 золота</t>
  </si>
  <si>
    <t>Boots of Levitation</t>
  </si>
  <si>
    <t>Гирд научилась всему, что знает, от Шамана из ее родного города. Все считали, что она займет его место, но ее забрали из города, когда Маги Кревлода набирали детей, способных к Магии.</t>
  </si>
  <si>
    <t xml:space="preserve">Около пятнадцати лет назад, вся деревня Дессы была разрушена мародерами. Десса была одним из шести выживших детей. С тех пор она мечтает отомстить людям за их преступление. </t>
  </si>
  <si>
    <t>Лагерь беженцев</t>
  </si>
  <si>
    <t>Уровень 1</t>
  </si>
  <si>
    <t>Celestial Necklace of Bliss</t>
  </si>
  <si>
    <t>Lion's Shield of Courage</t>
  </si>
  <si>
    <t>Sword of Judgement</t>
  </si>
  <si>
    <t>Меч правосудия</t>
  </si>
  <si>
    <t>Helm of Heavenly Enlightenment</t>
  </si>
  <si>
    <t>Quiet Eye of the Dragon</t>
  </si>
  <si>
    <t>Red Dragon Flame Tongue</t>
  </si>
  <si>
    <t>Dragon Scale Shield</t>
  </si>
  <si>
    <t>Щит из чешуи дракона</t>
  </si>
  <si>
    <t>Dragon Scale Armor</t>
  </si>
  <si>
    <t>Герой</t>
  </si>
  <si>
    <t>Специализация</t>
  </si>
  <si>
    <t>Открыть меню карты приключений</t>
  </si>
  <si>
    <t xml:space="preserve">Если Зидар не на поле битвы со своими солдатами, он изучает новые способы увеличить силу своих заклинаний. Хотя он и не величайший из магов, он, конечно, подает гораздо большие надежды, чем кто-либо из ему подобных Демонов. </t>
  </si>
  <si>
    <t>Нейтралы. Очередность атаки на карте приключений.</t>
  </si>
  <si>
    <t>Рис. 1</t>
  </si>
  <si>
    <t>Рис. 2</t>
  </si>
  <si>
    <t>Интеллект</t>
  </si>
  <si>
    <t>Улучшенная башня грифонов</t>
  </si>
  <si>
    <t>Казармы</t>
  </si>
  <si>
    <t>Ипподром</t>
  </si>
  <si>
    <t>Улучшенные казармы</t>
  </si>
  <si>
    <t>Каменная кожа</t>
  </si>
  <si>
    <t>Адель</t>
  </si>
  <si>
    <t>Дипломатия</t>
  </si>
  <si>
    <t>Благословление</t>
  </si>
  <si>
    <t>Катберт</t>
  </si>
  <si>
    <t>Слабость</t>
  </si>
  <si>
    <t>Аделаида</t>
  </si>
  <si>
    <t>Ghostwind</t>
  </si>
  <si>
    <t>Гоствинд</t>
  </si>
  <si>
    <t>Blight</t>
  </si>
  <si>
    <t>Блигт</t>
  </si>
  <si>
    <t>за полную стоимость</t>
  </si>
  <si>
    <t>бесплатно</t>
  </si>
  <si>
    <t>Камень глаз</t>
  </si>
  <si>
    <t>Часовня безмолвия</t>
  </si>
  <si>
    <t>Пещера дракона</t>
  </si>
  <si>
    <t>Лабиринт</t>
  </si>
  <si>
    <t>1 Ангел</t>
  </si>
  <si>
    <t>2 Ангела</t>
  </si>
  <si>
    <t>3 Ангела</t>
  </si>
  <si>
    <t>4 Ангела</t>
  </si>
  <si>
    <t>5.5</t>
  </si>
  <si>
    <t>Energy Elemental</t>
  </si>
  <si>
    <t>Psychic Elemental</t>
  </si>
  <si>
    <t>Болезнь</t>
  </si>
  <si>
    <t>Paralyze</t>
  </si>
  <si>
    <t>Паралич</t>
  </si>
  <si>
    <t>Age</t>
  </si>
  <si>
    <t>Death Cloud</t>
  </si>
  <si>
    <t xml:space="preserve">Корбак стал известен людям Эрафии как Герой, который спас ученого, Ксантора. Правда это или нет, но Корбак много раз доказывал Таталии свою храбрость. </t>
  </si>
  <si>
    <t>Врата замка</t>
  </si>
  <si>
    <t>Инкубатор</t>
  </si>
  <si>
    <t>Клетки</t>
  </si>
  <si>
    <t>Когда-то Зубин возглавлял племя, воевавшее с Графом Борагусом. Когда наконец был заключен мир, ему предложили командовать войсками Кревлода.</t>
  </si>
  <si>
    <t>Серные тучи</t>
  </si>
  <si>
    <t>Хайкастл</t>
  </si>
  <si>
    <t>Whitemoon</t>
  </si>
  <si>
    <t>Уитмон</t>
  </si>
  <si>
    <t>Transom</t>
  </si>
  <si>
    <t>Трэнсом</t>
  </si>
  <si>
    <t>Middleheim</t>
  </si>
  <si>
    <t>Мидлхейм</t>
  </si>
  <si>
    <t>Brettonia</t>
  </si>
  <si>
    <t>Бреттония</t>
  </si>
  <si>
    <t>Alexandretta</t>
  </si>
  <si>
    <t>Телескоп</t>
  </si>
  <si>
    <t>Buckler of the Gnoll King</t>
  </si>
  <si>
    <t>Щит короля гноллов</t>
  </si>
  <si>
    <t>Targ of the Rampaging Ogre</t>
  </si>
  <si>
    <t>Щит яростного огра</t>
  </si>
  <si>
    <t>Shield of the Damned</t>
  </si>
  <si>
    <t>Щит проклятого</t>
  </si>
  <si>
    <t>20 ртути</t>
  </si>
  <si>
    <t>Условие</t>
  </si>
  <si>
    <t>Воздушный щит</t>
  </si>
  <si>
    <t>Чародеи</t>
  </si>
  <si>
    <t>1.3. Прочие бонусы.</t>
  </si>
  <si>
    <t>Orb of the Firmament</t>
  </si>
  <si>
    <t>Orb of Silt</t>
  </si>
  <si>
    <t>1.8.</t>
  </si>
  <si>
    <t>Неистощимая Подвода с Рудой</t>
  </si>
  <si>
    <t>Амулет Маны</t>
  </si>
  <si>
    <t>Талисман Маны</t>
  </si>
  <si>
    <t>Неиссякаемая Склянка Ртути</t>
  </si>
  <si>
    <t>Sentinel's Shield</t>
  </si>
  <si>
    <t>Щит часового</t>
  </si>
  <si>
    <t>Helm of the Alabaster Unicorn</t>
  </si>
  <si>
    <t>Воскрешение</t>
  </si>
  <si>
    <t>Upg. Warren</t>
  </si>
  <si>
    <t xml:space="preserve">Ул. Загон </t>
  </si>
  <si>
    <t>Upg. Harpy Loft</t>
  </si>
  <si>
    <t>M(тек) = (M’(тек) - m) / K</t>
  </si>
  <si>
    <t>Циель</t>
  </si>
  <si>
    <t>Архангел</t>
  </si>
  <si>
    <t>Титан</t>
  </si>
  <si>
    <t>Архидьявол</t>
  </si>
  <si>
    <t>Феникс</t>
  </si>
  <si>
    <t>Deity of Fire</t>
  </si>
  <si>
    <t>Dendroid Saplings</t>
  </si>
  <si>
    <t>Escape Tunnel</t>
  </si>
  <si>
    <t>Fountain of Fortune</t>
  </si>
  <si>
    <t>Freelancer's Guild</t>
  </si>
  <si>
    <t>Garden of Life</t>
  </si>
  <si>
    <t>1/2 обычного</t>
  </si>
  <si>
    <t>1/7 ценного</t>
  </si>
  <si>
    <t>1/6 ценного</t>
  </si>
  <si>
    <t>Казармы гоблинов</t>
  </si>
  <si>
    <t>Волчий загон</t>
  </si>
  <si>
    <t>Pyre</t>
  </si>
  <si>
    <t>Upg. Magic Lantern</t>
  </si>
  <si>
    <t>Upg. Altar of Air</t>
  </si>
  <si>
    <t>Upg. Altar of Water</t>
  </si>
  <si>
    <t>Upg. Altar of Fire</t>
  </si>
  <si>
    <t>Upg. Altar of Earth</t>
  </si>
  <si>
    <t>Upg. Altar of Thought</t>
  </si>
  <si>
    <t>Сфера Илистого Озера</t>
  </si>
  <si>
    <t>Сфера Бушующего Огня</t>
  </si>
  <si>
    <t>Амулет Гробовщика</t>
  </si>
  <si>
    <t>Магическое Кольцо</t>
  </si>
  <si>
    <t>Pathfinding</t>
  </si>
  <si>
    <t>Archery</t>
  </si>
  <si>
    <t>Logistics</t>
  </si>
  <si>
    <t>Сэр Мюллих</t>
  </si>
  <si>
    <t>Archer</t>
  </si>
  <si>
    <t>Адриэн</t>
  </si>
  <si>
    <t>Lizardman</t>
  </si>
  <si>
    <t>Катерина</t>
  </si>
  <si>
    <t>Portal of Summoning</t>
  </si>
  <si>
    <t>Resource Silo</t>
  </si>
  <si>
    <t>Sculptor's Wings</t>
  </si>
  <si>
    <t>Shipyard</t>
  </si>
  <si>
    <t>Skeleton Transformer</t>
  </si>
  <si>
    <t>Stables</t>
  </si>
  <si>
    <t>Treasury</t>
  </si>
  <si>
    <t>Unearthed Graves</t>
  </si>
  <si>
    <t>Wall of Knowledge</t>
  </si>
  <si>
    <t>Synca</t>
  </si>
  <si>
    <t>Shakti</t>
  </si>
  <si>
    <t>Alamar</t>
  </si>
  <si>
    <t>Jaegar</t>
  </si>
  <si>
    <t>Malekith</t>
  </si>
  <si>
    <t>Jeddite</t>
  </si>
  <si>
    <t>Geon</t>
  </si>
  <si>
    <t>Deemer</t>
  </si>
  <si>
    <r>
      <t>Кавалеристы (Чемпионы)</t>
    </r>
    <r>
      <rPr>
        <sz val="10"/>
        <rFont val="Arial"/>
        <family val="2"/>
        <charset val="204"/>
      </rPr>
      <t xml:space="preserve"> - имеют кавалерийский бонус (jousting bonus) - способность войска увеличивать величину урона в зависимости от количества клеток, которое отделяет войско от намеченной цели. Величина урона растет на 5% за каждую пройденную до атаки клетку.</t>
    </r>
  </si>
  <si>
    <r>
      <t>Единороги (Боевые единороги)</t>
    </r>
    <r>
      <rPr>
        <sz val="10"/>
        <rFont val="Arial"/>
        <family val="2"/>
        <charset val="204"/>
      </rPr>
      <t xml:space="preserve"> - имеют 20% шанс наложить на противника заклинание Слепота, повышают сопротивляемость войск вокруг себя на 20%.</t>
    </r>
  </si>
  <si>
    <t>Проклятая земля</t>
  </si>
  <si>
    <t>Минотавры</t>
  </si>
  <si>
    <t>Волшебство</t>
  </si>
  <si>
    <t>Склеп</t>
  </si>
  <si>
    <t>Вероятность</t>
  </si>
  <si>
    <t>Охрана</t>
  </si>
  <si>
    <t>Награда</t>
  </si>
  <si>
    <t>Вторичный навык</t>
  </si>
  <si>
    <t>Экспертный</t>
  </si>
  <si>
    <t>Сторожевой пост</t>
  </si>
  <si>
    <t>Улучшенный сторожевой пост</t>
  </si>
  <si>
    <t>Башня грифонов</t>
  </si>
  <si>
    <t>Яма василисков</t>
  </si>
  <si>
    <t>Облако смерти</t>
  </si>
  <si>
    <t>Thunderbolt</t>
  </si>
  <si>
    <t>h3ab_ahd.vid</t>
  </si>
  <si>
    <t>h3ab_ahd.snd</t>
  </si>
  <si>
    <t>h3ab_bmp.lod</t>
  </si>
  <si>
    <t>h3blade.exe - тоже нулевой длины.</t>
  </si>
  <si>
    <t>Хранилище медуз</t>
  </si>
  <si>
    <t>Cyclops Stockpile</t>
  </si>
  <si>
    <t>Naga Bank</t>
  </si>
  <si>
    <t>Банк наг</t>
  </si>
  <si>
    <t>Король Роланд</t>
  </si>
  <si>
    <t>Chapel of Stilled Voices</t>
  </si>
  <si>
    <t>nwcprophecy</t>
  </si>
  <si>
    <t>Upg. Stilled Voices</t>
  </si>
  <si>
    <t>Арена</t>
  </si>
  <si>
    <t>h3ab_spr.lod</t>
  </si>
  <si>
    <t>Личи</t>
  </si>
  <si>
    <t>Краткая биография</t>
  </si>
  <si>
    <t>нет</t>
  </si>
  <si>
    <t>Просмотр земли</t>
  </si>
  <si>
    <t>Огненный шар</t>
  </si>
  <si>
    <t>Черные рыцари</t>
  </si>
  <si>
    <t>Волна смерти</t>
  </si>
  <si>
    <t>Птица рух</t>
  </si>
  <si>
    <t>Карта приключений</t>
  </si>
  <si>
    <t>Окно битвы</t>
  </si>
  <si>
    <t>Necklace of Swiftness</t>
  </si>
  <si>
    <t>Ожерелье стремительности</t>
  </si>
  <si>
    <t>Ring of the Wayfarer</t>
  </si>
  <si>
    <t>Кольцо странника</t>
  </si>
  <si>
    <t>Cape of Velocity</t>
  </si>
  <si>
    <t>Накидка скорости</t>
  </si>
  <si>
    <t>Necklace of Ocean Guidance</t>
  </si>
  <si>
    <t>Angel Wings</t>
  </si>
  <si>
    <t>3.3. «Осада».</t>
  </si>
  <si>
    <t>Магия Воздуха</t>
  </si>
  <si>
    <t>Примечания:</t>
  </si>
  <si>
    <t>Драконы</t>
  </si>
  <si>
    <t>Магические Доспехи</t>
  </si>
  <si>
    <t>Заоблачный храм</t>
  </si>
  <si>
    <t>5.6</t>
  </si>
  <si>
    <t>Шляпа морского капитана</t>
  </si>
  <si>
    <t>Шлем белого единорога</t>
  </si>
  <si>
    <t>Нагрудник из окаменелого дерева</t>
  </si>
  <si>
    <t>Щит львиной храбрости</t>
  </si>
  <si>
    <t>nwcoracle</t>
  </si>
  <si>
    <t>Дьявольский Туман</t>
  </si>
  <si>
    <t>Ambassador's Sash</t>
  </si>
  <si>
    <t>48*0,91=43 Лича</t>
  </si>
  <si>
    <t>Тип ландшафта</t>
  </si>
  <si>
    <t>Orrin</t>
  </si>
  <si>
    <t>Heretic</t>
  </si>
  <si>
    <t>Окно выбора вторичного навыка при получении очередного уровня</t>
  </si>
  <si>
    <t>Левый слот с предлагаемым навыком</t>
  </si>
  <si>
    <t>Правый слот с предлагаемым навыком</t>
  </si>
  <si>
    <t>Аислин</t>
  </si>
  <si>
    <t>Сандро</t>
  </si>
  <si>
    <t>Нимбус</t>
  </si>
  <si>
    <t>Тант</t>
  </si>
  <si>
    <t>Кси</t>
  </si>
  <si>
    <t>Видомина</t>
  </si>
  <si>
    <t>Нагаш</t>
  </si>
  <si>
    <t>Лорелей</t>
  </si>
  <si>
    <t>Лорд</t>
  </si>
  <si>
    <t>Harpy</t>
  </si>
  <si>
    <t>Арлаш</t>
  </si>
  <si>
    <t>Troglodyte</t>
  </si>
  <si>
    <t>Beholder</t>
  </si>
  <si>
    <t>Дас</t>
  </si>
  <si>
    <t>Аджит</t>
  </si>
  <si>
    <t>Дамакон</t>
  </si>
  <si>
    <t>Гуннар</t>
  </si>
  <si>
    <t>Синка</t>
  </si>
  <si>
    <t>Шакти</t>
  </si>
  <si>
    <t>Аламар</t>
  </si>
  <si>
    <t>Чернокнижник</t>
  </si>
  <si>
    <t>Жаегар</t>
  </si>
  <si>
    <t>Малекит</t>
  </si>
  <si>
    <t>Жеддит</t>
  </si>
  <si>
    <t>Геон</t>
  </si>
  <si>
    <t xml:space="preserve">Мирланда провела большую часть юности балуясь темными искусствами, прежде чем поняла, что эта дорога ведет к саморазрушению. Она идет узкой дорогой между добром и злом и следит, чтобы не было никого, сильнее нее. </t>
  </si>
  <si>
    <t>Окаменение</t>
  </si>
  <si>
    <t>Заклинания</t>
  </si>
  <si>
    <t>Ballistics</t>
  </si>
  <si>
    <t>Scholar</t>
  </si>
  <si>
    <t>Tactics</t>
  </si>
  <si>
    <t>Artillery</t>
  </si>
  <si>
    <t>Armorer</t>
  </si>
  <si>
    <t>Resistance</t>
  </si>
  <si>
    <t>Red</t>
  </si>
  <si>
    <t>Blue</t>
  </si>
  <si>
    <t>Деемера чуть не убили в молодости, когда его сила была настолько неуправляема, что он представлял угрозу для окружающих и для самого себя. С тех пор он научился контролировать себя и свою силу и стал великолепным бойцом.</t>
  </si>
  <si>
    <t>Ландшафт</t>
  </si>
  <si>
    <t>Грааль -</t>
  </si>
  <si>
    <t>Sir Mullich</t>
  </si>
  <si>
    <t>Adrienne</t>
  </si>
  <si>
    <t>Catherine</t>
  </si>
  <si>
    <t>Dracon</t>
  </si>
  <si>
    <t>Gelu</t>
  </si>
  <si>
    <t>Kilgor</t>
  </si>
  <si>
    <t>Mutare</t>
  </si>
  <si>
    <t>0 % - не меняется</t>
  </si>
  <si>
    <t>-20% - можно изменить</t>
  </si>
  <si>
    <t>+40% - можно изменить</t>
  </si>
  <si>
    <t>+10% - можно изменить</t>
  </si>
  <si>
    <t>Улучшенный монастырь</t>
  </si>
  <si>
    <t>Улучшенный ипподром</t>
  </si>
  <si>
    <t>20</t>
  </si>
  <si>
    <t>Верхняя башня</t>
  </si>
  <si>
    <t>Верхняя стена</t>
  </si>
  <si>
    <t>Автоматический ввод кодов</t>
  </si>
  <si>
    <t>Переключение в режим автоматической битвы и обратно</t>
  </si>
  <si>
    <t>Piquedram</t>
  </si>
  <si>
    <t>Thane</t>
  </si>
  <si>
    <t>Josephine</t>
  </si>
  <si>
    <t>Neela</t>
  </si>
  <si>
    <t xml:space="preserve">Torosar </t>
  </si>
  <si>
    <t>Fafner</t>
  </si>
  <si>
    <t>Rissa</t>
  </si>
  <si>
    <t>Iona</t>
  </si>
  <si>
    <t>Astral</t>
  </si>
  <si>
    <t>Halon</t>
  </si>
  <si>
    <t>Serena</t>
  </si>
  <si>
    <t>Daremyth</t>
  </si>
  <si>
    <t>Theodorus</t>
  </si>
  <si>
    <t>Upg. Kennels</t>
  </si>
  <si>
    <t>Ул. Псарни</t>
  </si>
  <si>
    <t>Upg. Demon Gate</t>
  </si>
  <si>
    <t>Carnivorous Plant</t>
  </si>
  <si>
    <t>nwcmidichlorians</t>
  </si>
  <si>
    <t>nwcneo</t>
  </si>
  <si>
    <t>nwcagents</t>
  </si>
  <si>
    <t>nwclotsofguns</t>
  </si>
  <si>
    <t>nwctrinity</t>
  </si>
  <si>
    <t>nwcfollowthewhiterabbit</t>
  </si>
  <si>
    <t>Halfling</t>
  </si>
  <si>
    <t>Rogue</t>
  </si>
  <si>
    <t>Boar</t>
  </si>
  <si>
    <t>Mummy</t>
  </si>
  <si>
    <t>Nomad</t>
  </si>
  <si>
    <t>Sharpshooter</t>
  </si>
  <si>
    <t>Gold Golem</t>
  </si>
  <si>
    <t>Firebird</t>
  </si>
  <si>
    <t>Phoenix</t>
  </si>
  <si>
    <t>Peasant</t>
  </si>
  <si>
    <t>Улучшенный проклятый храм</t>
  </si>
  <si>
    <t>Lifedrain</t>
  </si>
  <si>
    <t>Summon Demons</t>
  </si>
  <si>
    <t>Библиотека просвещения</t>
  </si>
  <si>
    <t>Голова Легиона</t>
  </si>
  <si>
    <t>1 кристалл</t>
  </si>
  <si>
    <t>2 кристалла</t>
  </si>
  <si>
    <t>1 ртуть</t>
  </si>
  <si>
    <t>Лук из Вишневого Дерева Эльфов</t>
  </si>
  <si>
    <t>Гундула с рождения была сиротой. Ее вырастили в семье Графа Борагуса как дочь. Когда она узнала, что он ей не родной отец, она пошла в армию, надеясь с честью погибнуть в битве. Этого не случилось, и она стала военачальником, наводящим ужас на врагов.</t>
  </si>
  <si>
    <t>Логистика</t>
  </si>
  <si>
    <t>Разведка</t>
  </si>
  <si>
    <t>Shrine of Magic Thought</t>
  </si>
  <si>
    <t>Святыня магической мысли</t>
  </si>
  <si>
    <t>Witch Hut</t>
  </si>
  <si>
    <t>Learning Stone</t>
  </si>
  <si>
    <t>Library of Enlightenment</t>
  </si>
  <si>
    <t>Tree of Knowledge</t>
  </si>
  <si>
    <t>Древо знаний</t>
  </si>
  <si>
    <t>Buoy</t>
  </si>
  <si>
    <t>Temple</t>
  </si>
  <si>
    <t>Oasis</t>
  </si>
  <si>
    <t>Watering Hole</t>
  </si>
  <si>
    <t>Водоём</t>
  </si>
  <si>
    <t>Fountain of Youth</t>
  </si>
  <si>
    <t>Фонтан молодости</t>
  </si>
  <si>
    <t>Faerie Ring</t>
  </si>
  <si>
    <t>12</t>
  </si>
  <si>
    <t>Бонус</t>
  </si>
  <si>
    <t>Базовый</t>
  </si>
  <si>
    <t>Продвинутый</t>
  </si>
  <si>
    <t>Эксперт</t>
  </si>
  <si>
    <t>Нет</t>
  </si>
  <si>
    <t>Александретта</t>
  </si>
  <si>
    <t>Whitestone</t>
  </si>
  <si>
    <t>Уитстон</t>
  </si>
  <si>
    <t>Claxton</t>
  </si>
  <si>
    <t>Клэкстон</t>
  </si>
  <si>
    <t>Armitage</t>
  </si>
  <si>
    <t>Армитаг</t>
  </si>
  <si>
    <t>Whistledale</t>
  </si>
  <si>
    <t>Уистелдал</t>
  </si>
  <si>
    <t>Gateway</t>
  </si>
  <si>
    <t>Гэтвэй</t>
  </si>
  <si>
    <t>Dunwall</t>
  </si>
  <si>
    <t>Дунвол</t>
  </si>
  <si>
    <t>Kildare</t>
  </si>
  <si>
    <t>Килдар</t>
  </si>
  <si>
    <t>Wise Oak</t>
  </si>
  <si>
    <t>Уисоак</t>
  </si>
  <si>
    <t>Forest</t>
  </si>
  <si>
    <t>Форэст</t>
  </si>
  <si>
    <t>Fortune Keep</t>
  </si>
  <si>
    <t>Фортункип</t>
  </si>
  <si>
    <t>Мепхала</t>
  </si>
  <si>
    <t>Рэйнджер</t>
  </si>
  <si>
    <t>Centaur</t>
  </si>
  <si>
    <t>Dwarf</t>
  </si>
  <si>
    <t>Уфретин</t>
  </si>
  <si>
    <t>Енова</t>
  </si>
  <si>
    <t>Роланд</t>
  </si>
  <si>
    <t>Торгрим</t>
  </si>
  <si>
    <t>Ивор</t>
  </si>
  <si>
    <t>Кланси</t>
  </si>
  <si>
    <t>Киррь</t>
  </si>
  <si>
    <t>Корониус</t>
  </si>
  <si>
    <t>Друид</t>
  </si>
  <si>
    <t>Уланд</t>
  </si>
  <si>
    <t>Эллезар</t>
  </si>
  <si>
    <t>Джем</t>
  </si>
  <si>
    <t>Мальком</t>
  </si>
  <si>
    <t>Мелодиа</t>
  </si>
  <si>
    <t>Алагар</t>
  </si>
  <si>
    <t>Аерис</t>
  </si>
  <si>
    <t>Пигуедрам</t>
  </si>
  <si>
    <t>Алхимик</t>
  </si>
  <si>
    <t>Тан</t>
  </si>
  <si>
    <t>Ivor</t>
  </si>
  <si>
    <t>Clancy</t>
  </si>
  <si>
    <t>Kyrre</t>
  </si>
  <si>
    <t>Coronius</t>
  </si>
  <si>
    <t>Uland</t>
  </si>
  <si>
    <t>Elleshar</t>
  </si>
  <si>
    <t>Gem</t>
  </si>
  <si>
    <t>Malcom</t>
  </si>
  <si>
    <t>Melodia</t>
  </si>
  <si>
    <t>Улучшенный покинутый дворец</t>
  </si>
  <si>
    <t>Адская гончая</t>
  </si>
  <si>
    <t>Рогатый демон</t>
  </si>
  <si>
    <t>Порождение зла</t>
  </si>
  <si>
    <t>Адское отродье</t>
  </si>
  <si>
    <t>Ветряная мельница</t>
  </si>
  <si>
    <t>Названия городов</t>
  </si>
  <si>
    <t>Castellatus</t>
  </si>
  <si>
    <t>Кастелатус</t>
  </si>
  <si>
    <t>Cornerstone</t>
  </si>
  <si>
    <t>Магия Воды</t>
  </si>
  <si>
    <t>Upg. Labyrinth</t>
  </si>
  <si>
    <t>Ул. Лабиринт</t>
  </si>
  <si>
    <t>Upg. Manticore Lair</t>
  </si>
  <si>
    <t>Фея</t>
  </si>
  <si>
    <t>Гремлин</t>
  </si>
  <si>
    <t>Мастер-гремлин</t>
  </si>
  <si>
    <t>Бес</t>
  </si>
  <si>
    <t>Чёрт</t>
  </si>
  <si>
    <t>Скелет</t>
  </si>
  <si>
    <t>Троглодит</t>
  </si>
  <si>
    <t>Гоблин</t>
  </si>
  <si>
    <t>Хобгоблин</t>
  </si>
  <si>
    <t>Гнолл</t>
  </si>
  <si>
    <t>Порождения зла</t>
  </si>
  <si>
    <t>Плащ Бесконечных Кристаллов</t>
  </si>
  <si>
    <t>Вечное Кольцо Серы</t>
  </si>
  <si>
    <t>Ресурсы, необходимые для постройки</t>
  </si>
  <si>
    <t>Столовая</t>
  </si>
  <si>
    <t>Двор баллист</t>
  </si>
  <si>
    <t>Волшебный фонарь</t>
  </si>
  <si>
    <t>Алтарь воздуха</t>
  </si>
  <si>
    <t>nwcwhatisthematrix</t>
  </si>
  <si>
    <t>WOGSARUMAN</t>
  </si>
  <si>
    <t>Labyrinth</t>
  </si>
  <si>
    <t>Manticore Lair</t>
  </si>
  <si>
    <t>Dragon Cave</t>
  </si>
  <si>
    <t>Тетива из Волоса Гривы Единорога</t>
  </si>
  <si>
    <t>Наколенники из Драконьей Кости</t>
  </si>
  <si>
    <t>Артефакты</t>
  </si>
  <si>
    <t>1.7.</t>
  </si>
  <si>
    <t>Бог Огня</t>
  </si>
  <si>
    <t>1/8 ценного</t>
  </si>
  <si>
    <t>1/4 обычного</t>
  </si>
  <si>
    <t>Head of Legion</t>
  </si>
  <si>
    <t>Sea Captain's Hat</t>
  </si>
  <si>
    <t>Golden Bow</t>
  </si>
  <si>
    <t>Примерно 400 лет назад у Вокиала было свое королевство, но со временем ежедневные обязанности наскучили ему. Он внезапно бросил все и вернулся к жизни, полной приключений, которую он всегда предпочитал.</t>
  </si>
  <si>
    <t>Килгор</t>
  </si>
  <si>
    <t>Мутаре</t>
  </si>
  <si>
    <t>Мутаре Дрэйк</t>
  </si>
  <si>
    <t>Борагус</t>
  </si>
  <si>
    <t>Ксерон</t>
  </si>
  <si>
    <t>Цена</t>
  </si>
  <si>
    <t>Уровень</t>
  </si>
  <si>
    <t>Описание</t>
  </si>
  <si>
    <t>Фабрика големов</t>
  </si>
  <si>
    <t>Castle</t>
  </si>
  <si>
    <t>Tower</t>
  </si>
  <si>
    <t>Inferno</t>
  </si>
  <si>
    <t>Necropolis</t>
  </si>
  <si>
    <t>Crystals</t>
  </si>
  <si>
    <t>Gems</t>
  </si>
  <si>
    <t>Gold</t>
  </si>
  <si>
    <t>Mage Guild</t>
  </si>
  <si>
    <t>Marketplace</t>
  </si>
  <si>
    <t>Tavern</t>
  </si>
  <si>
    <t>Blacksmith</t>
  </si>
  <si>
    <t>Fort</t>
  </si>
  <si>
    <t>Citadel</t>
  </si>
  <si>
    <t>Гильдия магов</t>
  </si>
  <si>
    <t>Capitol</t>
  </si>
  <si>
    <t>City Hall</t>
  </si>
  <si>
    <t>Town Halle</t>
  </si>
  <si>
    <t>Village Hall</t>
  </si>
  <si>
    <t>Оковы Войны</t>
  </si>
  <si>
    <t>Магог</t>
  </si>
  <si>
    <t>Страж</t>
  </si>
  <si>
    <t>Змий</t>
  </si>
  <si>
    <t>Мумия</t>
  </si>
  <si>
    <t>Боевой гном</t>
  </si>
  <si>
    <t>Грязевая дорога</t>
  </si>
  <si>
    <t>Камни</t>
  </si>
  <si>
    <t>Песок</t>
  </si>
  <si>
    <t>Снег</t>
  </si>
  <si>
    <t>Болото</t>
  </si>
  <si>
    <t>Попутный ветер</t>
  </si>
  <si>
    <t>Vidomina</t>
  </si>
  <si>
    <t>Nagash</t>
  </si>
  <si>
    <t>Lorelei</t>
  </si>
  <si>
    <t>Arlach</t>
  </si>
  <si>
    <t>Dace</t>
  </si>
  <si>
    <t>Ajit</t>
  </si>
  <si>
    <t>Damacon</t>
  </si>
  <si>
    <t>Gunnar</t>
  </si>
  <si>
    <t xml:space="preserve">Когда Дьяволы явились в Эрафию, Игнат понял, что он сможет выжить только присоединившись к ним. Он сумел их убедить, что может им пригодиться, но продолжает бояться, что однажды они решат, что им больше не нужна его помощь. </t>
  </si>
  <si>
    <t>Неистощимая Подвода Леса</t>
  </si>
  <si>
    <r>
      <t>Наги</t>
    </r>
    <r>
      <rPr>
        <sz val="10"/>
        <rFont val="Arial"/>
        <family val="2"/>
        <charset val="204"/>
      </rPr>
      <t xml:space="preserve"> - имеют безответный удар.</t>
    </r>
  </si>
  <si>
    <r>
      <t>Esc</t>
    </r>
    <r>
      <rPr>
        <sz val="10"/>
        <rFont val="Arial"/>
        <family val="2"/>
        <charset val="204"/>
      </rPr>
      <t xml:space="preserve"> - Вернуться к игре</t>
    </r>
  </si>
  <si>
    <r>
      <t xml:space="preserve">Итак, </t>
    </r>
    <r>
      <rPr>
        <b/>
        <sz val="10"/>
        <color indexed="10"/>
        <rFont val="Arial"/>
        <family val="2"/>
        <charset val="204"/>
      </rPr>
      <t>Грааль...</t>
    </r>
  </si>
  <si>
    <t>Защита от воздуха (1)</t>
  </si>
  <si>
    <r>
      <t>Дьяволы (Архидьяволы)</t>
    </r>
    <r>
      <rPr>
        <sz val="10"/>
        <rFont val="Arial"/>
        <family val="2"/>
        <charset val="204"/>
      </rPr>
      <t xml:space="preserve"> - атакуют безответно, наносят 150% урон Ангелам (Архангелам), понижают уровень удачи врага на единицу.</t>
    </r>
  </si>
  <si>
    <t>Привидение</t>
  </si>
  <si>
    <t>Alagar</t>
  </si>
  <si>
    <t>Aeris</t>
  </si>
  <si>
    <t>Boragus</t>
  </si>
  <si>
    <t>Xeron</t>
  </si>
  <si>
    <t>Имена героев</t>
  </si>
  <si>
    <t>Смертельный удар</t>
  </si>
  <si>
    <t>Кольцо жизни</t>
  </si>
  <si>
    <t>Vial of Lifeblood</t>
  </si>
  <si>
    <t>Pendant of Dispassion</t>
  </si>
  <si>
    <t>Pendant of Second Sight</t>
  </si>
  <si>
    <t>Pendant of Holiness</t>
  </si>
  <si>
    <t>Pendant of Life</t>
  </si>
  <si>
    <t>WOGMINASTIRITH</t>
  </si>
  <si>
    <t>WOGGALADRIEL</t>
  </si>
  <si>
    <t>WOGGANDALFWHITE</t>
  </si>
  <si>
    <t>WOGSHADOWFAX</t>
  </si>
  <si>
    <t>Сапоги скорости</t>
  </si>
  <si>
    <t>Ожерелье морского проведения</t>
  </si>
  <si>
    <t>10000</t>
  </si>
  <si>
    <t>3.4. «Нормальные герои всегда идут в обход».</t>
  </si>
  <si>
    <t>16</t>
  </si>
  <si>
    <t>Торговец артефактами</t>
  </si>
  <si>
    <t>Necromancy Amplifier</t>
  </si>
  <si>
    <t>Мерист должна была стать целителем в своей деревне, но когда выяснилось, что она обладает гораздо большей магической силой, чем требуется простому целителю, она немедленно поступила на службу Таталии.</t>
  </si>
  <si>
    <t>Фанатик</t>
  </si>
  <si>
    <t>Крестоносец</t>
  </si>
  <si>
    <t>Щит Короля Гноллов</t>
  </si>
  <si>
    <t>Шлем Хаоса</t>
  </si>
  <si>
    <t>Скорость</t>
  </si>
  <si>
    <t>Снайперы</t>
  </si>
  <si>
    <t>3. Герой перед последним шагом стоит с Архангелом на траве. Поскольку в данном случае не действуют штрафы местности, герой может шагнуть по диагонали.</t>
  </si>
  <si>
    <t>Basilisk</t>
  </si>
  <si>
    <t>Примечание:</t>
  </si>
  <si>
    <t>Upg. Basilisk Pit</t>
  </si>
  <si>
    <t>Кольцо Дипломата</t>
  </si>
  <si>
    <t>Птица Познания</t>
  </si>
  <si>
    <t>Dragon Utopia</t>
  </si>
  <si>
    <t>Утопия драконов</t>
  </si>
  <si>
    <t>Mercenary Camp</t>
  </si>
  <si>
    <t>Marletto Tower</t>
  </si>
  <si>
    <t>School of War</t>
  </si>
  <si>
    <t>Школа войны</t>
  </si>
  <si>
    <t>Arena</t>
  </si>
  <si>
    <t>Star Axis</t>
  </si>
  <si>
    <t>Garden of Revelation</t>
  </si>
  <si>
    <t>14</t>
  </si>
  <si>
    <t>50</t>
  </si>
  <si>
    <t>14 серы</t>
  </si>
  <si>
    <t>Волшебное зеркало</t>
  </si>
  <si>
    <t>nwcnebuchadnezzar</t>
  </si>
  <si>
    <t>Cyclops King</t>
  </si>
  <si>
    <t>Уровень 7</t>
  </si>
  <si>
    <t>Уровень 6</t>
  </si>
  <si>
    <t>Риланд</t>
  </si>
  <si>
    <t>Песочные часы недоброго часа</t>
  </si>
  <si>
    <t>Дух уныния</t>
  </si>
  <si>
    <t xml:space="preserve">Хотя Торосар сначала готовился стать Алхимиком, его всегда интересовали вопросы тактики  ведения боя и осады. Он прочел гораздо больше литературы по этим вопросам, чем по вопросам Алхимии. </t>
  </si>
  <si>
    <t>Окно города</t>
  </si>
  <si>
    <t>Уволился - и в бой!</t>
  </si>
  <si>
    <t>Следующий город</t>
  </si>
  <si>
    <t>Даремиф</t>
  </si>
  <si>
    <t>Теодор</t>
  </si>
  <si>
    <t>Солмир</t>
  </si>
  <si>
    <t>Кира</t>
  </si>
  <si>
    <t>Аин</t>
  </si>
  <si>
    <t>Фиона</t>
  </si>
  <si>
    <t>Демон</t>
  </si>
  <si>
    <t>Imp</t>
  </si>
  <si>
    <t>Рашка</t>
  </si>
  <si>
    <t>Gog</t>
  </si>
  <si>
    <t>Мариус</t>
  </si>
  <si>
    <t>Игнат</t>
  </si>
  <si>
    <t>Октавия</t>
  </si>
  <si>
    <t>Калх</t>
  </si>
  <si>
    <t>Пир</t>
  </si>
  <si>
    <t>Нимус</t>
  </si>
  <si>
    <t>Айден</t>
  </si>
  <si>
    <t>Еретик</t>
  </si>
  <si>
    <t>Ксирон</t>
  </si>
  <si>
    <t>Аксис</t>
  </si>
  <si>
    <t>Олема</t>
  </si>
  <si>
    <t>Калид</t>
  </si>
  <si>
    <t>Аш</t>
  </si>
  <si>
    <t>Зидар</t>
  </si>
  <si>
    <t>- а также ряд других источников, происхождение и авторство которых на данный момент не представляется возможным установить.</t>
  </si>
  <si>
    <t>Открыть</t>
  </si>
  <si>
    <t>Solmyr</t>
  </si>
  <si>
    <t>Cyra</t>
  </si>
  <si>
    <t>Aine</t>
  </si>
  <si>
    <t>Fiona</t>
  </si>
  <si>
    <t>Rashka</t>
  </si>
  <si>
    <t>Marius</t>
  </si>
  <si>
    <t>Ignatius</t>
  </si>
  <si>
    <t>Стражи</t>
  </si>
  <si>
    <t>Троглодиты</t>
  </si>
  <si>
    <t>Ancient Behemoth</t>
  </si>
  <si>
    <t>Улучшенные конюшни кентавров</t>
  </si>
  <si>
    <t>Улучшенный заколдованный ручей</t>
  </si>
  <si>
    <t>Улучшенная арка дендроидов</t>
  </si>
  <si>
    <t>Улучшенная лужайка единорогов</t>
  </si>
  <si>
    <t>Улучшенные драконьи скалы</t>
  </si>
  <si>
    <t>Адский троглодит</t>
  </si>
  <si>
    <t>Академия боевых искусств</t>
  </si>
  <si>
    <t>Водоворот маны</t>
  </si>
  <si>
    <t>Портал вызова</t>
  </si>
  <si>
    <t>Грибные кольца</t>
  </si>
  <si>
    <t>Tazar</t>
  </si>
  <si>
    <t>Alkin</t>
  </si>
  <si>
    <t>Korbac</t>
  </si>
  <si>
    <t>Gerwulf</t>
  </si>
  <si>
    <t>Broghild</t>
  </si>
  <si>
    <t>Mirlanda</t>
  </si>
  <si>
    <t>Rosic</t>
  </si>
  <si>
    <t>Voy</t>
  </si>
  <si>
    <t>Verdish</t>
  </si>
  <si>
    <t>Merist</t>
  </si>
  <si>
    <t>Styg</t>
  </si>
  <si>
    <t>Andra</t>
  </si>
  <si>
    <t>Tiva</t>
  </si>
  <si>
    <t>Pasis</t>
  </si>
  <si>
    <t>Thunar</t>
  </si>
  <si>
    <t>Ignissa</t>
  </si>
  <si>
    <t>Lacus</t>
  </si>
  <si>
    <t>Monere</t>
  </si>
  <si>
    <t>Тележка с боеприпасами</t>
  </si>
  <si>
    <t xml:space="preserve">Нечасто встретишь Гнома-Рейнджера, но Уфретину его умения были даны от природы. Все Гномы, живущие на поверхности, поклонялись ему. Он - прирожденный лидер всех гномоподобных. </t>
  </si>
  <si>
    <t>Первичные навыки</t>
  </si>
  <si>
    <t>Джелар</t>
  </si>
  <si>
    <t>Гриндан</t>
  </si>
  <si>
    <t>Джелу</t>
  </si>
  <si>
    <t>Улучшенный камень душ</t>
  </si>
  <si>
    <t>Кольчуга Великого Василиска</t>
  </si>
  <si>
    <t>Шлем-череп</t>
  </si>
  <si>
    <t>Сирены</t>
  </si>
  <si>
    <t>+1</t>
  </si>
  <si>
    <t>+2</t>
  </si>
  <si>
    <t>+3</t>
  </si>
  <si>
    <t>-1</t>
  </si>
  <si>
    <t>-3</t>
  </si>
  <si>
    <t>Shadow Keep</t>
  </si>
  <si>
    <t>Шэдоукип</t>
  </si>
  <si>
    <t>Worm Warren</t>
  </si>
  <si>
    <t>Вормварэн</t>
  </si>
  <si>
    <t>Гильдия магов 3 уровня</t>
  </si>
  <si>
    <t>Гильдия магов 4 уровня</t>
  </si>
  <si>
    <t>Гильдия магов 5 уровня</t>
  </si>
  <si>
    <t>Кристаллы</t>
  </si>
  <si>
    <t>Самоцветы</t>
  </si>
  <si>
    <t>Назначение</t>
  </si>
  <si>
    <t>Магия Земли</t>
  </si>
  <si>
    <t>Кладбище</t>
  </si>
  <si>
    <t>Камень душ</t>
  </si>
  <si>
    <t>Поместье</t>
  </si>
  <si>
    <t xml:space="preserve">Мавзолей </t>
  </si>
  <si>
    <t>Дворец тьмы</t>
  </si>
  <si>
    <t>Склеп драконов</t>
  </si>
  <si>
    <t>В течение шести месяце войны с Кревлодом на границе, маленькая командa под предводительством Тазара, смогла взять пост в Таталии и сдерживать в пять раз превосходящие силы противника до подхода подкрепления.</t>
  </si>
  <si>
    <t>Улучшенное кладбище</t>
  </si>
  <si>
    <t>Улучшенное поместье</t>
  </si>
  <si>
    <t>Улучшенный мавзолей</t>
  </si>
  <si>
    <t>Улучшенный дворец тьмы</t>
  </si>
  <si>
    <t>Regenerate</t>
  </si>
  <si>
    <t>Регенерация</t>
  </si>
  <si>
    <t>Сокровище (Treasure)</t>
  </si>
  <si>
    <t>Второстепенный (Minor)</t>
  </si>
  <si>
    <t>Основной (Major)</t>
  </si>
  <si>
    <t>Реликт (Relic)</t>
  </si>
  <si>
    <t>Hellwind</t>
  </si>
  <si>
    <t>Хэлвинд</t>
  </si>
  <si>
    <t>Stygius</t>
  </si>
  <si>
    <t>Стугиус</t>
  </si>
  <si>
    <t>Styx</t>
  </si>
  <si>
    <t>Стукс</t>
  </si>
  <si>
    <t>1/2 ценного</t>
  </si>
  <si>
    <t>4 ценных</t>
  </si>
  <si>
    <t>2 ценных</t>
  </si>
  <si>
    <t>3 обычных</t>
  </si>
  <si>
    <t>2 обычных</t>
  </si>
  <si>
    <t>1/5 обычного</t>
  </si>
  <si>
    <t>1/10 ценного</t>
  </si>
  <si>
    <t>Ogre's Club of Havoc</t>
  </si>
  <si>
    <t>Sword of Hellfire</t>
  </si>
  <si>
    <t>Titan's Gladius</t>
  </si>
  <si>
    <t>Гладиус титана</t>
  </si>
  <si>
    <t>Водоворот</t>
  </si>
  <si>
    <t>Палатка ключника</t>
  </si>
  <si>
    <t>Страж границы</t>
  </si>
  <si>
    <t>Пограничные ворота</t>
  </si>
  <si>
    <t>Берсерк. Тонкости атаки и защиты.</t>
  </si>
  <si>
    <t>После чего обновленная версия справочника будет предложена для использования всем желающим.</t>
  </si>
  <si>
    <t>Dendroid Arches</t>
  </si>
  <si>
    <t>Нелла</t>
  </si>
  <si>
    <t>Торосар</t>
  </si>
  <si>
    <t>Фафнер</t>
  </si>
  <si>
    <t>Ризза</t>
  </si>
  <si>
    <t>Иона</t>
  </si>
  <si>
    <t>Астрал</t>
  </si>
  <si>
    <t>Маг</t>
  </si>
  <si>
    <t>Халон</t>
  </si>
  <si>
    <t>Серена</t>
  </si>
  <si>
    <r>
      <t xml:space="preserve">V </t>
    </r>
    <r>
      <rPr>
        <sz val="10"/>
        <rFont val="Arial"/>
        <family val="2"/>
        <charset val="204"/>
      </rPr>
      <t>- Посмотреть мир</t>
    </r>
  </si>
  <si>
    <r>
      <t xml:space="preserve">I </t>
    </r>
    <r>
      <rPr>
        <sz val="10"/>
        <rFont val="Arial"/>
        <family val="2"/>
        <charset val="204"/>
      </rPr>
      <t>- Информация по сценарию</t>
    </r>
  </si>
  <si>
    <r>
      <t>M</t>
    </r>
    <r>
      <rPr>
        <sz val="10"/>
        <rFont val="Arial"/>
        <family val="2"/>
        <charset val="204"/>
      </rPr>
      <t xml:space="preserve"> - Выход в основное меню</t>
    </r>
  </si>
  <si>
    <r>
      <t>L</t>
    </r>
    <r>
      <rPr>
        <sz val="10"/>
        <rFont val="Arial"/>
        <family val="2"/>
        <charset val="204"/>
      </rPr>
      <t xml:space="preserve"> - Загрузить игру</t>
    </r>
  </si>
  <si>
    <r>
      <t>R</t>
    </r>
    <r>
      <rPr>
        <sz val="10"/>
        <rFont val="Arial"/>
        <family val="2"/>
        <charset val="204"/>
      </rPr>
      <t xml:space="preserve"> - Переиграть сценарий</t>
    </r>
  </si>
  <si>
    <r>
      <t>S</t>
    </r>
    <r>
      <rPr>
        <sz val="10"/>
        <rFont val="Arial"/>
        <family val="2"/>
        <charset val="204"/>
      </rPr>
      <t xml:space="preserve"> - Сохранить игру</t>
    </r>
  </si>
  <si>
    <t>Гномы</t>
  </si>
  <si>
    <t xml:space="preserve">Еще в то время как Дамаконом помыкали все, даже Троглодиты, он уже мог по запаху найти золото, не прикладывая к этому никаких усилий. С помощью золота он пробьет себе дорогу к власти. </t>
  </si>
  <si>
    <t>Алтарь воды</t>
  </si>
  <si>
    <t>Алтарь огня</t>
  </si>
  <si>
    <t>Алтарь земли</t>
  </si>
  <si>
    <t>NWCGENERALDIRECTION</t>
  </si>
  <si>
    <t>NWCSHRUBBERY</t>
  </si>
  <si>
    <t>NWCTIM</t>
  </si>
  <si>
    <t>NWCFLESHWOUND</t>
  </si>
  <si>
    <t>NWCPHISHERPRICE</t>
  </si>
  <si>
    <t>Hermit Cove</t>
  </si>
  <si>
    <t>Хермитков</t>
  </si>
  <si>
    <t>Mosswood</t>
  </si>
  <si>
    <t>Мосвуд</t>
  </si>
  <si>
    <t>Marshwall</t>
  </si>
  <si>
    <t>Параметры</t>
  </si>
  <si>
    <t>Урон</t>
  </si>
  <si>
    <t>Лебединое озеро</t>
  </si>
  <si>
    <t>Ожерелье божественной благодати</t>
  </si>
  <si>
    <t>Ксарфакс</t>
  </si>
  <si>
    <t>Стракер</t>
  </si>
  <si>
    <t>Рыцарь Смерти</t>
  </si>
  <si>
    <t>Zombie</t>
  </si>
  <si>
    <t>Вокиал</t>
  </si>
  <si>
    <t>Skeleton</t>
  </si>
  <si>
    <t>Wight</t>
  </si>
  <si>
    <t>Моандор</t>
  </si>
  <si>
    <t>Чарна</t>
  </si>
  <si>
    <t>Тамика</t>
  </si>
  <si>
    <t>Исра</t>
  </si>
  <si>
    <t>Клавиус</t>
  </si>
  <si>
    <t>х</t>
  </si>
  <si>
    <t>Мантия Вампира</t>
  </si>
  <si>
    <t>Магический Ошейник</t>
  </si>
  <si>
    <t>Сапоги Мертвеца</t>
  </si>
  <si>
    <t>Улучшенные врата демонов</t>
  </si>
  <si>
    <t>Улучшенный провал</t>
  </si>
  <si>
    <t>Улучшенное огненное озеро</t>
  </si>
  <si>
    <t>Видение</t>
  </si>
  <si>
    <t>Dessa</t>
  </si>
  <si>
    <t>Terek</t>
  </si>
  <si>
    <t>Zubin</t>
  </si>
  <si>
    <t>Gundula</t>
  </si>
  <si>
    <t>Oris</t>
  </si>
  <si>
    <t>Saurug</t>
  </si>
  <si>
    <t>Bron</t>
  </si>
  <si>
    <t>Drakon</t>
  </si>
  <si>
    <t>Wystan</t>
  </si>
  <si>
    <t>Equinox</t>
  </si>
  <si>
    <t>Экуинокс</t>
  </si>
  <si>
    <t>Athenaeum</t>
  </si>
  <si>
    <t>Афэнум</t>
  </si>
  <si>
    <t>Valtara</t>
  </si>
  <si>
    <t>Валтара</t>
  </si>
  <si>
    <t>Tirith</t>
  </si>
  <si>
    <t>Тириф</t>
  </si>
  <si>
    <t>Fallen Star</t>
  </si>
  <si>
    <t>Фалленстар</t>
  </si>
  <si>
    <t>Mystos</t>
  </si>
  <si>
    <t>Мустос</t>
  </si>
  <si>
    <t>Ayer</t>
  </si>
  <si>
    <t>Ауэр</t>
  </si>
  <si>
    <t>7</t>
  </si>
  <si>
    <t>Ring of Infinite Gems</t>
  </si>
  <si>
    <t>Магия Огня</t>
  </si>
  <si>
    <t>Skull Helmet</t>
  </si>
  <si>
    <t>Helm of Chaos</t>
  </si>
  <si>
    <t>Шлем хаоса</t>
  </si>
  <si>
    <t>Сапоги противодействия</t>
  </si>
  <si>
    <t>Птица познания</t>
  </si>
  <si>
    <t>Бесстрашный хранитель</t>
  </si>
  <si>
    <t>Символ знаний</t>
  </si>
  <si>
    <t>Ожерелье морского провидения</t>
  </si>
  <si>
    <t>Плащ отречения</t>
  </si>
  <si>
    <t>Брелок бесстрастия</t>
  </si>
  <si>
    <t>O</t>
  </si>
  <si>
    <t>R</t>
  </si>
  <si>
    <t>S</t>
  </si>
  <si>
    <t>Esc</t>
  </si>
  <si>
    <t>18</t>
  </si>
  <si>
    <t>Infernal Troglodyte</t>
  </si>
  <si>
    <t>Harpy Hag</t>
  </si>
  <si>
    <t>Evil Eye</t>
  </si>
  <si>
    <t>Medusa</t>
  </si>
  <si>
    <t>Medusa Queen</t>
  </si>
  <si>
    <t>Minotaur</t>
  </si>
  <si>
    <t>Люди верят, что Сауруг когда-то изучал Алхимию, чтобы стать богатым. Хотя он в этом не преуспел, его знания придают ему большой вес в армии Кревлода.</t>
  </si>
  <si>
    <t>Orb of Tempestuous Fire</t>
  </si>
  <si>
    <t>Orb of Driving Rain</t>
  </si>
  <si>
    <t>Recanter's Cloak</t>
  </si>
  <si>
    <t>Tome of Fire Magic</t>
  </si>
  <si>
    <t>Tome of Air Magic</t>
  </si>
  <si>
    <t>Tome of Water Magic</t>
  </si>
  <si>
    <t>Tome of Earth Magic</t>
  </si>
  <si>
    <t>Sphere of Permanence</t>
  </si>
  <si>
    <t>Orb of Vulnerability</t>
  </si>
  <si>
    <t>Spellbinder's Hat</t>
  </si>
  <si>
    <t>Orb of Inhibition</t>
  </si>
  <si>
    <t>Ring of Vitality</t>
  </si>
  <si>
    <t>Ring of Life</t>
  </si>
  <si>
    <t>Здоровье</t>
  </si>
  <si>
    <t>Перевод</t>
  </si>
  <si>
    <t>1) подсчитываются результаты каждого отдельного сценария (карты) по формуле, приведенной выше;</t>
  </si>
  <si>
    <t>Святыня магического жеста</t>
  </si>
  <si>
    <t>Upg. Pyre</t>
  </si>
  <si>
    <t xml:space="preserve">Орис не подавала больших надежд в начале своей карьеры Мага, но ее неоспоримая способность заучивать заклинания, раз услышав их, возмещает некоторый недостаток мастерства. </t>
  </si>
  <si>
    <t>Pixie</t>
  </si>
  <si>
    <t>Sprite</t>
  </si>
  <si>
    <t>Storm Elemental</t>
  </si>
  <si>
    <t>Десса</t>
  </si>
  <si>
    <t>Терек</t>
  </si>
  <si>
    <t>Зубин</t>
  </si>
  <si>
    <t>Гундула</t>
  </si>
  <si>
    <t>Орис</t>
  </si>
  <si>
    <t>Сауруг</t>
  </si>
  <si>
    <t>Дьявол</t>
  </si>
  <si>
    <t>Sulfur Dune</t>
  </si>
  <si>
    <t>Залежи серы</t>
  </si>
  <si>
    <t>Crystal Cavern</t>
  </si>
  <si>
    <t>Пещера кристаллов</t>
  </si>
  <si>
    <t>Карты Пророчества</t>
  </si>
  <si>
    <t>Василиск</t>
  </si>
  <si>
    <t>Монах</t>
  </si>
  <si>
    <t>Пегас</t>
  </si>
  <si>
    <t>Стартовая вероятность присоединения</t>
  </si>
  <si>
    <t>Степень лояльности</t>
  </si>
  <si>
    <t>100% - не меняется</t>
  </si>
  <si>
    <t>3. Как установить Грааль?</t>
  </si>
  <si>
    <t>Сфера Проливного Дождя</t>
  </si>
  <si>
    <t xml:space="preserve">Мариус несколько лет была товарищем Калха. Они разошлись, когда стало ясно, что Калх не согласен с ее планом избавления мира от всякой нечисти. </t>
  </si>
  <si>
    <t>25 Стражей</t>
  </si>
  <si>
    <t>50 Стражей</t>
  </si>
  <si>
    <t>Prison</t>
  </si>
  <si>
    <t>Seer's Hut</t>
  </si>
  <si>
    <t>Guardhouse</t>
  </si>
  <si>
    <t xml:space="preserve">Хотя у Шакти нет глаз, он прекрасно может вести бой. Орды Троглодитов, которыми он командует, устрашают всех вокруг, особенно когда бой идет в темных туннелях Нихона. </t>
  </si>
  <si>
    <t>Wood Elf</t>
  </si>
  <si>
    <t>Protection from Air</t>
  </si>
  <si>
    <t>Protection from Fire</t>
  </si>
  <si>
    <t>Prot. from Water</t>
  </si>
  <si>
    <t>Улучшенный дворец пороков</t>
  </si>
  <si>
    <t>Бесстрашный Хранитель</t>
  </si>
  <si>
    <t>Подзорная Труба</t>
  </si>
  <si>
    <t>Символ Знаний</t>
  </si>
  <si>
    <t>Поведение</t>
  </si>
  <si>
    <t>Улей змия</t>
  </si>
  <si>
    <t>Stone Skin</t>
  </si>
  <si>
    <t>Disrupting Ray</t>
  </si>
  <si>
    <t>Prayer</t>
  </si>
  <si>
    <t>Mirth</t>
  </si>
  <si>
    <t>Sorrow</t>
  </si>
  <si>
    <t>Fortune</t>
  </si>
  <si>
    <t>Гарнизон</t>
  </si>
  <si>
    <t>Логово воров</t>
  </si>
  <si>
    <t>Святилище</t>
  </si>
  <si>
    <t>Тюрьма</t>
  </si>
  <si>
    <t>Обелиск</t>
  </si>
  <si>
    <t>Obelisk</t>
  </si>
  <si>
    <t>Золотой голем</t>
  </si>
  <si>
    <t>Сказочный дракон</t>
  </si>
  <si>
    <t>Griffin Bastion</t>
  </si>
  <si>
    <t>Loynis</t>
  </si>
  <si>
    <t>Caitlin</t>
  </si>
  <si>
    <t>Mephala</t>
  </si>
  <si>
    <t>Ufretin</t>
  </si>
  <si>
    <t>Jenova</t>
  </si>
  <si>
    <t>Ryland</t>
  </si>
  <si>
    <t>Thorgrim</t>
  </si>
  <si>
    <t>Wizard's Well</t>
  </si>
  <si>
    <t>Ring of the Magi</t>
  </si>
  <si>
    <t>Хижина гноллов</t>
  </si>
  <si>
    <t>Логово ящериц</t>
  </si>
  <si>
    <t>Если мы построим в этом городе Замок, расчет примет следующий вид:</t>
  </si>
  <si>
    <t>Замок -</t>
  </si>
  <si>
    <t>Итого:</t>
  </si>
  <si>
    <t>Тип войска ***</t>
  </si>
  <si>
    <t>Золотой лук</t>
  </si>
  <si>
    <t>Shackles of War</t>
  </si>
  <si>
    <t>Оковы войны</t>
  </si>
  <si>
    <t>Vial of Dragon Blood</t>
  </si>
  <si>
    <t>Armageddon's Blade</t>
  </si>
  <si>
    <t>Клинок Армагеддона</t>
  </si>
  <si>
    <t>Мост троллей</t>
  </si>
  <si>
    <t>Кристаллическая пещера</t>
  </si>
  <si>
    <t>24</t>
  </si>
  <si>
    <t>Шахта</t>
  </si>
  <si>
    <t>Лесопилка</t>
  </si>
  <si>
    <t>+2 руды в день</t>
  </si>
  <si>
    <t>Хоббит</t>
  </si>
  <si>
    <t>Крестьянин</t>
  </si>
  <si>
    <t>Виверны</t>
  </si>
  <si>
    <t>Brimstone</t>
  </si>
  <si>
    <t>Палатка первой помощи</t>
  </si>
  <si>
    <t>Катапульта</t>
  </si>
  <si>
    <t>Рейнджер</t>
  </si>
  <si>
    <t>Цвета противников на карте</t>
  </si>
  <si>
    <t>Вримстон</t>
  </si>
  <si>
    <t>Candent</t>
  </si>
  <si>
    <t>Кандент</t>
  </si>
  <si>
    <t>Cinderspire</t>
  </si>
  <si>
    <t>Киндерспир</t>
  </si>
  <si>
    <t>Daemon Gate</t>
  </si>
  <si>
    <t>Дэмонгат</t>
  </si>
  <si>
    <t>Enkindle</t>
  </si>
  <si>
    <t>Энкиндл</t>
  </si>
  <si>
    <t>Gehenna</t>
  </si>
  <si>
    <t>Жехенна</t>
  </si>
  <si>
    <t>Firebrand</t>
  </si>
  <si>
    <t>Фирбранд</t>
  </si>
  <si>
    <t>Ashcombe</t>
  </si>
  <si>
    <t>Ашкомб</t>
  </si>
  <si>
    <t>1. Как найти Грааль?</t>
  </si>
  <si>
    <t>2. Как откопать Грааль?</t>
  </si>
  <si>
    <t>Стрелки</t>
  </si>
  <si>
    <t>На выбор: 2000 золота или 1500 опыта</t>
  </si>
  <si>
    <t>Magic Elemental</t>
  </si>
  <si>
    <t>Строение</t>
  </si>
  <si>
    <t>Действие</t>
  </si>
  <si>
    <t>Башня Марлетто</t>
  </si>
  <si>
    <t>Андра</t>
  </si>
  <si>
    <t>Тива</t>
  </si>
  <si>
    <t>Пасис</t>
  </si>
  <si>
    <t>Путешественник</t>
  </si>
  <si>
    <t>Тунар</t>
  </si>
  <si>
    <t>Игнисса</t>
  </si>
  <si>
    <t>Лакус</t>
  </si>
  <si>
    <t>Behemoth</t>
  </si>
  <si>
    <t>1 день</t>
  </si>
  <si>
    <t>Upg. Fire Lake</t>
  </si>
  <si>
    <t>Кислотное дыхание</t>
  </si>
  <si>
    <t>Проклятие</t>
  </si>
  <si>
    <t xml:space="preserve">До вторжения Криганов Инхам содержал скромный монастырь. Когда началась война, он и его монахи тут же стали служить Эрафийской короне. </t>
  </si>
  <si>
    <t>Золотая шахта</t>
  </si>
  <si>
    <t>Abandoned Mine</t>
  </si>
  <si>
    <t>Силвервинг</t>
  </si>
  <si>
    <t>Facture</t>
  </si>
  <si>
    <t>Warren</t>
  </si>
  <si>
    <t>Harpy Loft</t>
  </si>
  <si>
    <t>2000 золота</t>
  </si>
  <si>
    <t>Cornucopia</t>
  </si>
  <si>
    <t>Рог изобилия</t>
  </si>
  <si>
    <t>Щит короля гномов</t>
  </si>
  <si>
    <t>Электризинг</t>
  </si>
  <si>
    <t>Блингрот</t>
  </si>
  <si>
    <t>Shadowden</t>
  </si>
  <si>
    <t>Пегасы</t>
  </si>
  <si>
    <t>2 серы</t>
  </si>
  <si>
    <t>Sorsha</t>
  </si>
  <si>
    <t>Christian</t>
  </si>
  <si>
    <t>Tyris</t>
  </si>
  <si>
    <t>Rion</t>
  </si>
  <si>
    <t>Adela</t>
  </si>
  <si>
    <t>Cuthbert</t>
  </si>
  <si>
    <t>Adelaide</t>
  </si>
  <si>
    <t>Ingham</t>
  </si>
  <si>
    <t>Предложенная в этом обзоре тактика игры, в первую очередь отражает видение и предпочтения автора этого текста. Безусловно, она не является единственно возможной. У каждого опытного игрока найдется множество своих замечаний на этот счет. Тем не менее, предложенная информация, на мой взгляд, будет крайне полезна как знатокам игры, так и тем, кто себя к таковым не относит... :)</t>
  </si>
  <si>
    <t>Demoniac</t>
  </si>
  <si>
    <t>Форт на холме</t>
  </si>
  <si>
    <t>Fire Elemental</t>
  </si>
  <si>
    <t>Earth Elemental</t>
  </si>
  <si>
    <t>Склянка Жизненной Силы</t>
  </si>
  <si>
    <t>Шар Постоянства</t>
  </si>
  <si>
    <t>Everpouring Vial of Mercury</t>
  </si>
  <si>
    <t>Inexhaustible Cart of Ore</t>
  </si>
  <si>
    <t>Eversmoking Ring of Sulfur</t>
  </si>
  <si>
    <t>M (тек) –</t>
  </si>
  <si>
    <t>M' (тек) –</t>
  </si>
  <si>
    <t>М'</t>
  </si>
  <si>
    <t>3.5. «Эх, дороги…».</t>
  </si>
  <si>
    <t>Tartaros</t>
  </si>
  <si>
    <t>Тартарос</t>
  </si>
  <si>
    <t>Blackburn</t>
  </si>
  <si>
    <t>Блэкбурн</t>
  </si>
  <si>
    <t>Cliff Nest</t>
  </si>
  <si>
    <t>Cyclops Cave</t>
  </si>
  <si>
    <t>Behemoth Lair</t>
  </si>
  <si>
    <t>Upg. Goblin Barracks</t>
  </si>
  <si>
    <t>Upg. Centaur Stables</t>
  </si>
  <si>
    <t>Upg. Dwarf Cottage</t>
  </si>
  <si>
    <t>Артефакт</t>
  </si>
  <si>
    <t>Герб доблести</t>
  </si>
  <si>
    <t>Знак отваги</t>
  </si>
  <si>
    <t>Податливое</t>
  </si>
  <si>
    <t>Дружелюбное</t>
  </si>
  <si>
    <t>Враждебное</t>
  </si>
  <si>
    <t>Кровожадное</t>
  </si>
  <si>
    <t>Savage</t>
  </si>
  <si>
    <t>Hostile</t>
  </si>
  <si>
    <t>Friendly</t>
  </si>
  <si>
    <t>Aggressive</t>
  </si>
  <si>
    <t>Complaint</t>
  </si>
  <si>
    <t>5.4</t>
  </si>
  <si>
    <t>Проклятый храм</t>
  </si>
  <si>
    <t>Улучшенный склеп драконов</t>
  </si>
  <si>
    <t>Щит Тоскующих Мертвецов</t>
  </si>
  <si>
    <r>
      <t>Скорпикоры</t>
    </r>
    <r>
      <rPr>
        <sz val="10"/>
        <rFont val="Arial"/>
        <family val="2"/>
        <charset val="204"/>
      </rPr>
      <t xml:space="preserve"> - имеют 20% шанс парализовать врага на три хода.</t>
    </r>
  </si>
  <si>
    <r>
      <t>Красные драконы (Черные драконы)</t>
    </r>
    <r>
      <rPr>
        <sz val="10"/>
        <rFont val="Arial"/>
        <family val="2"/>
        <charset val="204"/>
      </rPr>
      <t xml:space="preserve"> - атакуют на две клетки, Красные драконы иммунны к заклинаниям 1-3 уровня, Черные драконы - к любой магии. Черные драконы наносят 150% урона Гигантам и Титанам.</t>
    </r>
  </si>
  <si>
    <t>Неистощимая склянка ртути</t>
  </si>
  <si>
    <t>Неистощимая подвода с рудой</t>
  </si>
  <si>
    <t>Вечное кольцо серы</t>
  </si>
  <si>
    <t>Шлем божественного просвещения</t>
  </si>
  <si>
    <t>Сфера проливного дождя</t>
  </si>
  <si>
    <t>Пузырек с кровью дракона</t>
  </si>
  <si>
    <t>Грохот титана</t>
  </si>
  <si>
    <t>Волшебный колодец</t>
  </si>
  <si>
    <t>Haunt's Wind</t>
  </si>
  <si>
    <t>Хаунтвинд</t>
  </si>
  <si>
    <t>Cessacioun</t>
  </si>
  <si>
    <t>Цессасион</t>
  </si>
  <si>
    <t>2</t>
  </si>
  <si>
    <t>10</t>
  </si>
  <si>
    <t>8</t>
  </si>
  <si>
    <t>1.7</t>
  </si>
  <si>
    <t>1.8</t>
  </si>
  <si>
    <t>Тип города</t>
  </si>
  <si>
    <t>Башня</t>
  </si>
  <si>
    <t xml:space="preserve">Удивительно, что Даремиф еще жива. Ее отношение  к жизни: пойду куда угодно, сделаю что угодно, заводило ее в такие ситуации, из которых она просто не могла выбраться живой, и все-таки она находила выход. </t>
  </si>
  <si>
    <t>Garrison</t>
  </si>
  <si>
    <t>Храм</t>
  </si>
  <si>
    <t>Идол Удачи</t>
  </si>
  <si>
    <t>Вторичные навыки</t>
  </si>
  <si>
    <t>Заклинание</t>
  </si>
  <si>
    <t>От</t>
  </si>
  <si>
    <t>До</t>
  </si>
  <si>
    <t>Тип войска</t>
  </si>
  <si>
    <t>Оррин</t>
  </si>
  <si>
    <t>Рыцарь</t>
  </si>
  <si>
    <t>Ghost Dragon</t>
  </si>
  <si>
    <t>Mystic Orb of Mana</t>
  </si>
  <si>
    <t>Collar of Conjuring</t>
  </si>
  <si>
    <t>Замок</t>
  </si>
  <si>
    <t>Rampart</t>
  </si>
  <si>
    <t>6</t>
  </si>
  <si>
    <t>Эльфы</t>
  </si>
  <si>
    <t>Upg. Unicorn Glade</t>
  </si>
  <si>
    <t>Upg. Dragon Cliffs</t>
  </si>
  <si>
    <t>Workshop</t>
  </si>
  <si>
    <t>Parapet</t>
  </si>
  <si>
    <t>Golem Factory</t>
  </si>
  <si>
    <t>Mage Tower</t>
  </si>
  <si>
    <t>Altar of Wishes</t>
  </si>
  <si>
    <t>Golden Pavilion</t>
  </si>
  <si>
    <t>Cloud Temple</t>
  </si>
  <si>
    <t>Upg. Workshop</t>
  </si>
  <si>
    <t>Плащ Отречения</t>
  </si>
  <si>
    <t>Emerald Moor</t>
  </si>
  <si>
    <t>Эмералдмор</t>
  </si>
  <si>
    <t>Wild Willow</t>
  </si>
  <si>
    <t>Вилвиллоу</t>
  </si>
  <si>
    <t>Machina</t>
  </si>
  <si>
    <t>Мачина</t>
  </si>
  <si>
    <t>Stronggale</t>
  </si>
  <si>
    <t>Стронгал</t>
  </si>
  <si>
    <t>Corona</t>
  </si>
  <si>
    <t>Корона</t>
  </si>
  <si>
    <t>Silverwing</t>
  </si>
  <si>
    <t>Silverspire</t>
  </si>
  <si>
    <t>С огромным желанием быть могущественной и защищать свою родину, Адриэн рисковала стать изгоем и быть ненавистной для её собственных людей, заставляя их следовать своим помыслам.</t>
  </si>
  <si>
    <t>Огненный щит</t>
  </si>
  <si>
    <t>Защита от воздуха</t>
  </si>
  <si>
    <t>Защита от огня</t>
  </si>
  <si>
    <t>Защита от воды</t>
  </si>
  <si>
    <t>Vluchton</t>
  </si>
  <si>
    <t>Влючтон</t>
  </si>
  <si>
    <t>Solium</t>
  </si>
  <si>
    <t>Солиум</t>
  </si>
  <si>
    <t>Massein</t>
  </si>
  <si>
    <t>Массейн</t>
  </si>
  <si>
    <t>Magmetin</t>
  </si>
  <si>
    <t>Магметин</t>
  </si>
  <si>
    <t>Ventu</t>
  </si>
  <si>
    <t>Венту</t>
  </si>
  <si>
    <t>Fleogan Mills</t>
  </si>
  <si>
    <t>Флеоган Миллс</t>
  </si>
  <si>
    <t>Electrising</t>
  </si>
  <si>
    <t>Карты пророчества</t>
  </si>
  <si>
    <t>Голубка удачи</t>
  </si>
  <si>
    <t>Клевер удачи</t>
  </si>
  <si>
    <t>Застывший глаз дракона</t>
  </si>
  <si>
    <t>3) определяется результат кампании: среднее значение отдельного сценария умножается на 5.</t>
  </si>
  <si>
    <t>Курс обмена</t>
  </si>
  <si>
    <t>1 ценный</t>
  </si>
  <si>
    <t>1 обычный</t>
  </si>
  <si>
    <t>7 ценных</t>
  </si>
  <si>
    <t>13 обычных</t>
  </si>
  <si>
    <t>3 ценных</t>
  </si>
  <si>
    <t>7 обычных</t>
  </si>
  <si>
    <t>Inexhaustible Cart of Lumber</t>
  </si>
  <si>
    <t>Endless Sack of Gold</t>
  </si>
  <si>
    <t>Святая Земля</t>
  </si>
  <si>
    <t>2.9</t>
  </si>
  <si>
    <t>Shade</t>
  </si>
  <si>
    <t>Шадэ</t>
  </si>
  <si>
    <t>Evernight</t>
  </si>
  <si>
    <t>Эверниг</t>
  </si>
  <si>
    <t>Darkburrow</t>
  </si>
  <si>
    <t>Даркбирроу</t>
  </si>
  <si>
    <t>Lost Hold</t>
  </si>
  <si>
    <t>Serpent Fly Hive</t>
  </si>
  <si>
    <t>Basilisk Pit</t>
  </si>
  <si>
    <t>Gorgon Lair</t>
  </si>
  <si>
    <t>Wyvern Nest</t>
  </si>
  <si>
    <t>Hydra Pond</t>
  </si>
  <si>
    <t>Upg. Gnoll Hut</t>
  </si>
  <si>
    <t>Склады циклопов</t>
  </si>
  <si>
    <t>Upg. Hall of Sins</t>
  </si>
  <si>
    <t>Копейщик</t>
  </si>
  <si>
    <t>Алебардщик</t>
  </si>
  <si>
    <t>Кентавр</t>
  </si>
  <si>
    <t>Королю Тралоску никогда по-настоящему не нравился Алкин, но он все равно дал ему войско, в надежде ,что однажды его убьют. Этого не случилось и Алкин сделал блестящую карьеру, к большому неудовольствию Короля.</t>
  </si>
  <si>
    <t>Поясница Легиона</t>
  </si>
  <si>
    <t>Защита от земли</t>
  </si>
  <si>
    <t>Костюм дипломата</t>
  </si>
  <si>
    <t>Железный кулак огра</t>
  </si>
  <si>
    <t>Anti-Magic garrison</t>
  </si>
  <si>
    <t>Den of Thieves</t>
  </si>
  <si>
    <t>Trading Post</t>
  </si>
  <si>
    <t>Refugee Camp</t>
  </si>
  <si>
    <t>Hill Fort</t>
  </si>
  <si>
    <t>Sanctuary</t>
  </si>
  <si>
    <t>Ноги Легиона</t>
  </si>
  <si>
    <t>Горгоны</t>
  </si>
  <si>
    <t>Демоны</t>
  </si>
  <si>
    <t>Дендроиды</t>
  </si>
  <si>
    <t>+1 ртуть в день</t>
  </si>
  <si>
    <t>+1 самоцвет в день</t>
  </si>
  <si>
    <t>+1 кристалл в день</t>
  </si>
  <si>
    <t>2.3. Последний шаг.</t>
  </si>
  <si>
    <t>На выбор: 1000 золота или 500 опыта</t>
  </si>
  <si>
    <t>На выбор: 1500 золота или 1000 опыта</t>
  </si>
  <si>
    <t xml:space="preserve">A + R </t>
  </si>
  <si>
    <t>Air Elemental</t>
  </si>
  <si>
    <t>Water Elemental</t>
  </si>
  <si>
    <t>Сопряжение</t>
  </si>
  <si>
    <t>Каменный голем</t>
  </si>
  <si>
    <t>Naga Queen</t>
  </si>
  <si>
    <t>Giant</t>
  </si>
  <si>
    <t>Titan</t>
  </si>
  <si>
    <t>Skeleton Warrior</t>
  </si>
  <si>
    <t>Walking Dead</t>
  </si>
  <si>
    <t>Wraith</t>
  </si>
  <si>
    <t>Vampire</t>
  </si>
  <si>
    <t>Vampire Lord</t>
  </si>
  <si>
    <t>Lich</t>
  </si>
  <si>
    <t>Power Lich</t>
  </si>
  <si>
    <t>Black Knight</t>
  </si>
  <si>
    <t>Dread Knight</t>
  </si>
  <si>
    <t>Bone Dragon</t>
  </si>
  <si>
    <t>Гипноз</t>
  </si>
  <si>
    <t>Забывчивость</t>
  </si>
  <si>
    <t>Драконьи скалы</t>
  </si>
  <si>
    <t>Сокровищница</t>
  </si>
  <si>
    <t>Улучшенный коттедж гномов</t>
  </si>
  <si>
    <t>Улучшенная усадьба</t>
  </si>
  <si>
    <t>Молодые дендроиды</t>
  </si>
  <si>
    <t>Гильдия горняков</t>
  </si>
  <si>
    <t>Улучшенные псарни</t>
  </si>
  <si>
    <t>Бэквотер</t>
  </si>
  <si>
    <t>Devil</t>
  </si>
  <si>
    <t>Arch Devil</t>
  </si>
  <si>
    <t>Gnoll Marauder</t>
  </si>
  <si>
    <t>Lizard Warrior</t>
  </si>
  <si>
    <t>Dragon Fly</t>
  </si>
  <si>
    <t>Serpent Fly</t>
  </si>
  <si>
    <t>Greater Basilisk</t>
  </si>
  <si>
    <t>Количество опыта</t>
  </si>
  <si>
    <t>1/3 обычного</t>
  </si>
  <si>
    <t>Cursed Temple</t>
  </si>
  <si>
    <t>Graveyard</t>
  </si>
  <si>
    <t>Tomb of Souls</t>
  </si>
  <si>
    <t>Магическая Медаль Маны</t>
  </si>
  <si>
    <t>Возрождение Эрафии</t>
  </si>
  <si>
    <t>Sorcery</t>
  </si>
  <si>
    <t>Still Water</t>
  </si>
  <si>
    <t>Стилвотэр</t>
  </si>
  <si>
    <t>Elfwind</t>
  </si>
  <si>
    <t>Элввинд</t>
  </si>
  <si>
    <t>Serenity</t>
  </si>
  <si>
    <t>Серенити</t>
  </si>
  <si>
    <t>Ceiliedgh</t>
  </si>
  <si>
    <t>Subterranean</t>
  </si>
  <si>
    <t>Lava</t>
  </si>
  <si>
    <t xml:space="preserve"> Лава </t>
  </si>
  <si>
    <t>Water</t>
  </si>
  <si>
    <t xml:space="preserve"> Вода </t>
  </si>
  <si>
    <t>Rock</t>
  </si>
  <si>
    <t>Сила магии</t>
  </si>
  <si>
    <t>Знание</t>
  </si>
  <si>
    <t>Амулет жизни</t>
  </si>
  <si>
    <t>Pendant of Death</t>
  </si>
  <si>
    <t>Амулет смерти</t>
  </si>
  <si>
    <t>Pendant of Free Will</t>
  </si>
  <si>
    <t>Pendant of Negativity</t>
  </si>
  <si>
    <t>Амулет отрицания</t>
  </si>
  <si>
    <t>Pendant of Total Recall</t>
  </si>
  <si>
    <t>Everflowing Crystal Cloak</t>
  </si>
  <si>
    <t>Огр</t>
  </si>
  <si>
    <t>Цербер</t>
  </si>
  <si>
    <t>Грифон</t>
  </si>
  <si>
    <t>Бехолдер</t>
  </si>
  <si>
    <t>Upg. Monastery</t>
  </si>
  <si>
    <t>Ул. Монастырь</t>
  </si>
  <si>
    <t>Upg. Training Grounds</t>
  </si>
  <si>
    <t>Ул. Ипподром</t>
  </si>
  <si>
    <t>Upg. Portal of Glory</t>
  </si>
  <si>
    <t>Centaur Stables</t>
  </si>
  <si>
    <t>Dwarf Cottage</t>
  </si>
  <si>
    <t>Чародейство</t>
  </si>
  <si>
    <t>Магический ошейник</t>
  </si>
  <si>
    <t>Магическое кольцо</t>
  </si>
  <si>
    <t>Улучшенный утес чудищ</t>
  </si>
  <si>
    <t>Upg. Dragon Vault</t>
  </si>
  <si>
    <t>Ceald</t>
  </si>
  <si>
    <t>Цилд</t>
  </si>
  <si>
    <t>Igne</t>
  </si>
  <si>
    <t>Игне</t>
  </si>
  <si>
    <t>Froisan</t>
  </si>
  <si>
    <t>Фройзан</t>
  </si>
  <si>
    <t>Sawmill</t>
  </si>
  <si>
    <t>Alchemist's Lab</t>
  </si>
  <si>
    <t>Лаборатория алхимика</t>
  </si>
  <si>
    <t>Ore Pit</t>
  </si>
  <si>
    <t>Spell Book</t>
  </si>
  <si>
    <t>Spell Scroll</t>
  </si>
  <si>
    <t>25</t>
  </si>
  <si>
    <t>Котел бесов</t>
  </si>
  <si>
    <t>Псарни</t>
  </si>
  <si>
    <t>Врата демонов</t>
  </si>
  <si>
    <t>Дворец пороков</t>
  </si>
  <si>
    <t>Провал</t>
  </si>
  <si>
    <t>Огненное озеро</t>
  </si>
  <si>
    <t>Покинутый дворец</t>
  </si>
  <si>
    <t>Улучшенный котел бесов</t>
  </si>
  <si>
    <t>Слепота</t>
  </si>
  <si>
    <t>Телепорт</t>
  </si>
  <si>
    <t>Устранение преград</t>
  </si>
  <si>
    <t>Клон</t>
  </si>
  <si>
    <t>Основной навык</t>
  </si>
  <si>
    <t>Продвинутый навык</t>
  </si>
  <si>
    <t>Экспертный навык</t>
  </si>
  <si>
    <t>Поиск Пути</t>
  </si>
  <si>
    <t>Upg. Wolf Pen</t>
  </si>
  <si>
    <t>Upg. Orc Tower</t>
  </si>
  <si>
    <t>Оживление мертвецов</t>
  </si>
  <si>
    <t>Жертва</t>
  </si>
  <si>
    <t>Жажда крови</t>
  </si>
  <si>
    <t>Точность</t>
  </si>
  <si>
    <t>Разрушающий луч</t>
  </si>
  <si>
    <t>Молитва</t>
  </si>
  <si>
    <t>Радость</t>
  </si>
  <si>
    <t>Печаль</t>
  </si>
  <si>
    <t>Удача</t>
  </si>
  <si>
    <t>Неудача</t>
  </si>
  <si>
    <t>Ускорение</t>
  </si>
  <si>
    <t>Медлительность</t>
  </si>
  <si>
    <t>Палач</t>
  </si>
  <si>
    <t>Бешенство</t>
  </si>
  <si>
    <t>Затопить корабль</t>
  </si>
  <si>
    <t>Маскировка</t>
  </si>
  <si>
    <t>Полет</t>
  </si>
  <si>
    <t>Хождение по воде</t>
  </si>
  <si>
    <t>Дверь измерений</t>
  </si>
  <si>
    <t>Городской портал</t>
  </si>
  <si>
    <t>Зыбучие пески</t>
  </si>
  <si>
    <t>Минное поле</t>
  </si>
  <si>
    <t>Силовое поле</t>
  </si>
  <si>
    <t>Объект</t>
  </si>
  <si>
    <t>Домик Фей</t>
  </si>
  <si>
    <t>Фонтан удачи</t>
  </si>
  <si>
    <t>Лента посла</t>
  </si>
  <si>
    <t>Объекты на карте приключений</t>
  </si>
  <si>
    <t>Ресурсы в игре</t>
  </si>
  <si>
    <t>Wood</t>
  </si>
  <si>
    <t>Mercury</t>
  </si>
  <si>
    <t>Sulfur</t>
  </si>
  <si>
    <t>Золотой Лук</t>
  </si>
  <si>
    <t>Капитолий</t>
  </si>
  <si>
    <t>Форт</t>
  </si>
  <si>
    <t>Таверна</t>
  </si>
  <si>
    <t>Кузница</t>
  </si>
  <si>
    <t>Клевер Удачи</t>
  </si>
  <si>
    <t>Minotaur King</t>
  </si>
  <si>
    <t>Manticore</t>
  </si>
  <si>
    <t>Scorpicore</t>
  </si>
  <si>
    <t>Red Dragon</t>
  </si>
  <si>
    <t>Black Dragon</t>
  </si>
  <si>
    <t>Familiar</t>
  </si>
  <si>
    <t>Magog</t>
  </si>
  <si>
    <t>Hell Hound</t>
  </si>
  <si>
    <t>Cerberus</t>
  </si>
  <si>
    <t>Demon</t>
  </si>
  <si>
    <t>Horned Demon</t>
  </si>
  <si>
    <t>Pit Fiend</t>
  </si>
  <si>
    <t>Pit Lord</t>
  </si>
  <si>
    <t>Efreeti</t>
  </si>
  <si>
    <t>Efreet Sultan</t>
  </si>
  <si>
    <t>25*0,91=22 Лича</t>
  </si>
  <si>
    <t>5*0,91=4 Лича</t>
  </si>
  <si>
    <t>Количество городов под управлением игрока (максимум 48)</t>
  </si>
  <si>
    <t>Дата</t>
  </si>
  <si>
    <t>Силверспир</t>
  </si>
  <si>
    <t>Manufactury</t>
  </si>
  <si>
    <t>Мануфэктир</t>
  </si>
  <si>
    <t>Abaddon</t>
  </si>
  <si>
    <t>Абаддон</t>
  </si>
  <si>
    <t>Acheron</t>
  </si>
  <si>
    <t>Ачерон</t>
  </si>
  <si>
    <t>Ashden</t>
  </si>
  <si>
    <t>Ашдэн</t>
  </si>
  <si>
    <t>Agony</t>
  </si>
  <si>
    <t>Агону</t>
  </si>
  <si>
    <t>Sanctum</t>
  </si>
  <si>
    <t>Сэнктим</t>
  </si>
  <si>
    <t>Terminus</t>
  </si>
  <si>
    <t>Терминис</t>
  </si>
  <si>
    <t>Blackquarter</t>
  </si>
  <si>
    <t>Блэккортер</t>
  </si>
  <si>
    <t>Death's Gate</t>
  </si>
  <si>
    <t>Дэфгат</t>
  </si>
  <si>
    <t>Zealot</t>
  </si>
  <si>
    <t>Cavalier</t>
  </si>
  <si>
    <t>Champion</t>
  </si>
  <si>
    <t>Angel</t>
  </si>
  <si>
    <t>Grass</t>
  </si>
  <si>
    <t xml:space="preserve"> Трава </t>
  </si>
  <si>
    <t xml:space="preserve">Олема всю жизнь провела в Эофоле. Когда же пришли Криганы, она вызвалась быть их проводником и до сих пор доказывает свое умение не только вести, но руководить. </t>
  </si>
  <si>
    <t>Метеоритный дождь</t>
  </si>
  <si>
    <t>nwcr2d2</t>
  </si>
  <si>
    <t>nwcwatto</t>
  </si>
  <si>
    <t>nwcpodracer</t>
  </si>
  <si>
    <t>nwcrevealourselves</t>
  </si>
  <si>
    <t>Арка   дендроидов</t>
  </si>
  <si>
    <t>Хранитель Земли</t>
  </si>
  <si>
    <t>Памятник Богам Войны</t>
  </si>
  <si>
    <t>Вампиры</t>
  </si>
  <si>
    <t>Upg. Ogre Fort</t>
  </si>
  <si>
    <t>Upg. Cliff Nest</t>
  </si>
  <si>
    <t>Upg. Cyclops Cave</t>
  </si>
  <si>
    <t>Upg. Behemoth Lair</t>
  </si>
  <si>
    <t>Gnoll Hut</t>
  </si>
  <si>
    <t>Lizard Den</t>
  </si>
  <si>
    <t>Переговоры в многопользовательском режиме</t>
  </si>
  <si>
    <t>Активация окна сообщения</t>
  </si>
  <si>
    <t>Tab</t>
  </si>
  <si>
    <t>Первая Помощь</t>
  </si>
  <si>
    <r>
      <t>M</t>
    </r>
    <r>
      <rPr>
        <b/>
        <sz val="10"/>
        <rFont val="Arial"/>
        <family val="2"/>
        <charset val="204"/>
      </rPr>
      <t xml:space="preserve"> – </t>
    </r>
  </si>
  <si>
    <r>
      <t>M’</t>
    </r>
    <r>
      <rPr>
        <sz val="10"/>
        <rFont val="Arial"/>
        <family val="2"/>
        <charset val="204"/>
      </rPr>
      <t xml:space="preserve"> – </t>
    </r>
  </si>
  <si>
    <r>
      <t>/s0</t>
    </r>
    <r>
      <rPr>
        <sz val="10"/>
        <color indexed="8"/>
        <rFont val="Arial"/>
        <family val="2"/>
        <charset val="204"/>
      </rPr>
      <t> — отключается музыка и звук;</t>
    </r>
  </si>
  <si>
    <r>
      <t>/i0</t>
    </r>
    <r>
      <rPr>
        <sz val="10"/>
        <color indexed="8"/>
        <rFont val="Arial"/>
        <family val="2"/>
        <charset val="204"/>
      </rPr>
      <t> — игра запускается без вступительных роликов (в том числе, роликов «Буки», 3DO и NWC);</t>
    </r>
  </si>
  <si>
    <t>Lostmoor</t>
  </si>
  <si>
    <t>Лостмор</t>
  </si>
  <si>
    <t>Silt</t>
  </si>
  <si>
    <t>Силт</t>
  </si>
  <si>
    <t>Deadwood</t>
  </si>
  <si>
    <t>Дидвуд</t>
  </si>
  <si>
    <t>Edgewater</t>
  </si>
  <si>
    <t>Эджвотэр</t>
  </si>
  <si>
    <t>Stillbog</t>
  </si>
  <si>
    <t>Стиллбог</t>
  </si>
  <si>
    <t>Drakenmoor</t>
  </si>
  <si>
    <t>Дракенмор</t>
  </si>
  <si>
    <t>Университет</t>
  </si>
  <si>
    <t>Живые мертвецы</t>
  </si>
  <si>
    <t>Улучшенный золотой павильон</t>
  </si>
  <si>
    <t>Уланд довольно большую часть своей жизни работал военным санитаром. Потом он избрал дорогу служения Друидам, но те уроки, которые он вынес с поля боя, позволили ему стать великолепным лидером.</t>
  </si>
  <si>
    <t>Mess Hall</t>
  </si>
  <si>
    <t>Miners' Guild</t>
  </si>
  <si>
    <t>Mushroom Rings</t>
  </si>
  <si>
    <t>Mystic Pond</t>
  </si>
  <si>
    <t>Octavia</t>
  </si>
  <si>
    <t>Calh</t>
  </si>
  <si>
    <t>Nymus</t>
  </si>
  <si>
    <t>Ayden</t>
  </si>
  <si>
    <t>Xyron</t>
  </si>
  <si>
    <t>Axsis</t>
  </si>
  <si>
    <t>Olema</t>
  </si>
  <si>
    <t>Calid</t>
  </si>
  <si>
    <t>2 ртути</t>
  </si>
  <si>
    <t>Лук снайпера</t>
  </si>
  <si>
    <t>Crest of Valor</t>
  </si>
  <si>
    <t>Glyph of Gallantry</t>
  </si>
  <si>
    <t>Pendant of Courage</t>
  </si>
  <si>
    <t>Амулет бесстрашия</t>
  </si>
  <si>
    <t>Spirit of Oppression</t>
  </si>
  <si>
    <t>Hourglass of the Evil Hour</t>
  </si>
  <si>
    <t>Speculum</t>
  </si>
  <si>
    <t>Spyglass</t>
  </si>
  <si>
    <t>Подзорная труба</t>
  </si>
  <si>
    <t>Amulet of the Undertaker</t>
  </si>
  <si>
    <t>Амулет гробовщика</t>
  </si>
  <si>
    <t>Vampire's Cowl</t>
  </si>
  <si>
    <t>Dead Man's Boots</t>
  </si>
  <si>
    <t>Сапоги мертвеца</t>
  </si>
  <si>
    <t>Garniture of Interference</t>
  </si>
  <si>
    <t>Surcoat of Counterpoise</t>
  </si>
  <si>
    <t>Boots of Polarity</t>
  </si>
  <si>
    <t>Стартовый MP *</t>
  </si>
  <si>
    <t>Пирамида</t>
  </si>
  <si>
    <t>Усилитель черной магии</t>
  </si>
  <si>
    <t>Вуаль тьмы</t>
  </si>
  <si>
    <t>Преобразователь скелетов</t>
  </si>
  <si>
    <t>Разрытые могилы</t>
  </si>
  <si>
    <t>Живой мертвец</t>
  </si>
  <si>
    <t>Повторный показ хода соперника</t>
  </si>
  <si>
    <t>Сохранить игру</t>
  </si>
  <si>
    <t>L</t>
  </si>
  <si>
    <t>Брелок Отрицательности</t>
  </si>
  <si>
    <t>Турис очень быстро продвигается по служебной лестнице в Эрафийской Кавалерии. Это происходит не только потому что она прекрасная наездница, но и благодаря ее безошибочной интуиции в том, что касается боевой тактики. Она никогда не теряет присутствия духа.</t>
  </si>
  <si>
    <t>Алмазный голем</t>
  </si>
  <si>
    <t>Naga</t>
  </si>
  <si>
    <t>Catapult</t>
  </si>
  <si>
    <t>Ammo Cart</t>
  </si>
  <si>
    <t>First Aid Tent</t>
  </si>
  <si>
    <t>Centaurs Axe</t>
  </si>
  <si>
    <t>Кольцо жиненной силы</t>
  </si>
  <si>
    <t>Склянка жизненной силы</t>
  </si>
  <si>
    <t>Священный брелок</t>
  </si>
  <si>
    <t>Плащ бесконечных кристаллов</t>
  </si>
  <si>
    <t>Кольцо драгоценных камней</t>
  </si>
  <si>
    <t>Великий василиск</t>
  </si>
  <si>
    <t>Перчатки Всадника</t>
  </si>
  <si>
    <t>Накидка Скорости</t>
  </si>
  <si>
    <t>Кольцо Странника</t>
  </si>
  <si>
    <t>7500</t>
  </si>
  <si>
    <t>Derelict ship</t>
  </si>
  <si>
    <t>Shipwreck</t>
  </si>
  <si>
    <t>Герой - призрак.</t>
  </si>
  <si>
    <t>Ледяная молния</t>
  </si>
  <si>
    <t>Удар молнии</t>
  </si>
  <si>
    <t>Взрыв</t>
  </si>
  <si>
    <t>Цепная молния</t>
  </si>
  <si>
    <t>Инферно</t>
  </si>
  <si>
    <t>Метеоритный Дождь</t>
  </si>
  <si>
    <t>Армагеддон</t>
  </si>
  <si>
    <t>Щит</t>
  </si>
  <si>
    <t>Obsidian Gargoyle</t>
  </si>
  <si>
    <t>Stone Golem</t>
  </si>
  <si>
    <t>Iron Golem</t>
  </si>
  <si>
    <t>Mage</t>
  </si>
  <si>
    <t>Arch Mage</t>
  </si>
  <si>
    <t>Genie</t>
  </si>
  <si>
    <t>Master Genie</t>
  </si>
  <si>
    <t>Золото</t>
  </si>
  <si>
    <t>Дерево</t>
  </si>
  <si>
    <t>Руда</t>
  </si>
  <si>
    <t>Ртуть</t>
  </si>
  <si>
    <t>Сера</t>
  </si>
  <si>
    <t>Blackshard of the Dead Knight</t>
  </si>
  <si>
    <t>Greater Gnoll's Flail</t>
  </si>
  <si>
    <t>Portal of Glory</t>
  </si>
  <si>
    <t>Логово горгоны</t>
  </si>
  <si>
    <t>Гнездо виверн</t>
  </si>
  <si>
    <t>Пруд гидр</t>
  </si>
  <si>
    <t>Улучшенная хижина гноллов</t>
  </si>
  <si>
    <t>Улучшенное логово ящериц</t>
  </si>
  <si>
    <t>Улучшенный улей змия</t>
  </si>
  <si>
    <t>F3</t>
  </si>
  <si>
    <t>Удаление файла</t>
  </si>
  <si>
    <t>Del</t>
  </si>
  <si>
    <t>Удаление файла в режиме "Загрузить игру"</t>
  </si>
  <si>
    <t>Ctrl + Del</t>
  </si>
  <si>
    <t>Удаление файла в режиме "Сохранить игру"</t>
  </si>
  <si>
    <t>Брелок ясновидения</t>
  </si>
  <si>
    <t>Брелок абсолютной памяти</t>
  </si>
  <si>
    <t>Сфера запрещения</t>
  </si>
  <si>
    <t>Жозефина</t>
  </si>
  <si>
    <t>Ждать</t>
  </si>
  <si>
    <t>Открыть меню опций битвы</t>
  </si>
  <si>
    <t>Открыть окно обзора войск</t>
  </si>
  <si>
    <t>Плотоядное Растение</t>
  </si>
  <si>
    <t>Гоги</t>
  </si>
  <si>
    <t>Големы</t>
  </si>
  <si>
    <t>Tunic of the Cyclops King</t>
  </si>
  <si>
    <t>Клеверное поле</t>
  </si>
  <si>
    <t>Archangel</t>
  </si>
  <si>
    <t>Centaur Captain</t>
  </si>
  <si>
    <t>Battle Dwarf</t>
  </si>
  <si>
    <t>Endless Purse of Gold</t>
  </si>
  <si>
    <t>Legs of Legion</t>
  </si>
  <si>
    <t>Loins of Legion</t>
  </si>
  <si>
    <t>Torso of Legion</t>
  </si>
  <si>
    <t>Рыцарь смерти</t>
  </si>
  <si>
    <t>Брелок Ясновидения</t>
  </si>
  <si>
    <t>Брелок Абсолютной Памяти</t>
  </si>
  <si>
    <t>Upg. Imp Crucible</t>
  </si>
  <si>
    <t>Гидра хаоса</t>
  </si>
  <si>
    <t>Неисчерпаемый мешок золота</t>
  </si>
  <si>
    <t>Statue of Legion</t>
  </si>
  <si>
    <t>Power of the Dragon Father</t>
  </si>
  <si>
    <t>Titan's Thunder</t>
  </si>
  <si>
    <t>Admiral's Hat</t>
  </si>
  <si>
    <t>Шляпа адмирала</t>
  </si>
  <si>
    <t>Bow of the Sharpshooter</t>
  </si>
  <si>
    <t>Ожерелье Стремительности</t>
  </si>
  <si>
    <t>NWCONLYAMODEL</t>
  </si>
  <si>
    <t>NWCSIRROBIN</t>
  </si>
  <si>
    <t>NWCTROJANRABBIT</t>
  </si>
  <si>
    <t>NWCAVERTINGOUREYES</t>
  </si>
  <si>
    <t>NWCANTIOCH</t>
  </si>
  <si>
    <t>NWCIGOTBETTER</t>
  </si>
  <si>
    <t>NWCCASTLEANTHRAX</t>
  </si>
  <si>
    <t>NWCCOCONUTS</t>
  </si>
  <si>
    <t>NWCMUCHREJOICING</t>
  </si>
  <si>
    <t>1. Ресурсы.</t>
  </si>
  <si>
    <t>Шляпа оратора</t>
  </si>
  <si>
    <t>Потерпевший кораблекрушение</t>
  </si>
  <si>
    <t>1 ценный ресурс</t>
  </si>
  <si>
    <t>1 обычный ресурс</t>
  </si>
  <si>
    <t>Стрелы из Ангельских Перьев</t>
  </si>
  <si>
    <t>Класс артефакта</t>
  </si>
  <si>
    <t>Lighthouse</t>
  </si>
  <si>
    <t>Lookout Tower</t>
  </si>
  <si>
    <t>Magic University</t>
  </si>
  <si>
    <t>Mana Vortex</t>
  </si>
  <si>
    <t>Щиты</t>
  </si>
  <si>
    <t>Отправка сообщения розовому игроку</t>
  </si>
  <si>
    <t>F2</t>
  </si>
  <si>
    <t>Валеска</t>
  </si>
  <si>
    <t>+1000 золота в день</t>
  </si>
  <si>
    <t>SCS</t>
  </si>
  <si>
    <t>Шахта руды</t>
  </si>
  <si>
    <t>Upg. Forsaken Palace</t>
  </si>
  <si>
    <t>WOGEYEOFSAURON</t>
  </si>
  <si>
    <t>WOGISENGARD</t>
  </si>
  <si>
    <t xml:space="preserve">Рашка самый сильный во всем Элфрете. Его все боятся. Его методы руководства основываются на запугивании как средстве мотивации. До сих пор это срабатывало. </t>
  </si>
  <si>
    <t>Marshchoke</t>
  </si>
  <si>
    <t>Маршчок</t>
  </si>
  <si>
    <t>Sanya</t>
  </si>
  <si>
    <t>Алтарь мыслей</t>
  </si>
  <si>
    <t>Костер</t>
  </si>
  <si>
    <t>Улучшенный волшебный фонарь</t>
  </si>
  <si>
    <t>Улучшенный алтарь воздуха</t>
  </si>
  <si>
    <t>Улучшенный алтарь воды</t>
  </si>
  <si>
    <t>Улучшенный алтарь огня</t>
  </si>
  <si>
    <t>Улучшенный алтарь земли</t>
  </si>
  <si>
    <t>Улучшенный алтарь мыслей</t>
  </si>
  <si>
    <t>Улучшенный костер</t>
  </si>
  <si>
    <t>Маленькая фея</t>
  </si>
  <si>
    <t>Элементаль воды</t>
  </si>
  <si>
    <t>Ледяной элементаль</t>
  </si>
  <si>
    <t>Энергетический элементаль</t>
  </si>
  <si>
    <t>Элементаль земли</t>
  </si>
  <si>
    <t>Психический элементаль</t>
  </si>
  <si>
    <t>Магический элементаль</t>
  </si>
  <si>
    <t>Огненная птица</t>
  </si>
  <si>
    <t>Университет магии</t>
  </si>
  <si>
    <t>Сад жизни</t>
  </si>
  <si>
    <t>Upg. Griffin Tower</t>
  </si>
  <si>
    <t>Upg. Barracks</t>
  </si>
  <si>
    <t>Ул. Казармы</t>
  </si>
  <si>
    <t>Upg. Mage Tower</t>
  </si>
  <si>
    <t>Upg. Altar of Wishes</t>
  </si>
  <si>
    <t>Upg. Golden Pavilion</t>
  </si>
  <si>
    <t>Upg. Cloud Temple</t>
  </si>
  <si>
    <t>Imp Crucible</t>
  </si>
  <si>
    <t>Valeska</t>
  </si>
  <si>
    <t>Edric</t>
  </si>
  <si>
    <t>Sylvia</t>
  </si>
  <si>
    <t>Lord Haart</t>
  </si>
  <si>
    <t>Покинутый корабль</t>
  </si>
  <si>
    <t>Dungeon</t>
  </si>
  <si>
    <t>Stronghold</t>
  </si>
  <si>
    <t>Fortress</t>
  </si>
  <si>
    <t>Conflux</t>
  </si>
  <si>
    <t>Гоблины редко занимают руководящие посты, но Гурниссон продемонстрировал такие природные способности в Баллистике, которые буквально швырнули его на вершину карьеры.</t>
  </si>
  <si>
    <t>Жабаркас, старший сын Графа Борагуса, должен был когда-нибудь получить землю Кревлода. Как и его, отец, он знал, что лучший способ добиться чего-либо - завоевание.</t>
  </si>
  <si>
    <t>Ящик Пандоры</t>
  </si>
  <si>
    <t>Treetop Tower</t>
  </si>
  <si>
    <t>Enchanter's Hollow</t>
  </si>
  <si>
    <t>Lavender Lofts</t>
  </si>
  <si>
    <t>Thatched Hut</t>
  </si>
  <si>
    <t>Hovel</t>
  </si>
  <si>
    <t>Boar Glen</t>
  </si>
  <si>
    <t>Troll Bridge</t>
  </si>
  <si>
    <t>Hidden Cavern</t>
  </si>
  <si>
    <t>Sulfurous Lair</t>
  </si>
  <si>
    <t>Tomb of Curses</t>
  </si>
  <si>
    <t>Nomad Tent</t>
  </si>
  <si>
    <t>Frozen Peaks</t>
  </si>
  <si>
    <t>Кабанье ущелье</t>
  </si>
  <si>
    <t>Назад</t>
  </si>
  <si>
    <t>Имя</t>
  </si>
  <si>
    <t>Тип</t>
  </si>
  <si>
    <t>Класс</t>
  </si>
  <si>
    <t>Класс героя</t>
  </si>
  <si>
    <t>Имя героя</t>
  </si>
  <si>
    <t>Мэршвол</t>
  </si>
  <si>
    <t>Mossden</t>
  </si>
  <si>
    <t>Моссдэн</t>
  </si>
  <si>
    <t>Mudshire</t>
  </si>
  <si>
    <t>Мидшир</t>
  </si>
  <si>
    <t>Elementon</t>
  </si>
  <si>
    <t>Элементон</t>
  </si>
  <si>
    <t>Styriam</t>
  </si>
  <si>
    <t>Стирайам</t>
  </si>
  <si>
    <t>Fenderen</t>
  </si>
  <si>
    <t>Фендерен</t>
  </si>
  <si>
    <t>Lagumoor</t>
  </si>
  <si>
    <t>Лагумор</t>
  </si>
  <si>
    <t>Wazzar</t>
  </si>
  <si>
    <t>Cloak of the Undead King</t>
  </si>
  <si>
    <t>Elixir of Life</t>
  </si>
  <si>
    <t>Эликсир жизни</t>
  </si>
  <si>
    <t>Armor of the Damned</t>
  </si>
  <si>
    <t>Доспехи проклятого</t>
  </si>
  <si>
    <t>2.7.</t>
  </si>
  <si>
    <t>Монер</t>
  </si>
  <si>
    <t>Эрдамон</t>
  </si>
  <si>
    <t>Фьюр</t>
  </si>
  <si>
    <t>Кальт</t>
  </si>
  <si>
    <t>Луна</t>
  </si>
  <si>
    <t>Элементалист</t>
  </si>
  <si>
    <t>Брисса</t>
  </si>
  <si>
    <t>Циэль</t>
  </si>
  <si>
    <t>Лабета</t>
  </si>
  <si>
    <t>Интеус</t>
  </si>
  <si>
    <t>Аэнаин</t>
  </si>
  <si>
    <t>Lizard</t>
  </si>
  <si>
    <t>Rabbit</t>
  </si>
  <si>
    <t>Кролик</t>
  </si>
  <si>
    <t>Condor</t>
  </si>
  <si>
    <t>Кондор</t>
  </si>
  <si>
    <t>Ящерица</t>
  </si>
  <si>
    <t>Кукловоды</t>
  </si>
  <si>
    <t xml:space="preserve">Аин живет в Бракаде так долго, что никто даже не помнит, сколько. Говорят, что она одна из самых богатых героев страны. Ее богатства, должно быть, где-то спрятаны, потому что ее доброта заставляет ее постоянно вкладывать деньги в разные предприятия. </t>
  </si>
  <si>
    <t>Dragon Fly Hive</t>
  </si>
  <si>
    <t>Улей стрекоз</t>
  </si>
  <si>
    <t>Griffin Conservatory</t>
  </si>
  <si>
    <t>3.2. «Всё моё!».</t>
  </si>
  <si>
    <t>Песочные Часы Недоброго Часа</t>
  </si>
  <si>
    <t>Улучшенная башня магов</t>
  </si>
  <si>
    <t>Крылья ваятеля</t>
  </si>
  <si>
    <t>Veks</t>
  </si>
  <si>
    <t>Векс</t>
  </si>
  <si>
    <t>Sorrow Crown</t>
  </si>
  <si>
    <t>Сорокроун</t>
  </si>
  <si>
    <t>Chillwater</t>
  </si>
  <si>
    <t>Чилвотер</t>
  </si>
  <si>
    <t>Deepshadow</t>
  </si>
  <si>
    <t>Дипшэдов</t>
  </si>
  <si>
    <t>Darkhold</t>
  </si>
  <si>
    <t>Даркхолд</t>
  </si>
  <si>
    <t>Blindroot</t>
  </si>
  <si>
    <t>Snow</t>
  </si>
  <si>
    <t xml:space="preserve"> Снег </t>
  </si>
  <si>
    <t>Swamp</t>
  </si>
  <si>
    <t xml:space="preserve"> Болото </t>
  </si>
  <si>
    <t>Rough</t>
  </si>
  <si>
    <t xml:space="preserve"> Камни </t>
  </si>
  <si>
    <t>Агрессивное</t>
  </si>
  <si>
    <t xml:space="preserve">Вистан был женат на старшей дочери короля Тралоска, и должен был наследовать трон Таталии. А пока его вполне устраивает королевская служба, где он учится у короля. Придет время, он убьет своего наставника и захватит трон. </t>
  </si>
  <si>
    <t>Grand Elf</t>
  </si>
  <si>
    <t>Dendroid Guard</t>
  </si>
  <si>
    <t>Dendroid Soldier</t>
  </si>
  <si>
    <t>Pegasus</t>
  </si>
  <si>
    <t>Silver Pegasus</t>
  </si>
  <si>
    <t>Unicorn</t>
  </si>
  <si>
    <t>War Unicorn</t>
  </si>
  <si>
    <t>Green Dragon</t>
  </si>
  <si>
    <t>Gold Dragon</t>
  </si>
  <si>
    <t>Upg. Dragon Cave</t>
  </si>
  <si>
    <t>Goblin Barracks</t>
  </si>
  <si>
    <t>Wolf Pen</t>
  </si>
  <si>
    <t>Orc Tower</t>
  </si>
  <si>
    <t>Ogre Fort</t>
  </si>
  <si>
    <t>Магические доспехи</t>
  </si>
  <si>
    <t>Туника Короля Циклопов</t>
  </si>
  <si>
    <t>Шлем Белого Единорога</t>
  </si>
  <si>
    <t>+750</t>
  </si>
  <si>
    <t>+1500</t>
  </si>
  <si>
    <t>+2250</t>
  </si>
  <si>
    <t>Bath'iere</t>
  </si>
  <si>
    <t>Бафир</t>
  </si>
  <si>
    <t>Green Falls</t>
  </si>
  <si>
    <t>Гринфаллс</t>
  </si>
  <si>
    <t>nwcdartmaul</t>
  </si>
  <si>
    <t>Первая помощь, Лидерство</t>
  </si>
  <si>
    <t>Archers' Tower</t>
  </si>
  <si>
    <t>Griffin Tower</t>
  </si>
  <si>
    <t>Barracks</t>
  </si>
  <si>
    <t>Monastery</t>
  </si>
  <si>
    <t>Training Grounds</t>
  </si>
  <si>
    <t>1.2.1</t>
  </si>
  <si>
    <t>1.2.2</t>
  </si>
  <si>
    <t>1.2.3</t>
  </si>
  <si>
    <t>1.2.4</t>
  </si>
  <si>
    <t>III</t>
  </si>
  <si>
    <t>3.1</t>
  </si>
  <si>
    <t>3.4</t>
  </si>
  <si>
    <t>3.6</t>
  </si>
  <si>
    <t>3.7</t>
  </si>
  <si>
    <t>IV</t>
  </si>
  <si>
    <t>4.1</t>
  </si>
  <si>
    <t>4.2</t>
  </si>
  <si>
    <t>V</t>
  </si>
  <si>
    <t>5.8</t>
  </si>
  <si>
    <t>VI</t>
  </si>
  <si>
    <t>6.1</t>
  </si>
  <si>
    <t>6.2</t>
  </si>
  <si>
    <t>6.4</t>
  </si>
  <si>
    <t>мин.</t>
  </si>
  <si>
    <t>макс.</t>
  </si>
  <si>
    <t>Арбалетчики</t>
  </si>
  <si>
    <t>Горгульи</t>
  </si>
  <si>
    <t>Джинны</t>
  </si>
  <si>
    <t>Ифриты</t>
  </si>
  <si>
    <t>Бехолдеры</t>
  </si>
  <si>
    <t>Птицы рух</t>
  </si>
  <si>
    <t>Психические элементали</t>
  </si>
  <si>
    <t>Элементали земли</t>
  </si>
  <si>
    <t>Элементали огня</t>
  </si>
  <si>
    <t>Элементали воды</t>
  </si>
  <si>
    <t>Вызов корабля</t>
  </si>
  <si>
    <t>Кам.горгулья</t>
  </si>
  <si>
    <t>Жив.мертвец</t>
  </si>
  <si>
    <t>Наезд.на волке</t>
  </si>
  <si>
    <t>Мал.фея</t>
  </si>
  <si>
    <t>Палатка п.п.</t>
  </si>
  <si>
    <t>Лесной эльф</t>
  </si>
  <si>
    <t>Кам.голем</t>
  </si>
  <si>
    <t>Элем.воздуха</t>
  </si>
  <si>
    <t>Элем.воды</t>
  </si>
  <si>
    <t>Войска по умолчанию на старте героя**</t>
  </si>
  <si>
    <t>№ п/п</t>
  </si>
  <si>
    <t>Герои, их специализации, стартовые заклинания, навыки, армия и запас хода.</t>
  </si>
  <si>
    <t>Специализация героев. Ресурсы.</t>
  </si>
  <si>
    <t>Доход самоцветов +1 в день.</t>
  </si>
  <si>
    <t>Доход кристаллов +1 в день.</t>
  </si>
  <si>
    <t>Доход ртути +1 в день.</t>
  </si>
  <si>
    <t>Доход серы +1 в день.</t>
  </si>
  <si>
    <t>Доход золота +350 в день.</t>
  </si>
  <si>
    <t>Специализация героев. Заклинания.</t>
  </si>
  <si>
    <t>Аламар, Жеддит</t>
  </si>
  <si>
    <t>Аш, Интеус</t>
  </si>
  <si>
    <t>Кси, Дарксторн, Мерист, Лабета</t>
  </si>
  <si>
    <t>Аислин, Деемер</t>
  </si>
  <si>
    <t>1.2.5</t>
  </si>
  <si>
    <t>Катберт, Олема, Мирланда</t>
  </si>
  <si>
    <t>Мелодиа, Даремиф</t>
  </si>
  <si>
    <t>Удача и Боевой дух.</t>
  </si>
  <si>
    <t>Кира, Терек, Брисса</t>
  </si>
  <si>
    <t>Специализация героев. Существа.</t>
  </si>
  <si>
    <t>Кристиан, Торосар, Пир, Арлаш, Гурниссон, Гервульф</t>
  </si>
  <si>
    <t>Специализация увеличивает скорость всех существ в армии героя на 2 единицы.</t>
  </si>
  <si>
    <t>Лакус, Кальт</t>
  </si>
  <si>
    <t>Уровень существ</t>
  </si>
  <si>
    <t xml:space="preserve">     Атака = Атака(базовая) * (1 + N/n * 0,05),</t>
  </si>
  <si>
    <t xml:space="preserve">     Защита = Защита(базовая) * (1 + N/n * 0,05),</t>
  </si>
  <si>
    <t>где N - уровень героя, n - уровень существа.</t>
  </si>
  <si>
    <t>Тунар, Эрдамон</t>
  </si>
  <si>
    <t>Игнисса, Фьюр</t>
  </si>
  <si>
    <t>Пасис, Монер</t>
  </si>
  <si>
    <t>Специализация героев. Вторичные навыки.</t>
  </si>
  <si>
    <t>Общей особенностью всех героев, имеющих специализацию по вторичным навыкам, является наличие этого навыка в качестве стартового.</t>
  </si>
  <si>
    <t>Мепхала, Нила, Тазар</t>
  </si>
  <si>
    <t>Саня, Мальком, Серена, Нимбус, Геон, Орис, Тива</t>
  </si>
  <si>
    <t>Эллезар, Айден, Андра</t>
  </si>
  <si>
    <t>Киррь, Гуннар, Десса</t>
  </si>
  <si>
    <t>Халон, Аксис, Жаегар, Розик</t>
  </si>
  <si>
    <t>Сильвия, Вой</t>
  </si>
  <si>
    <t>Рион, Джем, Вердиш</t>
  </si>
  <si>
    <t>Исра, Видомина</t>
  </si>
  <si>
    <t>Значение удачи</t>
  </si>
  <si>
    <t>Вероятность выпадения удачи при ударе</t>
  </si>
  <si>
    <t>-2</t>
  </si>
  <si>
    <t>УДАЧА.</t>
  </si>
  <si>
    <t>БОЕВОЙ ДУХ.</t>
  </si>
  <si>
    <t>Значение боевого духа</t>
  </si>
  <si>
    <t>Вероятность выпадения/падения боевого духа</t>
  </si>
  <si>
    <t>Без навыка</t>
  </si>
  <si>
    <t>Баллиста и Стрелковые башни стреляют автоматически.</t>
  </si>
  <si>
    <t>Контроль над Баллистой и Стрелковыми башнями при обороне города. Двойной выстрел. Двойной урон.</t>
  </si>
  <si>
    <t>Базовый урон заклинаний.</t>
  </si>
  <si>
    <t>+5% к урону заклинаний героя и к урону мин при обороне Башни.</t>
  </si>
  <si>
    <t>+10% к урону заклинаний героя и к урону мин при обороне Башни.</t>
  </si>
  <si>
    <t>+15% к урону заклинаний героя и к урону мин при обороне Башни.</t>
  </si>
  <si>
    <t>При встрече герои могут обучать друг друга заклинаниям 1 и 2 уровня.</t>
  </si>
  <si>
    <t>При встрече герои могут обучать друг друга заклинаниям 1, 2 и 3 уровня.</t>
  </si>
  <si>
    <t>При встрече герои могут обучать друг друга заклинаниям 1, 2, 3 и 4 уровня.</t>
  </si>
  <si>
    <t>-5% получаемого существами героя урона от физических атак.</t>
  </si>
  <si>
    <t>-10% получаемого существами героя урона от физических атак.</t>
  </si>
  <si>
    <t>-15% получаемого существами героя урона от физических атак.</t>
  </si>
  <si>
    <t>40% шанс изучить заклинание, использованное героем противника в бою, после победы.</t>
  </si>
  <si>
    <t>50% шанс изучить заклинание, использованное героем противника в бою, после победы.</t>
  </si>
  <si>
    <t>60% шанс изучить заклинание, использованное героем противника в бою, после победы.</t>
  </si>
  <si>
    <t>+125 золота в день к доходу игрока.</t>
  </si>
  <si>
    <t>+250 золота в день к доходу игрока.</t>
  </si>
  <si>
    <t>+500 золота в день к доходу игрока.</t>
  </si>
  <si>
    <t>+100% к максимальному запасу маны героя.</t>
  </si>
  <si>
    <t>+1 к боевому духу героя.</t>
  </si>
  <si>
    <t>+2 к боевому духу героя.</t>
  </si>
  <si>
    <t>+3 к боевому духу героя.</t>
  </si>
  <si>
    <t>+10% к максимальному запасу хода героя по суше.</t>
  </si>
  <si>
    <t>+20% к максимальному запасу хода героя по суше.</t>
  </si>
  <si>
    <t>+30% к максимальному запасу хода героя по суше.</t>
  </si>
  <si>
    <t>То же + Продвинутый эффект заклинаний воды.</t>
  </si>
  <si>
    <t>То же + Экспертный эффект заклинаний воды.</t>
  </si>
  <si>
    <t>То же + Продвинутый эффект заклинаний воздуха.</t>
  </si>
  <si>
    <t>То же + Экспертный эффект заклинаний воздуха.</t>
  </si>
  <si>
    <t>То же + Продвинутый эффект заклинаний земли.</t>
  </si>
  <si>
    <t>То же + Продвинутый эффект заклинаний огня.</t>
  </si>
  <si>
    <t>То же + Экспертный эффект заклинаний земли.</t>
  </si>
  <si>
    <t>То же + Экспертный эффект заклинаний огня.</t>
  </si>
  <si>
    <t>Герой восстанавливает по 1 очку маны в день.</t>
  </si>
  <si>
    <t>Герой восстанавливает по 2 очка маны в день.</t>
  </si>
  <si>
    <t>Герой восстанавливает по 3 очка маны в день.</t>
  </si>
  <si>
    <t>Герой восстанавливает по 4 очка маны в день.</t>
  </si>
  <si>
    <t>Герой может изучать заклинания 1 и 2 уровня.</t>
  </si>
  <si>
    <t>Герой может изучать заклинания 1, 2, 3 и 4 уровня.</t>
  </si>
  <si>
    <t>Герой может изучать заклинания любого уровня.</t>
  </si>
  <si>
    <t>+10% к базовому урону существ героя в ближнем бою.</t>
  </si>
  <si>
    <t>+20% к базовому урону существ героя в ближнем бою.</t>
  </si>
  <si>
    <t>+30% к базовому урону существ героя в ближнем бою.</t>
  </si>
  <si>
    <t>+5% к получаемому героем опыту.</t>
  </si>
  <si>
    <t>+10% к получаемому героем опыту.</t>
  </si>
  <si>
    <t>+15% к получаемому героем опыту.</t>
  </si>
  <si>
    <t>Палатка первой помощи лечит автоматически с силой 1…25 единиц здоровья.</t>
  </si>
  <si>
    <t>Герой не имеет штрафов при движении по пересечённой местности.</t>
  </si>
  <si>
    <t>Герой открывает терру инкогнито вокруг себя в радиусе 6 клеток (диаметр 13).</t>
  </si>
  <si>
    <t>Герой открывает терру инкогнито вокруг себя в радиусе 7 клеток (диаметр 15).</t>
  </si>
  <si>
    <t>Герой открывает терру инкогнито вокруг себя в радиусе 8 клеток (диаметр 17).</t>
  </si>
  <si>
    <t>Герой открывает терру инкогнито вокруг себя в радиусе 9 клеток (диаметр 19).</t>
  </si>
  <si>
    <t>+1 к удаче героя.</t>
  </si>
  <si>
    <t>+2 к удаче героя.</t>
  </si>
  <si>
    <t>+3 к удаче героя.</t>
  </si>
  <si>
    <t>Вторичные навыки и их свойства.</t>
  </si>
  <si>
    <t>Любой герой в игре имеет 4 вида первичных навыков, влияющих на те или иные его характеристики или параметры существ в армии.</t>
  </si>
  <si>
    <t>АТАКА.</t>
  </si>
  <si>
    <t>Атака - первичный параметр героя, влияющий на силу существ в его армии.</t>
  </si>
  <si>
    <t>-Если итоговое значение атаки больше значения защиты атакуемого вражеского существа, то за каждый превышающий защиту балл атаки урон атакующего увеличивается на 5%. Максимальное значение увеличения урона составляет 300%.</t>
  </si>
  <si>
    <t>ЗАЩИТА.</t>
  </si>
  <si>
    <t>Защита - первичный параметр героя, влияющий на защищённость его существ от атак.</t>
  </si>
  <si>
    <t>-Если итоговое значение защиты больше значения атаки атакующего вражеского существа, то за каждый превышающий атаку балл защиты получаемый урон снижается на 2,5%. Максимальное значение снижения урона составляет 70%.</t>
  </si>
  <si>
    <t>-Если итоговое значение защиты меньше значения атаки атакующего вражеского существа, то за каждый превышающий защиту балл атаки урон атакующего увеличивается на 5%. Максимальное значение увеличения урона составляет 300%.</t>
  </si>
  <si>
    <t>-Если итоговое значение атаки меньше значения защиты атакуемого вражеского существа, то за каждый превышающий атаку балл защиты урон атакующего снижается на 2,5%. Максимальное значение снижения урона составляет 70%.</t>
  </si>
  <si>
    <t>СИЛА МАГИИ.</t>
  </si>
  <si>
    <t>Сила магии - первичный параметр героя, влияющий на длительность и урон его магии.</t>
  </si>
  <si>
    <t>ЗНАНИЕ.</t>
  </si>
  <si>
    <t>Знание - первичный параметр героя, влияющий на его максимальный запас маны.</t>
  </si>
  <si>
    <t>Мана героя тратится на применение им заклинаний. Ежедневно герой восстанавливает по 1 мане до максимума.</t>
  </si>
  <si>
    <t>Каждый балл знания героя увеличивает максимальный запас маны на 10 единиц.</t>
  </si>
  <si>
    <t>Каждый класс героев изначально имеет свои первичные навыки в начале игры.</t>
  </si>
  <si>
    <t>35%</t>
  </si>
  <si>
    <t>45%</t>
  </si>
  <si>
    <t>10%</t>
  </si>
  <si>
    <t>20%</t>
  </si>
  <si>
    <t>15%</t>
  </si>
  <si>
    <t>30%</t>
  </si>
  <si>
    <t>40%</t>
  </si>
  <si>
    <t>25%</t>
  </si>
  <si>
    <t>50%</t>
  </si>
  <si>
    <t>55%</t>
  </si>
  <si>
    <t>5%</t>
  </si>
  <si>
    <t>При получении нового уровня, герои автоматически получают 1 балл первичного навыка.</t>
  </si>
  <si>
    <t>Вероятность получения того или иного навыка зависит от класса героя и уровня.</t>
  </si>
  <si>
    <t>При получении 2-9 уровня герои имеют следующие вероятности:</t>
  </si>
  <si>
    <t>При получении 10 уровня и выше герои имеют следующие вероятности:</t>
  </si>
  <si>
    <t>Первичные навыки и вероятности их получения.</t>
  </si>
  <si>
    <t>Контроль над Баллистой и Стрелковыми башнями при обороне города. 50% шанс двойного урона.</t>
  </si>
  <si>
    <t>Контроль над Баллистой и Стрелковыми башнями при обороне города. Двойной выстрел. 75% шанс двойного урона.</t>
  </si>
  <si>
    <t>Катапульта стреляет автоматически. 10% шанс промаха. 30% шанс двойного урона.</t>
  </si>
  <si>
    <t>То же + Двойной выстрел.</t>
  </si>
  <si>
    <t>10% шанс присоединения нейтральных существ. -20% цены откупа при побеге с поля боя. Библиотека просвещения требует 8 уровень героя.</t>
  </si>
  <si>
    <t>20% шанс присоединения нейтральных существ. -40% цены откупа при побеге с поля боя. Библиотека просвещения требует 6 уровень героя.</t>
  </si>
  <si>
    <t>30% шанс присоединения нейтральных существ. -60% цены откупа при побеге с поля боя. Библиотека просвещения требует 4 уровень героя.</t>
  </si>
  <si>
    <t>Максимальный запас маны героя зависит только от его знания.</t>
  </si>
  <si>
    <t>Максимальный запас хода героя по суше зависит от скорости самого медленного существа в его армии.</t>
  </si>
  <si>
    <t>Цена заклинаний воды снижается на 1…5 единиц, в зависимости от их уровня. Исключением является Телепорт.</t>
  </si>
  <si>
    <t>Базовые эффект и цена заклинаний воды (см.раздел 1.9.1).</t>
  </si>
  <si>
    <t>Базовые эффект и цена заклинаний воздуха (см.раздел 1.9.1).</t>
  </si>
  <si>
    <t>Цена заклинаний воздуха снижается на 1…5 единиц, в зависимости от их уровня.</t>
  </si>
  <si>
    <t>Базовые эффект и цена заклинаний земли (см.раздел 1.9.1).</t>
  </si>
  <si>
    <t>Цена заклинаний земли снижается на 1…5 единиц, в зависимости от их уровня.</t>
  </si>
  <si>
    <t>Базовые эффект и цена заклинаний огня (см.раздел 1.9.1).</t>
  </si>
  <si>
    <t>Цена заклинаний огня снижается на 1…5 единиц, в зависимости от их уровня.</t>
  </si>
  <si>
    <t>Максимальный запас хода героя по воде равен 1500 МР.</t>
  </si>
  <si>
    <t>Максимальный запас хода героя по воде равен 2250 МР (+50%).</t>
  </si>
  <si>
    <t>Максимальный запас хода героя по воде равен 3000 МР (+100%).</t>
  </si>
  <si>
    <t>Максимальный запас хода героя по воде равен 3750 МР (+150%).</t>
  </si>
  <si>
    <t>Герой имеет 25% штраф при движении по камням, 50% штраф - по снегу и песку, 75% штраф - по болоту.</t>
  </si>
  <si>
    <t>Герой не имеет штрафа по камням, но имеет 25% штраф по снегу и песку, 50% штраф - по болоту.</t>
  </si>
  <si>
    <t>Герой не имеет штрафа по камням, снегу и песку, но имеет 25% штраф по болоту.</t>
  </si>
  <si>
    <t>Существа героя получают 5% шанс блокировать заклинание, являясь его целью. Суммируется со способностями существ к сопротивлению.</t>
  </si>
  <si>
    <t>Существа героя получают 10% шанс блокировать заклинание, являясь его целью. Суммируется со способностями существ к сопротивлению.</t>
  </si>
  <si>
    <t>Существа героя получают 20% шанс блокировать заклинание, являясь его целью. Суммируется со способностями существ к сопротивлению.</t>
  </si>
  <si>
    <t>Базовая удача (см.раздел 1.3).</t>
  </si>
  <si>
    <t>После победы в бою герой воскрешает 10% убитых вражеских существ в виде Скелетов, которые присоединяются к его армии.</t>
  </si>
  <si>
    <t>После победы в бою герой воскрешает 20% убитых вражеских существ в виде Скелетов, которые присоединяются к его армии.</t>
  </si>
  <si>
    <t>После победы в бою герой воскрешает 30% убитых вражеских существ в виде Скелетов, которые присоединяются к его армии.</t>
  </si>
  <si>
    <t>Вероятность получения того или иного навыка при получении нового уровня напрямую зависит от класса героя.</t>
  </si>
  <si>
    <t>Вероятности получения героями вторичных навыков.</t>
  </si>
  <si>
    <t>Вероятности появления героев в таверне разных городов.</t>
  </si>
  <si>
    <t>Вероятность появления героя в таверне города</t>
  </si>
  <si>
    <t>Герои различных классов имеют разную вероятность появления в тавернах разных типов городов.</t>
  </si>
  <si>
    <t>Сопротивление, Чародейство</t>
  </si>
  <si>
    <t>Чародейство, Магия огня</t>
  </si>
  <si>
    <t>Недоступные в Университете навыки</t>
  </si>
  <si>
    <t>Герои одинакового класса не могут появиться одновременно в таверне, кроме следующих случаев:</t>
  </si>
  <si>
    <t>-Если герой сбежал с поля боя, то он появляется в таверне. Второй герой в таверне может оказаться такого же класса.</t>
  </si>
  <si>
    <t>-Если на карте присутствует много героев и невозможно создать пару героев разных классов.</t>
  </si>
  <si>
    <t>-Если автором карты запрещены некоторые герои и невозможно создать пару героев разных классов.</t>
  </si>
  <si>
    <t>Перед началом боя можно расставить существ героя в области 3 вертикальных рядов клеток. Также можно сдаться или сбежать с поля боя.</t>
  </si>
  <si>
    <t>Перед началом боя можно расставить существ героя в области 5 вертикальных рядов клеток. Также можно сдаться или сбежать с поля боя.</t>
  </si>
  <si>
    <t>Перед началом боя можно расставить существ героя в области 7 вертикальных рядов клеток. Также можно сдаться или сбежать с поля боя.</t>
  </si>
  <si>
    <t>Начальные навыки</t>
  </si>
  <si>
    <t>атака</t>
  </si>
  <si>
    <t>защита</t>
  </si>
  <si>
    <t>сила магии</t>
  </si>
  <si>
    <t>знание</t>
  </si>
  <si>
    <t>Добро</t>
  </si>
  <si>
    <t>Зло</t>
  </si>
  <si>
    <t>Мировоззрение</t>
  </si>
  <si>
    <t xml:space="preserve">  Рыцари - это отважные и благородные воины, посвятившие свою жизнь праведности и добродетели. И хотя они способны изучить магические навыки, их больше привлекает военное искусство. </t>
  </si>
  <si>
    <t xml:space="preserve">  Священники - это члены боевых отрядов священных орденов. Священники владеют знаниями, как боевых искусств, так и магическими.</t>
  </si>
  <si>
    <t xml:space="preserve">  Рэйнджер - воин лесов, охотник и следопыт. Его призвание – защищать природу – требует от него владения широким спектром навыков, особое внимание уделяется военным.</t>
  </si>
  <si>
    <t xml:space="preserve">  Друиды - мистические существа, обретающие силу в гармонии с землей. И хотя они посвящают себя изучению магии, их существование требует владения и некоторыми физическими умениями. </t>
  </si>
  <si>
    <t xml:space="preserve">  Алхимики великолепно владеют как физической, так и химической магией, они особенно искусны в создании и оживлении големов. Алхимики способны к изучению боевых навыков. Свое оружие они получают путем сплава редких металлов при помощи алхимии.</t>
  </si>
  <si>
    <t xml:space="preserve">  Демоны - люди (часто бывшие Еретики), которые находятся во власти одного или более бесов. По природе своей одержимые больше склонны к приобретению магических навыков, но некоторые боевые навыки им тоже по плечу.</t>
  </si>
  <si>
    <t xml:space="preserve">  Главная цель еретиков – подчинить себе силы бесов. Но для того, чтоб контролировать своих союзников из преисподней одних боевых навыков недостаточно, нужно еще владеть магией. Еретиков можно легко узнать по множеству различных оберегов, которые они носят, чтобы отводить от себя нападки бесов.</t>
  </si>
  <si>
    <t xml:space="preserve">  Рыцари смерти - это восставшие из мёртвых рыцари и обретшие новую жизнь как личи. Они не утратили своих прежних боевых навыков, к тому же их новый образ открыл для них возможность овладеть магией. </t>
  </si>
  <si>
    <t xml:space="preserve">  Некроманты - это маги, которые находятся во власти магии смерти. Постепенное превращение в безжизненных личей – вот плата за право владения этим искусством. </t>
  </si>
  <si>
    <t xml:space="preserve">  Лорды строят подземные логова, чтобы укрыть в них захваченные сокровища. Будучи жестокими и свирепыми правителями, они же еще и воины, которые знают цену магии. Очень часто своим  оружием они  подчеркивают свою устрашающую внешность.</t>
  </si>
  <si>
    <t xml:space="preserve">  Чернокнижники изучают магию, чтобы с ее помощью творить свои черные дела. Магия для них превыше всего. Очень часто чернокнижники демонстрируют свое могущество, показывая, как при помощи магии они могут измениться.</t>
  </si>
  <si>
    <t xml:space="preserve">  Мало, что представляет для варваров интерес, кроме военной мощи. В связи с этим они легче овладевают навыками боя, нежели какими-либо другими. Варвары великолепно умеют пользоваться тяжелым оружием и носят мало защитных приспособлений.</t>
  </si>
  <si>
    <t xml:space="preserve">  Боевые маги по сути, являются варварами с некоторыми умениями создавать и направлять заклинания. Кроме того, что они развивают свои магические навыки, они не забывают о навыках боевых. Боевые маги обычно облачаются в одежды убитых врагов, которая неким образом пополняет их силу.</t>
  </si>
  <si>
    <t xml:space="preserve">  Насилием и запугиванием хозяева зверей подчиняют себе близлежащие поселения. Как и следовало ожидать, они мало заинтересованы в изучении магии. Очень часто своим одеянием хозяева зверей напоминают ужасных, уродливых болотных тварей.</t>
  </si>
  <si>
    <t xml:space="preserve">  Ведьмы - настоящие специалисты, достигшие вершины в создании магии при помощи смешивания всякой болотной всячины. Однако следует иметь в виду, что их искусство не мешает изучению боевых навыков. </t>
  </si>
  <si>
    <t xml:space="preserve">  Элементалисты - люди, которые могут проявлять себя в роли волшебников, чернокнижников, священников, друидов. Они служат невидимым богам. Встречаются скрытно, говорят знаками и избегают материальной власти.</t>
  </si>
  <si>
    <t>Классы героев и их описание.</t>
  </si>
  <si>
    <t>Пол</t>
  </si>
  <si>
    <t>Кристиан всегда был больше бродягой, чем Рыцарем. Он побывал почти во всех уголках Энрота прежде чем окончательно пойти на службу в Эрафийскую Армию. Хотя он очень любопытен и немного мечтателен, его умения вести бой боятся повсюду. Сэр Кристиан - женоподобный мальчик. Его отец отдал всё, чтобы он стал одним из самых великих и могущественных Военных Лордов.</t>
  </si>
  <si>
    <t>Говорят, что Октавия может выкрасть золото из-под спящего дракона. Похоже, ей придется и впрямь этому научиться, так как она разбрасывает свое состояние направо и налево.</t>
  </si>
  <si>
    <t>Сначала Гуннар служил разведчиком у Лордов Подземелий, потом проводником и телохранителем разных высокопоставленных особ, пока наконец ему не дали командовать гарнизоном на границе Нихона. Ему не хватает мозгов.</t>
  </si>
  <si>
    <t>М</t>
  </si>
  <si>
    <t>Человек</t>
  </si>
  <si>
    <t>Ж</t>
  </si>
  <si>
    <t>Джинн</t>
  </si>
  <si>
    <t>Ифрит</t>
  </si>
  <si>
    <t>Элементаль</t>
  </si>
  <si>
    <t>В первые годы службы Оррина его обучал один из лучших тактиков Эрафии искусству вести осаду. Все артиллеристы, которыми он командовал, очень быстро обучались попадать в объекты, находящиеся за прикрытием.</t>
  </si>
  <si>
    <t xml:space="preserve">Когда Валеска начала служить в Эрафийской Армии, она уже была знаменитым Стрелком. Сейчас она не только командует своими собственными подразделениями, но и лично тренирует Войска Арбалетчиков. </t>
  </si>
  <si>
    <t>Прапрадед Эдрика был первым человеком в Эрафии, которому удалось приручить и выдрессировать дикого Грифона. Сейчас семье Эдрика принадлежит самая большая в Эрафии ферма, на которой выводят Грифонов для армий Короля.</t>
  </si>
  <si>
    <t xml:space="preserve">В течение нескольких лет Сильвия была пиратом. Потом она поняла, что эта жизнь не для неё. Она начала новую жизнь в Вооруженных Силах Эрафии, и сейчас она служит в Береговом Патруле и борется с такими же налетчиками, каким она сама была. </t>
  </si>
  <si>
    <t xml:space="preserve">Как правило выдержанный, Сэр Мюллих подвержен спазматическим вспышкам неконтролируемой ярости, что заставляет его подчиненных работать быстрее. </t>
  </si>
  <si>
    <t xml:space="preserve">Следуя примеру Королевы Екатерины, Сорша вступила в ряды Эрафийской Армии и быстро доказала всем, что она - настоящий мастер боя на мечах. Вскоре после вступления в Эрафию Криганов она получила солдат под своё командование.  </t>
  </si>
  <si>
    <t xml:space="preserve">Первоначально Адель работала только перед битвой. Если ей и не удавалось убедить своего командира избежать сражения, она, по крайней мере, благословляла войска, когда они вступали в бой. Ей дали командовать Гарнизоном Белого Камня. </t>
  </si>
  <si>
    <t>В молодости Катберт баловался тёмной магией, но когда его жена умерла от заклинания, которое он в сердцах сотворил, он обратился к добру и никогда не оглядывался назад. Но в результате работы с тёмной магией, его интуиция стала остра, как ни у кого другого.</t>
  </si>
  <si>
    <t xml:space="preserve">Застигнутая штормом в открытом море, Аделаида потерпела крушение у берегов Вори, земли Снежных Эльфов. Она обучалась у них около 20 лет, а когда вернулась в Эрафию, обнаружила, что с момента её исчезновения не прошло ни года. </t>
  </si>
  <si>
    <t>Саня всегда всё схватывала на лету, быстро обгоняла  других студентов, особенно после того, как она вступила в церковь. Кажется, что ей от природы дана возможность запоминать заклинания, просто наблюдая за тем, как их произносят другие.</t>
  </si>
  <si>
    <t>Лоинс всегда считал, что физическое насилие не требуется там, где можно применить правильную магию и молитвы. Удивительно, что это всегда срабатывало и сейчас он считается одним из самых удачливых, хотя и несговорчивых лидеров.</t>
  </si>
  <si>
    <t>Раньше, до того, как Каитлин поручили командование, некоторые думали, что она находится во власти злых духов. Несмотря на эти утверждения, пока она была в рядах церкви, пожертвования в пользу неё были самыми высокими.</t>
  </si>
  <si>
    <t xml:space="preserve">Мепхала прошла подготовку в рядах Эрафийской Армии и гениально умеет использовать особенности местности во время ведения боя. Несколько лет назад она комиссовалась, предпочтя суете городов Эрафии спокойствие и безмятежность Авли. </t>
  </si>
  <si>
    <t>Вся Эрафия любила Енову за доброе сердце. Её неотразимое обаяние позволяло ей доставать деньги на любое дело, какое она только задумает.</t>
  </si>
  <si>
    <t>Риланд был первым (и пока единственным) человеком, принятым в Круг Старейшин Дендроидов, как рейнджер Авли. Некоторые шутят, что в прошлой жизни он был Эльфом, потом был убит и случайно реинкарнировался в образе человека.</t>
  </si>
  <si>
    <t xml:space="preserve">Оставшись сиротой еще в детстве, Торгрим перебрался в самые северные леса Авли. Он стал знаменит на всю страну своей исключительной способностью сопротивляться любой магии. </t>
  </si>
  <si>
    <t xml:space="preserve">Совершенно случайно Кланси обнаружил у себя способность общаться с Единорогом. Эта уникальная способность очень помогла ему в продвижении по службе в Элитных Частях Армии Авли. </t>
  </si>
  <si>
    <t xml:space="preserve">Киррь служила разведчицей при защите Авли от нападений Криганов. Её способность ориентироваться на сложной местности позволяли ей отлично выполнять все задания. </t>
  </si>
  <si>
    <t xml:space="preserve">Корониус посещал Университет Эрафии целый семестр, прежде чем понял, что переоценивал значение науки. Он покидает Эрафию и едет в Авли, где находит Друида, который учит только собственным примером. </t>
  </si>
  <si>
    <t>Эллезар, возможно, самый блестящий ученик Магии, каких когда-либо видела Авли. Если его способности останутся при нем еще несколько декад, вполне вероятно, что он станет самым молодым Друидом, какого когда-либо принимали в Круг Старейшин.</t>
  </si>
  <si>
    <t xml:space="preserve">Джем была одной из величайших колдуний, каких когда-либо видел Энрот. Во времена Войн Успеха она служила Роланду Железному Кулаку. Затем, когда Роланд укрепил позиции трона, она покинула Энрот и уехала в Эрафию, найдя новой дом в Авли. </t>
  </si>
  <si>
    <t>Мальком - один из немногих Гномов, способных к постижению магии. Он может выучить новое заклинание, один раз пронаблюдав, как кто-то другой его творит. Он был быстро принят на службу, и защищал Авли от Дьяволов Эофола.</t>
  </si>
  <si>
    <t xml:space="preserve">Поговаривают, что когда-то Алагар жил среди Снежных Эльфов Вори. Потом он возглавлял непревзойденную команду Элементалей Воды и Льда. Он начал служить Авли ещё до нашествия Криганов. </t>
  </si>
  <si>
    <t xml:space="preserve">Никто в Авли не умеет так обращаться с животными, как Аерис. Он словно чувствует идеально подходящие друг другу пары Эльфов и Пегасов. Он всегда всем нужен. </t>
  </si>
  <si>
    <t>Когда Пигуедрам обучался Алхимии, большую часть своего времени он уделял различным недрагоценным камням. Неудивительно, что во время своей службы в Бракаде, он смог усовершенствовать Горгулий.</t>
  </si>
  <si>
    <t>Никто по-настоящему не знает историю Тана, но он так давно преподает Алхимию в Бракаде, что даже старейшины не помнят времени, когда его не было.</t>
  </si>
  <si>
    <t xml:space="preserve">Жозефина была первой, кому удалось оживить каменного Голема. Она изобрела процесс оживления гораздо более изощренный, чем тот, который использовался для Горгулий и на базе которого было начато её исследование. </t>
  </si>
  <si>
    <t xml:space="preserve">Нила очень сильная. Она как никто может сопротивляться невероятным наказаниям и пыткам. Каким-то образом ей удается передать эту силу и сопротивляемость своим войскам. </t>
  </si>
  <si>
    <t xml:space="preserve">Говорят, что Фафнер стал Джинном больше тысячи лет назад. Найдя бутылку с Джинном, он сказал, что хочет стать таким же могущественным, как найденный им Джинн. Желание было исполнено, и с тех пор Фафнер служит повелителям Бракады. </t>
  </si>
  <si>
    <t>Ризза была первым Алхимиком, который довел до совершенства искусство превращать бесполезные мягкие металлы в ртуть. Хотя сейчас она командует своей армией, в свободное время она проводит опыты с разными материалами.</t>
  </si>
  <si>
    <t xml:space="preserve">Уже давно Иона доказала, что она сильнейшая из себе подобных, но её обаяние заставляет забыть об этой силе и уберегает тех, кто ей служит, от комплекса неполноценности. </t>
  </si>
  <si>
    <t>Астрал прибыл в Эрафию примерно 10 лет назад и был сразу же принят в Гильдию Магов Бракады. Его быстрое возвышение в Гильдии заставляло некоторых шутить, что он мог добиться этого только магическим путем.</t>
  </si>
  <si>
    <t xml:space="preserve">Халон был весьма уважаемым героем Энрота, но ему стало так скучно после Войн Успеха, что он отправился исследовать мир. Недавно он принял командирскую должность в Армии Бракады, в надежде, что у него наконец-то появится новое дело. </t>
  </si>
  <si>
    <t>Серена чуть не убила себя своим первым заклинанием. Она вложила в него так много магической энергии, что даже Маг в соседнем городе почувствовал это. Он спас её и ввел в Гильдию Магов, чтобы она научилась защищаться от собственной силы.</t>
  </si>
  <si>
    <t>Джинн Солмир провел в бутылке больше тысячи лет и был так благодарен человеку, который в конце концов освободил его, что случайно поклялся служить этому человеку вечно. Судьбе было угодно, чтобы этим человеком был Гэвин Магнус, бессмертный правитель Мрака.</t>
  </si>
  <si>
    <t xml:space="preserve">Несколько лет Калх был товарищем Мариуса, но вскоре стало ясно, что ей владеет навязчивая идея уничтожить всё живое. Они разошлись, и Калх продолжил свою блестящую военную карьеру.  </t>
  </si>
  <si>
    <t xml:space="preserve">Нимус отвечала за подготовку Адских Отродий и Порождений Зла к нападению на Эрафию. Ее боевое искусство почти привело к полной победе Эофола, но бой между Криганами и Лордами Подземелий привел войну к быстрому и неожиданному концу.  </t>
  </si>
  <si>
    <t xml:space="preserve">Кажется, что Ксирон любит огонь даже больше, чем кто-либо в Элфрете мог ожидать. Ксирон обожает все, что связано с огнем и лавой. </t>
  </si>
  <si>
    <t xml:space="preserve">Аксис с детства проявил склонность к магии, что очень странно, ведь Демоны очень редко проявляют склонность к чему-либо, что требует мыслительных усилий. </t>
  </si>
  <si>
    <t xml:space="preserve">Стракер выбрал темную тропу Чародейства, но скоро обнаружил, что его военные таланты сильно превосходят магические способности. Сейчас он служит в бессмертных армиях Дейи, хотя и не оставляет надежды однажды войти в ряды настоящих Чародеев. </t>
  </si>
  <si>
    <t xml:space="preserve">Выдающиеся боевые способности Тамики дали ей большую власть в вооруженных силах Дейи. Кроме того, что она ведет войска, она также отвечает за подготовку Черных Рыцарей и Рыцарей Смерти. </t>
  </si>
  <si>
    <t xml:space="preserve">Может быть, Исра и не самая умелая заклинательница Дейи, но в тех армиях, которые ведет она,  всегда гораздо больше Скелетов, чем в остальных. </t>
  </si>
  <si>
    <t xml:space="preserve">Целые годы Галтран разрабатывал новые методы создания Скелетов и управления ими. Это дает ему исключительные преимущества в битве. </t>
  </si>
  <si>
    <t xml:space="preserve">Болезнь Септиенны многие называют "пожирающая магия", так как она забирает у своих жертв больше жизненной энергии, чем передает своим миньонам. Многие утверждают, что она оставляет энергию себе, поэтому никогда и не стареет. </t>
  </si>
  <si>
    <t>Аислин всегда предпочитала землю небесам и многие верят, что она может получать жизнь из земли путем простого контакта с ней.</t>
  </si>
  <si>
    <t>Сандро сначала изучал Чародейство под руководством одного Мага, а затем под руководством Лича Этрика. Сандро объездил и видел почти весь Энрот и Эрафию и сейчас он служит Финнеасу Вилмару, вождю Чародеев Дейи.</t>
  </si>
  <si>
    <t>Когда Нимбус был маленьким, у него была собака, которая умерла от старости. Нимбус обнаружил, что если он принесет в жертву маленькую птичку или другое существо, он воскресит своего любимца. Он часто проделывал это.</t>
  </si>
  <si>
    <t>Кси была одной из немногих женщин, которую стоило превращать в Лича. Её выбрали потому что она обладает уникальной способностью противостоять физическим увечьям. Эта способность не раз выручала её.</t>
  </si>
  <si>
    <t>Ещё в молодости Видомина обещала стать великим Алхимиком, но ее выслали из Бракады, когда обнаружили, что она использует свои умения, не для того, чтобы оживлять неживое, а для того, чтобы оживлять умерших.</t>
  </si>
  <si>
    <t xml:space="preserve">Нагаш был очень могущественным Магом, до того, как принес себя в жертву "вечной жизни", т.е. стал Личём. Ему принадлежат многие земли, большинство их которых, впрочем, находится на пустынных окраинах Дейи. </t>
  </si>
  <si>
    <t>Когда Лорелей была ребенком, она сбежала из дома и исчезла в лабиринте пещер. Гарпия-ведьма нашла её и вытащила наверх. Затем она пошла на службу к Лордам Подземелий. Это случилось незадолго до вторжения в Эрафию.</t>
  </si>
  <si>
    <t>Аджит старательно изучал работы Агара, одного из глупейших Магов-учёных Энрота, который случайно создал Бехолдеров и Созерцателей, которыми нынче командует Аджит. Агар создал их, когда пытался создать "улучшенных воинов" для войны.</t>
  </si>
  <si>
    <t>Первоначально Синка жила в Верхнем мире и, хотя она верно служила Лордам Подземелий, она предпочитала мир снаружи темным пещерам Нихона.</t>
  </si>
  <si>
    <t>Странно видеть Чернокнижника-Троглодита, и еще более странно видеть Военачальника-Троглодита, но Жаегар доказал, что он умелый Маг. Он утверждает, что все дело в ежедневной медитации.</t>
  </si>
  <si>
    <t xml:space="preserve">Можно было бы ожидать, что Минотавр будет отчаянным воином, но Малекит увлекается Магией со страстью, которая позволяет ему соперничать с лучшими Магами страны. </t>
  </si>
  <si>
    <t>Некоторые говорят, что Жеддит видел лицо Дзенофекса, но многие считают, что раз он до сих пор жив, это не может быть правдой. Сам он не опровергает и не подтверждает эти слухи.</t>
  </si>
  <si>
    <t>Говорят, что Сепхинороф - незаконная дочь короля Грифоново Сердце. Он отказался признать ее, и она навсегда возненавидела трон Эрафии, который она мечтала однажды захватить. Она вступила в войско Нихона.</t>
  </si>
  <si>
    <t xml:space="preserve">Дарксторн пробивал себе дорогу в войсках Нихона тем, что тайно использовал Магию, позволяющую ему побеждать в любой битве. Добившись высокой должности, он открыл свой секрет, и никто больше не осмеливался задирать его. </t>
  </si>
  <si>
    <t>Многие годы Йог обучался у Магов Бракады, но он чаще читал книги про войну, чем про Магию. Граф Кревлод предложил ему офицерскую должность, которая позволила ему применить его знания на практике.</t>
  </si>
  <si>
    <t>Шива - самая младшая из шести дочерей цирковых дрессировщиков. Так как ей не улыбалась перспектива продолжать семейное дело, она покинула цирк и вступила в войско Кревлода ртутным мастером. В этом она толк знает.</t>
  </si>
  <si>
    <t>Креллион вступил в армию как борец-чемпион. Он был так знаменит, что его фанаты хотели, чтобы именно он вел их в битву. Сначала думали ,что это не лучшее решение, но Креллион доказал ,что он прекрасный лидер, особенно среди Огров.</t>
  </si>
  <si>
    <t>Знаменитому Герою Энрота, Крэгу Хэку надоело сидеть дома и он решил поискать другой жизни в Эрафии. Он смело отправился в путь и был счастлив обрести землю, где его способностям будет найдено применение.</t>
  </si>
  <si>
    <t xml:space="preserve">Сам Тираксор был капитаном Наездников на волках. В конце концов он вошел в ряды Героев Кревлода, когда смог отразить нападение Таталийцев на границе двух стран. </t>
  </si>
  <si>
    <t>Вей был Огром-магом и обладал прекрасными командирскими качествами. Если сын Графа когда-либо оступится, Вей будет главным претендентом на трон Кревлода.</t>
  </si>
  <si>
    <t>Терек несколько лет работал силачом в Цирке Солнца, предлагая зрителям посоревноваться, кто дальше бросит огромный камень. Однажды он проиграл, и его выгнали из Цирка, но тот, кто его победил предложил ему место в армии Кревлода.</t>
  </si>
  <si>
    <t>Хотя Брон человек, он обладает способностью выстоять под взглядом Василиска. Это позволило ему изучить Василисков и узнать о них больше, чем знает какое-либо живое существо.</t>
  </si>
  <si>
    <t xml:space="preserve">Гервульф принес Баллистику в Таталию, захватив первые орудия при осаде укреплений Варваров на границе Кревлода. Он стал главным специалистом по баллистике на всем северном побережье Таталии. </t>
  </si>
  <si>
    <t>Вой - Ведьму Ветра - часто нанимали морские капитаны, чтобы она направляла корабли и держала их всегда в правильном курсе. Она предпочитает соленый ветер моря смрадным испарениям болот, где родилась.</t>
  </si>
  <si>
    <t>Одиннадцатая дочь Тралоска, Короля Таталии, Стиг, стала Ведьмой, когда стало ясно, что ей не удастся наследовать трон Таталии, так как есть еще десять других наследников.</t>
  </si>
  <si>
    <t>Перед тем, как король Тралоск разрешил Андре, обычной женщине, вести свои войска, он подверг ее знания серии испытаний. Она ответила на все вопросы и у короля не было выбора.</t>
  </si>
  <si>
    <t>Пасис была всегда очарована этими телесными формами. Активное изучение и взаимодействие с этими созданиями сделали её идеальным кандидатом для Сопряжения.</t>
  </si>
  <si>
    <t>Жестокое состязание Водяных Элементалей определяло, кто достоин служить Сопряжению. Лакус заслужила своё место благодаря углублённым знаниям Тактики.</t>
  </si>
  <si>
    <t>Будучи существом из чистой энергии, Монер наслаждался свойствами своего естественного происхождения. Однако, его любопытство к существам телесных форм привело в Сопряжение.</t>
  </si>
  <si>
    <t>Древний лорд магмы, Эрдамон спал многие века внутри гор, граничащих с Эофолом.  Пробуждённый от своего сна, чтобы помочь Сопряжению, Эрдамон пришёл, чтобы освободить мир от Криганов.</t>
  </si>
  <si>
    <t>Фьюр, и его героизм ещё не поддавался испытаниям, но он обладает невиданной жестокостью. Нет сомнений, что он может стать одним из самых могущественных героев Сопряжения.</t>
  </si>
  <si>
    <t>Всегда стремящийся к наукам, Кальт почувствовал желание быть в Сопряжении, где он мог бы утолить свой голод к знаниям.</t>
  </si>
  <si>
    <t>Будучи колдуньей в Энроте, Луна почувствовала зов Сопряжения и отправилась в Эрафию.  В Эрафии, Луне пришлось оставить свои акватические способности и заняться изучением магии огня.</t>
  </si>
  <si>
    <t>Молодой джинн, даже по их стандартам, Брисса присоединилась к Восстановительной Войне прежде чем успела окончить обучение. То, чего она не успела познать  в учение, она познала в бою.</t>
  </si>
  <si>
    <t>Проведя детство у океана, граничащего с Авли, Циэль всегда чувствовала, что связана с древними водами. Она путешествовала по землям ища своё призвание. Теперь она находится на службе в Сопряжении.</t>
  </si>
  <si>
    <t>Рождённые бедняками, родители Лабеты были убиты в течение Восстановительной Войны.  Взятая дендроидами и приведённая на службу в Авли, её сила над землёй росла быстро. Услышав зов Сопряжения, она быстро откликнулась.</t>
  </si>
  <si>
    <t>Ещё в детские годы, умение Интеуса владеть огнём сделало его участником бродячей труппы. Некоторые говорили, что он сын Огненного Элементаля. Как-то раз ночью, он почувствовал зов и оставил свою профессию. Теперь он на службе в Сопряжении.</t>
  </si>
  <si>
    <t>Созданные могущественной силой из мистических потоков, джинны - магические создания.  Аэнаин оказался незавершённым созданием. Веками, он старался преодолеть ощущение своей неполноценности. Благодаря своей посвящённости в Магию Воздуха, Аэнаин был призван Сопряжением.</t>
  </si>
  <si>
    <t>Джелар уже родился с мудростью в глазах, даже для эльфа. Всегда спокойный, задумчивый и ясный снаружи, Джелар не стал сомневаться над вопросом служения Сопряжению.</t>
  </si>
  <si>
    <t>Гномы обожают золото. Некоторые даже больше остальных. Никто кроме Гриндана не обладал такой силой над землёй, чтобы находить его с такой регулярностью.</t>
  </si>
  <si>
    <t>Когда Ксенофекс был слаб и Люцифер Криган захватил власть, Ксерон был первым, кто объявил свою преданность узурпатору. Увидев, как щедро был Ксерон вознаграждён за поддержку нового короля, остальные герои быстро последовали его примеру.</t>
  </si>
  <si>
    <t>Многие заметили, что с её ужасающим талантом управления Драконами в схватке, Мутаре быстро становится одной из ведущих Лордов Нихона. Мутаре стала чувствовать как дракон, как только выпила из чаши Крови Дракона. Некоторым интересно, вызовет ли её превращение явление Отца Драконов.</t>
  </si>
  <si>
    <t>Считающийся многими гениальным магом, Дракон желает стать самым великим в истории победителем драконов. Непохожий на своих друзей волшебников, Дракон предпочитает более практическую одежду, чем пышные облачения.</t>
  </si>
  <si>
    <t>Как правящая королева Эрафии, Катерина продолжает войну за свои границы и пытается восстановить мир, построенный её отцом. Однако, поддержка её людей ослабевает по мере того, как страна устаёт от постоянных войн.</t>
  </si>
  <si>
    <t>Биографии героев, пол и раса.</t>
  </si>
  <si>
    <t>Опыт и уровень героя.</t>
  </si>
  <si>
    <t>Таблица соответствия уровня героя и количества опыта, которое необходимо для того, чтобы получить его:</t>
  </si>
  <si>
    <t>Очки опыта</t>
  </si>
  <si>
    <t>9</t>
  </si>
  <si>
    <t>11</t>
  </si>
  <si>
    <t>17</t>
  </si>
  <si>
    <t>19</t>
  </si>
  <si>
    <t>21</t>
  </si>
  <si>
    <t>22</t>
  </si>
  <si>
    <t>23</t>
  </si>
  <si>
    <t>26</t>
  </si>
  <si>
    <t>27</t>
  </si>
  <si>
    <t>28</t>
  </si>
  <si>
    <t>29</t>
  </si>
  <si>
    <t>31</t>
  </si>
  <si>
    <t>32</t>
  </si>
  <si>
    <t>33</t>
  </si>
  <si>
    <t>34</t>
  </si>
  <si>
    <t>35</t>
  </si>
  <si>
    <t>36</t>
  </si>
  <si>
    <t>37</t>
  </si>
  <si>
    <t>38</t>
  </si>
  <si>
    <t>39</t>
  </si>
  <si>
    <t>40</t>
  </si>
  <si>
    <t>41</t>
  </si>
  <si>
    <t>42</t>
  </si>
  <si>
    <t>43</t>
  </si>
  <si>
    <t>44</t>
  </si>
  <si>
    <t>45</t>
  </si>
  <si>
    <t>46</t>
  </si>
  <si>
    <t>47</t>
  </si>
  <si>
    <t>48</t>
  </si>
  <si>
    <t>49</t>
  </si>
  <si>
    <t>51</t>
  </si>
  <si>
    <t>52</t>
  </si>
  <si>
    <t>53</t>
  </si>
  <si>
    <t>54</t>
  </si>
  <si>
    <t>55</t>
  </si>
  <si>
    <t>56</t>
  </si>
  <si>
    <t>57</t>
  </si>
  <si>
    <t>58</t>
  </si>
  <si>
    <t>59</t>
  </si>
  <si>
    <t>60</t>
  </si>
  <si>
    <t>61</t>
  </si>
  <si>
    <t>62</t>
  </si>
  <si>
    <t>63</t>
  </si>
  <si>
    <t>64</t>
  </si>
  <si>
    <t>65</t>
  </si>
  <si>
    <t>66</t>
  </si>
  <si>
    <t>67</t>
  </si>
  <si>
    <t>68</t>
  </si>
  <si>
    <t>69</t>
  </si>
  <si>
    <t>70</t>
  </si>
  <si>
    <t>71</t>
  </si>
  <si>
    <t>72</t>
  </si>
  <si>
    <t>73</t>
  </si>
  <si>
    <t>74</t>
  </si>
  <si>
    <t>13*</t>
  </si>
  <si>
    <t>88 (75)**</t>
  </si>
  <si>
    <t>100 (76)</t>
  </si>
  <si>
    <t>108 (77)</t>
  </si>
  <si>
    <t>868 (78)</t>
  </si>
  <si>
    <t>3732 (79)</t>
  </si>
  <si>
    <t>5920 (80)</t>
  </si>
  <si>
    <t>6424 (81)</t>
  </si>
  <si>
    <t>&gt;11300 (82)</t>
  </si>
  <si>
    <t>32767 (83)</t>
  </si>
  <si>
    <t>Максимальное значение любого первичного навыка равно 127 единицам, однако значения от 100 и выше отображаются в статистике героя значением 99.</t>
  </si>
  <si>
    <t>Заклинания и их свойства.</t>
  </si>
  <si>
    <t>Продвинутая магия*</t>
  </si>
  <si>
    <t>Базовая магия*</t>
  </si>
  <si>
    <t>Экспертная магия*</t>
  </si>
  <si>
    <t>Д.</t>
  </si>
  <si>
    <t>Цена, мана</t>
  </si>
  <si>
    <t>Мгновенно наносит СМ*10+10 урона цели.</t>
  </si>
  <si>
    <t>То же, но СМ*10+20 урона.</t>
  </si>
  <si>
    <t>То же, но СМ*10+30 урона.</t>
  </si>
  <si>
    <t>МАГИЯ ОГНЯ</t>
  </si>
  <si>
    <t>Базовая магия огня</t>
  </si>
  <si>
    <t>Продвинутая магия огня</t>
  </si>
  <si>
    <t>Экспертная магия огня</t>
  </si>
  <si>
    <t>СМ</t>
  </si>
  <si>
    <t>Получаемый целью урон от магии огня -30%.</t>
  </si>
  <si>
    <t>Цель пропускает ходы. Снимается при получении урона. Первый ответ на атаку, снявшую Слепоту наносит 50% урона.</t>
  </si>
  <si>
    <t>То же, но первый ответ наносит 25% урона.</t>
  </si>
  <si>
    <t>То же, но первый ответ не происходит вообще.</t>
  </si>
  <si>
    <t xml:space="preserve">На 2 клетках поля боя появляется огонь. Огонь наносит СМ*10+10 урона вражеским существам прошедшим через него или остановившимся на нём. </t>
  </si>
  <si>
    <t>То же, но на 3 клетках появляется огонь и он наносит СМ*10+20 урона.</t>
  </si>
  <si>
    <t>То же, но огонь наносит СМ*10+50 урона.</t>
  </si>
  <si>
    <t>То же, но СМ*10+60 урона.</t>
  </si>
  <si>
    <t>То же, но на 6 клетках появляются мины и они наносят СМ*10+50 урона.</t>
  </si>
  <si>
    <t>То же, но на 8 клетках появляются мины и они наносят СМ*10+100 урона.</t>
  </si>
  <si>
    <t>То же, но действует на всех существ в области 7 клеток (диаметр 3).</t>
  </si>
  <si>
    <t>То же, но действует на всех существ в области 19 клеток (диаметр 5).</t>
  </si>
  <si>
    <t>То же, но Огненный щит наносит 25% урона.</t>
  </si>
  <si>
    <t>То же, но Огненный щит наносит 30% урона.</t>
  </si>
  <si>
    <t>Защита цели становится равной 0, а атака увеличивается на отнятое количество очков защиты. Такие параметры будут действовать только на ближайшую атаку.</t>
  </si>
  <si>
    <t>То же, но атака увеличивается на 150% отнятых очков защиты.</t>
  </si>
  <si>
    <t>То же, но атака увеличивается на двойное количество отнятых очков защиты.</t>
  </si>
  <si>
    <t>То же, но СМ*10+40 урона.</t>
  </si>
  <si>
    <t>То же, но СМ*10+80 урона.</t>
  </si>
  <si>
    <t>То же + против Ангелов и Дьяволов (включая их улучшения).</t>
  </si>
  <si>
    <t>То же + против Гигантов и Титанов.</t>
  </si>
  <si>
    <t>То же, но количество здоровья равно (СМ+здоровье 1 существа в первом отряде+6)*количество существ в первом отряде.</t>
  </si>
  <si>
    <t>То же, но количество здоровья равно (СМ+здоровье 1 существа в первом отряде+10)*количество существ в первом отряде.</t>
  </si>
  <si>
    <t>Базовая магия воды</t>
  </si>
  <si>
    <t>Продвинутая магия воды</t>
  </si>
  <si>
    <t>Экспертная магия воды</t>
  </si>
  <si>
    <t>МАГИЯ ВОДЫ</t>
  </si>
  <si>
    <t>То же, но количество восстанавливаемого здоровья равно СМ*5+20.</t>
  </si>
  <si>
    <t>Получаемый целью урон от магии воды -30%.</t>
  </si>
  <si>
    <t>Герой призывает к себе одну из дружественных лодок с вероятностью 50%.</t>
  </si>
  <si>
    <t>То же, но вероятность равна 75% и если нет дружественной лодки, то создаётся новая.</t>
  </si>
  <si>
    <t>То же, но вероятность равна 100%.</t>
  </si>
  <si>
    <t>Мгновенно наносит СМ*20+10 урона цели.</t>
  </si>
  <si>
    <t>Мгновенно наносит СМ*20+20 урона цели.</t>
  </si>
  <si>
    <t>Мгновенно наносит СМ*20+50 урона цели.</t>
  </si>
  <si>
    <t>Уничтожает одно препятствие с поля боя.</t>
  </si>
  <si>
    <t>То же + Может удалять Стены огня.</t>
  </si>
  <si>
    <t>Герой может уничтожить незанятую лодку с вероятностью 50%.</t>
  </si>
  <si>
    <t>То же, но вероятность равна 75%.</t>
  </si>
  <si>
    <r>
      <rPr>
        <b/>
        <sz val="10"/>
        <rFont val="Arial"/>
        <family val="2"/>
        <charset val="204"/>
      </rPr>
      <t>Внимание!</t>
    </r>
    <r>
      <rPr>
        <sz val="10"/>
        <rFont val="Arial"/>
        <family val="2"/>
        <charset val="204"/>
      </rPr>
      <t xml:space="preserve"> В сводной таблице заклинаний используются следующие условные обозначения: </t>
    </r>
    <r>
      <rPr>
        <b/>
        <sz val="10"/>
        <rFont val="Arial"/>
        <family val="2"/>
        <charset val="204"/>
      </rPr>
      <t>Ур.</t>
    </r>
    <r>
      <rPr>
        <sz val="10"/>
        <rFont val="Arial"/>
        <family val="2"/>
        <charset val="204"/>
      </rPr>
      <t xml:space="preserve"> - уровень заклинания; </t>
    </r>
    <r>
      <rPr>
        <b/>
        <sz val="10"/>
        <rFont val="Arial"/>
        <family val="2"/>
        <charset val="204"/>
      </rPr>
      <t>Д.</t>
    </r>
    <r>
      <rPr>
        <sz val="10"/>
        <rFont val="Arial"/>
        <family val="2"/>
        <charset val="204"/>
      </rPr>
      <t xml:space="preserve"> - длительность заклинания в раундах боя или днях; </t>
    </r>
    <r>
      <rPr>
        <b/>
        <sz val="10"/>
        <rFont val="Arial"/>
        <family val="2"/>
        <charset val="204"/>
      </rPr>
      <t>СМ</t>
    </r>
    <r>
      <rPr>
        <sz val="10"/>
        <rFont val="Arial"/>
        <family val="2"/>
        <charset val="204"/>
      </rPr>
      <t xml:space="preserve"> - сила магии героя; </t>
    </r>
    <r>
      <rPr>
        <b/>
        <sz val="10"/>
        <rFont val="Arial"/>
        <family val="2"/>
        <charset val="204"/>
      </rPr>
      <t>С</t>
    </r>
    <r>
      <rPr>
        <sz val="10"/>
        <rFont val="Arial"/>
        <family val="2"/>
        <charset val="204"/>
      </rPr>
      <t xml:space="preserve"> - боевое заклинание; </t>
    </r>
    <r>
      <rPr>
        <b/>
        <sz val="10"/>
        <rFont val="Arial"/>
        <family val="2"/>
        <charset val="204"/>
      </rPr>
      <t>А</t>
    </r>
    <r>
      <rPr>
        <sz val="10"/>
        <rFont val="Arial"/>
        <family val="2"/>
        <charset val="204"/>
      </rPr>
      <t xml:space="preserve"> - заклинание для карты приключений.</t>
    </r>
  </si>
  <si>
    <t>Урон цели при стрельбе -50%.</t>
  </si>
  <si>
    <t>Все вражеские существа не могут стрелять.</t>
  </si>
  <si>
    <t>Мгновенно перемещает цель в указанную точку поля боя, но не через городской ров и стены. Цена снижается до 12.</t>
  </si>
  <si>
    <t>Рядом с целью (1…5 уровня) создаётся её копия. Клон имеет все способности цели, кроме Огненного щита Султана-ифрита. Клон исчезает при получении любого урона или при уничтожении цели.</t>
  </si>
  <si>
    <t>То же + Можно клонировать существ 6 уровня.</t>
  </si>
  <si>
    <t>Герой может перемещаться через воду, но не останавливаться на ней. Штраф по воде составляет 40%.</t>
  </si>
  <si>
    <t>То же, но штраф составляет 20%.</t>
  </si>
  <si>
    <t>То же, но нет штрафа по воде.</t>
  </si>
  <si>
    <t>МАГИЯ ЗЕМЛИ</t>
  </si>
  <si>
    <t>Базовая магия земли</t>
  </si>
  <si>
    <t>Продвинутая магия земли</t>
  </si>
  <si>
    <t>Экспертная магия земли</t>
  </si>
  <si>
    <t>Получаемый целью урон в ближнем бою -15%.</t>
  </si>
  <si>
    <t>Получаемый целью урон в ближнем бою -30%.</t>
  </si>
  <si>
    <t>Получаемый всеми дружественными существами урон в ближнем бою -30%.</t>
  </si>
  <si>
    <t>Защита цели +3.</t>
  </si>
  <si>
    <t>Защита цели +6.</t>
  </si>
  <si>
    <t>Защита всех дружественных существ +6.</t>
  </si>
  <si>
    <t>Показывает расположение всех кучек ресурсов сквозь терру инкогнито на особой уменьшенной карте.</t>
  </si>
  <si>
    <t>То же + Показывает все шахты.</t>
  </si>
  <si>
    <t>То же, но открывает при этом терру инкогнито, показывая тип поверхности.</t>
  </si>
  <si>
    <t>То же, но СМ*5+20 урона.</t>
  </si>
  <si>
    <t>То же, но СМ*5+30 урона.</t>
  </si>
  <si>
    <t>Получаемый целью урон от магии земли -30%.</t>
  </si>
  <si>
    <t>То же, но на 6 клетках появляются пески.</t>
  </si>
  <si>
    <t>То же, но на 8 клетках появляются пески.</t>
  </si>
  <si>
    <t>То же, но количество здоровья равно СМ*50+60.</t>
  </si>
  <si>
    <t>То же, но количество здоровья равно СМ*50+160.</t>
  </si>
  <si>
    <t>Антимагия</t>
  </si>
  <si>
    <t>То же + Защита от заклинаний 5 уровня.</t>
  </si>
  <si>
    <t>Наносит одинарный урон двум случайным объектам: пролетам стен, башням или воротам.</t>
  </si>
  <si>
    <t>То же, но наносит урон трём объектам.</t>
  </si>
  <si>
    <t>То же, но наносит урон четырём объектам.</t>
  </si>
  <si>
    <t>На 2 клетках поля боя появляется Силовое поле. Поле является преградой и препятствует проходу.</t>
  </si>
  <si>
    <t>То же, но на 3 клетках появляется Силовое поле.</t>
  </si>
  <si>
    <t>То же.</t>
  </si>
  <si>
    <t>Мгновенно наносит СМ*25+25 урона цели и всем существам вокруг неё в радиусе 1 клетки. Целью может быть пустая клетка.</t>
  </si>
  <si>
    <t>Мгновенно наносит СМ*10+15 урона цели и всем существам в радиусе 1 клетки от неё. Целью может быть пустая клетка.</t>
  </si>
  <si>
    <t>Мгновенно наносит СМ*10+20 урона цели и всем существам в радиусе 2 клеток от неё. Целью может быть пустая клетка.</t>
  </si>
  <si>
    <t>То же, но СМ*25+50 урона.</t>
  </si>
  <si>
    <t>То же, но СМ*25+100 урона.</t>
  </si>
  <si>
    <t>То же, но количество здоровья равно СМ*50+80 и после боя воскрешённые существа не исчезают.</t>
  </si>
  <si>
    <t>Мгновенно перемещает героя в свой ближайший город. Отнимает 300 очков движения (MP). Врата города должны быть свободны.</t>
  </si>
  <si>
    <t>То же, но перемещает в любой дружественный город по выбору игрока.</t>
  </si>
  <si>
    <t>То же, но отнимает 200 очков движения (МР).</t>
  </si>
  <si>
    <t>Мгновенно наносит СМ*75+100 урона цели.</t>
  </si>
  <si>
    <t>То же, но СМ*75+200 урона.</t>
  </si>
  <si>
    <t>То же, но СМ*75+300 урона.</t>
  </si>
  <si>
    <t>МАГИЯ ВОЗДУХА</t>
  </si>
  <si>
    <t>Продвинутая магия воздуха</t>
  </si>
  <si>
    <t>Экспертная магия воздуха</t>
  </si>
  <si>
    <t>Базовая магия воздуха</t>
  </si>
  <si>
    <t>Просмотр воздуха</t>
  </si>
  <si>
    <t>То же + Показывает всех героев.</t>
  </si>
  <si>
    <t>То же + Показывает все города.</t>
  </si>
  <si>
    <t>Скрывает армию героя от противников. Вместо этого они видят будто армия состоит из отрядов наиболее сильных существ героя.</t>
  </si>
  <si>
    <t>То же, но противники видят будто армия состоит из отрядов 7 уровня из наиболее давнего города героя.</t>
  </si>
  <si>
    <t>Защита цели -3, но не ниже 0. Может накладываться несколько раз. Не снимается Лечением и Снятием заклинаний. После воскрешения отряда эффект Разрушающего луча, наложенного до смерти сохраняется.</t>
  </si>
  <si>
    <t>Атака цели -3, но не ниже 0.</t>
  </si>
  <si>
    <t>Атака цели -6, но не ниже 0.</t>
  </si>
  <si>
    <t>Атака всех вражеских существ -6, но не ниже 0.</t>
  </si>
  <si>
    <t>Удача цели -1, но не ниже -3.</t>
  </si>
  <si>
    <t>Удача цели -2, но не ниже -3.</t>
  </si>
  <si>
    <t>Удача всех вражеских существ -2, но не ниже -3.</t>
  </si>
  <si>
    <t>Боевой дух цели +1, но не выше +3.</t>
  </si>
  <si>
    <t>Боевой дух цели +2, но не выше +3.</t>
  </si>
  <si>
    <t>Боевой дух всех дружественных существ +2, но не выше +3.</t>
  </si>
  <si>
    <t>То же, но защита цели -4.</t>
  </si>
  <si>
    <t>То же, но защита цели -5.</t>
  </si>
  <si>
    <t>Боевой дух цели -1, но не ниже -3.</t>
  </si>
  <si>
    <t>Боевой дух цели -2, но не ниже -3.</t>
  </si>
  <si>
    <t>Боевой дух всех вражеских существ -2, но не ниже -3.</t>
  </si>
  <si>
    <t>Удача цели +1, но не выше +3.</t>
  </si>
  <si>
    <t>Удача цели +2, но не выше +3.</t>
  </si>
  <si>
    <t>Удача всех дружественных существ +2, но не выше +3.</t>
  </si>
  <si>
    <t>Мгновенно наносит СМ*25+10 урона цели.</t>
  </si>
  <si>
    <t>Мгновенно наносит СМ*25+20 урона цели.</t>
  </si>
  <si>
    <t>Мгновенно наносит СМ*25+50 урона цели.</t>
  </si>
  <si>
    <t>Атака цели при стрельбе +3.</t>
  </si>
  <si>
    <t>Атака цели при стрельбе +6.</t>
  </si>
  <si>
    <t>Атака всех дружественных существ при стрельбе +6.</t>
  </si>
  <si>
    <t>Получаемый целью урон от стрельбы -25%.</t>
  </si>
  <si>
    <t>Получаемый целью урон от стрельбы -50%.</t>
  </si>
  <si>
    <t>Получаемый всеми дружественными существами урон от стрельбы -50%.</t>
  </si>
  <si>
    <t>Уничтожение мертвецов</t>
  </si>
  <si>
    <t>То же, но СМ*10+50 урона.</t>
  </si>
  <si>
    <t>Получаемый целью урон от магии воздуха -30%.</t>
  </si>
  <si>
    <t>То же, но здоровье должно быть не более СМ*25+20.</t>
  </si>
  <si>
    <t>То же, но здоровье должно быть не более СМ*25+50.</t>
  </si>
  <si>
    <t>Мгновенно наносит СМ*40+25 урона цели, затем наносит 0,5*(СМ*40+25) урона ближайшему существу или боевой машине, затем 0,25*(СМ*40+25) урона ближайшему ко второй цели, затем 0,125*(СМ*40+25) урона ближайшему к третьей цели.</t>
  </si>
  <si>
    <t>Цель получает возможность отвечать на 3 атаки за раунд.</t>
  </si>
  <si>
    <t>Все дружественные существа получают возможность отвечать на 3 атаки за раунд.</t>
  </si>
  <si>
    <t>То же, но можно использовать 3 раза в день.</t>
  </si>
  <si>
    <t>Полёт</t>
  </si>
  <si>
    <t>Герой может перемещаться через воду и любые объекты на карте приключений, но не останавливаться на них. Штраф за перемещение через воду и объекты составляет 40%.</t>
  </si>
  <si>
    <t>То же, но нет штрафа за перемещение через воду и объекты.</t>
  </si>
  <si>
    <t>Элементаль воздуха</t>
  </si>
  <si>
    <t>Вызывает на поле боя СМ*2 Элементалей огня. После боя элементали исчезают.</t>
  </si>
  <si>
    <t>Вызывает на поле боя СМ*2 Элементалей воды. После боя элементали исчезают.</t>
  </si>
  <si>
    <t>Вызывает на поле боя СМ*3 Элементалей воды. После боя элементали исчезают.</t>
  </si>
  <si>
    <t>Вызывает на поле боя СМ*4 Элементалей воды. После боя элементали исчезают.</t>
  </si>
  <si>
    <t>Вызывает на поле боя СМ*3 Элементалей огня. После боя элементали исчезают.</t>
  </si>
  <si>
    <t>Вызывает на поле боя СМ*4 Элементалей огня. После боя элементали исчезают.</t>
  </si>
  <si>
    <t>Вызывает на поле боя СМ*2 Элементалей земли. После боя элементали исчезают.</t>
  </si>
  <si>
    <t>Вызывает на поле боя СМ*3 Элементалей земли. После боя элементали исчезают.</t>
  </si>
  <si>
    <t>Вызывает на поле боя СМ*4 Элементалей земли. После боя элементали исчезают.</t>
  </si>
  <si>
    <t>Вызывает на поле боя СМ*2 Элементалей воздуха. После боя элементали исчезают.</t>
  </si>
  <si>
    <t>Вызывает на поле боя СМ*3 Элементалей воздуха. После боя элементали исчезают.</t>
  </si>
  <si>
    <t>Вызывает на поле боя СМ*4 Элементалей воздуха. После боя элементали исчезают.</t>
  </si>
  <si>
    <t>То же, но шанс равен 30%.</t>
  </si>
  <si>
    <t>То же, но шанс равен 40%.</t>
  </si>
  <si>
    <t>Для получения заклинания в Книгу магии героя требуется Грохот титана. Мгновенно наносит 600 урона цели. СМ героя и Магия воздуха никак не влияют. Сфера небесного свода повышает урон на 50%. Волшебство повышает урон на 5, 10 или 15%.</t>
  </si>
  <si>
    <t>Среднее</t>
  </si>
  <si>
    <t>Рынок и Торговцы артефактами.</t>
  </si>
  <si>
    <t>Города типа Темница, Сопряжение и Башня имеют среди своих построек Торговца артефактами, у которого можно обменять свои ресурсы на артефакты. Изначально ассортимент Торговца содержит 7 случайных артефактов, цена которых уменьшается в зависимости от количества Рынков, имеющихся у игрока во всех его городах. Чем больше сеть рынков, тем дешевле артефакты.</t>
  </si>
  <si>
    <t>Продажа</t>
  </si>
  <si>
    <t>Покупка</t>
  </si>
  <si>
    <t>50 золота</t>
  </si>
  <si>
    <t>250 золота</t>
  </si>
  <si>
    <t>225 золота</t>
  </si>
  <si>
    <t>200 золота</t>
  </si>
  <si>
    <t>175 золота</t>
  </si>
  <si>
    <t>150 золота</t>
  </si>
  <si>
    <t>125 золота</t>
  </si>
  <si>
    <t>100 золота</t>
  </si>
  <si>
    <t>75 золота</t>
  </si>
  <si>
    <t>25 золота</t>
  </si>
  <si>
    <t>112 золота</t>
  </si>
  <si>
    <t>88 золота</t>
  </si>
  <si>
    <t>62 золота</t>
  </si>
  <si>
    <t>37 золота</t>
  </si>
  <si>
    <t>1/10 обычного</t>
  </si>
  <si>
    <t>1/7 обычного</t>
  </si>
  <si>
    <t>1/20 ценного</t>
  </si>
  <si>
    <t>1/13 ценного</t>
  </si>
  <si>
    <t>5000 золота</t>
  </si>
  <si>
    <t>3333 золота</t>
  </si>
  <si>
    <t>2500 золота</t>
  </si>
  <si>
    <t>1667 золота</t>
  </si>
  <si>
    <t>1429 золота</t>
  </si>
  <si>
    <t>1250 золота</t>
  </si>
  <si>
    <t>1111 золота</t>
  </si>
  <si>
    <t>1000 золота</t>
  </si>
  <si>
    <t>Кол-во рынков</t>
  </si>
  <si>
    <t>833 золота</t>
  </si>
  <si>
    <t>714 золота</t>
  </si>
  <si>
    <t>625 золота</t>
  </si>
  <si>
    <t>556 золота</t>
  </si>
  <si>
    <t>500 золота</t>
  </si>
  <si>
    <t>Сложность</t>
  </si>
  <si>
    <t>Ртуть, сера, кристаллы и самоцветы</t>
  </si>
  <si>
    <t>Древесина и руда</t>
  </si>
  <si>
    <t>по 30</t>
  </si>
  <si>
    <t>по 20</t>
  </si>
  <si>
    <t>по 15</t>
  </si>
  <si>
    <t>по 10</t>
  </si>
  <si>
    <t>по 0</t>
  </si>
  <si>
    <t>по 7</t>
  </si>
  <si>
    <t>по 4</t>
  </si>
  <si>
    <t>Ресурсы игрока*</t>
  </si>
  <si>
    <t>Ресурсы компьютерных игроков*</t>
  </si>
  <si>
    <t>по 5</t>
  </si>
  <si>
    <t>по 2</t>
  </si>
  <si>
    <t>Доход города на старте</t>
  </si>
  <si>
    <t>~50%</t>
  </si>
  <si>
    <t>~75%</t>
  </si>
  <si>
    <r>
      <t xml:space="preserve">Сила компьютера             </t>
    </r>
    <r>
      <rPr>
        <sz val="10"/>
        <rFont val="Arial Cyr"/>
        <charset val="204"/>
      </rPr>
      <t>(% от макс.)</t>
    </r>
  </si>
  <si>
    <t>Существа и их параметры.</t>
  </si>
  <si>
    <t>Капитан кентавров</t>
  </si>
  <si>
    <t>Дендроид-страж</t>
  </si>
  <si>
    <t>Дендроид-солдат</t>
  </si>
  <si>
    <t>Зелёный дракон</t>
  </si>
  <si>
    <t>Каменная горгулья</t>
  </si>
  <si>
    <t>Обсидиановая горгулья</t>
  </si>
  <si>
    <t>Стальной голем</t>
  </si>
  <si>
    <t>Архимаг</t>
  </si>
  <si>
    <t>Мастер-джинн</t>
  </si>
  <si>
    <t>Королевская нага</t>
  </si>
  <si>
    <t>Скелет-воин</t>
  </si>
  <si>
    <t>Вампир-лорд</t>
  </si>
  <si>
    <t>Чёрный рыцарь</t>
  </si>
  <si>
    <t>Дракон-привидение</t>
  </si>
  <si>
    <t>Гарпия-ведьма</t>
  </si>
  <si>
    <t>Созерцатель</t>
  </si>
  <si>
    <t>Королева медуз</t>
  </si>
  <si>
    <t>Король минотавров</t>
  </si>
  <si>
    <t>Чёрный дракон</t>
  </si>
  <si>
    <t>Султан-ифрит</t>
  </si>
  <si>
    <t>Гнолл-мародёр</t>
  </si>
  <si>
    <t>Ящер-воин</t>
  </si>
  <si>
    <t>Виверна-монарх</t>
  </si>
  <si>
    <t>Наездник на волке</t>
  </si>
  <si>
    <t>Налётчик</t>
  </si>
  <si>
    <t>Орк-вождь</t>
  </si>
  <si>
    <t>Огр-маг</t>
  </si>
  <si>
    <t>Магмовый элементаль</t>
  </si>
  <si>
    <t>Наездник на кабане</t>
  </si>
  <si>
    <t>Кристаллический дракон</t>
  </si>
  <si>
    <r>
      <rPr>
        <b/>
        <sz val="10"/>
        <rFont val="Arial Cyr"/>
        <charset val="204"/>
      </rPr>
      <t xml:space="preserve">Внимание! </t>
    </r>
    <r>
      <rPr>
        <sz val="10"/>
        <rFont val="Arial Cyr"/>
        <charset val="204"/>
      </rPr>
      <t>Синим цветом выделены улучшенные существа, а также параметры, которые повышаются при улучшении.</t>
    </r>
  </si>
  <si>
    <t>Прирост существ в городе указан без учёта артефактов и строений, увеличивающих этот параметр.</t>
  </si>
  <si>
    <t>Существо</t>
  </si>
  <si>
    <t>13</t>
  </si>
  <si>
    <t>75</t>
  </si>
  <si>
    <t>80</t>
  </si>
  <si>
    <t>1 самоцвет</t>
  </si>
  <si>
    <t>3 самоцвета</t>
  </si>
  <si>
    <t>2 самоцвета</t>
  </si>
  <si>
    <t>8 самоцветов</t>
  </si>
  <si>
    <t>10 кристаллов</t>
  </si>
  <si>
    <t>Магические и тактические способности существ.</t>
  </si>
  <si>
    <t>Способности</t>
  </si>
  <si>
    <t>24 выстрела. Двойная стрельба.</t>
  </si>
  <si>
    <t>12 выстрелов.</t>
  </si>
  <si>
    <t>Защита от Кавалерийского бонуса Кавалеристов и Чемпионов.</t>
  </si>
  <si>
    <t>Отвечает на 2 атаки за раунд.</t>
  </si>
  <si>
    <t>Отвечает на все атаки за раунд.</t>
  </si>
  <si>
    <t>Двойной удар - до и после ответа (если есть).</t>
  </si>
  <si>
    <t>24 выстрела. Нет штрафа в ближнем бою.</t>
  </si>
  <si>
    <t>20% шанс блокировать действие вражеского заклинания, являясь его целью.</t>
  </si>
  <si>
    <t>40% шанс блокировать действие вражеского заклинания, являясь его целью.</t>
  </si>
  <si>
    <t>24 выстрела.</t>
  </si>
  <si>
    <t>Защита от магии 1, 2 и 3 уровней. Атака на 2 клетки в направлении удара.</t>
  </si>
  <si>
    <t>Защита от магии 1, 2, 3 и 4 уровней. Атака на 2 клетки в направлении удара.</t>
  </si>
  <si>
    <t>8 выстрелов.</t>
  </si>
  <si>
    <t>v</t>
  </si>
  <si>
    <t>Безответность - цель атаки не отвечает на удар.</t>
  </si>
  <si>
    <t>Защита от Слепоты, Берсерка, Бешенства, Гипноза, Радости и Печали.</t>
  </si>
  <si>
    <t>Защита от Слепоты и Окаменения.</t>
  </si>
  <si>
    <t>Безответность - цель атаки не отвечает на удар. Удар и возврат - после атаки.</t>
  </si>
  <si>
    <t>12 выстрелов. Нет штрафа в ближнем бою.</t>
  </si>
  <si>
    <t>Положительная мораль - боевой дух не может быть ниже +1.</t>
  </si>
  <si>
    <t>12 выстрелов</t>
  </si>
  <si>
    <t>24 выстрела. Облако огня - при стрельбе Магог наносит урон цели всем существам вокруг неё в радиусе 1 клетки.</t>
  </si>
  <si>
    <t>Снятие заклинаний (при ударе) - Снимает все положительные заклинания с цели.</t>
  </si>
  <si>
    <t>Снятие заклинаний (при ударе) - Снимает все положительные заклинания с цели. Слабость (при ударе, Продвинутый уровень Магии воды).</t>
  </si>
  <si>
    <t>Окружающий удар - При атаке Гидра наносит урон цели и всем вражеским существам вокруг себя в радиусе 1 клетки. Безответность - цель атаки не отвечает на удар.</t>
  </si>
  <si>
    <t>Жажда крови (3 раза за бой, вместо очередного хода). Действует на Продвинутом уровне Магии огня.</t>
  </si>
  <si>
    <t>20% шанс Удара молнии (при ударе) - Цель дополнительно получает 10*N урона, где N - количество Птиц грома в атакующем отряде. Этот урон не зависит от Магии воздуха героя и наличия Сферы небесного свода. Однако элементали воздуха и шторма получают двойной урон.</t>
  </si>
  <si>
    <t>24 выстрела. Положительная удача - удача не может быть ниже +1.</t>
  </si>
  <si>
    <t>Герой теряет штраф при движении по песку.</t>
  </si>
  <si>
    <t>32 выстрела. Нет штрафа за расстояние. Нет штрафа при стрельбе через стены.</t>
  </si>
  <si>
    <t>Доход кристаллов +3 в неделю. 20% шанс блокировать действие вражеского заклинания, являясь его целью.</t>
  </si>
  <si>
    <t>Эффект заклинания</t>
  </si>
  <si>
    <t>Оплетение</t>
  </si>
  <si>
    <t>Дендроид-страж / Дендроид-солдат</t>
  </si>
  <si>
    <t>работает</t>
  </si>
  <si>
    <t>Черный рыцарь / Рыцарь смерти</t>
  </si>
  <si>
    <t>Костяной дракон / Дракон-привидение</t>
  </si>
  <si>
    <t>Старость</t>
  </si>
  <si>
    <t>Поднятие демонов</t>
  </si>
  <si>
    <t>Двойная стрельба</t>
  </si>
  <si>
    <t>Двойной удар</t>
  </si>
  <si>
    <t>Стрельба, Нет штрафа в б.б.</t>
  </si>
  <si>
    <t>Кавалерийский бонус</t>
  </si>
  <si>
    <t>20% сопротивление</t>
  </si>
  <si>
    <t>Полёт, Цена магии +2</t>
  </si>
  <si>
    <t>Слепота, Аура сопротивления</t>
  </si>
  <si>
    <t>Полёт, Горгулья</t>
  </si>
  <si>
    <t>Голем, -50% урона от магии</t>
  </si>
  <si>
    <t>Голем, -75% урона от магии</t>
  </si>
  <si>
    <t>Полёт, Ненависть к Ифритам</t>
  </si>
  <si>
    <t>Полёт, Ненависть к Ифритам, Случайная магия</t>
  </si>
  <si>
    <t>Безответность</t>
  </si>
  <si>
    <t>Защита от разума</t>
  </si>
  <si>
    <t>Стрельба, Нет штрафа в б.б., Защита от разума, Ненависть к Чёрным драконам</t>
  </si>
  <si>
    <t>Нежить</t>
  </si>
  <si>
    <t>Нежить, Болезнь</t>
  </si>
  <si>
    <t>Полёт, Нежить, регенерация</t>
  </si>
  <si>
    <t>Полёт, Нежить, Регенерация, Сжигание маны</t>
  </si>
  <si>
    <t>Полёт, Нежить, Безответность</t>
  </si>
  <si>
    <t>Полёт, Нежить, Безответность, Вампиризм</t>
  </si>
  <si>
    <t>Стрельба, Облако смерти, Нежить</t>
  </si>
  <si>
    <t>Нежить, Проклятие</t>
  </si>
  <si>
    <t>Нежить, Проклятие, Смертельный удар</t>
  </si>
  <si>
    <t>Полёт, Боевой дух -1</t>
  </si>
  <si>
    <t>Полёт, Боевой дух -1, Старость</t>
  </si>
  <si>
    <t>Защита от Слепоты и Окаменения</t>
  </si>
  <si>
    <t>Полёт, Удар и возврат</t>
  </si>
  <si>
    <t>Полёт, Удар и возврат, Безответность</t>
  </si>
  <si>
    <t>Стрельба, Нет штрафа в б.б., Окаменение</t>
  </si>
  <si>
    <t>Положительная мораль</t>
  </si>
  <si>
    <t>Полёт, Паралич</t>
  </si>
  <si>
    <t>Кража маны</t>
  </si>
  <si>
    <t>Стрельба, Огненный шар</t>
  </si>
  <si>
    <t>Три головы, Безответность</t>
  </si>
  <si>
    <t>Три головы - Одновременно могут атаковать до 3 вражеских существ на смежных клетках (цель + по 1 существу с каждой стороны от неё). Безответность - цель атаки не отвечает на удар.</t>
  </si>
  <si>
    <t>Полёт, Защита от огня, Ненависть к Джиннам</t>
  </si>
  <si>
    <t>Полёт, Защита от огня, Ненависть к Джиннам, Огненный щит</t>
  </si>
  <si>
    <t>Полёт, Безответность</t>
  </si>
  <si>
    <t>Полёт, Снятие заклинаний</t>
  </si>
  <si>
    <t>Полёт, Снятие заклинаний, Слабость</t>
  </si>
  <si>
    <t>Полёт, Яд</t>
  </si>
  <si>
    <t>Окружающий удар, Безответность</t>
  </si>
  <si>
    <t>Полёт, Удар молнии</t>
  </si>
  <si>
    <t>Стрельба, Атака стен</t>
  </si>
  <si>
    <t>Снижает защиту цели</t>
  </si>
  <si>
    <t>Элементаль, Ненависть к Элементалям земли</t>
  </si>
  <si>
    <t>Элементаль, Ненависть к Элементалям огня</t>
  </si>
  <si>
    <t>Элементаль, Стрельба, Ненависть к элементалям земли, Защита от воздуха</t>
  </si>
  <si>
    <t>Элементаль, Стрельба, Ненависть к элементалям огня, Защита от воды</t>
  </si>
  <si>
    <t>Элементаль, Ненависть к Элементалям воздуха</t>
  </si>
  <si>
    <t>Элементаль, Ненависть к Элементалям воздуха, Защита от земли</t>
  </si>
  <si>
    <t>Полёт, Защита от огня, Восстание из пепла, Дыхание дракона</t>
  </si>
  <si>
    <t>Стрельба, Положительная удача</t>
  </si>
  <si>
    <t>Нет штрафа по песку</t>
  </si>
  <si>
    <t>Голем, -85% урона от магии</t>
  </si>
  <si>
    <t>Стрельба, Нет штрафа за расстояние и стены</t>
  </si>
  <si>
    <t>Голем, -95% урона от магии</t>
  </si>
  <si>
    <t>Полёт, Случайная магия, Волшебное зеркало</t>
  </si>
  <si>
    <t>Полёт, Кислотное дыхание, Дыхание дракона</t>
  </si>
  <si>
    <t>20% сопротивление, +3 кристалла в неделю</t>
  </si>
  <si>
    <t>Суммарная стоимость существ</t>
  </si>
  <si>
    <t>Суммарная стоимость улучшенных существ</t>
  </si>
  <si>
    <t>Базовый прирост существ.</t>
  </si>
  <si>
    <t>Дополнительный прирост</t>
  </si>
  <si>
    <t>+3 к приросту Грифонов и Королевских грифонов.</t>
  </si>
  <si>
    <t>+4 к приросту Гномов и Боевых гномов.</t>
  </si>
  <si>
    <t>+2 к приросту Дендроидов-стражей и Дендроидов-солдат.</t>
  </si>
  <si>
    <t>+4 к приросту Каменных и Обсидиановых горгулий.</t>
  </si>
  <si>
    <t>+6 к приросту Скелетов и Скелетов-воинов.</t>
  </si>
  <si>
    <t>+7 к приросту Троглодитов и Адских троглодитов.</t>
  </si>
  <si>
    <t>+8 к приросту Бесов и Чертей.</t>
  </si>
  <si>
    <t>+3 к приросту Адских гончих и Церберов.</t>
  </si>
  <si>
    <t>Квартира капитана</t>
  </si>
  <si>
    <t>+6 к приросту Гноллов и Гноллов-мародёров.</t>
  </si>
  <si>
    <t>+8 к приросту Гоблинов и Хобгоблинов.</t>
  </si>
  <si>
    <t>+10 к приросту Маленьких фей и Фей.</t>
  </si>
  <si>
    <t>Базовый и дополнительный прирост существ. Суммарная стоимость.</t>
  </si>
  <si>
    <t>Видение - На карте приключений позволяет герою видеть информацию о составе и численности армии вражеского героя (по правому клику), а также узнавать количество и агрессивность нейтральных существ. Радиус действия - СМ*3, где СМ - сила магии героя.</t>
  </si>
  <si>
    <t>Общие единые для всех существ принципы применения заклинаний:</t>
  </si>
  <si>
    <t>3. Стандартные заклинания существа колдуют всегда на своем определенном уровне - на базовом, продвинутом или экспертном. Не существует никаких факторов, которые могут изменить этот параметр, кроме ландшафтов позволяющих всем существам колдовать заклинания (все или только определенной школы магии) на экспертном уровне.</t>
  </si>
  <si>
    <t>Спец.</t>
  </si>
  <si>
    <t>Прод.</t>
  </si>
  <si>
    <t>Классификация существ: живой, нежить, элементаль, голем, горгулья.</t>
  </si>
  <si>
    <t>Однако в категории "не живой" можно выделить ещё несколько групп существ с различными особенностями.</t>
  </si>
  <si>
    <t>Голем</t>
  </si>
  <si>
    <t>Горгулья</t>
  </si>
  <si>
    <t>Боевая машина</t>
  </si>
  <si>
    <t>Живой</t>
  </si>
  <si>
    <t>Каменный, Стальной, Золотой и Алмазный голем.</t>
  </si>
  <si>
    <t>Каменная и Обсидиановая горгулья.</t>
  </si>
  <si>
    <t>Элементали воздуха, воды, огня и земли, Штормовые, Ледяные, Энергетические, Магмовые, Психические и Магические элементали.</t>
  </si>
  <si>
    <t>Скелет/Скелет-воин, Живой мертвец/Зомби, Страж/Привидение, Вампир/Вампир-лорд, Лич/Могущественный лич, Чёрный рыцарь/Рыцарь смерти, Костяной дракон/Дракон-привидение.</t>
  </si>
  <si>
    <t>Все остальные существа.</t>
  </si>
  <si>
    <t>Группа</t>
  </si>
  <si>
    <t>Существа</t>
  </si>
  <si>
    <t>Особенности</t>
  </si>
  <si>
    <t>Количество существ в отряде</t>
  </si>
  <si>
    <t>Нейтралы. Распределение существ по отрядам во время боя.</t>
  </si>
  <si>
    <t>&lt; 0,5</t>
  </si>
  <si>
    <t>Start_Value - численность отряда в начале боя;
Killed_Units - количество уничтоженных в бою существ противника;
Live_Upgraded - количество выживших улучшенных существ.</t>
  </si>
  <si>
    <t>Алгоритм движения существ по полю боя. Разворот перед атакой.</t>
  </si>
  <si>
    <t>1.</t>
  </si>
  <si>
    <t>Для того, чтобы научиться рассчитывать путь движения существ по полю боя можно воспользоваться следующей методикой:</t>
  </si>
  <si>
    <t>Делаем скриншот поля боя с сеткой (желательно на снегу) с минимальным количеством препятствий и отрядов (без боевых машин).</t>
  </si>
  <si>
    <t>2.</t>
  </si>
  <si>
    <t>Распечатываем на принтере, берём в руки карандаш и стирательную резинку, рисуем всевозможные препятствия, а также выбираем пункт A (начало пути) и пункт B (конечная цель маршрута).</t>
  </si>
  <si>
    <t>Подготовка:</t>
  </si>
  <si>
    <t>Клетку (гекс) А отмечаем как "0".</t>
  </si>
  <si>
    <t>3.</t>
  </si>
  <si>
    <t>Все соседние с клеткой "0" клетки отмечаем как "1".</t>
  </si>
  <si>
    <t>Все соседние с клетками "1" клетки отмечаем как "2".</t>
  </si>
  <si>
    <t>4.</t>
  </si>
  <si>
    <t>Продолжаем отмечать клетки до тех пор, пока клетка В не получит свою метку. Цифра, которую она получит, будет означать расстояние до неё от клетки А.</t>
  </si>
  <si>
    <t>Этап первый:</t>
  </si>
  <si>
    <t>Этап второй:</t>
  </si>
  <si>
    <t>Продолжаем прокладывать путь, пока не достигнем клетки с меткой "0".</t>
  </si>
  <si>
    <t>После этого построение маршрута завершено.</t>
  </si>
  <si>
    <t>Красные стрелки - основная атака.</t>
  </si>
  <si>
    <t>Зелёные стрелки - дополнительная атака.</t>
  </si>
  <si>
    <t>Основная атака</t>
  </si>
  <si>
    <t>Дополнительная атака</t>
  </si>
  <si>
    <t>Атака с разворота</t>
  </si>
  <si>
    <t>Параметр "AI values" (Ценность существ с точки зрения ИИ).</t>
  </si>
  <si>
    <t>Кристалл.дракон</t>
  </si>
  <si>
    <t>Магич.элементаль</t>
  </si>
  <si>
    <t>Псих.элементаль</t>
  </si>
  <si>
    <t>Магм.элементаль</t>
  </si>
  <si>
    <t>Шторм.элементаль</t>
  </si>
  <si>
    <t>Энерг.элементаль</t>
  </si>
  <si>
    <t>Корол.грифон</t>
  </si>
  <si>
    <t>Ледян.элементаль</t>
  </si>
  <si>
    <t>Элемент.земли</t>
  </si>
  <si>
    <t>Элемент.воды</t>
  </si>
  <si>
    <t>Осидиан.горгулья</t>
  </si>
  <si>
    <t>Неделя существ.</t>
  </si>
  <si>
    <t>Месяц существ.</t>
  </si>
  <si>
    <t>Неделя "абстрактного" существа</t>
  </si>
  <si>
    <t>Зд.</t>
  </si>
  <si>
    <t>Жук</t>
  </si>
  <si>
    <t>Прирост отсутствует. Количество всех невыкупленных существ в городах и внешних жилищах существ уменьшается в 2 раза.</t>
  </si>
  <si>
    <t>Объекты на карте, позволяющие получить артефакты.</t>
  </si>
  <si>
    <t>Существует 4 основных класса артефактов (указаны в порядке увеличения ценности):</t>
  </si>
  <si>
    <t>СКЛЕП.</t>
  </si>
  <si>
    <t>Существуют 4 типа Склепа, различающиеся силой охраны и количеством сокровищ в них:</t>
  </si>
  <si>
    <t>30 Скелетов, 20 Живых мертвецов</t>
  </si>
  <si>
    <t>25 Скелетов, 20 Живых мертвецов, 5 Стражей</t>
  </si>
  <si>
    <t>20 Скелетов, 20 Живых мертвецов, 10 Стражей, 5 Вампиров</t>
  </si>
  <si>
    <t>20 Скелетов, 20 Живых мертвецов, 10 Стражей, 10 Вампиров</t>
  </si>
  <si>
    <t>Существуют 4 типа Покинутых кораблей, различающиеся охраной и количеством сокровищ в них:</t>
  </si>
  <si>
    <t>20 Элементалей воды</t>
  </si>
  <si>
    <t>30 Элементалей воды</t>
  </si>
  <si>
    <t>40 Элементалей воды</t>
  </si>
  <si>
    <t>60 Элементалей воды</t>
  </si>
  <si>
    <t>2500 золота + Артефакт-Сокровище</t>
  </si>
  <si>
    <t>5000 золота + Артефакт-Сокровище</t>
  </si>
  <si>
    <t>3000 золота + Артефакт-Сокровище</t>
  </si>
  <si>
    <t>4000 золота + Артефакт-Сокровище</t>
  </si>
  <si>
    <t>6000 золота + Второстепенный артефакт</t>
  </si>
  <si>
    <t>Существуют 4 типа Кораблекрушений, различающиеся охраной и количеством сокровищ в них:</t>
  </si>
  <si>
    <t>5000 золота + Второстепенный артефакт</t>
  </si>
  <si>
    <t>Существуют 4 типа Утопий драконов, различающиеся охраной и количеством сокровищ в них:</t>
  </si>
  <si>
    <t>8 Зелёных драконов, 5 Красных драконов, 2 Золотых дракона, 1 Чёрный дракон</t>
  </si>
  <si>
    <t>8 Зелёных драконов, 6 Красных драконов, 3 Золотых дракона, 2 Чёрных дракона</t>
  </si>
  <si>
    <t>8 Зелёных драконов, 6 Красных драконов, 4 Золотых дракона, 3 Чёрных дракона</t>
  </si>
  <si>
    <t>8 Зелёных драконов, 7 Красных драконов, 6 Золотых драконов, 5 Чёрных драконов</t>
  </si>
  <si>
    <t>20000 золота + 4 артефакта разных классов</t>
  </si>
  <si>
    <t>30000 золота + Второстепенный артефакт + Основной артефакт + 2 артефакта-реликта</t>
  </si>
  <si>
    <t>40000 золота + Основной артефакт + 3 артефакта-реликта</t>
  </si>
  <si>
    <t>50000 золота + 4 артефакта-реликта</t>
  </si>
  <si>
    <t>Артефакт-Сокровище или Второстепенный артефакт</t>
  </si>
  <si>
    <t>Ничего</t>
  </si>
  <si>
    <t>Артефакт-Сокровище</t>
  </si>
  <si>
    <t>Второстепенный артефакт</t>
  </si>
  <si>
    <t>2…5 случайного ресурса, кроме золота</t>
  </si>
  <si>
    <t>Артефакт-Реликт</t>
  </si>
  <si>
    <t>Основной артефакт</t>
  </si>
  <si>
    <t>1000 золота + Артефакт-Сокровище</t>
  </si>
  <si>
    <t>Артефакт-Сокровище. Если рюкзак полон, герой получает на выбор: 1000 золота или 500 опыта.</t>
  </si>
  <si>
    <t>Схема расположения существ зависит от выпавшего типа Склепа (через дробь):</t>
  </si>
  <si>
    <t>Схема расположения существ:</t>
  </si>
  <si>
    <t>Объекты, позволяющие купить/продать артефакты.</t>
  </si>
  <si>
    <t>5*Базовая цена / [1 + (Количество Рынков - 1) * 0,25]</t>
  </si>
  <si>
    <t>Базовая цена * [1 + (Количество Рынков - 1) * 0,25] / 5</t>
  </si>
  <si>
    <t>Объекты на карте, позволяющие получить навыки и заклинания.</t>
  </si>
  <si>
    <t>БИБЛИОТЕКА ПРОСВЕЩЕНИЯ.</t>
  </si>
  <si>
    <t>Один раз за игру, каждый герой может повысить все первичные навыки (атака, защита, сила магии, знание) на 2 единицы.</t>
  </si>
  <si>
    <t>Однако для получения бонуса герой должен быть не менее 10 уровня. Навык Дипломатии снижает это требование:</t>
  </si>
  <si>
    <t>Требование Библиотеки</t>
  </si>
  <si>
    <t>Базовая</t>
  </si>
  <si>
    <t>Продвинутая</t>
  </si>
  <si>
    <t>Экспертная</t>
  </si>
  <si>
    <t>УЧЁНЫЙ.</t>
  </si>
  <si>
    <t>Учёный может научить героя новому заклинанию, вторичному навыку или повысить любой его первичный навык на 1.</t>
  </si>
  <si>
    <t>Бонус выбирается случайно или автором карты. Учёный исчезает после первого посещения.</t>
  </si>
  <si>
    <r>
      <t>1.</t>
    </r>
    <r>
      <rPr>
        <sz val="10"/>
        <rFont val="Arial"/>
        <family val="2"/>
        <charset val="204"/>
      </rPr>
      <t>Обучение новому вторичному навыку.</t>
    </r>
  </si>
  <si>
    <t>Результат</t>
  </si>
  <si>
    <t>Если у героя нет предлагаемого вторичного навыка и есть свободный слот вторичных навыков</t>
  </si>
  <si>
    <t>Учёный обучает вторичному навыку Базового уровня</t>
  </si>
  <si>
    <t>Если у героя нет предлагаемого вторичного навыка, но нет свободных слотов вторичных навыков</t>
  </si>
  <si>
    <t>Учёный повысит случайный первичный навык на 1</t>
  </si>
  <si>
    <t>Если у героя есть предлагаемый вторичный навык, но Базового или Продвинутого уровня</t>
  </si>
  <si>
    <t>Учёный улучшит этот вторичный навык на 1 ступень</t>
  </si>
  <si>
    <t>Если у героя есть предлагаемый вторичный навык Экспертного уровня</t>
  </si>
  <si>
    <t>Если герой знает предлагаемое заклинание</t>
  </si>
  <si>
    <t>Если герой не знает предлагаемое заклинание, но у него нет Книги магии.</t>
  </si>
  <si>
    <t>Если герой не знает предлагаемое заклинание, но у него не хватает уровня Мудрости для изучения</t>
  </si>
  <si>
    <t>Если герой не знает предлагаемого заклинания, у него достаточный уровень Мудрости и есть Книга магии.</t>
  </si>
  <si>
    <t>Учёный обучает заклинанию</t>
  </si>
  <si>
    <r>
      <t>2.</t>
    </r>
    <r>
      <rPr>
        <sz val="10"/>
        <rFont val="Arial"/>
        <family val="2"/>
        <charset val="204"/>
      </rPr>
      <t>Обучение новому заклинанию.</t>
    </r>
  </si>
  <si>
    <r>
      <t>3.</t>
    </r>
    <r>
      <rPr>
        <sz val="10"/>
        <rFont val="Arial"/>
        <family val="2"/>
        <charset val="204"/>
      </rPr>
      <t>Повышение первичного навыка.</t>
    </r>
  </si>
  <si>
    <t>Учёный повышает на 1 случайный первичный навык героя, даже если этот навык равен у него 99 - появится сообщение, но цифра останется 99.</t>
  </si>
  <si>
    <t>ЛАГЕРЬ НАЁМНИКОВ.</t>
  </si>
  <si>
    <t>Атака героя +1. Можно посещать только 1 раз за игру для каждого героя.</t>
  </si>
  <si>
    <t>БАШНЯ МАРЛЕТТО.</t>
  </si>
  <si>
    <t>Защита героя +1. Можно посещать только 1 раз за игру для каждого героя.</t>
  </si>
  <si>
    <t>ЗВЁЗДНОЕ КОЛЕСО.</t>
  </si>
  <si>
    <t>Сила магии героя +1. Можно посещать только 1 раз за игру для каждого героя.</t>
  </si>
  <si>
    <t>САД ОТКРОВЕНИЯ.</t>
  </si>
  <si>
    <t>Знание героя +1. Можно посещать только 1 раз за игру для каждого героя.</t>
  </si>
  <si>
    <t>За 1000 золота можно получить на выбор: Сила магии +1 или Знание +1. Можно посещать только 1 раз за игру для каждого героя.</t>
  </si>
  <si>
    <t>ШКОЛА ВОЙНЫ.</t>
  </si>
  <si>
    <t>За 1000 золота можно получить на выбор: Атака +1 или Защита +1. Можно посещать только 1 раз за игру для каждого героя.</t>
  </si>
  <si>
    <t>АРЕНА.</t>
  </si>
  <si>
    <t>На выбор: Атака +2 или Защита +2. Можно посещать только 1 раз за игру для каждого героя.</t>
  </si>
  <si>
    <t>Герой обучается предлагаемому заклинанию 1 уровня, если он имеет Книгу магии и не знает его.</t>
  </si>
  <si>
    <t>Герой обучается предлагаемому заклинанию 2 уровня, если он имеет Книгу магии и не знает его.</t>
  </si>
  <si>
    <t>Герой обучается предлагаемому заклинанию 3 уровня, если он имеет Книгу магии, Базовую Мудрость и не знает его.</t>
  </si>
  <si>
    <t>ПИРАМИДА.</t>
  </si>
  <si>
    <t>Охрана: 40 Золотых големов и 20 Алмазных големов.</t>
  </si>
  <si>
    <t>Награда: Герой обучается предлагаемому заклинанию 5 уровня, если он имеет Книгу магии, Экспертную Мудрость и не знает его.</t>
  </si>
  <si>
    <t>ХИЖИНА ВЕДЬМЫ.</t>
  </si>
  <si>
    <t>Герой обучается предлагаемому вторичному навыку, если он имеет свободный слот вторичных навыков и не знает его.</t>
  </si>
  <si>
    <t>УНИВЕРСИТЕТ.</t>
  </si>
  <si>
    <t>Герой может изучить до 4 предлагаемых вторичных навыков Базового уровня по 2000 золота за каждый, если он имеет свободные слоты вторичных навыков и не знает их.</t>
  </si>
  <si>
    <t>В Университете соблюдаются классовые возможности изучения определённых вторичных навыков.</t>
  </si>
  <si>
    <t>Чародейство, Магия воды</t>
  </si>
  <si>
    <t>Чародейство, Сопротивление</t>
  </si>
  <si>
    <t>Чародейство, Навигация</t>
  </si>
  <si>
    <t>1.4</t>
  </si>
  <si>
    <t>12…25</t>
  </si>
  <si>
    <t>6…9</t>
  </si>
  <si>
    <t>Элементали воздуха - 6; Гномы, Живые мертвецы, Гарпии, Гоги, Наездники на кабанах, Воры - 8; Арбалетчики, Каменные горгульи, Наездники на волках, Ящеры - 9.</t>
  </si>
  <si>
    <t>5…8</t>
  </si>
  <si>
    <t>Адские гончие - 5; Каменные големы, Элементали воды - 6; Грифоны, Лесные эльфы, Стражи, Бехолдеры, Орки, Кочевники, Мумии - 7; Змии - 8.</t>
  </si>
  <si>
    <t>4…5</t>
  </si>
  <si>
    <t>Пегасы, Элементали огня - 5; Все остальные - 4.</t>
  </si>
  <si>
    <t>3…4</t>
  </si>
  <si>
    <t>Элементали земли - 4; Все остальные - 3.</t>
  </si>
  <si>
    <t>Все существа 6 уровня.</t>
  </si>
  <si>
    <t>1…2</t>
  </si>
  <si>
    <t>Огненные птицы - 2; Все остальные - 1.</t>
  </si>
  <si>
    <t>Стоимость улучшения</t>
  </si>
  <si>
    <t>5, 6 и 7</t>
  </si>
  <si>
    <t>1/4 стоимости</t>
  </si>
  <si>
    <t>1/2 стоимости</t>
  </si>
  <si>
    <t>3/4 стоимости</t>
  </si>
  <si>
    <t>Под стоимостью улучшения понимается цена, которую придётся заплатить в случае улучшения существ в городе - разница между ценой улучшенного существа и неулучшенного. Следует помнить, что существа 7 уровня, помимо золота, требуют траты ресурсов.</t>
  </si>
  <si>
    <t>ПОКИНУТЫЙ КОРАБЛЬ.</t>
  </si>
  <si>
    <t>КОРАБЛЕКРУШЕНИЕ.</t>
  </si>
  <si>
    <t>УТОПИЯ ДРАКОНОВ.</t>
  </si>
  <si>
    <t>СКЕЛЕТ НА ЗЕМЛЕ.</t>
  </si>
  <si>
    <t>ТЕЛЕГА.</t>
  </si>
  <si>
    <t>ПОТЕРПЕВШИЙ КОРАБЛЕКРУШЕНИЕ.</t>
  </si>
  <si>
    <t>МОГИЛА ВОИНА.</t>
  </si>
  <si>
    <t>МОРСКОЙ СУНДУК.</t>
  </si>
  <si>
    <t>СУНДУК С СОКРОВИЩАМИ.</t>
  </si>
  <si>
    <t>50 Грифонов</t>
  </si>
  <si>
    <t>100 Грифонов</t>
  </si>
  <si>
    <t>150 Грифонов</t>
  </si>
  <si>
    <t>200 Грифонов</t>
  </si>
  <si>
    <t>30 Стрекоз</t>
  </si>
  <si>
    <t>45 Стрекоз</t>
  </si>
  <si>
    <t>60 Стрекоз</t>
  </si>
  <si>
    <t>90 Стрекоз</t>
  </si>
  <si>
    <t>4 Виверны</t>
  </si>
  <si>
    <t>6 Виверн</t>
  </si>
  <si>
    <t>8 Виверн</t>
  </si>
  <si>
    <t>12 Виверн</t>
  </si>
  <si>
    <t>Объекты, позволяющие получить существ.</t>
  </si>
  <si>
    <t>ШАХТЫ РЕСУРСОВ.</t>
  </si>
  <si>
    <t>При посещении шахты, не принадлежащей игроку, она переходит под его контроль, либо, если на шахту поставлена охрана, сначала ему придется победить охранников. Посетив свою шахту, игрок получает возможность оставить на шахте охрану. Всего существует 7 типов шахт, как и типов ресурсов:</t>
  </si>
  <si>
    <t>Доход ресурсов</t>
  </si>
  <si>
    <t>Пруд драгоценных камней</t>
  </si>
  <si>
    <t>+2 древесины в день</t>
  </si>
  <si>
    <t>+1 сера в день</t>
  </si>
  <si>
    <t>ЗАБРОШЕННАЯ ШАХТА.</t>
  </si>
  <si>
    <t>Охрана: 100…249 Троглодитов (расстановка как в битве с нейтралами).</t>
  </si>
  <si>
    <t>Заброшенная шахта после освобождения превращается в случайную шахту, но не в Лесопилку.</t>
  </si>
  <si>
    <t>После этого освобождённая Заброшенная шахта действует как обычная.</t>
  </si>
  <si>
    <t>Герой получает 500 золота или 5 самоцветов с равной вероятностью. Можно посещать 1 раз в неделю.</t>
  </si>
  <si>
    <t>МИСТИЧЕСКИЙ САД.</t>
  </si>
  <si>
    <t>ВОДЯНАЯ МЕЛЬНИЦА.</t>
  </si>
  <si>
    <t>При посещении на первой неделе, герой получает 500 золота, на второй и последующих - 1000 золота. Можно посещать 1 раз в неделю.</t>
  </si>
  <si>
    <t>ВЕТРЯНАЯ МЕЛЬНИЦА.</t>
  </si>
  <si>
    <t>Герой получает 3…6 случайного ресурса, кроме золота и древесины. Можно посещать 1 раз в неделю.</t>
  </si>
  <si>
    <t>КОСТЁР.</t>
  </si>
  <si>
    <t>Герой получает 400…600 золота и 4…6 случайного ресурса. Костёр исчезает после первого посещения.</t>
  </si>
  <si>
    <t>НАВЕС.</t>
  </si>
  <si>
    <t>Герой получает 1…5 случайного ресурса. Можно посещать только 1 раз за игру.</t>
  </si>
  <si>
    <t>ОБЛОМКИ КОРАБЛЕКРУШЕНИЯ.</t>
  </si>
  <si>
    <t>Возможны 4 варианта находок в обломках:</t>
  </si>
  <si>
    <t>Найденные ресурсы</t>
  </si>
  <si>
    <t>Герой получает 5 древесины</t>
  </si>
  <si>
    <t>Герой получает 5 древесины и 200 золота</t>
  </si>
  <si>
    <t>Герой получает 10 древесины и 500 золота</t>
  </si>
  <si>
    <t>Обломки кораблекрушения исчезают после первого посещения.</t>
  </si>
  <si>
    <t>ОТДЕЛЬНО ЛЕЖАЩИЕ РЕСУРСЫ.</t>
  </si>
  <si>
    <t>Куча</t>
  </si>
  <si>
    <t>Древесина</t>
  </si>
  <si>
    <t>500…1000 золота</t>
  </si>
  <si>
    <t>5…10 древесины</t>
  </si>
  <si>
    <t>5…10 руды</t>
  </si>
  <si>
    <t>3…6 ртути</t>
  </si>
  <si>
    <t>3…6 серы</t>
  </si>
  <si>
    <t>3…6 самоцветов</t>
  </si>
  <si>
    <t>3…6 кристаллов</t>
  </si>
  <si>
    <t>Кучи ресурсов исчезают после первого посещения.</t>
  </si>
  <si>
    <t>СОКРОВИЩНИЦЫ РЕСУРСОВ.</t>
  </si>
  <si>
    <t>Под этим обобщающим термином имеются ввиду все объекты, в которых приходится сражаться с охраной для того, чтобы получить награду в виде ресурсов или чего-нибудь ещё. Причём расстановка при захвате Сокровищниц отличается от стандартной.</t>
  </si>
  <si>
    <t>Расстановка армии героя выглядит следующим образом:</t>
  </si>
  <si>
    <t>Последовательность хода вражеских существ зависит от их скорости.</t>
  </si>
  <si>
    <t>Если среди охраны Сокровищницы есть существа с одинаковой скоростью, то очерёдность их ходов будет следующей: оранжевая клетка, синяя клетка, фиолетовая клетка, красная клетка, зелёная клетка.</t>
  </si>
  <si>
    <t>1.Тайник бесов:</t>
  </si>
  <si>
    <t>100 Бесов</t>
  </si>
  <si>
    <t>150 Бесов</t>
  </si>
  <si>
    <t>200 Бесов</t>
  </si>
  <si>
    <t>300 Бесов</t>
  </si>
  <si>
    <t>1000 золота + 2 ртути</t>
  </si>
  <si>
    <t>1500 золота + 3 ртути</t>
  </si>
  <si>
    <t>2000 золота + 4 ртути</t>
  </si>
  <si>
    <t>3000 золота + 6 ртути</t>
  </si>
  <si>
    <t>2.Сокровищница гномов:</t>
  </si>
  <si>
    <t>50 Гномов</t>
  </si>
  <si>
    <t>75 Гномов</t>
  </si>
  <si>
    <t>100 Гномов</t>
  </si>
  <si>
    <t>150 Гномов</t>
  </si>
  <si>
    <t>2500 золота + 2 кристалла</t>
  </si>
  <si>
    <t>4000 золота + 3 кристалла</t>
  </si>
  <si>
    <t>5000 золота + 5 кристаллов</t>
  </si>
  <si>
    <t>7500 золота + 10 кристаллов</t>
  </si>
  <si>
    <t>20 Медуз</t>
  </si>
  <si>
    <t>30 Медуз</t>
  </si>
  <si>
    <t>40 Медуз</t>
  </si>
  <si>
    <t>50 Медуз</t>
  </si>
  <si>
    <t>2000 золота + 5 серы</t>
  </si>
  <si>
    <t>3000 золота + 6 серы</t>
  </si>
  <si>
    <t>4000 золота + 8 серы</t>
  </si>
  <si>
    <t>4.Склады циклопов:</t>
  </si>
  <si>
    <t>3.Хранилище медуз:</t>
  </si>
  <si>
    <t>20 Циклопов</t>
  </si>
  <si>
    <t>30 Циклопов</t>
  </si>
  <si>
    <t>40 Циклопов</t>
  </si>
  <si>
    <t>50 Циклопов</t>
  </si>
  <si>
    <t>по 4 серы, ртути, кристаллов и самоцветов</t>
  </si>
  <si>
    <t>по 6 серы, ртути, кристаллов и самоцветов</t>
  </si>
  <si>
    <t>по 8 серы, ртути, кристаллов и самоцветов</t>
  </si>
  <si>
    <t>по 10 серы, ртути, кристаллов и самоцветов</t>
  </si>
  <si>
    <t>5.Банк наг:</t>
  </si>
  <si>
    <t>10 Наг</t>
  </si>
  <si>
    <t>15 Наг</t>
  </si>
  <si>
    <t>20 Наг</t>
  </si>
  <si>
    <t>30 Наг</t>
  </si>
  <si>
    <t>6000 золота + 12 серы</t>
  </si>
  <si>
    <t>8000 золота + 16 серы</t>
  </si>
  <si>
    <t>12000 золота + 24 серы</t>
  </si>
  <si>
    <r>
      <t xml:space="preserve">Это интересно: </t>
    </r>
    <r>
      <rPr>
        <sz val="10"/>
        <rFont val="Arial"/>
        <family val="2"/>
        <charset val="204"/>
      </rPr>
      <t>Узнать численность охраны сокровищницы можно не вступая с ними в бой. Достаточно просто посетить их и отказаться от сражения. После этого при наведении курсора на эту сокровищницу в строке статуса можно увидеть примерное количество охранников, а также сообщение имеются ли среди них улучшенные существа.</t>
    </r>
  </si>
  <si>
    <t>РЫНОК.</t>
  </si>
  <si>
    <t>Операция</t>
  </si>
  <si>
    <t>Продажа ценных ресурсов</t>
  </si>
  <si>
    <t>Продажа обычных ресурсов</t>
  </si>
  <si>
    <t>Покупка ценных ресурсов</t>
  </si>
  <si>
    <t>Покупка обычных ресурсов</t>
  </si>
  <si>
    <t>Герой может менять ресурсы друг на друга по цене в 3 раза ниже обычной:</t>
  </si>
  <si>
    <t>ГИЛЬДИЯ НАЁМНЫХ РАБОТНИКОВ.</t>
  </si>
  <si>
    <t>СТРОЕНИЯ В ГОРОДАХ.</t>
  </si>
  <si>
    <t>Объекты, позволяющие получить ресурсы.</t>
  </si>
  <si>
    <r>
      <t xml:space="preserve">1.Сокровищница </t>
    </r>
    <r>
      <rPr>
        <sz val="10"/>
        <rFont val="Arial"/>
        <family val="2"/>
        <charset val="204"/>
      </rPr>
      <t>(Оплот)</t>
    </r>
    <r>
      <rPr>
        <b/>
        <sz val="10"/>
        <rFont val="Arial"/>
        <family val="2"/>
        <charset val="204"/>
      </rPr>
      <t>:</t>
    </r>
  </si>
  <si>
    <r>
      <t xml:space="preserve">2.Таинственный пруд </t>
    </r>
    <r>
      <rPr>
        <sz val="10"/>
        <rFont val="Arial"/>
        <family val="2"/>
        <charset val="204"/>
      </rPr>
      <t>(Оплот)</t>
    </r>
    <r>
      <rPr>
        <b/>
        <sz val="10"/>
        <rFont val="Arial"/>
        <family val="2"/>
        <charset val="204"/>
      </rPr>
      <t>:</t>
    </r>
  </si>
  <si>
    <t>В начале каждой недели приносит игроку 1…4 единицы случайного ценного ресурса: сера, ртуть, кристаллы или самоцветы.</t>
  </si>
  <si>
    <t>3.Хранилище ресурсов:</t>
  </si>
  <si>
    <t>+1 древесины и руда в день</t>
  </si>
  <si>
    <t>Объекты на карте, позволяющие получить опыт.</t>
  </si>
  <si>
    <t>КАМЕНЬ ЗНАНИЙ.</t>
  </si>
  <si>
    <t>Герой получат 1000 опыта. Можно посещать только 1 раз для каждого героя.</t>
  </si>
  <si>
    <t>ДРЕВО ЗНАНИЙ.</t>
  </si>
  <si>
    <t>Герой получает некоторое количество очков опыта, равное разности между текущим уровнем герои и следующим (это фиксированные значения и они приплюсовываются к текущему значению опыта независимо от того, сколько очков опыта осталось до следующего уровня). Может получиться такая ситуация, что после посещения Древа знаний количество опыта будет чуть-чуть выше требуемого для следующего уровня. Дело в том, что Древо знаний не принимает в расчёт стартовое количество опыта у героев, которое находится в диапазоне от 0 до 100 единиц.</t>
  </si>
  <si>
    <t>Для получения опыта от Древа знаний может потребоваться определённая плата:</t>
  </si>
  <si>
    <t>Требование</t>
  </si>
  <si>
    <t>АЛТАРЬ ЖЕРТВОПРИНОШЕНИЙ.</t>
  </si>
  <si>
    <t>1.Герои Замка, Оплота и Башни могут обменять артефакты на опыт:</t>
  </si>
  <si>
    <t>1050 / 1100 / 1150</t>
  </si>
  <si>
    <t>1575 / 1650 / 1725</t>
  </si>
  <si>
    <t>3150 / 3300 / 3450</t>
  </si>
  <si>
    <t>6300 / 6600 / 6900</t>
  </si>
  <si>
    <t>Жертвуемые существа</t>
  </si>
  <si>
    <t>Дракон-привидение, Красный дракон</t>
  </si>
  <si>
    <t>Чемпион, Чёрный рыцарь</t>
  </si>
  <si>
    <t>Боевой единорог, Нага, Магический элементаль</t>
  </si>
  <si>
    <t>Ифрит, Психический элементаль</t>
  </si>
  <si>
    <t>Адское отродье, Чародей</t>
  </si>
  <si>
    <t>Могущественный лич, Король минотавров</t>
  </si>
  <si>
    <t>Птица рух, Могучая горгона, Тролль</t>
  </si>
  <si>
    <t>Джинн, Горгона</t>
  </si>
  <si>
    <t>Дендроид-солдат, Минотавр</t>
  </si>
  <si>
    <t>Порождение зла, Вампир-лорд, Алмазный голем</t>
  </si>
  <si>
    <t>Архимаг, Великий василиск</t>
  </si>
  <si>
    <t>Крестоносец, Маг, Королева медуз, Снайпер</t>
  </si>
  <si>
    <t>Серебряный пегас, Вампир, Василиск</t>
  </si>
  <si>
    <t>Монах, Пегас, Дендроид-страж, Рогатый демон, Медуза, Штормовой элементаль, Магмовый элементаль</t>
  </si>
  <si>
    <t>Королевский грифон, Рыцарь, Демон, Энергетический элементаль</t>
  </si>
  <si>
    <t>Стальной голем, Огр</t>
  </si>
  <si>
    <t>Цербер, Созерцатель, Ледяной элементаль</t>
  </si>
  <si>
    <t>Грифон, Великий эльф, Адская гончая, Бехолдер, Элементаль воздуха, Элементаль огня, Элементаль земли, Кочевник</t>
  </si>
  <si>
    <t>Привидение, Стрекоза, Элементаль воды</t>
  </si>
  <si>
    <t>Каменный голем, Магог, Страж, Орк-вождь, Змий, Мумия</t>
  </si>
  <si>
    <t>Боевой гном, Лесной эльф, Обсидиановая горгулья, Гарпия-ведьма, Налётчик</t>
  </si>
  <si>
    <t>Стрелок, Каменная горгулья, Орк</t>
  </si>
  <si>
    <t>Арбалетчик, Капитан кентавров, Гном, Гог, Зомби, Гарпия, Наездник на волке, Ящер, Ящер-воин, Вор, Наездник на кабане</t>
  </si>
  <si>
    <t>Копейщик, Алебардщик, Кентавр, Скелет-воин, Живой мертвец, Адский троглодит, Гнолл-мародёр, Фея</t>
  </si>
  <si>
    <t>Гремлин, Мастер-гремлин, Бес, Чёрт, Скелет, Троглодит, Гоблин, Хобгоблин, Гнолл, Маленькая фея, Хоббит</t>
  </si>
  <si>
    <t>При посещении Сирен, в отрядах героя, где больше 1 существа, погибают 30% существ. Если таких отрядов нет, ничего не происходит. Герой получает 1 единицу опыта за каждую единицу здоровья погибших существ. Вторичный навык Обучение увеличивает количество опыта на 5, 10 или 15%. За каждого Крестьянина, в отличие от Алтаря жертвоприношений, опыт начисляется. Сирен можно посетить 1 раз за игру для каждого героя, но после боя, можно посещать их повторно.</t>
  </si>
  <si>
    <t>Объекты, позволяющие получить боевой дух, удачу, ману и очки движения.</t>
  </si>
  <si>
    <t>Свойства</t>
  </si>
  <si>
    <r>
      <t>-1...+3</t>
    </r>
    <r>
      <rPr>
        <sz val="10"/>
        <rFont val="Arial"/>
        <family val="2"/>
        <charset val="204"/>
      </rPr>
      <t xml:space="preserve"> к удаче. Значение выбирается случайно в начале каждой недели.</t>
    </r>
  </si>
  <si>
    <r>
      <t xml:space="preserve">+1 </t>
    </r>
    <r>
      <rPr>
        <sz val="10"/>
        <rFont val="Arial"/>
        <family val="2"/>
        <charset val="204"/>
      </rPr>
      <t>к боевому духу, +400 очков движения (MP) до конца дня.</t>
    </r>
  </si>
  <si>
    <r>
      <t>+2</t>
    </r>
    <r>
      <rPr>
        <sz val="10"/>
        <rFont val="Arial"/>
        <family val="2"/>
        <charset val="204"/>
      </rPr>
      <t xml:space="preserve"> к удаче. Герой теряет все оставшиеся очки движения (МР).</t>
    </r>
  </si>
  <si>
    <r>
      <t>+1</t>
    </r>
    <r>
      <rPr>
        <sz val="10"/>
        <rFont val="Arial"/>
        <family val="2"/>
        <charset val="204"/>
      </rPr>
      <t xml:space="preserve"> к боевому духу и удаче, +400 очков движения (MP) до конца дня.</t>
    </r>
  </si>
  <si>
    <r>
      <rPr>
        <sz val="10"/>
        <rFont val="Arial"/>
        <family val="2"/>
        <charset val="204"/>
      </rPr>
      <t xml:space="preserve">На первый-шестой день недели: </t>
    </r>
    <r>
      <rPr>
        <sz val="10"/>
        <color indexed="10"/>
        <rFont val="Arial"/>
        <family val="2"/>
        <charset val="204"/>
      </rPr>
      <t>+1</t>
    </r>
    <r>
      <rPr>
        <sz val="10"/>
        <rFont val="Arial"/>
        <family val="2"/>
        <charset val="204"/>
      </rPr>
      <t xml:space="preserve"> к боевому духу; На седьмой день: </t>
    </r>
    <r>
      <rPr>
        <sz val="10"/>
        <color indexed="10"/>
        <rFont val="Arial"/>
        <family val="2"/>
        <charset val="204"/>
      </rPr>
      <t>+2</t>
    </r>
    <r>
      <rPr>
        <sz val="10"/>
        <rFont val="Arial"/>
        <family val="2"/>
        <charset val="204"/>
      </rPr>
      <t xml:space="preserve"> к боевому духу.</t>
    </r>
  </si>
  <si>
    <r>
      <rPr>
        <sz val="10"/>
        <rFont val="Arial"/>
        <family val="2"/>
        <charset val="204"/>
      </rPr>
      <t xml:space="preserve">На первый, третий и пятый дни недели: </t>
    </r>
    <r>
      <rPr>
        <sz val="10"/>
        <color indexed="10"/>
        <rFont val="Arial"/>
        <family val="2"/>
        <charset val="204"/>
      </rPr>
      <t>+1</t>
    </r>
    <r>
      <rPr>
        <sz val="10"/>
        <rFont val="Arial"/>
        <family val="2"/>
        <charset val="204"/>
      </rPr>
      <t xml:space="preserve"> к удаче; На второй, четвёртый и шестой дни: </t>
    </r>
    <r>
      <rPr>
        <sz val="10"/>
        <color indexed="10"/>
        <rFont val="Arial"/>
        <family val="2"/>
        <charset val="204"/>
      </rPr>
      <t>+1</t>
    </r>
    <r>
      <rPr>
        <sz val="10"/>
        <rFont val="Arial"/>
        <family val="2"/>
        <charset val="204"/>
      </rPr>
      <t xml:space="preserve"> к боевому духу; На седьмой день: </t>
    </r>
    <r>
      <rPr>
        <sz val="10"/>
        <color indexed="10"/>
        <rFont val="Arial"/>
        <family val="2"/>
        <charset val="204"/>
      </rPr>
      <t>+1</t>
    </r>
    <r>
      <rPr>
        <sz val="10"/>
        <rFont val="Arial"/>
        <family val="2"/>
        <charset val="204"/>
      </rPr>
      <t xml:space="preserve"> к боевому духу и удаче.</t>
    </r>
  </si>
  <si>
    <r>
      <t>+1</t>
    </r>
    <r>
      <rPr>
        <sz val="10"/>
        <rFont val="Arial"/>
        <family val="2"/>
        <charset val="204"/>
      </rPr>
      <t xml:space="preserve"> к боевому духу, +400 очков движения (MP) до конца дня. После любого боя можно посетить вновь в течение того же дня. Сумма бонусов запаса хода при этом накапливается.</t>
    </r>
  </si>
  <si>
    <r>
      <t>+1</t>
    </r>
    <r>
      <rPr>
        <sz val="10"/>
        <rFont val="Arial"/>
        <family val="2"/>
        <charset val="204"/>
      </rPr>
      <t xml:space="preserve"> к боевому духу, +800 очков движения (MP) до конца дня. После любого боя можно посетить вновь в течение того же дня. Сумма бонусов запаса хода при этом накапливается.</t>
    </r>
  </si>
  <si>
    <r>
      <t>+1</t>
    </r>
    <r>
      <rPr>
        <sz val="10"/>
        <rFont val="Arial"/>
        <family val="2"/>
        <charset val="204"/>
      </rPr>
      <t xml:space="preserve"> к боевому духу.</t>
    </r>
  </si>
  <si>
    <r>
      <t>+1</t>
    </r>
    <r>
      <rPr>
        <sz val="10"/>
        <rFont val="Arial"/>
        <family val="2"/>
        <charset val="204"/>
      </rPr>
      <t xml:space="preserve"> к удаче.</t>
    </r>
  </si>
  <si>
    <t>Существа Крепости, Цитадели и Сопряжению получают +2 к удаче во время боя.</t>
  </si>
  <si>
    <t>Существа Замка, Оплота и Башни получают +1 к боевому духу во время боя. Существа Инферно и Темницы получают -1 к боевому духу во время боя.</t>
  </si>
  <si>
    <t>Существа Замка, Оплота и Башни получают -1 к боевому духу во время боя. Существа Инферно и Темницы получают +1 к боевому духу во время боя.</t>
  </si>
  <si>
    <t>Склеп (разграбленный)</t>
  </si>
  <si>
    <t>Пирамида (разграбленная)</t>
  </si>
  <si>
    <t>Покинутый корабль (разграбленный)</t>
  </si>
  <si>
    <t>Значок смелости</t>
  </si>
  <si>
    <t>Боевой дух героя +1.</t>
  </si>
  <si>
    <t>Удача героя +1.</t>
  </si>
  <si>
    <t>Боевой дух и удача героя +1.</t>
  </si>
  <si>
    <t>Боевой дух и удача героя +3.</t>
  </si>
  <si>
    <t>Нейтрализует удачу всех существ на поле боя.</t>
  </si>
  <si>
    <t>Нейтрализует положительный боевой дух всех существ на поле боя.</t>
  </si>
  <si>
    <t>Боевой дух героя +1. Защита от Слепоты, Берсерка, Бешенства, Гипноза, Радости, Забывчивости и Печали.</t>
  </si>
  <si>
    <t>Доступна для строительства в любом городе. При "ночёвке" героя в городе, его запас маны восполняется до максимума.</t>
  </si>
  <si>
    <t>Факторы, увеличивающие прирост существ в городе.</t>
  </si>
  <si>
    <t>Фактор</t>
  </si>
  <si>
    <t>Наличие Цитадели в городе</t>
  </si>
  <si>
    <t>Наличие Замка в городе</t>
  </si>
  <si>
    <t>Построенные жилища существ</t>
  </si>
  <si>
    <t>Особые строения</t>
  </si>
  <si>
    <t>Внешние жилища существ</t>
  </si>
  <si>
    <t>Артефакты у находящегося в городе героя, увеличивающие прирост</t>
  </si>
  <si>
    <t>Статуя легиона у любого героя</t>
  </si>
  <si>
    <t>Построенный Храм Грааля</t>
  </si>
  <si>
    <t>Повышает прирост всех существ в городе на 50% от базового. Округление вниз.</t>
  </si>
  <si>
    <t>Позволяют нанимать существ и подготавливают базовый их прирост в неделю.</t>
  </si>
  <si>
    <t>Дополнительно повышают прирост определённых существ на 2…10 единиц. Каждый тип города имеет свои особые строения для повышения прироста тех или иных существ.</t>
  </si>
  <si>
    <t>Повышают во всех городах прирост существ того же типа на 1.</t>
  </si>
  <si>
    <t>Баз - базовый прирост существ при строительстве их жилища;</t>
  </si>
  <si>
    <t>В - дополнительный прирост от внешних жилищ существ, находящихся под контролем игрока;</t>
  </si>
  <si>
    <t>Пример:</t>
  </si>
  <si>
    <t>Баз = 20</t>
  </si>
  <si>
    <t>Если мы берем под контроль 4 внешних жилища существ (Волшебный фонарь):</t>
  </si>
  <si>
    <t>В = 4</t>
  </si>
  <si>
    <t>Статуя легиона повышает прирост всех существ на 50%, с учётом базового прироста и дополнительного прироста от наличия Цитадели или Замка, во всех городах игрока. Округление вниз. Герой с артефактом не обязан быть в городе на конец седьмого дня недели. Однако находясь в городе прирост будет повышен, благодаря действию составляющих Статуи легиона.</t>
  </si>
  <si>
    <t>Храм Грааля повышает текущий прирост всех существ, с учётом всех дополнительных приростов, на 50% в городе, где он установлен. Каждый тип города имеет свой Храм Грааля, который помимо повышения прироста приносит 5000 золота в день и даёт уникальные бонусы.</t>
  </si>
  <si>
    <t>Артефакты, их виды и свойства.</t>
  </si>
  <si>
    <t>Специальные</t>
  </si>
  <si>
    <t>Не имеют класса, не могут попадаться в объектах на карте приключений.</t>
  </si>
  <si>
    <t>Сокровища</t>
  </si>
  <si>
    <t>Второстепенные</t>
  </si>
  <si>
    <t>Реликты</t>
  </si>
  <si>
    <t>Сборные</t>
  </si>
  <si>
    <t>Наименее ценные и наиболее частые артефакты.</t>
  </si>
  <si>
    <t>Более ценные и редкие артефакты.</t>
  </si>
  <si>
    <t>Очень ценные и редкие артефакты.</t>
  </si>
  <si>
    <t>Самые ценные и редкие артефакты.</t>
  </si>
  <si>
    <t>Комбо-артефакты состоящие из нескольких более простых.</t>
  </si>
  <si>
    <t>Цена*</t>
  </si>
  <si>
    <t>Слот**</t>
  </si>
  <si>
    <t>Класс***</t>
  </si>
  <si>
    <t>Свойства****</t>
  </si>
  <si>
    <t>Книга магии</t>
  </si>
  <si>
    <t>Специальный</t>
  </si>
  <si>
    <t>Герой получает возможность изучать заклинания.</t>
  </si>
  <si>
    <t>Свиток с заклинанием</t>
  </si>
  <si>
    <t>Содержит случайное заклинание. Добавляет это заклинание в Книгу магии героя.</t>
  </si>
  <si>
    <t>Рюкзак</t>
  </si>
  <si>
    <t>Позволяет построить в городе, в котором находится героя, Храм Грааля. Исчезает после строительства.</t>
  </si>
  <si>
    <t>Боевая машина 1</t>
  </si>
  <si>
    <t>Имеется у любого героя. Помогает разрушать городские укрепления при осаде города.</t>
  </si>
  <si>
    <t>Боевая машина 2</t>
  </si>
  <si>
    <t>Атакует вражеские существа на расстоянии. Не используется при обороне города и захвате сокровищниц.</t>
  </si>
  <si>
    <t>Боевая машина 3</t>
  </si>
  <si>
    <t>Присутствует на поле боя. Даёт всем дружественным стрелкам бесконечный запас выстрелов.</t>
  </si>
  <si>
    <t>Боевая машина 4</t>
  </si>
  <si>
    <t>Присутствует на поле боя. В конце каждого раунда лечит дружественное существо и снимает с него отрицательные заклинания.</t>
  </si>
  <si>
    <t>Оружие</t>
  </si>
  <si>
    <t>Секира кентавра</t>
  </si>
  <si>
    <t>Правая рука</t>
  </si>
  <si>
    <t>Атака героя +2.</t>
  </si>
  <si>
    <t>Блэкшард мёртвого рыцаря</t>
  </si>
  <si>
    <t>Атака героя +3.</t>
  </si>
  <si>
    <t>Атака героя +4.</t>
  </si>
  <si>
    <t>Атака героя +5.</t>
  </si>
  <si>
    <t>Адский меч</t>
  </si>
  <si>
    <t>Атака героя +6.</t>
  </si>
  <si>
    <t>Атака героя +12, Защита героя -3.</t>
  </si>
  <si>
    <t>Щит гномьих богов</t>
  </si>
  <si>
    <t>Левая рука</t>
  </si>
  <si>
    <t>Защита героя +2.</t>
  </si>
  <si>
    <t>Защита героя +3.</t>
  </si>
  <si>
    <t>Великий щит гнолла</t>
  </si>
  <si>
    <t>Защита героя +4.</t>
  </si>
  <si>
    <t>Защита героя +5.</t>
  </si>
  <si>
    <t>Защита героя +6.</t>
  </si>
  <si>
    <t>Головные уборы</t>
  </si>
  <si>
    <t>Голова</t>
  </si>
  <si>
    <t>Знание героя +1.</t>
  </si>
  <si>
    <t>Знание героя +2.</t>
  </si>
  <si>
    <t>Знание героя +3.</t>
  </si>
  <si>
    <t>Знание героя +4.</t>
  </si>
  <si>
    <t>Знание героя +5.</t>
  </si>
  <si>
    <t>Знание героя +10, Сила магии героя -2.</t>
  </si>
  <si>
    <t>Доспех из окаменелого дерева</t>
  </si>
  <si>
    <t>Туловище</t>
  </si>
  <si>
    <t>Сила магии героя +1.</t>
  </si>
  <si>
    <t>Доспехи из рёбер</t>
  </si>
  <si>
    <t>Сила магии героя +2.</t>
  </si>
  <si>
    <t>Кольчуга великого василиска</t>
  </si>
  <si>
    <t>Сила магии героя +3.</t>
  </si>
  <si>
    <t>Сила магии героя +4.</t>
  </si>
  <si>
    <t>Доспехи из серного камня</t>
  </si>
  <si>
    <t>Сила магии героя +5.</t>
  </si>
  <si>
    <t>Латы титана</t>
  </si>
  <si>
    <t>Сила магии героя +10, Знание героя -2.</t>
  </si>
  <si>
    <t>Артефакты из набора "Альянс ангелов", повышающие все первичные навыки героя</t>
  </si>
  <si>
    <t>Атака, Защита, Сила магии и Знание героя +1.</t>
  </si>
  <si>
    <t>Сандали святого</t>
  </si>
  <si>
    <t>Ноги</t>
  </si>
  <si>
    <t>Атака, Защита, Сила магии и Знание героя +2.</t>
  </si>
  <si>
    <t>Шея</t>
  </si>
  <si>
    <t>Атака, Защита, Сила магии и Знание героя +3.</t>
  </si>
  <si>
    <t>Атака, Защита, Сила магии и Знание героя +4.</t>
  </si>
  <si>
    <t>Атака, Защита, Сила магии и Знание героя +5.</t>
  </si>
  <si>
    <t>Шлем небесного просвещения</t>
  </si>
  <si>
    <t>Атака, Защита, Сила магии и Знание героя +6.</t>
  </si>
  <si>
    <t>Кольцо</t>
  </si>
  <si>
    <t>Атака и Защита героя +1.</t>
  </si>
  <si>
    <t>Языки пламени красного дракона</t>
  </si>
  <si>
    <t>Атака и Защита героя +2.</t>
  </si>
  <si>
    <t>Атака и Защита героя +3.</t>
  </si>
  <si>
    <t>Атака и Защита героя +4.</t>
  </si>
  <si>
    <t>Наколенники из драконьей кости</t>
  </si>
  <si>
    <t>Сила магии и Знание героя +1.</t>
  </si>
  <si>
    <t>Плащ из драконьих крыльев</t>
  </si>
  <si>
    <t>Плащ</t>
  </si>
  <si>
    <t>Сила магии и Знание героя +2.</t>
  </si>
  <si>
    <t>Сила магии и Знание героя +3.</t>
  </si>
  <si>
    <t>Корона из зубов дракона</t>
  </si>
  <si>
    <t>Сила магии и Знание героя +4.</t>
  </si>
  <si>
    <t>Удача и боевой дух героя +1.</t>
  </si>
  <si>
    <t>Артефакты из набора "Мощь отца драконов", повышающие две характеристики героя</t>
  </si>
  <si>
    <t>Артефакты удачи и боевого духа</t>
  </si>
  <si>
    <t>Удача и боевой дух героя +3.</t>
  </si>
  <si>
    <t>Усиливает навык Чародейства, если он есть у героя, на 5%.</t>
  </si>
  <si>
    <t>Мантия вампира</t>
  </si>
  <si>
    <t>Усиливает навык Чародейства, если он есть у героя, на 10%.</t>
  </si>
  <si>
    <t>Усиливает навык Чародейства, если он есть у героя, на 15%.</t>
  </si>
  <si>
    <t>Колье отрицания</t>
  </si>
  <si>
    <t>Существа в армии героя получают 5% шанс блокировать заклинание, являясь его целью.</t>
  </si>
  <si>
    <t>Существа в армии героя получают 10% шанс блокировать заклинание, являясь его целью.</t>
  </si>
  <si>
    <t>Существа в армии героя получают 15% шанс блокировать заклинание, являясь его целью.</t>
  </si>
  <si>
    <t>Лук из вишнёвого дерева эльфов</t>
  </si>
  <si>
    <t>Усиливает навык Стрельбы, если он есть у героя, на 5%.</t>
  </si>
  <si>
    <t>Тетива из волоса гривы единорога</t>
  </si>
  <si>
    <t>Усиливает навык Стрельбы, если он есть у героя, на 10%.</t>
  </si>
  <si>
    <t>Усиливает навык Стрельбы, если он есть у героя, на 15%.</t>
  </si>
  <si>
    <t>Усиливает навык Зоркости, если он есть у героя, на 5%.</t>
  </si>
  <si>
    <t>Усиливает навык Зоркости, если он есть у героя, на 10%.</t>
  </si>
  <si>
    <t>Усиливает навык Зоркости, если он есть у героя, на 15%.</t>
  </si>
  <si>
    <t>Стоимость откупа при побеге с поля боя             -10%.</t>
  </si>
  <si>
    <t>Дополнительно восстанавливает по 1 мане в день.</t>
  </si>
  <si>
    <t>Дополнительно восстанавливает по 2 маны в день.</t>
  </si>
  <si>
    <t>Дополнительно восстанавливает по 3 маны в день.</t>
  </si>
  <si>
    <t>Магическая накидка</t>
  </si>
  <si>
    <t>Артефакты, улучшающие навыки героя</t>
  </si>
  <si>
    <t>Артефакты, влияющие на скорость существ или запас хода героя</t>
  </si>
  <si>
    <t>Скорость всех существ в армии героя +1.</t>
  </si>
  <si>
    <t>Скорость всех существ в армии героя +2.</t>
  </si>
  <si>
    <t>Увеличивает запас хода героя на суше на 300 МР.</t>
  </si>
  <si>
    <t>Увеличивает запас хода героя на суше на 600 МР.</t>
  </si>
  <si>
    <t>Увеличивает запас хода героя по воде на 1000 МР.</t>
  </si>
  <si>
    <t>Увеличивает запас хода героя по воде на 500 МР. Обучает героя заклинаниям Вызов корабля и Затопить корабль. Защищает существ героя от потерь в Водовороте.</t>
  </si>
  <si>
    <t>Прочие объекты на карте приключений.</t>
  </si>
  <si>
    <t>Крылья ангела</t>
  </si>
  <si>
    <t>Герой постоянно находится под действием заклинания Полёт Экспертного уровня, что позволяет ему перемещаться через препятствия и воду, но не останавливаться на них.</t>
  </si>
  <si>
    <t>Герой постоянно находится под действием заклинания Хождение по воде Экспертного уровня, что позволяет ему перемещаться через воду, но не останавливаться на ней.</t>
  </si>
  <si>
    <t>Артефакты, связанные с магией героя</t>
  </si>
  <si>
    <t>Сфера небесного свода</t>
  </si>
  <si>
    <t>Увеличивает урон от заклинаний воздуха на 50%.</t>
  </si>
  <si>
    <t>Увеличивает урон от заклинаний земли на 50%.</t>
  </si>
  <si>
    <t>Сфера бушующего огня</t>
  </si>
  <si>
    <t>Увеличивает урон от заклинаний огня на 50%.</t>
  </si>
  <si>
    <t>Увеличивает урон от заклинаний воды на 50%.</t>
  </si>
  <si>
    <t>Книга магии огня</t>
  </si>
  <si>
    <t>Обучает героя всем заклинаниям огня.</t>
  </si>
  <si>
    <t>Книга магии воздуха</t>
  </si>
  <si>
    <t>Обучает героя всем заклинаниям воздуха.</t>
  </si>
  <si>
    <t>Книга магии воды</t>
  </si>
  <si>
    <t>Обучает героя всем заклинаниям воды.</t>
  </si>
  <si>
    <t>Книга магии земли</t>
  </si>
  <si>
    <t>Обучает героя всем заклинаниям земли.</t>
  </si>
  <si>
    <t>Шар постоянства</t>
  </si>
  <si>
    <t>Защищает существ героя от Снятия заклинаний.</t>
  </si>
  <si>
    <t>Медаль уязвимости</t>
  </si>
  <si>
    <t>Обучает героя всем заклинания 5 уровня, даже если у него не хватает уровня Мудрости.</t>
  </si>
  <si>
    <t>Запрещает использовать в бою любые заклинания и большинство магических способностей.</t>
  </si>
  <si>
    <t>Артефакты из набора "Эликсир жизни", повышающие здоровье существ</t>
  </si>
  <si>
    <t>Увеличивает максимальное здоровье всех существ героя на 1.</t>
  </si>
  <si>
    <t>Кольцо жизненной силы</t>
  </si>
  <si>
    <t>Увеличивает максимальное здоровье всех существ героя на 2.</t>
  </si>
  <si>
    <t>Артефакты-амулеты, дающие защиту от заклинаний</t>
  </si>
  <si>
    <t>Амулет хладнокровия</t>
  </si>
  <si>
    <t>Защищает существ героя от заклинания Берсерк.</t>
  </si>
  <si>
    <t>Амулет ясновидения</t>
  </si>
  <si>
    <t>Священный амулет</t>
  </si>
  <si>
    <t>Защищает существ героя от заклинания Волна смерти.</t>
  </si>
  <si>
    <t>Защищает существ героя от заклинания Уничтожение мертвецов.</t>
  </si>
  <si>
    <t>Защищает существ героя от заклинания Гипноз.</t>
  </si>
  <si>
    <t>Амулет отрицательности</t>
  </si>
  <si>
    <t>Амулет абсолютной памяти</t>
  </si>
  <si>
    <t>Защищает существ героя от заклинания Забывчивость.</t>
  </si>
  <si>
    <t>Артефакты, увеличивающие доход ресурсов</t>
  </si>
  <si>
    <t>Приносит по 1 кристаллу в день.</t>
  </si>
  <si>
    <t>Приносит по 1 самоцвету в день.</t>
  </si>
  <si>
    <t>Приносит по 1 ртути в день.</t>
  </si>
  <si>
    <t>Приносит по 1 сере в день.</t>
  </si>
  <si>
    <t>Приносит по 1 руде в день.</t>
  </si>
  <si>
    <t>Неистощимая подвода леса.</t>
  </si>
  <si>
    <t>Приносит по 1 древесине в день.</t>
  </si>
  <si>
    <t>Неистощимый мешок золота</t>
  </si>
  <si>
    <t>Приносит по 1000 золота в день.</t>
  </si>
  <si>
    <t>Неистощимая сума золота</t>
  </si>
  <si>
    <t>Приносит по 750 золота в день.</t>
  </si>
  <si>
    <t>Неистощимая сумка золота</t>
  </si>
  <si>
    <t>Приносит по 500 золота в день.</t>
  </si>
  <si>
    <t>Артефакты из набора "Статуя легиона", увеличивающие прирост существ</t>
  </si>
  <si>
    <t>Ноги легиона</t>
  </si>
  <si>
    <t>Если артефакт находится в городе, то прирост существ 2 уровня увеличивается на 5.</t>
  </si>
  <si>
    <t>Поясница легиона</t>
  </si>
  <si>
    <t>Если артефакт находится в городе, то прирост существ 3 уровня увеличивается на 4.</t>
  </si>
  <si>
    <t>Туловище легиона</t>
  </si>
  <si>
    <t>Если артефакт находится в городе, то прирост существ 4 уровня увеличивается на 3.</t>
  </si>
  <si>
    <t>Руки легиона</t>
  </si>
  <si>
    <t>Если артефакт находится в городе, то прирост существ 5 уровня увеличивается на 2.</t>
  </si>
  <si>
    <t>Голова легиона</t>
  </si>
  <si>
    <t>Если артефакт находится в городе, то прирост существ 6 уровня увеличивается на 1.</t>
  </si>
  <si>
    <t>Прочие артефакты</t>
  </si>
  <si>
    <t>Стрелки в армии героя не имеют штрафа за расстояние и при стрельбе через стены.</t>
  </si>
  <si>
    <t>Запрещает обоим героям откупаться или сбегать с поля боя.</t>
  </si>
  <si>
    <t>Пузырёк с кровью дракона</t>
  </si>
  <si>
    <t>Все драконы в армии героя получают +5 к атаке и защите.</t>
  </si>
  <si>
    <t>Атака, Защита и Сила магии героя +3. Знание героя +6. Обучает героя заклинанию Армагеддон Экспертного уровня. Защищает существ героя от заклинания Армагеддон.</t>
  </si>
  <si>
    <t>Сборные артефакты</t>
  </si>
  <si>
    <t>Сборный</t>
  </si>
  <si>
    <t>Завязший в нейтральности</t>
  </si>
  <si>
    <r>
      <t xml:space="preserve">**** В колонке </t>
    </r>
    <r>
      <rPr>
        <b/>
        <sz val="10"/>
        <rFont val="Arial"/>
        <family val="2"/>
        <charset val="204"/>
      </rPr>
      <t>Свойства</t>
    </r>
    <r>
      <rPr>
        <sz val="10"/>
        <rFont val="Arial"/>
        <family val="2"/>
        <charset val="204"/>
      </rPr>
      <t xml:space="preserve"> указано воздействие, которое артефакт оказывает на героя будучи надетым на его "куклу". Находясь в рюкзаке артефакты не работают.</t>
    </r>
  </si>
  <si>
    <t>Анимация артефакта</t>
  </si>
  <si>
    <t>Артефакт, который получит герой на самом деле</t>
  </si>
  <si>
    <t>Составляющие артефакта и Сборный артефакт</t>
  </si>
  <si>
    <t>Одновременное использование Сборных артефактов</t>
  </si>
  <si>
    <t>[№2 или №4 + №3 или №9] или №10</t>
  </si>
  <si>
    <t>[№2 или №4 + №3] или [№10 + №7 или №8]</t>
  </si>
  <si>
    <t>№2 или №4 или №10 + №7 или №8</t>
  </si>
  <si>
    <t>[№2 или №4 + (№3 + №5) или №6 или №9] или [№6 + №10]</t>
  </si>
  <si>
    <t>№2 или №3 или №4 или №10</t>
  </si>
  <si>
    <t>№2 или №4 или №10</t>
  </si>
  <si>
    <t>№2 или №4 + [№5 + №7 или №8] или №1 или №11</t>
  </si>
  <si>
    <t>№2 или №4 + №1 или №7 или №8 или №11</t>
  </si>
  <si>
    <t>[№1 + №9] или №12 или [№3 + №1 или №5 или №11] или [№3 или №5 или №6 + №7 или №8]</t>
  </si>
  <si>
    <t>[№1 + №9] или №12 или [№3 + №1 или №5 или № 11] или [№3 или №5 или №6 +  №7 или №8]</t>
  </si>
  <si>
    <t>[№1 или №11 или №12] или [№5 или №6 + №7 или №8]</t>
  </si>
  <si>
    <t>Истории при поднятии артефактов.</t>
  </si>
  <si>
    <t>В отличие от городской, Гильдия воров на карте приключений открывает всю информацию о противниках:</t>
  </si>
  <si>
    <t>-Место в рейтинге по количеству городов;</t>
  </si>
  <si>
    <t>-Место в рейтинге по количеству героев;</t>
  </si>
  <si>
    <t>-Место в рейтинге по текущему количеству золота;</t>
  </si>
  <si>
    <t>-Место в рейтинге по текущему количеству древесины и руды;</t>
  </si>
  <si>
    <t>-Место в рейтинге по текущему количеству серы, ртути, кристаллов и самоцветов;</t>
  </si>
  <si>
    <t>-Место в рейтинге по количеству найденных обелисков;</t>
  </si>
  <si>
    <t>-Место в рейтинге по количеству артефактов;</t>
  </si>
  <si>
    <t>-Место в рейтинге по суммарной мощи армии королевства;</t>
  </si>
  <si>
    <t>-Место в рейтинге по ежедневному доходу;</t>
  </si>
  <si>
    <t>-Показывается лучший герой и его первичные навыки;</t>
  </si>
  <si>
    <t>.</t>
  </si>
  <si>
    <t>-Получить определённый уровень героя. Требуемый уровень может быть установлен от 1 до 99;</t>
  </si>
  <si>
    <t>-Развить первичный параметр. Страж может требовать развития одного или нескольких первичных параметров героя до определённых значений от 1 до 99;</t>
  </si>
  <si>
    <t>-Разгромить героя. При этом указывается его имя и класс;</t>
  </si>
  <si>
    <t>-Уничтожить монстра. При этом указывается отряд нейтральных существ на карте приключений;</t>
  </si>
  <si>
    <t>-Принести артефакт (один или несколько);</t>
  </si>
  <si>
    <t>-Принести существ (одного или нескольких типов в определённом количестве);</t>
  </si>
  <si>
    <t>-Принести ресурсы (одного типа или нескольких в определённом количестве);</t>
  </si>
  <si>
    <t>-Быть героем (определённым);</t>
  </si>
  <si>
    <t>-Принадлежать флагу (один или несколько цветов).</t>
  </si>
  <si>
    <t>-Опыт (от 1 до 32767 единиц);</t>
  </si>
  <si>
    <t>-Мана (возможно сверх максимума, от 1 до 999 единиц);</t>
  </si>
  <si>
    <t>-Боевой дух (от +1 до +3);</t>
  </si>
  <si>
    <t>-Удача (от +1 до +3);</t>
  </si>
  <si>
    <t>-Ресурс (только один тип, в отличие от заданий);</t>
  </si>
  <si>
    <t>-Первичный параметр (только один тип, в отличие от заданий);</t>
  </si>
  <si>
    <t>-Вторичный навык (один, но любого уровня);</t>
  </si>
  <si>
    <t>-Артефакт (только класса Сокровище, Второстепенный, Основной или Реликт);</t>
  </si>
  <si>
    <t>-Заклинание (любое, кроме Грома титана);</t>
  </si>
  <si>
    <t>-Существо (любое и в любом количестве).</t>
  </si>
  <si>
    <t>В этом разделе приведены тексты историй, которые появляются, когда герой подбирает отдельно лежащий на карте артефакт.</t>
  </si>
  <si>
    <t>История</t>
  </si>
  <si>
    <t>Вы находите тяжелую секиру, погруженную в землю по самую рукоять. После некоторых безуспешных попыток ваших воинов вы беретесь за рукоять и с легкостью вытаскиваете ее из земли.</t>
  </si>
  <si>
    <t xml:space="preserve">Вдова бывшего капитана гвардейцев вручает вам меч своего погибшего мужа, чтобы помочь вам разгромить противника.  </t>
  </si>
  <si>
    <t xml:space="preserve">Неуклюжий гнолл зашиб себя собственным кистенем. Зная, что вы более опытны в обращении с этим оружием, вы незаметно берете этот прекрасный кистень из рук погибшего. </t>
  </si>
  <si>
    <t xml:space="preserve">В придорожной таверне к вам начинает приставать пьяный огр. Не желая причинить ему вреда, вы связываете его и забираете его огромную дубину, чтобы он не беспокоил окружающих. </t>
  </si>
  <si>
    <t>Неожиданно начинается буря, молния бьет в дерево и раскалывает его на куски. Внутри дерева вы обнаруживаете таинственный меч.</t>
  </si>
  <si>
    <t xml:space="preserve">Во время исследования одной из горных шахт вы находите и освобождаете группу гномов, попавших в ловушку. В знак благодарности предводитель гномов дарит вам отлично сработанный щит. </t>
  </si>
  <si>
    <t xml:space="preserve">Ваши солдаты находят мрачную усыпальницу, посвященную культу Смерти. Вы освящаете усыпальницу, из-за чего изображение щита над алтарем трескается. За ним вы находите настоящий щит, который вы решаете забрать из этого дьявольского места. </t>
  </si>
  <si>
    <t>Каменная статуя изображает воина, держащего щит. Когда вы берете щит статуя разваливается на куски.</t>
  </si>
  <si>
    <t>Вы переходите по мосту глубокий овраг. Неожиданно, на другой стороне моста появляется огромный, взбешенный огр, которого вам приходится убить. В качестве трофея вы берете его щит.</t>
  </si>
  <si>
    <t>Забравшись на вершину небольшого холма вы обнаруживаете забавную картину. Маленькая фея пытается нести щит, размером с нее саму. Сдерживая смех, вы спрашиваете: "Вам помочь?". Фея бросает взгляд в вашу сторону и отвечает: "Ты думаешь это смешно?"</t>
  </si>
  <si>
    <t>Вы находите большой ящик, который кажется сделанным из какого-то странного метала. Когда вы коснулись его, ящик открылся. Внутри вы находите блестящий щит.</t>
  </si>
  <si>
    <t>Путешествующий кузнец предлагает вам шлем с рогом единорога в обмен на провизию и воду, которых у него совсем не осталось. Вы соглашаетесь и позже узнаете, что шлем наделен магической силой.</t>
  </si>
  <si>
    <t>Во время вашей короткой остановки на постоялом дворе вы начинаете обмениваться рассказами и, случайно, вещами. Вскоре вы обнаруживаете, что среди них есть и волшебные.</t>
  </si>
  <si>
    <t>На вашу армию напало небольшое племя диких (и не особо умных) орков. Вы легко разделываетесь с ними и оставшиеся в живых враги разбегаются. Среди трофеев вы находите шлем с рогом и берете его с собой в качестве сувенира.</t>
  </si>
  <si>
    <t>Сумасшедший волшебник, терроризировавший всю округу, сегодня решил напасть на вас. Поняв, что вся его сила исходит от короны у него на голове, вы сбиваете ее стрелой из лука и тем самым снимаете с него проклятье. В благодарность он позволяет вам оставить эту корону себе.</t>
  </si>
  <si>
    <t>Ваше внимание привлекает какой-то отблеск. Вы исследуете местность и под одним из кустов находите золотой шлем.</t>
  </si>
  <si>
    <t>Вы застаете циклопа, купающегося голышом и, шутки ради, забираете его тунику. Позже вы узнаете, что она волшебная.</t>
  </si>
  <si>
    <t xml:space="preserve">Вы встречаете кузнеца, который плавит остатки старых доспехов и оружия, чтобы получить железо для новых изделий. Он узнает о вашем походе и отдает вам нагрудник, который не плавился, и, следовательно, не был ему нужен. </t>
  </si>
  <si>
    <t>Шайка бродяг роется в вещах погибших воинов. После того, как вы спугнули их вы обнаруживаете, что они не заметили грязные, но надежные доспехи на одном из погибших.</t>
  </si>
  <si>
    <t>Вы помогаете торговцу-кочевнику избавиться от нападок гоблинов. В знак благодарности он дарит вам пару искусно сделанных сандалий из очень мягкой кожи. При более близком рассмотрении вы обнаруживаете, что на них нанесены древние руны.</t>
  </si>
  <si>
    <t>Вы спасаете волшебницу из заколдованной могилы, за что она награждает вас изысканным ожерельем с бриллиантами.</t>
  </si>
  <si>
    <t>Вы становитесь свидетелем схватки паладина и некроманта. Последний почти одолел паладина, но вы вмешались и поразили служителя зла. В знак благодарности паладин дарует вам щит, спасший его.</t>
  </si>
  <si>
    <t>Вы оказываетесь на поле боя, на котором смертельно раненый паладин отбивается от нескольких зомби. Умирая он отдает вам свой меч с просьбой закончить его дело. Когда вы берете меч он начинает гудеть, а ваш взор затмевает пелена. Придя в себя вы обнаруживаете, что меч в крови, а все зомби мертвы. Вы кладете меч в ножны.</t>
  </si>
  <si>
    <t>Вы замечаете какой-то светящийся предмет, выступающий из земли. Вы посылаете одного из ваших солдат осмотреть это место. Вскоре он возвращается с золотым шлемом в руках. Вы догадываетесь, что это золотой Шлем Божественного Просвещения.</t>
  </si>
  <si>
    <t>В одной из ветхих избушек вы обнаруживаете скелет давно умершей ведьмы. При более детальном рассмотрении вы обнаруживаете кольцо с глазом дракона.</t>
  </si>
  <si>
    <t>В одном из узких лестных проходов неожиданно вспыхивает куст. Прямо на ваших глазах пламя принимает форму прекрасной женщины. Она вручает вам великолепный меч.</t>
  </si>
  <si>
    <t>Вы встречаете старого оружейника, который утверждает, что должен вам за что-то отплатить. Вы соглашаетесь и он, соединив вместе несколько чешуек дракона, отдает вам отличный щит.</t>
  </si>
  <si>
    <t>Вы встречаете старого оружейника, который утверждает, что должен вам за что-то отплатить. Вы соглашаетесь и он, соединив вместе несколько чешуек дракона, отдает вам отличные доспехи.</t>
  </si>
  <si>
    <t>Вы натыкаетесь на кости какого-то крупного животного, скорее всего - дракона. При более близком рассмотрении вы обнаруживаете, что это не просто кости, а наголенники.</t>
  </si>
  <si>
    <t>За освобождение окрестностей от злобного дракона, который развлекался пожирая рыцарей, вас награждают плащом из крыльев дракона.</t>
  </si>
  <si>
    <t>Вы встречаете старого шамана, который стоит на дороге и что-то кричит вам на непонятном языке. Неожиданно он исчезает в клубе дыма. Вы подходите ближе и обнаруживаете ожерелье из клыков дракона на месте, где он стоял.</t>
  </si>
  <si>
    <t>Во время охоты вы находите корону, каким-то образом висящую в воздухе. Подойдя ближе вы замечаете надпись: "Разум есть сила, а магия - власть. Слушай меня - я не дам тебе пасть".</t>
  </si>
  <si>
    <t>Проходя по высохшему полю вы с удивлением обнаруживаете четырехлистный клевер, которого совсем не затронула засуха.</t>
  </si>
  <si>
    <t>Вы встречаете путешественника, который предлагает вам выбрать любую из странных карт, колоду которых он несет с собой. Когда вы отказываетесь он сам вытаскивает карту. Он смотрит на карту, затем с удивлением на вас и, бросив карты, исчезает. Вы собираете их.</t>
  </si>
  <si>
    <t>Старая ведьма, которая по всей видимости ожидала вашего появления, отдает вам маленькую статуэтку и уходит, не сказав ни слова.</t>
  </si>
  <si>
    <t>Вы спасаете маленького мальчика от стаи злобных волков и возвращаете его в поместье родителей. Благодарный отец награждает вас медалью - За Отвагу.</t>
  </si>
  <si>
    <t>Вы спасаете принцессу близлежащего королевства от работорговцев, за что она награждает вас Гербом Доблести.</t>
  </si>
  <si>
    <t>За освобождение окрестностей от злостного минотавра, который развлекался пожирая рыцарей, вас награждают Знаком Отваги.</t>
  </si>
  <si>
    <t>Торговец из далеких стран продает вам новое изобретение своего народа, помогающее при путешествиях. Оно позволяет зрительно приближать удаленные объекты. Он называет его... Зеркало.</t>
  </si>
  <si>
    <t>Старик-изобретатель предлагает вам опробовать его последнюю разработку. Он называет его... Подзорная Труба.</t>
  </si>
  <si>
    <t>Неподалеку от только что вырытой могилы вы находите грязный амулет. При более близком рассмотрении вы обнаруживаете, что это магический Амулет Гробовщика, который давно был утерян.</t>
  </si>
  <si>
    <t>Вы обнаружили дневное убежище вампира и с легкостью разделались с ним. Чтобы не быть голословным в своих рассказах вы берете его сутану.</t>
  </si>
  <si>
    <t>Вы находите пару изящно украшенных сапог. Помянув добрым словом неизвестного покровителя, вы забираете сапоги с собой.</t>
  </si>
  <si>
    <t>Случайная встреча с известным лучником заканчивается состязанием по борьбе на пальцах. На кон ставятся ваша лошадь и его лук. Вы побеждаете.</t>
  </si>
  <si>
    <t>Вы находите единорога, попавшего в западню. Пытаясь успокоить испуганное животное вы освобождаете его и оно мгновенно скрывается из виду. Вы замечаете, что на месте Единорога осталась отличная тетива для лука.</t>
  </si>
  <si>
    <t>Не мучаясь угрызениями совести по поводу судьбы ангела, чьи перья использованы для изготовления этих стрел, вы берете их с собой и быстро покидаете это место.</t>
  </si>
  <si>
    <t>Старая ведьма, которая по всей видимости ожидала вашего появления, отдает вам маленький талисман и уходит, не сказав ни слова.</t>
  </si>
  <si>
    <t>Вы помогаете послу разобраться с поломкой его повозки. В знак благодарности он дарит вам медаль, обладающую магическими свойствами. При этом он говорит: "Она позволит вам доказать другим вашу точку зрения".</t>
  </si>
  <si>
    <t>Вы помогаете послу разобраться с поломкой его повозки. В знак благодарности он дарит вам кольцо, обладающее магическими свойствами. При этом он говорит: "Оно позволит вам доказать другим вашу точку зрения".</t>
  </si>
  <si>
    <t>Вы помогаете послу разобраться с поломкой его повозки. В знак благодарности он дарит вам ленту, обладающую магическими свойствами. При этом он говорит: "Она позволит вам доказать другим вашу точку зрения".</t>
  </si>
  <si>
    <t xml:space="preserve">При встрече с местным мудрецом вы рассказываете ему о цели вашего путешествия. Он открывает свой мешок и достает оттуда странное кольцо, которое затем передает вам. </t>
  </si>
  <si>
    <t>Во время вашей короткой остановки на постоялом дворе вы начинаете обмениваться рассказами и, случайно, вещами. Вскоре вы обнаруживаете, что среди них есть волшебные перчатки.</t>
  </si>
  <si>
    <t>Вы освобождаете старого капитана, которого мучили огры. Он дарит вам ожерелье, которое поможет вам в морских путешествиях.</t>
  </si>
  <si>
    <t>Не мучаясь угрызениями совести по поводу судьбы ангела, крылья которого вы нашли, вы берете их с собой и быстро покидаете это место.</t>
  </si>
  <si>
    <t>Вы встречаете караван цыган, которые устроили пир. Подогретые спиртным, они подзывают вас и говорят: "Если ты сможешь станцевать Рама-Буту, то мы наградим тебя". Этот танец вам неизвестен, но вы все равно пытаетесь что-то изобразить. Все падают со смеха, но за смелость вы получаете странный амулет.</t>
  </si>
  <si>
    <t>Вы встречаете караван цыган, которые устроили пир. Подогретые спиртным, они подзывают вас и говорят: "Если ты сможешь станцевать Рама-Буту, то мы наградим тебя". Этот танец вам неизвестен, но вы все равно пытаетесь что-то изобразить. Все падают со смеха,  но за смелость вы получаете странный талисман.</t>
  </si>
  <si>
    <t>Вы встречаете караван цыган, которые устроили пир. Подогретые спиртным, они подзывают вас и говорят: "Если ты сможешь станцевать Рама-Буту, то мы наградим тебя". Этот танец вам неизвестен, но вы все равно пытаетесь что-то изобразить. Все падают со смеха,  но за смелость вы получаете странную сферу.</t>
  </si>
  <si>
    <t>Вы находите стеклянный ящик, каким-то образом висящий в воздухе. Внутри вы видите золотой воротник. При прикосновении ящик открывается и воротник летит к вам.</t>
  </si>
  <si>
    <t>Вы находите небольшое дерево, которое чем-то похоже на колдуна Бримстона, на одном из ветвей которого вы видите кольцо. Обрывки одежды наводят вас на мысль, что это и есть Бримстон, только заколдованный. Вы берете кольцо с собой.</t>
  </si>
  <si>
    <t>Вы находите стеклянный ящик, каким-то образом висящий в воздухе. Внутри вы видите аккуратно сложенный плащ. При прикосновении ящик открывается и плащ летит к вам.</t>
  </si>
  <si>
    <t>Вы встречаете фокусника, который умоляет вас взять его с собой, чтобы быть в безопасности. Вы соглашаетесь и он отдает вам в качестве оплаты таинственную Сферу Элементов.</t>
  </si>
  <si>
    <t>Вы слышите крики о помощи и вскоре видите как молодая женщина убегает от медведя. Вы мгновенно убиваете зверюгу и благодарная волшебница создает магический плащ из его шкуры.</t>
  </si>
  <si>
    <t>Во время исследования руин древнего города с крепостными стенами вы находите оружие, уничтожившее его - Дух Уныния.</t>
  </si>
  <si>
    <t>За очередным поворотом дороги вы натыкаетесь на страшную картину - поле боя с останками воинов, пожираемых хищниками. Вы осматриваете вещи погибших и находите песочные часы.</t>
  </si>
  <si>
    <t>Вы встречаете фокусника, который умоляет вас взять его с собой, чтобы быть в безопасности. Вы соглашаетесь и он отдает вам в качестве оплаты копию Книги Элементов.</t>
  </si>
  <si>
    <t>Вы становитесь свидетелем схватки паладина и некроманта. Некромант произнес заклинание огненного заряда, которое повергло паладина на колени. Действуя быстро, вы уничтожили злодея перед финальным ударом. Благодарный паладин дает вам доспех, который спас его.</t>
  </si>
  <si>
    <t>Вы становитесь свидетелем схватки паладина и некроманта. Некромант произнес заклинание огненного заряда, которое повергло паладина на колени. Действуя быстро, вы уничтожили злодея перед финальным ударом. Благодарный паладин дает вам плащ, который спас его.</t>
  </si>
  <si>
    <t>Вы помогаете торговцу-кочевнику избавиться от нападок гоблинов. В знак благодарности он дарит вам пару искусно сделанных сапог из очень мягкой кожи. При более близком рассмотрении вы обнаруживаете, что на них нанесены древние руны.</t>
  </si>
  <si>
    <t>При встрече с местным мудрецом вы рассказываете ему о цели вашего путешествия. Он открывает свой сундук и достает оттуда пару странных ботинок, которые он затем передает вам.</t>
  </si>
  <si>
    <t>Случайная встреча с известным лучником заканчивается состязанием по борьбе на пальцах. На кон ставятся ваша лошадь и его лук. Вы победили.</t>
  </si>
  <si>
    <t>Вы встречаете своего старого друга - волшебника. Он дарит вам подарок: шар, позволяющий защитить ваших людей от воздействия заклинания "Снятие заклинаний".</t>
  </si>
  <si>
    <t>Вы встречаете своего старого друга - волшебника. Он дарит вам подарок: шар, позволяющий воздействовать на создания, которые обычно невосприимчивы к магии.</t>
  </si>
  <si>
    <t>На привале вы замечаете как рысь пытается добраться до гнезда вороны на дереве. Не задумываясь вы сами взбираетесь на дерево и прогоняете хищника. Между тем в самом гнезде вы находите несколько блестящих камешков и кольцо.</t>
  </si>
  <si>
    <t>В гуще деревьев вы находите таинственную усыпальницу. В воздухе над алтарем висит чаша, в которой якобы находится кровь жизни. Вы аккуратно забираете ее, стараясь не привлекать к себе дополнительного внимания.</t>
  </si>
  <si>
    <t>При встрече с местным мудрецом вы рассказываете ему о цели вашего путешествия. Он открывает свой мешок и достает оттуда странное ожерелье, которое затем он передает вам.</t>
  </si>
  <si>
    <t>Во время вашей короткой остановки на постоялом дворе вы начинаете обмениваться рассказами и, случайно, вещами. Вскоре вы обнаруживаете, что в вашем новом мешке находится волшебный плащ.</t>
  </si>
  <si>
    <t>Вы слышите звуки боя и вскоре видите сражающихся - варвара и восьмиглавую гидру. Ваше своевременное вмешательство склоняет чашу весов в пользу человека, за что он награждает вас кулоном, который помогал ему подготовиться к сражению.</t>
  </si>
  <si>
    <t>Вы находите умирающей старую, слепую женщину и помогаете ей спокойно отойти в мир иной, обещая также похоронить ее. В знак благодарности она отдает вам кулон, позволяющий видеть с закрытыми глазами.</t>
  </si>
  <si>
    <t>В своих путешествиях вы находите маленькую избушку отшельника. Пораженный вашей смелостью он благословляет вас и дает вам амулет, защищающий от проклятий.</t>
  </si>
  <si>
    <t>Сильная буря срывает растительность со скрытого входа в гробницу. Вы обнаруживаете, что ее уже разграбили, однако при этом воры не заметили спрятанную золотую цепь.</t>
  </si>
  <si>
    <t>После недолгой, но жестокой битвы с некромантом вы завладеваете его волшебным амулетом. Позже вы узнаете, что он позволяет вам защитить ваших солдат-мертвецов от заклинаний, которые направлены на них.</t>
  </si>
  <si>
    <t>Вы встречаете небольшой караван. Выиграв у одного из торговцев борьбе на пальцах, вы завладеваете его волшебным амулетом. Бывший владелец говорит вам, что он помогает противостоять гипнозу.</t>
  </si>
  <si>
    <t>Вы находите остатки небольшой избушки, которая была явно разрушена ударом молнии. При более близком осмотре вы находите амулет, который слегка дрожит в вашей руке.</t>
  </si>
  <si>
    <t>Неподалеку от остатков сожженной ведьмы вы находите прекрасный амулет. Вы осторожно подбираете его и кладете в свой мешок.</t>
  </si>
  <si>
    <t>Вы слышите крики о помощи и вскоре обнаруживаете водных фей, которые ради развлечения топят человека. В ярости, вы спасаете беднягу и хватаете одну из фей. Оказавшись вне воды фея просит вас отпустить ее и отдает вам волшебный амулет.</t>
  </si>
  <si>
    <t>Укрываясь от дождя в одной из пещер вы находите россыпь кристаллов. При более близком рассмотрении вы обнаруживаете, что это плащ, покрытый кристаллами, которые вновь и вновь появляются на нем, если их оторвать от плаща. Вы берете его с собой.</t>
  </si>
  <si>
    <t>Вы слышите крик о помощи и вскоре обнаруживаете кентавра, попавшего в ловушку. В знак благодарности за освобождение он дарит вам мешочек, в котором вы находите изумительное кольцо с бриллиантами.</t>
  </si>
  <si>
    <t>При кратком осмотре башни волшебника, которую почему-то оставили без присмотра, вы находите колбу со ртутью, в которой всегда остается немного жидкости на дне. Понимая всю ценность этой вещи вы забираете ее с собой.</t>
  </si>
  <si>
    <t>Вы находите гоблинскую кузницу, в которой делают оружие для войны с людьми. Вы нападаете на их лагерь и завладеваете волшебной тачкой, в которой никогда не кончается руда.</t>
  </si>
  <si>
    <t>Вы посещаете алхимика, который узнав о вашем походе, желает примкнуть к вам. Ваш новый подчиненный вручает вам кольцо серы, чтобы помочь вам в войне.</t>
  </si>
  <si>
    <t>Вы остановились на привал и разожгли костер. Подкладывая дрова из оказавшейся поблизости подводы вы обнаруживаете, что они появляются там вновь и вновь. Вы забираете с собой эту полезную магическую вещь.</t>
  </si>
  <si>
    <t>Вы обнаруживаете лепрекона, радостно танцующего вокруг волшебного мешка. Увидев вас ему ничего не остается кроме бегства. Вы забираете мешок.</t>
  </si>
  <si>
    <t>Женщина из знатного рода, отставшая от своих спутников, просит вас помочь ей добраться до дома. В конце вашего путешествия она вручает вам мешок с золотом.</t>
  </si>
  <si>
    <t>Вы находите кожаный кошель, набитый золотом. Позже вы узнаете, что он принадлежал великому королю-воителю, который мог превратить любой предмет в золото.</t>
  </si>
  <si>
    <t>Обыскивая развалины вы с удивлением обнаруживаете часть Статуи Легиона. Вы аккуратно смахиваете с нее пыль перед тем как положить ее в ваш мешок.</t>
  </si>
  <si>
    <t>Старый моряк рассказывает вам о волшебной шляпе, которая заставляла его команду работать сверх своих обычных возможностей. Затем он дает вам потрепанную карту, указывающую ее местоположение. После долгих поисков вы находите ее под ближайшим камнем.</t>
  </si>
  <si>
    <t>Мимо вас проносится волшебник, удирающий от дракона. Волшебник открывает портал между мирами и прыгает в него, теряя при этом свою шляпу. Дракон следует за ним, после чего портал исчезает. Вы подбираете шляпу, смахиваете пыль и одеваете ее.</t>
  </si>
  <si>
    <t>Во время исследования руин древнего города с крепостными стенами вы находите оружие, уничтожившее его - Оковы Войны.</t>
  </si>
  <si>
    <t>Вы помогаете крестьянину поймать убежавшую лошадь. В знак благодарности он дарит вам маленький шар. Как только вы дотрагиваетесь до него вы ощущаете, что ваши магические силы покидают вас…</t>
  </si>
  <si>
    <t>Вы обнаруживаете, что пещера охраняется древним драконом. После лютой битвы вы убиваете его. Предположительно, кровь дракона обладает магическими свойствами, поэтому вы аккуратно собираете кровь в бутылочку.</t>
  </si>
  <si>
    <t>Глубоко под землей вы обнаруживаете убежище Древних. Внутри вы обнаруживаете запечатанную шкатулку с глубоко выгравированными предупреждениями. Не обращая внимание на предупреждения, ломаете печать. В шкатулке вы находите Клинок Армагеддона.</t>
  </si>
  <si>
    <t>Вы наткнулись на Альянс Ангелов, стряхнули с него пыль и положили в свой ранец.</t>
  </si>
  <si>
    <t>Вы наткнулись на Плащ Короля Нежити, стряхнули с него пыль и положили в свой ранец.</t>
  </si>
  <si>
    <t>Вы наткнулись на Эликсир Жизни, стряхнули с него пыль и положили в свой ранец.</t>
  </si>
  <si>
    <t>Вы наткнулись на Доспехи Проклятого, стряхнули с них пыль и положили в свой ранец.</t>
  </si>
  <si>
    <t>Вы наткнулись на Статую Легиона, стряхнули с нее пыль и положили в свой ранец.</t>
  </si>
  <si>
    <t>Вы наткнулись на Силу Отца Драконов, стряхнули с нее пыль и положили в свой ранец.</t>
  </si>
  <si>
    <t>Вы наткнулись на Гром Титана, стряхнули с него пыль и положили в свой ранец.</t>
  </si>
  <si>
    <t>Вы наткнулись на Шляпу Адмирала, стряхнули с нее пыль и положили в свой ранец.</t>
  </si>
  <si>
    <t>Вы наткнулись на Лук Снайпера, стряхнули с него пыль и положили в свой ранец.</t>
  </si>
  <si>
    <t>Вы наткнулись на Колодец Волшебника, стряхнули с него пыль и положили в свой ранец.</t>
  </si>
  <si>
    <t>Вы наткнулись на Кольцо Волшебника, стряхнули с него пыль и положили в свой ранец.</t>
  </si>
  <si>
    <t>Вы наткнулись на Рог Изобилия, стряхнули с него пыль и положили в свой ранец.</t>
  </si>
  <si>
    <t>Вы натыкаетесь на грудную клетку какого-то крупного животного. При более близком рассмотрении вы обнаруживаете, что это не просто кости, а доспехи.</t>
  </si>
  <si>
    <t>Шайка мародеров копается среди останков воина. Разогнав их, вы замечаете, что они обронили странный нагрудник.</t>
  </si>
  <si>
    <t>Стоимость артефактов в игре.</t>
  </si>
  <si>
    <t>Неиссякаемая склянка ртути</t>
  </si>
  <si>
    <t>Великий Гноллий Кистень</t>
  </si>
  <si>
    <t>Амулет свободной воли</t>
  </si>
  <si>
    <t>1 Рынок</t>
  </si>
  <si>
    <t>9 Рынков</t>
  </si>
  <si>
    <r>
      <t>Чёрный рынок</t>
    </r>
    <r>
      <rPr>
        <sz val="10"/>
        <rFont val="Arial"/>
        <family val="2"/>
        <charset val="204"/>
      </rPr>
      <t xml:space="preserve"> (покупка)</t>
    </r>
  </si>
  <si>
    <t>Грааль.</t>
  </si>
  <si>
    <t>После появления этого божества каждая неделя становится Неделей Беса (прирост Бесов и Чертей +15).</t>
  </si>
  <si>
    <t>На 20% улучшает навык Чародейства у всех дружественных героев, обладающих этим навыком.</t>
  </si>
  <si>
    <t>Повышает на 12 баллов Силу магии любого защищающего город героя.</t>
  </si>
  <si>
    <t>Открывает всю карту приключений, а также повышает уровень Знания любого защищающего город героя на 15 баллов.</t>
  </si>
  <si>
    <t>Повышает на 10 баллов Атаку и Защиту любого защищающего город героя.</t>
  </si>
  <si>
    <t>Боевые машины.</t>
  </si>
  <si>
    <t>КАТАПУЛЬТА.</t>
  </si>
  <si>
    <t>Атака - 10</t>
  </si>
  <si>
    <t>Защита - 10</t>
  </si>
  <si>
    <t>Здоровье - 1000</t>
  </si>
  <si>
    <t>Выстрелов - 24</t>
  </si>
  <si>
    <t>Цель</t>
  </si>
  <si>
    <t>Боковая башня</t>
  </si>
  <si>
    <t>Шанс попадания</t>
  </si>
  <si>
    <t>Нанесённый урон</t>
  </si>
  <si>
    <t>Центр.башня</t>
  </si>
  <si>
    <t>Боков.башня</t>
  </si>
  <si>
    <t>Фрагм.стены</t>
  </si>
  <si>
    <t>БАЛЛИСТА.</t>
  </si>
  <si>
    <t>Здоровье - 250</t>
  </si>
  <si>
    <t>ПАЛАТКА ПЕРВОЙ ПОМОЩИ.</t>
  </si>
  <si>
    <t>Здоровье - 75</t>
  </si>
  <si>
    <t>ТЕЛЕЖКА С БОЕПРИПАСАМИ.</t>
  </si>
  <si>
    <t>Цена - 2500</t>
  </si>
  <si>
    <t>Цена - 750</t>
  </si>
  <si>
    <t>Защита - 5</t>
  </si>
  <si>
    <t>Здоровье - 100</t>
  </si>
  <si>
    <t>Цена - 1000</t>
  </si>
  <si>
    <t>Скальная земля</t>
  </si>
  <si>
    <t>Все заклинания героев и магические способности существ используются на уровне Эксперт.</t>
  </si>
  <si>
    <t>Все заклинания героев и магические способности существ, относящиеся к Магии огня, используются на уровне Эксперт.</t>
  </si>
  <si>
    <t>Все заклинания героев и магические способности существ, относящиеся к Магии воды, используются на уровне Эксперт.</t>
  </si>
  <si>
    <t>Все заклинания героев и магические способности существ, относящиеся к Магии воздуха, используются на уровне Эксперт.</t>
  </si>
  <si>
    <t>Все заклинания героев и магические способности существ, относящиеся к Магии земли, используются на уровне Эксперт.</t>
  </si>
  <si>
    <t>Все существа Темницы и Инферно получают +1 к Боевому духу, а все существа Замка, Оплота и Башни получают -1 к Боевому духу.</t>
  </si>
  <si>
    <t>Все существа Замка, Оплота и Башни получают +1 к Боевому духу, а все существа Темницы и Инферно получают -1 к Боевому духу.</t>
  </si>
  <si>
    <t xml:space="preserve">Снижает расход очков движения (МР) героя по воде на 50%. </t>
  </si>
  <si>
    <t>Классы героев</t>
  </si>
  <si>
    <t>Рыцарь, Священник</t>
  </si>
  <si>
    <t>Рэйнджер, Друид</t>
  </si>
  <si>
    <t>Алхимик, Маг</t>
  </si>
  <si>
    <t>Демон, Еретик</t>
  </si>
  <si>
    <t>Рыцарь смерти, Некромант</t>
  </si>
  <si>
    <t>Лорд, Чернокнижник</t>
  </si>
  <si>
    <t>Варвар, Боевой маг</t>
  </si>
  <si>
    <t>Хозяин зверей, Ведьма</t>
  </si>
  <si>
    <t>Путешественник, Элементалист</t>
  </si>
  <si>
    <t>Подземелье</t>
  </si>
  <si>
    <t>Родная земля***</t>
  </si>
  <si>
    <t>Уровень развития Поиска пути</t>
  </si>
  <si>
    <t>Земляная дорога</t>
  </si>
  <si>
    <t>Гравийная дорога</t>
  </si>
  <si>
    <t>Ландшафты и типы земли.</t>
  </si>
  <si>
    <t>Строения в городах.</t>
  </si>
  <si>
    <t>Единые для всех городов строения:</t>
  </si>
  <si>
    <t>Приносит 1000 золота в день.</t>
  </si>
  <si>
    <t>Приносит 2000 золота в день.</t>
  </si>
  <si>
    <t>Приносит 500 золота в день. Сельская управа всегда имеется в городе изначально.</t>
  </si>
  <si>
    <t>Приносит 4000 золота в день. У игрока может быть только один Капитолий.</t>
  </si>
  <si>
    <t>Позволяет строить жилища существ. Даёт городу стены при обороне.</t>
  </si>
  <si>
    <t>Увеличивает прирост всех существ на 50% (округление вниз). Даёт городу ров и центральную стрелковую башню при обороне.</t>
  </si>
  <si>
    <t>Увеличивает прирост всех существ на 50% (итого, вместе с Цитаделью, +100% от базового, округление вниз). Даёт 2 боковые башни при обороне.</t>
  </si>
  <si>
    <t>Позволяет покупать, продавать и менять друг на друга ресурсы. Курс обмена зависит от количества Рынков во всех городах игрока. Позволяет передавать ресурсы другим игрокам.</t>
  </si>
  <si>
    <t>Позволяет приобрести герою Книгу магии за 500 золота. Позволяет изучить 5 заклинаний 1 уровня.</t>
  </si>
  <si>
    <t>Количество Таверн</t>
  </si>
  <si>
    <t>Показываемая информация</t>
  </si>
  <si>
    <t>Суммарная стоимость</t>
  </si>
  <si>
    <t>Уникальные строения:</t>
  </si>
  <si>
    <t>Башня арбалетчиков</t>
  </si>
  <si>
    <t>Улучшенная башня арбалетчиков</t>
  </si>
  <si>
    <t>Боевой дух защищающего город героя +2.</t>
  </si>
  <si>
    <t>Приносит 1 древесину и руду в день.</t>
  </si>
  <si>
    <t>Братство меча*</t>
  </si>
  <si>
    <t>Хранилище ресурсов**</t>
  </si>
  <si>
    <t>Бастион грифонов***</t>
  </si>
  <si>
    <t>Прирост грифонов +3.</t>
  </si>
  <si>
    <t>Верфь****</t>
  </si>
  <si>
    <t>Маяк*****</t>
  </si>
  <si>
    <t>При посещении увеличивает максимальный запас хода героя по суше на 400 единиц (МР) до конца недели.</t>
  </si>
  <si>
    <t>**** Верфь доступна для строительства только если клетка входа в город граничит с водой.</t>
  </si>
  <si>
    <t>Приносит 1…4 серы, ртути, кристаллов или самоцветов на первый день недели.</t>
  </si>
  <si>
    <t>Прирост гномов +4.</t>
  </si>
  <si>
    <t>Приносит 1 кристалл в день.</t>
  </si>
  <si>
    <t>На первый день недели приносит 10% золота от его запаса на конец седьмого дня недели.</t>
  </si>
  <si>
    <t>Удача защищающего город героя +2.</t>
  </si>
  <si>
    <t>Прирост дендроидов +2.</t>
  </si>
  <si>
    <t>Гильдия горняков*</t>
  </si>
  <si>
    <t>Сокровищница***</t>
  </si>
  <si>
    <t>Молодые дендроиды*****</t>
  </si>
  <si>
    <t>Фонтан удачи****</t>
  </si>
  <si>
    <t>Предлагает 7 артефактов на продажу.</t>
  </si>
  <si>
    <t>+1 заклинание каждого уровня в Гильдию магов.</t>
  </si>
  <si>
    <t>Прирост горгулий +4.</t>
  </si>
  <si>
    <t>Приносит 1 самоцвет в день.</t>
  </si>
  <si>
    <t>Открывает терру инкогнито в радиусе 20 клеток вокруг входа в город.</t>
  </si>
  <si>
    <t>Знание героя +1. 1 раз для каждого героя.</t>
  </si>
  <si>
    <t>Торговец артефактами*</t>
  </si>
  <si>
    <t>Крылья ваятеля**</t>
  </si>
  <si>
    <t>Хранилище ресурсов***</t>
  </si>
  <si>
    <t>Усиливает Чародейство всех героев игрока на 10%.</t>
  </si>
  <si>
    <t>Ежедневно закрывает терру инкогнито для вражеских героев в радиусе 20 клеток вокруг входа в город.</t>
  </si>
  <si>
    <t>Герои могут преобразовывать существ из армии в Скелетов. Все драконы, Гидры и Гидры хаоса превращаются в Костяных драконов.</t>
  </si>
  <si>
    <t>Прирост скелетов +6.</t>
  </si>
  <si>
    <t>Хранилище ресурсов*</t>
  </si>
  <si>
    <t>Верфь**</t>
  </si>
  <si>
    <t>Разрытые могилы***</t>
  </si>
  <si>
    <t>** Верфь доступна для строительства только если клетка входа в город граничит с водой.</t>
  </si>
  <si>
    <t>Опыт героя +1000. 1 раз для каждого героя.</t>
  </si>
  <si>
    <t>Приносит 1 серу в день.</t>
  </si>
  <si>
    <t>Прирост троглодитов +7.</t>
  </si>
  <si>
    <t>Позволяет нанимать существ из случайного жилища игрока в размере их недельного прироста. Тип существ меняется в начале недели. Существа во внешнем жилище также доступны для найма.</t>
  </si>
  <si>
    <t>Грибные кольца**</t>
  </si>
  <si>
    <t>Торговец артефактами***</t>
  </si>
  <si>
    <t>Сила магии героя +1. 1 раз для каждого героя.</t>
  </si>
  <si>
    <t>Сила магии защищающего город героя +2.</t>
  </si>
  <si>
    <t>Приносит 1 ртуть в день.</t>
  </si>
  <si>
    <t>Позволяет герою перемещаться между городами Инферно без потери маны и очков движения (МР).</t>
  </si>
  <si>
    <t>Прирост Бесов и Чертей +8.</t>
  </si>
  <si>
    <t>Прирост Адских гончих и Церберов +3.</t>
  </si>
  <si>
    <t>Инкубатор**</t>
  </si>
  <si>
    <t>Клетки***</t>
  </si>
  <si>
    <t>Защита героя +1. 1 раз для каждого героя.</t>
  </si>
  <si>
    <t>Атака защищающего город героя +2.</t>
  </si>
  <si>
    <t>Прирост гноллов +6.</t>
  </si>
  <si>
    <t>Защита защищающего город героя +2.</t>
  </si>
  <si>
    <t>Клетка богов войны*</t>
  </si>
  <si>
    <t>Обелиск крови**</t>
  </si>
  <si>
    <t>Квартира капитанов****</t>
  </si>
  <si>
    <t>Верфь*****</t>
  </si>
  <si>
    <t>***** Верфь доступна для строительства только если клетка входа в город граничит с водой.</t>
  </si>
  <si>
    <t>Атака героя +1. 1 раз для каждого героя.</t>
  </si>
  <si>
    <t>Защищающий город герой может сдаться или сбежать с поля боя во время осады.</t>
  </si>
  <si>
    <t>Прирост гоблинов +8.</t>
  </si>
  <si>
    <t>Можно купить Баллисту за 2500 золота.</t>
  </si>
  <si>
    <t>Столовая**</t>
  </si>
  <si>
    <t>Двор баллист***</t>
  </si>
  <si>
    <t>Можно изучить Магию воды, Магию воздуха, Магию огня и Магию земли по 2000 золота за каждую.</t>
  </si>
  <si>
    <t>Прирост фей +10.</t>
  </si>
  <si>
    <t>Сад жизни***</t>
  </si>
  <si>
    <t>СВОДНАЯ ТАБЛИЦА СТОИМОСТИ ВСЕХ СТРОЕНИЙ В ГОРОДАХ.</t>
  </si>
  <si>
    <t>Строения в городах разных типов. Сводная таблица.</t>
  </si>
  <si>
    <t>Сравнительная таблица стоимости жилищ существ в разных городах.</t>
  </si>
  <si>
    <t>Эквивалент РЕ</t>
  </si>
  <si>
    <t>Ул.сторожевой пост</t>
  </si>
  <si>
    <t>Ул.башня арбалетчиков</t>
  </si>
  <si>
    <t>Ул.башня грифонов</t>
  </si>
  <si>
    <t>Ул.казармы</t>
  </si>
  <si>
    <t>Ул.монастырь</t>
  </si>
  <si>
    <t>Ул.ипподром</t>
  </si>
  <si>
    <t>Ул.портал славы</t>
  </si>
  <si>
    <t>Ул.коттедж гномов</t>
  </si>
  <si>
    <t>Ул.заколдованный ручей</t>
  </si>
  <si>
    <t>Ул.парапет</t>
  </si>
  <si>
    <t>Ул.алтарь желаний</t>
  </si>
  <si>
    <t>Ул.золотой павильон</t>
  </si>
  <si>
    <t>Ул.заоблачный храм</t>
  </si>
  <si>
    <t>Ул.проклятый храм</t>
  </si>
  <si>
    <t>Ул.камень душ</t>
  </si>
  <si>
    <t>Ул.мавзолей</t>
  </si>
  <si>
    <t>Ул.дворец тьмы</t>
  </si>
  <si>
    <t>Ул.склеп драконов</t>
  </si>
  <si>
    <t>Ул.загон</t>
  </si>
  <si>
    <t>Ул.чердак гарпий</t>
  </si>
  <si>
    <t>Ул.камень глаз</t>
  </si>
  <si>
    <t>Ул.лабиринт</t>
  </si>
  <si>
    <t>Ул.котел бесов</t>
  </si>
  <si>
    <t>Ул.дворец пороков</t>
  </si>
  <si>
    <t>Ул.провал</t>
  </si>
  <si>
    <t>Ул.покинутый дворец</t>
  </si>
  <si>
    <t>Ул.улей змия</t>
  </si>
  <si>
    <t>Ул.пруд гидр</t>
  </si>
  <si>
    <t>Ул.волчий загон</t>
  </si>
  <si>
    <t>Ул.форт огров</t>
  </si>
  <si>
    <t>Ул.утес чудищ</t>
  </si>
  <si>
    <t>Ул.волшебный фонарь</t>
  </si>
  <si>
    <t>Ул.алтарь воздуха</t>
  </si>
  <si>
    <t>Ул.алтарь воды</t>
  </si>
  <si>
    <t>Ул.алтарь огня</t>
  </si>
  <si>
    <t>Ул.алтарь земли</t>
  </si>
  <si>
    <t>Ул.алтарь мыслей</t>
  </si>
  <si>
    <t>Ул.костер</t>
  </si>
  <si>
    <t>Ул.конюшни кентавров</t>
  </si>
  <si>
    <t>Ул.драконьи скалы</t>
  </si>
  <si>
    <t>Ул.псарни</t>
  </si>
  <si>
    <t>Ул.врата демонов</t>
  </si>
  <si>
    <t>Ул.казармы гоблинов</t>
  </si>
  <si>
    <t>Ул.усадьба</t>
  </si>
  <si>
    <t>Ул.арка дендроидов</t>
  </si>
  <si>
    <t>Ул.лужайка единорогов</t>
  </si>
  <si>
    <t>Ул.мастерская</t>
  </si>
  <si>
    <t>Ул.фабрика големов</t>
  </si>
  <si>
    <t>Ул.башня магов</t>
  </si>
  <si>
    <t>Ул.часовня безмолвия</t>
  </si>
  <si>
    <t>Ул.пещера дракона</t>
  </si>
  <si>
    <t>Ул.хижина гноллов</t>
  </si>
  <si>
    <t>Ул.яма василисков</t>
  </si>
  <si>
    <t>Ул.башня орков</t>
  </si>
  <si>
    <t>Ул.пещера циклопов</t>
  </si>
  <si>
    <t>Ул.кладбище</t>
  </si>
  <si>
    <t>Ул.поместье</t>
  </si>
  <si>
    <t>Ул.логово мантикор</t>
  </si>
  <si>
    <t>Ул.огненное озеро</t>
  </si>
  <si>
    <t>Ул.логово ящериц</t>
  </si>
  <si>
    <t xml:space="preserve">Ул.логово горгоны </t>
  </si>
  <si>
    <t>Ул.гнездо виверн</t>
  </si>
  <si>
    <t>Ул.гнездо на скале</t>
  </si>
  <si>
    <r>
      <t xml:space="preserve">Исходя из приведенной выше таблицы, самым дорогим (по золоту) строением является Улучшенный Портал Славы - </t>
    </r>
    <r>
      <rPr>
        <b/>
        <sz val="10"/>
        <color indexed="8"/>
        <rFont val="Arial"/>
        <family val="2"/>
        <charset val="204"/>
      </rPr>
      <t>53500 золота.</t>
    </r>
    <r>
      <rPr>
        <sz val="10"/>
        <color indexed="8"/>
        <rFont val="Arial"/>
        <family val="2"/>
        <charset val="204"/>
      </rPr>
      <t xml:space="preserve"> Самым ресурсоемким (без учета золота) - Улучшенная Пещера Дракона - </t>
    </r>
    <r>
      <rPr>
        <b/>
        <sz val="10"/>
        <color indexed="8"/>
        <rFont val="Arial"/>
        <family val="2"/>
        <charset val="204"/>
      </rPr>
      <t>385 РЕ.</t>
    </r>
    <r>
      <rPr>
        <sz val="10"/>
        <color indexed="8"/>
        <rFont val="Arial"/>
        <family val="2"/>
        <charset val="204"/>
      </rPr>
      <t xml:space="preserve"> А если учесть, что Улучшенная Пещера Дракона занимает второе место по золоту - </t>
    </r>
    <r>
      <rPr>
        <b/>
        <sz val="10"/>
        <color indexed="8"/>
        <rFont val="Arial"/>
        <family val="2"/>
        <charset val="204"/>
      </rPr>
      <t>52400 золота</t>
    </r>
    <r>
      <rPr>
        <sz val="10"/>
        <color indexed="8"/>
        <rFont val="Arial"/>
        <family val="2"/>
        <charset val="204"/>
      </rPr>
      <t>, можно сделать вывод, что это самое дорогое строение среди всех возможных, причем это жилище строится и улучшается дольше всех остальных.</t>
    </r>
  </si>
  <si>
    <t>По скорости постройки жилищ существ 7 уровня (при наличии достаточного количества ресурсов) города можно распределить следующим образом:</t>
  </si>
  <si>
    <t>Жилище</t>
  </si>
  <si>
    <t>Улучшение</t>
  </si>
  <si>
    <t>1+</t>
  </si>
  <si>
    <t>2+</t>
  </si>
  <si>
    <t>3+</t>
  </si>
  <si>
    <t>4+</t>
  </si>
  <si>
    <t>5+</t>
  </si>
  <si>
    <t>6+</t>
  </si>
  <si>
    <t>7+</t>
  </si>
  <si>
    <t>Дерево строений Замка.</t>
  </si>
  <si>
    <r>
      <rPr>
        <sz val="10"/>
        <rFont val="Arial Cyr"/>
        <charset val="204"/>
      </rPr>
      <t xml:space="preserve">Дерево строений </t>
    </r>
    <r>
      <rPr>
        <b/>
        <sz val="10"/>
        <rFont val="Arial Cyr"/>
        <charset val="204"/>
      </rPr>
      <t>Замка.</t>
    </r>
  </si>
  <si>
    <r>
      <t xml:space="preserve">Дерево строений </t>
    </r>
    <r>
      <rPr>
        <b/>
        <sz val="10"/>
        <rFont val="Arial Cyr"/>
        <charset val="204"/>
      </rPr>
      <t>Оплота.</t>
    </r>
  </si>
  <si>
    <t>Дерево строений Оплота.</t>
  </si>
  <si>
    <r>
      <t xml:space="preserve">Дерево строений </t>
    </r>
    <r>
      <rPr>
        <b/>
        <sz val="10"/>
        <rFont val="Arial Cyr"/>
        <charset val="204"/>
      </rPr>
      <t>Башни.</t>
    </r>
  </si>
  <si>
    <t>Дерево строений Башни.</t>
  </si>
  <si>
    <r>
      <t xml:space="preserve">Дерево строений </t>
    </r>
    <r>
      <rPr>
        <b/>
        <sz val="10"/>
        <rFont val="Arial Cyr"/>
        <charset val="204"/>
      </rPr>
      <t>Некрополиса.</t>
    </r>
  </si>
  <si>
    <t>Дерево строений Некрополиса.</t>
  </si>
  <si>
    <r>
      <t xml:space="preserve">Дерево строений </t>
    </r>
    <r>
      <rPr>
        <b/>
        <sz val="10"/>
        <rFont val="Arial Cyr"/>
        <charset val="204"/>
      </rPr>
      <t>Темницы.</t>
    </r>
  </si>
  <si>
    <t>Дерево строений Темницы.</t>
  </si>
  <si>
    <r>
      <t xml:space="preserve">Дерево строений </t>
    </r>
    <r>
      <rPr>
        <b/>
        <sz val="10"/>
        <rFont val="Arial Cyr"/>
        <charset val="204"/>
      </rPr>
      <t>Инферно.</t>
    </r>
  </si>
  <si>
    <t>Дерево строений Инферно.</t>
  </si>
  <si>
    <t>Дерево строений Крепости.</t>
  </si>
  <si>
    <r>
      <t xml:space="preserve">Дерево строений </t>
    </r>
    <r>
      <rPr>
        <b/>
        <sz val="10"/>
        <rFont val="Arial Cyr"/>
        <charset val="204"/>
      </rPr>
      <t>Крепости.</t>
    </r>
  </si>
  <si>
    <r>
      <t xml:space="preserve">Дерево строений </t>
    </r>
    <r>
      <rPr>
        <b/>
        <sz val="10"/>
        <rFont val="Arial Cyr"/>
        <charset val="204"/>
      </rPr>
      <t>Цитадели.</t>
    </r>
  </si>
  <si>
    <t>Дерево строений Цитадели.</t>
  </si>
  <si>
    <r>
      <rPr>
        <sz val="10"/>
        <rFont val="Arial Cyr"/>
        <charset val="204"/>
      </rPr>
      <t xml:space="preserve">Дерево строений </t>
    </r>
    <r>
      <rPr>
        <b/>
        <sz val="10"/>
        <rFont val="Arial Cyr"/>
        <charset val="204"/>
      </rPr>
      <t>Сопряжения.</t>
    </r>
  </si>
  <si>
    <t>Дерево строений Сопряжения.</t>
  </si>
  <si>
    <t>Ул.Сторожевой пост</t>
  </si>
  <si>
    <t>Ул.Башня арбалетчиков</t>
  </si>
  <si>
    <t>Ул.Башня грифонов</t>
  </si>
  <si>
    <t>Ул.Казармы</t>
  </si>
  <si>
    <t>Ул.Монастырь</t>
  </si>
  <si>
    <t>Ул.Портал славы</t>
  </si>
  <si>
    <t>Ул.Ипподром</t>
  </si>
  <si>
    <t>Ул.Усадьба</t>
  </si>
  <si>
    <t>Ул.Конюшни кентавров</t>
  </si>
  <si>
    <t>Ул.Коттедж гномов</t>
  </si>
  <si>
    <t>Ул.Арка дендроидов</t>
  </si>
  <si>
    <t>Ул.Лужайка единорогов</t>
  </si>
  <si>
    <t>Ул.Драконьи скалы</t>
  </si>
  <si>
    <t>Ул.Мастерская</t>
  </si>
  <si>
    <t>Ул.Парапет</t>
  </si>
  <si>
    <t>Ул.Фабрика големов</t>
  </si>
  <si>
    <t>Ул.Башня магов</t>
  </si>
  <si>
    <t>Ул.Алтарь желаний</t>
  </si>
  <si>
    <t>Ул.Золотой павильон</t>
  </si>
  <si>
    <t>Ул.Заоблачный храм</t>
  </si>
  <si>
    <t>Усилитель чёрной магии</t>
  </si>
  <si>
    <t>Ул.Проклятый храм</t>
  </si>
  <si>
    <t>Ул.Кладбище</t>
  </si>
  <si>
    <t>Ул.Камень душ</t>
  </si>
  <si>
    <t>Ул.Поместье</t>
  </si>
  <si>
    <t>Ул.Мавзолей</t>
  </si>
  <si>
    <t>Ул.Дворец тьмы</t>
  </si>
  <si>
    <t>Ул.Склеп драконов</t>
  </si>
  <si>
    <t>Ул.Пещера дракона</t>
  </si>
  <si>
    <t>Ул.Логово мантикор</t>
  </si>
  <si>
    <t>Ул.Лабиринт</t>
  </si>
  <si>
    <t>Ул.Часовня безмолвия</t>
  </si>
  <si>
    <t>Ул.Камень глаз</t>
  </si>
  <si>
    <t>Ул.Чердак гарпий</t>
  </si>
  <si>
    <t>Ул.Загон</t>
  </si>
  <si>
    <t>Ул.Покинутый дворец</t>
  </si>
  <si>
    <t>Ул.Провал</t>
  </si>
  <si>
    <t>Ул.Огненное озеро</t>
  </si>
  <si>
    <t>Ул.Псарни</t>
  </si>
  <si>
    <t>Ул.Врата демонов</t>
  </si>
  <si>
    <t>Ул.Дворец пороков</t>
  </si>
  <si>
    <t>Ул.Котёл бесов</t>
  </si>
  <si>
    <t>Ул.Хижина гноллов</t>
  </si>
  <si>
    <t>Ул.Логово ящериц</t>
  </si>
  <si>
    <t>Ул.Улей змиев</t>
  </si>
  <si>
    <t>Ул.Яма василисков</t>
  </si>
  <si>
    <t>Ул.Логово горгоны</t>
  </si>
  <si>
    <t>Ул.Гнездо виверн</t>
  </si>
  <si>
    <t>Ул.Пруд гидр</t>
  </si>
  <si>
    <t>Плотоядное растение</t>
  </si>
  <si>
    <t>Ул.Утёс чудищ</t>
  </si>
  <si>
    <t>Ул.Пещера циклопов</t>
  </si>
  <si>
    <t>Ул.Гнездо на скале</t>
  </si>
  <si>
    <t>Ул.Форт огров</t>
  </si>
  <si>
    <t>Ул.Волчий загон</t>
  </si>
  <si>
    <t>Ул.Казармы гоблинов</t>
  </si>
  <si>
    <t>Ул.Башня орков</t>
  </si>
  <si>
    <t>Ул.Волшебный фонарь</t>
  </si>
  <si>
    <t>Ул.Алтарь воздуха</t>
  </si>
  <si>
    <t>Ул.Алтарь огня</t>
  </si>
  <si>
    <t>Ул.Алтарь воды</t>
  </si>
  <si>
    <t>Ул.Алтарь земли</t>
  </si>
  <si>
    <t>Ул.Алтарь мыслей</t>
  </si>
  <si>
    <t>Ул.Костёр</t>
  </si>
  <si>
    <t>Красная стрелка отображает схему постройки всех жилищ существ города</t>
  </si>
  <si>
    <t>Красная стрелка отображает схему постройки всех  жилищ существ города</t>
  </si>
  <si>
    <r>
      <t>Замок.</t>
    </r>
    <r>
      <rPr>
        <sz val="10"/>
        <rFont val="Arial Cyr"/>
        <charset val="204"/>
      </rPr>
      <t xml:space="preserve"> Тактика и стратегия игры за этот город.</t>
    </r>
  </si>
  <si>
    <r>
      <t xml:space="preserve">Оплот. </t>
    </r>
    <r>
      <rPr>
        <sz val="10"/>
        <rFont val="Arial Cyr"/>
        <charset val="204"/>
      </rPr>
      <t>Тактика и стратегия игры за этот город.</t>
    </r>
  </si>
  <si>
    <r>
      <t>Башня.</t>
    </r>
    <r>
      <rPr>
        <sz val="10"/>
        <rFont val="Arial Cyr"/>
        <charset val="204"/>
      </rPr>
      <t xml:space="preserve"> Тактика и стратегия игры за этот город.</t>
    </r>
  </si>
  <si>
    <r>
      <t xml:space="preserve">Некрополис. </t>
    </r>
    <r>
      <rPr>
        <sz val="10"/>
        <rFont val="Arial Cyr"/>
        <charset val="204"/>
      </rPr>
      <t>Тактика и стратегия игры за этот город.</t>
    </r>
  </si>
  <si>
    <r>
      <t xml:space="preserve">Темница. </t>
    </r>
    <r>
      <rPr>
        <sz val="10"/>
        <rFont val="Arial Cyr"/>
        <charset val="204"/>
      </rPr>
      <t>Тактика и стратегия игры за этот город.</t>
    </r>
  </si>
  <si>
    <r>
      <t xml:space="preserve">Инферно. </t>
    </r>
    <r>
      <rPr>
        <sz val="10"/>
        <rFont val="Arial Cyr"/>
        <charset val="204"/>
      </rPr>
      <t>Тактика и стратегия игры за этот город.</t>
    </r>
  </si>
  <si>
    <r>
      <t xml:space="preserve">Крепость. </t>
    </r>
    <r>
      <rPr>
        <sz val="10"/>
        <rFont val="Arial Cyr"/>
        <charset val="204"/>
      </rPr>
      <t>Тактика и стратегия игры за этот город.</t>
    </r>
  </si>
  <si>
    <r>
      <t xml:space="preserve">Цитадель. </t>
    </r>
    <r>
      <rPr>
        <sz val="10"/>
        <rFont val="Arial Cyr"/>
        <charset val="204"/>
      </rPr>
      <t>Тактика и стратегия игры за этот город.</t>
    </r>
  </si>
  <si>
    <r>
      <t xml:space="preserve">Сопряжение. </t>
    </r>
    <r>
      <rPr>
        <sz val="10"/>
        <rFont val="Arial Cyr"/>
        <charset val="204"/>
      </rPr>
      <t>Тактика и стратегия игры за этот город.</t>
    </r>
  </si>
  <si>
    <t>Тактика и стратегия игры.</t>
  </si>
  <si>
    <t>Замок. Тактика и стратегия игры за этот город.</t>
  </si>
  <si>
    <t>Особенности существ</t>
  </si>
  <si>
    <t>Оплот. Тактика и стратегия игры за этот город.</t>
  </si>
  <si>
    <t>Башня. Тактика и стратегия игры за этот город.</t>
  </si>
  <si>
    <r>
      <t>Башня</t>
    </r>
    <r>
      <rPr>
        <sz val="10"/>
        <rFont val="Arial"/>
        <family val="2"/>
        <charset val="204"/>
      </rPr>
      <t xml:space="preserve"> - город пропитанный магией, даже уникальные строения тоже носят магический характер: Библиотека добавляет заклинания в магическую гильдию, Стена знаний повышает навык Знания у любого заглянувшего героя, а вместо обычного рва город снабжен магическими минами, что с одной стороны может резко увеличить их силу, если в гарнизоне засел сильный маг, искушенный в Магии огня, но с другой – действие мин однократно и после взрыва стены остаются без дополнительной защиты, не говоря уже о том, что мины снимаются Экспертным Снятием заклинаний. Причем эта магия поддерживается недурной армией. Но прежде чем удастся насладиться этой красотой в полной мере, придется потратить море ресурсов и времени, и это время для развития предстоит отвоевать у противников.</t>
    </r>
  </si>
  <si>
    <r>
      <t>Маги (Архимаги)</t>
    </r>
    <r>
      <rPr>
        <sz val="10"/>
        <rFont val="Arial"/>
        <family val="2"/>
        <charset val="204"/>
      </rPr>
      <t xml:space="preserve"> - снижают цену заклинаний на 2 маны (как Пегасы, но наоборот), нет штрафа за ближний бой. Архимаги также не имеют штрафа за стрельбу через крепостные стены.</t>
    </r>
  </si>
  <si>
    <r>
      <t>Джинны (Мастер-джинны)</t>
    </r>
    <r>
      <rPr>
        <sz val="10"/>
        <rFont val="Arial"/>
        <family val="2"/>
        <charset val="204"/>
      </rPr>
      <t xml:space="preserve"> наносят 150% урон Ифритам (Султанам-ифритам), Мастер-джинны могут накладывать разнообразные дружественные заклинания 3 раза за бой (случайным образом).</t>
    </r>
  </si>
  <si>
    <r>
      <t>Титаны</t>
    </r>
    <r>
      <rPr>
        <sz val="10"/>
        <rFont val="Arial"/>
        <family val="2"/>
        <charset val="204"/>
      </rPr>
      <t xml:space="preserve"> - наносят 150% урон Черным драконам, иммунны к Магии разума (Слепота, Проклятие, Берсерк, Гипноз и т.д.), нет штрафа за ближний бой.</t>
    </r>
  </si>
  <si>
    <t>Некрополис. Тактика и стратегия игры за этот город.</t>
  </si>
  <si>
    <r>
      <t>Вампиры</t>
    </r>
    <r>
      <rPr>
        <sz val="10"/>
        <rFont val="Arial"/>
        <family val="2"/>
        <charset val="204"/>
      </rPr>
      <t xml:space="preserve"> - атакуют безответно. Вампиры-лорды способны восстанавливать себя в соответствии с уроном, нанесенным противнику.</t>
    </r>
  </si>
  <si>
    <r>
      <t>Личи</t>
    </r>
    <r>
      <rPr>
        <sz val="10"/>
        <rFont val="Arial"/>
        <family val="2"/>
        <charset val="204"/>
      </rPr>
      <t xml:space="preserve"> - стреляют Облаком смерти, наносящим урон цели, а также всем существам, окружающим цель (кроме нежити, горгулий, големов и элементалей).</t>
    </r>
  </si>
  <si>
    <r>
      <t>Костяные драконы (Драконы-привидения)</t>
    </r>
    <r>
      <rPr>
        <sz val="10"/>
        <rFont val="Arial"/>
        <family val="2"/>
        <charset val="204"/>
      </rPr>
      <t xml:space="preserve"> снижают боевой дух противника на единицу. Драконы-привидения имеют 20% шанс "состарить" противника - в два раза снизить у него стандартный запас здоровья.</t>
    </r>
  </si>
  <si>
    <t>Темница. Тактика и стратегия игры за этот город.</t>
  </si>
  <si>
    <r>
      <t xml:space="preserve">Медузы (Королевы медуз) </t>
    </r>
    <r>
      <rPr>
        <sz val="10"/>
        <rFont val="Arial"/>
        <family val="2"/>
        <charset val="204"/>
      </rPr>
      <t>- не имеют штрафа за ближний бой, могут с вероятностью 20% окаменить врага на три хода.</t>
    </r>
  </si>
  <si>
    <t>Инферно. Тактика и стратегия игры за этот город.</t>
  </si>
  <si>
    <r>
      <t>Черти</t>
    </r>
    <r>
      <rPr>
        <sz val="10"/>
        <rFont val="Arial"/>
        <family val="2"/>
        <charset val="204"/>
      </rPr>
      <t xml:space="preserve"> - имеют способность забирать у противника и передавать своему герою 20% использованной маны каждый раз, когда противник колдует заклинание.</t>
    </r>
  </si>
  <si>
    <t>Крепость. Тактика и стратегия игры за этот город.</t>
  </si>
  <si>
    <r>
      <t>Змии (Стрекозы)</t>
    </r>
    <r>
      <rPr>
        <sz val="10"/>
        <rFont val="Arial"/>
        <family val="2"/>
        <charset val="204"/>
      </rPr>
      <t xml:space="preserve"> - колдуют на противника Снятие заклинаний. Стрекозы дополнительно еще и Слабость.</t>
    </r>
  </si>
  <si>
    <r>
      <t>Виверны монархи</t>
    </r>
    <r>
      <rPr>
        <sz val="10"/>
        <rFont val="Arial"/>
        <family val="2"/>
        <charset val="204"/>
      </rPr>
      <t xml:space="preserve"> - имеют 50% шанс отравить противника. Все существа в отравленном отряде теряют 10% здоровья каждый ход на протяжении 3 раундов боя.</t>
    </r>
  </si>
  <si>
    <t>Цитадель. Тактика и стратегия игры за этот город.</t>
  </si>
  <si>
    <r>
      <t>Циклопы</t>
    </r>
    <r>
      <rPr>
        <sz val="10"/>
        <rFont val="Arial"/>
        <family val="2"/>
        <charset val="204"/>
      </rPr>
      <t xml:space="preserve"> - могут атаковать крепостные стены наподобие катапульты (уровень Базовой Баллистики), </t>
    </r>
    <r>
      <rPr>
        <sz val="10"/>
        <color indexed="12"/>
        <rFont val="Arial"/>
        <family val="2"/>
        <charset val="204"/>
      </rPr>
      <t>Короли циклопы</t>
    </r>
    <r>
      <rPr>
        <sz val="10"/>
        <rFont val="Arial"/>
        <family val="2"/>
        <charset val="204"/>
      </rPr>
      <t xml:space="preserve"> - на уровне Продвинутой.</t>
    </r>
  </si>
  <si>
    <t>Магические способности существ</t>
  </si>
  <si>
    <t>Логистика. Особенности передвижения по карте.</t>
  </si>
  <si>
    <t>1. Запас хода.</t>
  </si>
  <si>
    <t>1.1. Передвижения по суше.</t>
  </si>
  <si>
    <t>1.1.1. SCS и базовый запас хода.</t>
  </si>
  <si>
    <t>Запас хода (МР)</t>
  </si>
  <si>
    <t>- бонус специальности героя Сэр Мюллих (+2 к скорости существ) также не учитывается;</t>
  </si>
  <si>
    <t>- бонус "родной земли" (+1 к скорости существ) также не учитывается;</t>
  </si>
  <si>
    <t>1.1.2. Бонусы Логистики.</t>
  </si>
  <si>
    <t>В зависимости от развития вторичного навыка Логистика базовый запас хода героя увеличивается на:</t>
  </si>
  <si>
    <t>1.2. Передвижения по воде.</t>
  </si>
  <si>
    <r>
      <t xml:space="preserve">Эти бонусы </t>
    </r>
    <r>
      <rPr>
        <u/>
        <sz val="10"/>
        <rFont val="Arial"/>
        <family val="2"/>
        <charset val="204"/>
      </rPr>
      <t>не входят в базовый запас хода</t>
    </r>
    <r>
      <rPr>
        <sz val="10"/>
        <rFont val="Arial"/>
        <family val="2"/>
        <charset val="204"/>
      </rPr>
      <t>, т.е. бонусы Логистики и Навигации на них не распространяются.</t>
    </r>
  </si>
  <si>
    <t>Объект / Артефакт</t>
  </si>
  <si>
    <t>Маяк (строение в Замке)</t>
  </si>
  <si>
    <t>1.4. Как открыть карту приключений.</t>
  </si>
  <si>
    <t>2. Как тратятся очки движения (МР).</t>
  </si>
  <si>
    <t>Озеро алых лебедей</t>
  </si>
  <si>
    <t>- наличие в армии Кочевников позволяет ходить по песку без штрафов;</t>
  </si>
  <si>
    <t>- армия героя состоит целиком из существ, для которых эта земля является "родной" (см.таблицу ниже);</t>
  </si>
  <si>
    <t>Существа из города</t>
  </si>
  <si>
    <t>Элементалист, Путешественник</t>
  </si>
  <si>
    <t>Без Поиска пути</t>
  </si>
  <si>
    <t>Базовый Поиск пути</t>
  </si>
  <si>
    <t>Продвинутый Поиск пути</t>
  </si>
  <si>
    <t>Экспертный Поиск пути</t>
  </si>
  <si>
    <t>1. У героя с Джинном остается 100 очков движения (МР). Герой не имеет Поиска Пути и стоит на снегу. Шагнуть по диагонали он не сможет, поскольку без Поиска Пути у него будет штраф по снегу. То, что снег является для Джинна «родной землей», герою на последнем шаге не поможет.</t>
  </si>
  <si>
    <t>2. У героя с Джинном остается 100 очков движения (МР). У героя Базовый Поиск Пути и он стоит на снегу. В этом случае герой опять же не сможет сделать шаг по диагонали, поскольку при Базовом Поиске Пути герой все равно имеет штраф при ходьбе по снегу.</t>
  </si>
  <si>
    <t>2.4. Полёт.</t>
  </si>
  <si>
    <t>100% (нет штрафа)</t>
  </si>
  <si>
    <t>2.5. Хождение по воде.</t>
  </si>
  <si>
    <t>2.6. Городской портал и Дверь измерений.</t>
  </si>
  <si>
    <t>Очки движения (МР)</t>
  </si>
  <si>
    <t>Магия земли (Городской портал) или Магия воздуха (Полёт)</t>
  </si>
  <si>
    <t>3. Менеджмент хода.</t>
  </si>
  <si>
    <t>4. Ночёвка.</t>
  </si>
  <si>
    <t>Фортификационные укрепления города и их штурм.</t>
  </si>
  <si>
    <t>Стрелковые башни.</t>
  </si>
  <si>
    <t>Урон = D + d*N,</t>
  </si>
  <si>
    <t>D - базовый урон центральной башни = 10...15 единиц.</t>
  </si>
  <si>
    <t>d - дополнительный урон, который приобретает Стрелковая башня при постройке очередной "структуры" = 2...3 единицы.</t>
  </si>
  <si>
    <t>N - количество "структур", которые уже построены в городе.</t>
  </si>
  <si>
    <t>Фортификационный ров.</t>
  </si>
  <si>
    <t>Количество "структур" указано с учётом построенного Храма Грааля.</t>
  </si>
  <si>
    <t>Прочность узлов городских стен и фортификационных сооружений.</t>
  </si>
  <si>
    <t>Прочность</t>
  </si>
  <si>
    <t>Боков.башни</t>
  </si>
  <si>
    <t>Шанс попадания (2)</t>
  </si>
  <si>
    <t>Штраф при стрельбе через крепостные стены.</t>
  </si>
  <si>
    <t>А13</t>
  </si>
  <si>
    <t>А14</t>
  </si>
  <si>
    <t>А15</t>
  </si>
  <si>
    <t>Б13</t>
  </si>
  <si>
    <t>Б14</t>
  </si>
  <si>
    <t>Б15</t>
  </si>
  <si>
    <t>В12</t>
  </si>
  <si>
    <t>В13</t>
  </si>
  <si>
    <t>В14</t>
  </si>
  <si>
    <t>В15</t>
  </si>
  <si>
    <t>В16</t>
  </si>
  <si>
    <t>Г12</t>
  </si>
  <si>
    <t>Г13</t>
  </si>
  <si>
    <t>Г14</t>
  </si>
  <si>
    <t>Г15</t>
  </si>
  <si>
    <t>Д11</t>
  </si>
  <si>
    <t>Д12</t>
  </si>
  <si>
    <t>Д13</t>
  </si>
  <si>
    <t>Д14</t>
  </si>
  <si>
    <t>Д15</t>
  </si>
  <si>
    <t>Е12</t>
  </si>
  <si>
    <t>Е13</t>
  </si>
  <si>
    <t>Е14</t>
  </si>
  <si>
    <t>Е15</t>
  </si>
  <si>
    <t>Ж11</t>
  </si>
  <si>
    <t>Ж12</t>
  </si>
  <si>
    <t>Ж13</t>
  </si>
  <si>
    <t>Ж14</t>
  </si>
  <si>
    <t>Ж15</t>
  </si>
  <si>
    <t>З12</t>
  </si>
  <si>
    <t>З13</t>
  </si>
  <si>
    <t>З14</t>
  </si>
  <si>
    <t>З15</t>
  </si>
  <si>
    <t>И12</t>
  </si>
  <si>
    <t>И13</t>
  </si>
  <si>
    <t>И14</t>
  </si>
  <si>
    <t>И15</t>
  </si>
  <si>
    <t>К13</t>
  </si>
  <si>
    <t>К14</t>
  </si>
  <si>
    <t>К15</t>
  </si>
  <si>
    <t>Л13</t>
  </si>
  <si>
    <t>Л14</t>
  </si>
  <si>
    <t>Л15</t>
  </si>
  <si>
    <t>А1</t>
  </si>
  <si>
    <t>Х</t>
  </si>
  <si>
    <t>А2</t>
  </si>
  <si>
    <t>А3</t>
  </si>
  <si>
    <t>А4</t>
  </si>
  <si>
    <t>А5</t>
  </si>
  <si>
    <t>А6</t>
  </si>
  <si>
    <t>А7</t>
  </si>
  <si>
    <t>А8</t>
  </si>
  <si>
    <t>А9</t>
  </si>
  <si>
    <t>А10</t>
  </si>
  <si>
    <t>А11</t>
  </si>
  <si>
    <t>Б1</t>
  </si>
  <si>
    <t>Б2</t>
  </si>
  <si>
    <t>Б3</t>
  </si>
  <si>
    <t>Б4</t>
  </si>
  <si>
    <t>Б5</t>
  </si>
  <si>
    <t>Б6</t>
  </si>
  <si>
    <t>Б7</t>
  </si>
  <si>
    <t>Б8</t>
  </si>
  <si>
    <t>Б9</t>
  </si>
  <si>
    <t>Б10</t>
  </si>
  <si>
    <t>Б11</t>
  </si>
  <si>
    <t>В1</t>
  </si>
  <si>
    <t>В2</t>
  </si>
  <si>
    <t>В3</t>
  </si>
  <si>
    <t>В4</t>
  </si>
  <si>
    <t>В5</t>
  </si>
  <si>
    <t>В6</t>
  </si>
  <si>
    <t>В7</t>
  </si>
  <si>
    <t>В8</t>
  </si>
  <si>
    <t>В9</t>
  </si>
  <si>
    <t>В10</t>
  </si>
  <si>
    <t>Г1</t>
  </si>
  <si>
    <t>Г2</t>
  </si>
  <si>
    <t>Г3</t>
  </si>
  <si>
    <t>Г4</t>
  </si>
  <si>
    <t>Г5</t>
  </si>
  <si>
    <t>Г6</t>
  </si>
  <si>
    <t>Г7</t>
  </si>
  <si>
    <t>Г8</t>
  </si>
  <si>
    <t>Г9</t>
  </si>
  <si>
    <t>Г10</t>
  </si>
  <si>
    <t>Д1</t>
  </si>
  <si>
    <t>Д2</t>
  </si>
  <si>
    <t>Д3</t>
  </si>
  <si>
    <t>Д4</t>
  </si>
  <si>
    <t>Д5</t>
  </si>
  <si>
    <t>Д6</t>
  </si>
  <si>
    <t>Д7</t>
  </si>
  <si>
    <t>Д8</t>
  </si>
  <si>
    <t>Д9</t>
  </si>
  <si>
    <t>Е1</t>
  </si>
  <si>
    <t>Е2</t>
  </si>
  <si>
    <t>Е3</t>
  </si>
  <si>
    <t>Е4</t>
  </si>
  <si>
    <t>Е5</t>
  </si>
  <si>
    <t>Е6</t>
  </si>
  <si>
    <t>Е7</t>
  </si>
  <si>
    <t>Е8</t>
  </si>
  <si>
    <t>Е9</t>
  </si>
  <si>
    <t>Ж1</t>
  </si>
  <si>
    <t>Ж2</t>
  </si>
  <si>
    <t>Ж3</t>
  </si>
  <si>
    <t>Ж4</t>
  </si>
  <si>
    <t>Ж5</t>
  </si>
  <si>
    <t>Ж6</t>
  </si>
  <si>
    <t>Ж7</t>
  </si>
  <si>
    <t>Ж8</t>
  </si>
  <si>
    <t>Ж9</t>
  </si>
  <si>
    <t>З1</t>
  </si>
  <si>
    <t>З2</t>
  </si>
  <si>
    <t>З3</t>
  </si>
  <si>
    <t>З4</t>
  </si>
  <si>
    <t>З5</t>
  </si>
  <si>
    <t>З6</t>
  </si>
  <si>
    <t>З7</t>
  </si>
  <si>
    <t>З8</t>
  </si>
  <si>
    <t>З9</t>
  </si>
  <si>
    <t>З10</t>
  </si>
  <si>
    <t>И1</t>
  </si>
  <si>
    <t>И2</t>
  </si>
  <si>
    <t>И3</t>
  </si>
  <si>
    <t>И4</t>
  </si>
  <si>
    <t>И5</t>
  </si>
  <si>
    <t>И6</t>
  </si>
  <si>
    <t>И7</t>
  </si>
  <si>
    <t>И8</t>
  </si>
  <si>
    <t>И9</t>
  </si>
  <si>
    <t>И10</t>
  </si>
  <si>
    <t>К1</t>
  </si>
  <si>
    <t>К2</t>
  </si>
  <si>
    <t>К3</t>
  </si>
  <si>
    <t>К4</t>
  </si>
  <si>
    <t>К5</t>
  </si>
  <si>
    <t>К6</t>
  </si>
  <si>
    <t>К7</t>
  </si>
  <si>
    <t>К8</t>
  </si>
  <si>
    <t>К9</t>
  </si>
  <si>
    <t>К10</t>
  </si>
  <si>
    <t>К11</t>
  </si>
  <si>
    <t>Л1</t>
  </si>
  <si>
    <t>Л2</t>
  </si>
  <si>
    <t>Л3</t>
  </si>
  <si>
    <t>Л4</t>
  </si>
  <si>
    <t>Л5</t>
  </si>
  <si>
    <t>Л6</t>
  </si>
  <si>
    <t>Л7</t>
  </si>
  <si>
    <t>Л8</t>
  </si>
  <si>
    <t>Л9</t>
  </si>
  <si>
    <t>Л10</t>
  </si>
  <si>
    <t>Л11</t>
  </si>
  <si>
    <t>Защита от заклинаний</t>
  </si>
  <si>
    <t>Каменные и Обсидиановые горгульи</t>
  </si>
  <si>
    <t>Каменные и Стальные големы</t>
  </si>
  <si>
    <t>Гиганты и Титаны</t>
  </si>
  <si>
    <t>Зелёные драконы</t>
  </si>
  <si>
    <t>Золотые драконы</t>
  </si>
  <si>
    <t>Троглодиты и Адские троглодиты</t>
  </si>
  <si>
    <t>Красные драконы</t>
  </si>
  <si>
    <t>Чёрные драконы</t>
  </si>
  <si>
    <t>Ифриты и Султаны-ифриты</t>
  </si>
  <si>
    <t>Все существа</t>
  </si>
  <si>
    <t>Огненные птицы и Фениксы</t>
  </si>
  <si>
    <t>Все элементали</t>
  </si>
  <si>
    <t>Элементали воздуха и Штормовые элементали</t>
  </si>
  <si>
    <t>Элементали воды и Ледяные элементали</t>
  </si>
  <si>
    <t>Элементали огня и Энергетические элементали</t>
  </si>
  <si>
    <t>Элементали земли и Магмовые элементали</t>
  </si>
  <si>
    <t>Магические элементали</t>
  </si>
  <si>
    <t>Лазурные драконы</t>
  </si>
  <si>
    <t>Мумии</t>
  </si>
  <si>
    <t>Золотые и Алмазные големы</t>
  </si>
  <si>
    <t>Воскрешение, Жертва.</t>
  </si>
  <si>
    <t>Все заклинания 1...4 уровня.</t>
  </si>
  <si>
    <t>Все заклинания 1...3 уровня.</t>
  </si>
  <si>
    <t>Все заклинания 1…5 уровня.</t>
  </si>
  <si>
    <t>Метеоритный дождь.</t>
  </si>
  <si>
    <t>Ледяная молния, Кольцо холода.</t>
  </si>
  <si>
    <t>В этих замках нет существ с иммунитетом к магии.</t>
  </si>
  <si>
    <t>Медаль уязвимости. Особенности её применения в бою.</t>
  </si>
  <si>
    <t>Действие артефакта Медаль уязвимости.</t>
  </si>
  <si>
    <t>Защита от заклинаний с Медалью уязвимости</t>
  </si>
  <si>
    <t>Каменные, Стальные, Золотые и Алмазные големы</t>
  </si>
  <si>
    <t>Существа Некрополиса, Мумии</t>
  </si>
  <si>
    <t>Некоторые нюансы действия Медали уязвимости.</t>
  </si>
  <si>
    <t>Изменения в способностях существ.</t>
  </si>
  <si>
    <t>Садимся в лодку. Практическое использование Шляпы адмирала.</t>
  </si>
  <si>
    <t>базовый запас движения героя по суше (МР). Он зависит от артефактов, скорости самого медленного существа в армии и уровня развития Логистики.</t>
  </si>
  <si>
    <t>базовый запас движения героя по воде (МР). Он зависит от уровня развития Навигации и составляет 1500, 2250, 3000 или 3750 очков (МР). Является постоянной величиной и формируется в начале дня.</t>
  </si>
  <si>
    <t>текущий запас движения героя по суше (МР).</t>
  </si>
  <si>
    <t>текущий запас движения героя по воде (МР).</t>
  </si>
  <si>
    <t>K = M’ / M</t>
  </si>
  <si>
    <t>M’(тек) = (M(тек) - m) * K ,</t>
  </si>
  <si>
    <t>Дельта = m * (1 + M / M’)</t>
  </si>
  <si>
    <t>min K = M' / M</t>
  </si>
  <si>
    <t>max K = M' / M</t>
  </si>
  <si>
    <t>2. Бонусы.</t>
  </si>
  <si>
    <t>1. Основа расчёта.</t>
  </si>
  <si>
    <r>
      <t>2. Существа.</t>
    </r>
    <r>
      <rPr>
        <sz val="10"/>
        <rFont val="Arial"/>
        <family val="2"/>
        <charset val="204"/>
      </rPr>
      <t xml:space="preserve"> Точно такой же эффект (для расчетных целей) несет в себе величина скорости самого медленного существа в армии героя. Чем медленнее существо, тем ниже расчетная величина параметра </t>
    </r>
    <r>
      <rPr>
        <b/>
        <sz val="10"/>
        <rFont val="Arial"/>
        <family val="2"/>
        <charset val="204"/>
      </rPr>
      <t>М</t>
    </r>
    <r>
      <rPr>
        <sz val="10"/>
        <rFont val="Arial"/>
        <family val="2"/>
        <charset val="204"/>
      </rPr>
      <t xml:space="preserve"> (изменяется в пределах 1500 - 2000 МР).</t>
    </r>
  </si>
  <si>
    <t>Пример расчёта.</t>
  </si>
  <si>
    <t>Стартовый запас хода:</t>
  </si>
  <si>
    <t>Артефакты в наличии:</t>
  </si>
  <si>
    <t>Конюшня посещена:</t>
  </si>
  <si>
    <t>Экспертная Навигация:</t>
  </si>
  <si>
    <t>Экспертная Логистика:</t>
  </si>
  <si>
    <r>
      <rPr>
        <b/>
        <sz val="10"/>
        <rFont val="Arial"/>
        <family val="2"/>
        <charset val="204"/>
      </rPr>
      <t xml:space="preserve">M' </t>
    </r>
    <r>
      <rPr>
        <sz val="10"/>
        <rFont val="Arial"/>
        <family val="2"/>
        <charset val="204"/>
      </rPr>
      <t>= 3750 МР.</t>
    </r>
  </si>
  <si>
    <t>2000 МР, определенный скоростью самого медленного существа = 19 (допустим, Лазурный Дракон).</t>
  </si>
  <si>
    <t>+30% к стартовому запасу хода, определенному скоростью самого медленного существа.</t>
  </si>
  <si>
    <t>+400 МР.</t>
  </si>
  <si>
    <r>
      <t xml:space="preserve">Итого, </t>
    </r>
    <r>
      <rPr>
        <b/>
        <sz val="10"/>
        <rFont val="Arial"/>
        <family val="2"/>
        <charset val="204"/>
      </rPr>
      <t xml:space="preserve">M(тек) </t>
    </r>
    <r>
      <rPr>
        <sz val="10"/>
        <rFont val="Arial"/>
        <family val="2"/>
        <charset val="204"/>
      </rPr>
      <t>= 2000*1,3 + (300+600) + 400 = 3900 МР.</t>
    </r>
  </si>
  <si>
    <t>Дипломатия и особенности ее применения.</t>
  </si>
  <si>
    <t>Дипломатия и особенности её применения.</t>
  </si>
  <si>
    <t>Вероятно присоединится.</t>
  </si>
  <si>
    <t>Принятое по умолчанию среднее значение.</t>
  </si>
  <si>
    <t>Вероятно не присоединится.</t>
  </si>
  <si>
    <t>Изменение</t>
  </si>
  <si>
    <t>Вторичный навык Дипломатии</t>
  </si>
  <si>
    <t>+10% за каждый уровень                            (максимум +30%)</t>
  </si>
  <si>
    <t xml:space="preserve">Наличие в армии существ из того же типа города </t>
  </si>
  <si>
    <t>+10% (единоразово; заменяет предыдущий пункт и не суммируется)</t>
  </si>
  <si>
    <t>Большинство существ в армии являются такими же существами</t>
  </si>
  <si>
    <t>+20% (единоразово; заменяет предыдущие 2 пункта и не суммируется)</t>
  </si>
  <si>
    <t>2. Желательно чтобы количество всех остальных войск по отрядам должно быть строго меньше, чем в этом "родном" для присоединяемого существа отряде. Причем имеется в виду строго количество, а не "мощь армии".</t>
  </si>
  <si>
    <t>1 артефакт</t>
  </si>
  <si>
    <t>2 артефакта</t>
  </si>
  <si>
    <t>3 артефакта</t>
  </si>
  <si>
    <t>80% - 1 золото</t>
  </si>
  <si>
    <t>60% - 1 золото</t>
  </si>
  <si>
    <t>40% - 1 золото</t>
  </si>
  <si>
    <t>30% - 1 золото</t>
  </si>
  <si>
    <t>20% - 1 золото</t>
  </si>
  <si>
    <t>70% - 1 золото</t>
  </si>
  <si>
    <t>90% - 1 золото</t>
  </si>
  <si>
    <t>3. Вероятность присоединения также зависит от критерия "силы" героя, которая зависит от его параметров Атаки и Защиты (с учетом артефактов).</t>
  </si>
  <si>
    <r>
      <t xml:space="preserve">2. Находим силу существ героя </t>
    </r>
    <r>
      <rPr>
        <b/>
        <sz val="10"/>
        <rFont val="Arial Cyr"/>
        <charset val="204"/>
      </rPr>
      <t xml:space="preserve">Creatures_Power </t>
    </r>
    <r>
      <rPr>
        <sz val="10"/>
        <rFont val="Arial Cyr"/>
        <charset val="204"/>
      </rPr>
      <t>= Сумме "AI values" всех существ;</t>
    </r>
  </si>
  <si>
    <r>
      <t xml:space="preserve">3. Находим итоговую силу армии </t>
    </r>
    <r>
      <rPr>
        <b/>
        <sz val="10"/>
        <rFont val="Arial Cyr"/>
        <charset val="204"/>
      </rPr>
      <t>Army_Power</t>
    </r>
    <r>
      <rPr>
        <sz val="10"/>
        <rFont val="Arial Cyr"/>
        <charset val="204"/>
      </rPr>
      <t xml:space="preserve"> = </t>
    </r>
    <r>
      <rPr>
        <b/>
        <sz val="10"/>
        <rFont val="Arial Cyr"/>
        <charset val="204"/>
      </rPr>
      <t>Hero_Power</t>
    </r>
    <r>
      <rPr>
        <sz val="10"/>
        <rFont val="Arial Cyr"/>
        <charset val="204"/>
      </rPr>
      <t xml:space="preserve"> * </t>
    </r>
    <r>
      <rPr>
        <b/>
        <sz val="10"/>
        <rFont val="Arial Cyr"/>
        <charset val="204"/>
      </rPr>
      <t xml:space="preserve">Creatures_Power . </t>
    </r>
    <r>
      <rPr>
        <sz val="10"/>
        <rFont val="Arial Cyr"/>
        <charset val="204"/>
      </rPr>
      <t>Округление вниз;</t>
    </r>
  </si>
  <si>
    <r>
      <t xml:space="preserve">4. Аналогично пункту 2 находим силу нейтральных войск </t>
    </r>
    <r>
      <rPr>
        <b/>
        <sz val="10"/>
        <rFont val="Arial Cyr"/>
        <charset val="204"/>
      </rPr>
      <t>Neutrals_Power</t>
    </r>
    <r>
      <rPr>
        <sz val="10"/>
        <rFont val="Arial Cyr"/>
        <charset val="204"/>
      </rPr>
      <t xml:space="preserve"> (игнорируем факт появления улучшенного отряда);</t>
    </r>
  </si>
  <si>
    <r>
      <t xml:space="preserve">5. Находим коэффициент </t>
    </r>
    <r>
      <rPr>
        <b/>
        <sz val="10"/>
        <rFont val="Arial Cyr"/>
        <charset val="204"/>
      </rPr>
      <t>k</t>
    </r>
    <r>
      <rPr>
        <sz val="10"/>
        <rFont val="Arial Cyr"/>
        <charset val="204"/>
      </rPr>
      <t xml:space="preserve"> = </t>
    </r>
    <r>
      <rPr>
        <b/>
        <sz val="10"/>
        <rFont val="Arial Cyr"/>
        <charset val="204"/>
      </rPr>
      <t>Army_Power</t>
    </r>
    <r>
      <rPr>
        <sz val="10"/>
        <rFont val="Arial Cyr"/>
        <charset val="204"/>
      </rPr>
      <t xml:space="preserve"> / </t>
    </r>
    <r>
      <rPr>
        <b/>
        <sz val="10"/>
        <rFont val="Arial Cyr"/>
        <charset val="204"/>
      </rPr>
      <t>Neutrals_Power</t>
    </r>
    <r>
      <rPr>
        <sz val="10"/>
        <rFont val="Arial Cyr"/>
        <charset val="204"/>
      </rPr>
      <t>;</t>
    </r>
  </si>
  <si>
    <r>
      <rPr>
        <b/>
        <sz val="10"/>
        <rFont val="Arial Cyr"/>
        <charset val="204"/>
      </rPr>
      <t>Power_Factor</t>
    </r>
    <r>
      <rPr>
        <sz val="10"/>
        <rFont val="Arial Cyr"/>
        <charset val="204"/>
      </rPr>
      <t xml:space="preserve"> = 2*(</t>
    </r>
    <r>
      <rPr>
        <b/>
        <sz val="10"/>
        <rFont val="Arial Cyr"/>
        <charset val="204"/>
      </rPr>
      <t>k</t>
    </r>
    <r>
      <rPr>
        <sz val="10"/>
        <rFont val="Arial Cyr"/>
        <charset val="204"/>
      </rPr>
      <t xml:space="preserve"> - 1), округление вниз, если 1 &lt; </t>
    </r>
    <r>
      <rPr>
        <b/>
        <sz val="10"/>
        <rFont val="Arial Cyr"/>
        <charset val="204"/>
      </rPr>
      <t>k</t>
    </r>
    <r>
      <rPr>
        <sz val="10"/>
        <rFont val="Arial Cyr"/>
        <charset val="204"/>
      </rPr>
      <t xml:space="preserve"> &lt; 7;</t>
    </r>
  </si>
  <si>
    <t>a) число 0.333 = 333/1000, а не 1/3!</t>
  </si>
  <si>
    <r>
      <t xml:space="preserve">б) число </t>
    </r>
    <r>
      <rPr>
        <b/>
        <sz val="10"/>
        <rFont val="Arial Cyr"/>
        <charset val="204"/>
      </rPr>
      <t>k</t>
    </r>
    <r>
      <rPr>
        <sz val="10"/>
        <rFont val="Arial Cyr"/>
        <charset val="204"/>
      </rPr>
      <t xml:space="preserve"> находится с небольшой погрешностью (деление), что может проявить себя на границах вышеприведённых интервалов.</t>
    </r>
  </si>
  <si>
    <r>
      <rPr>
        <b/>
        <sz val="10"/>
        <rFont val="Arial Cyr"/>
        <charset val="204"/>
      </rPr>
      <t>Sympathy</t>
    </r>
    <r>
      <rPr>
        <sz val="10"/>
        <rFont val="Arial Cyr"/>
        <charset val="204"/>
      </rPr>
      <t xml:space="preserve"> = 0 если в армии героя нет таких же существ, как нейтралы (или их улучшений);</t>
    </r>
  </si>
  <si>
    <r>
      <rPr>
        <b/>
        <sz val="10"/>
        <rFont val="Arial Cyr"/>
        <charset val="204"/>
      </rPr>
      <t>Sympathy</t>
    </r>
    <r>
      <rPr>
        <sz val="10"/>
        <rFont val="Arial Cyr"/>
        <charset val="204"/>
      </rPr>
      <t xml:space="preserve"> = 1 если в армии героя есть хотя бы одно такое же существо (или улучшение);</t>
    </r>
  </si>
  <si>
    <r>
      <rPr>
        <b/>
        <sz val="10"/>
        <rFont val="Arial Cyr"/>
        <charset val="204"/>
      </rPr>
      <t>Sympathy</t>
    </r>
    <r>
      <rPr>
        <sz val="10"/>
        <rFont val="Arial Cyr"/>
        <charset val="204"/>
      </rPr>
      <t xml:space="preserve"> = 2 если число таких существ строго больше, чем всех остальных в армии героя.</t>
    </r>
  </si>
  <si>
    <r>
      <t xml:space="preserve">8. Находим лояльность нейтральных существ </t>
    </r>
    <r>
      <rPr>
        <b/>
        <sz val="10"/>
        <rFont val="Arial Cyr"/>
        <charset val="204"/>
      </rPr>
      <t>X</t>
    </r>
    <r>
      <rPr>
        <sz val="10"/>
        <rFont val="Arial Cyr"/>
        <charset val="204"/>
      </rPr>
      <t xml:space="preserve"> :</t>
    </r>
  </si>
  <si>
    <t>X = 1..7 (случайное целое) для Дружелюбных;</t>
  </si>
  <si>
    <t>X = 1..10 (случайное целое) для Агрессивных;</t>
  </si>
  <si>
    <t>X = 4..10 (случайное целое) для Враждебных;</t>
  </si>
  <si>
    <t>X = 10 для Кровожадных.</t>
  </si>
  <si>
    <r>
      <t xml:space="preserve">9. Находим "харизму" героя </t>
    </r>
    <r>
      <rPr>
        <b/>
        <sz val="10"/>
        <rFont val="Arial Cyr"/>
        <charset val="204"/>
      </rPr>
      <t>Ch</t>
    </r>
    <r>
      <rPr>
        <sz val="10"/>
        <rFont val="Arial Cyr"/>
        <charset val="204"/>
      </rPr>
      <t>:</t>
    </r>
  </si>
  <si>
    <r>
      <rPr>
        <b/>
        <sz val="10"/>
        <rFont val="Arial Cyr"/>
        <charset val="204"/>
      </rPr>
      <t>Ch</t>
    </r>
    <r>
      <rPr>
        <sz val="10"/>
        <rFont val="Arial Cyr"/>
        <charset val="204"/>
      </rPr>
      <t xml:space="preserve"> = </t>
    </r>
    <r>
      <rPr>
        <b/>
        <sz val="10"/>
        <rFont val="Arial Cyr"/>
        <charset val="204"/>
      </rPr>
      <t>Power_Factor</t>
    </r>
    <r>
      <rPr>
        <sz val="10"/>
        <rFont val="Arial Cyr"/>
        <charset val="204"/>
      </rPr>
      <t xml:space="preserve"> + Уровень Дипломатии + </t>
    </r>
    <r>
      <rPr>
        <b/>
        <sz val="10"/>
        <rFont val="Arial Cyr"/>
        <charset val="204"/>
      </rPr>
      <t>Sympathy .</t>
    </r>
  </si>
  <si>
    <r>
      <t xml:space="preserve">a) если </t>
    </r>
    <r>
      <rPr>
        <b/>
        <sz val="10"/>
        <rFont val="Arial Cyr"/>
        <charset val="204"/>
      </rPr>
      <t>Ch</t>
    </r>
    <r>
      <rPr>
        <sz val="10"/>
        <rFont val="Arial Cyr"/>
        <charset val="204"/>
      </rPr>
      <t xml:space="preserve"> &lt; </t>
    </r>
    <r>
      <rPr>
        <b/>
        <sz val="10"/>
        <rFont val="Arial Cyr"/>
        <charset val="204"/>
      </rPr>
      <t>X</t>
    </r>
    <r>
      <rPr>
        <sz val="10"/>
        <rFont val="Arial Cyr"/>
        <charset val="204"/>
      </rPr>
      <t xml:space="preserve"> нейтралы вступят в бой с героем;</t>
    </r>
  </si>
  <si>
    <t>*если герой отклонит предложение присоединиться, нейтралы:</t>
  </si>
  <si>
    <r>
      <t xml:space="preserve">-попытаются сбежать, если </t>
    </r>
    <r>
      <rPr>
        <b/>
        <sz val="10"/>
        <rFont val="Arial Cyr"/>
        <charset val="204"/>
      </rPr>
      <t>Ch</t>
    </r>
    <r>
      <rPr>
        <sz val="10"/>
        <rFont val="Arial Cyr"/>
        <charset val="204"/>
      </rPr>
      <t xml:space="preserve"> &gt; </t>
    </r>
    <r>
      <rPr>
        <b/>
        <sz val="10"/>
        <rFont val="Arial Cyr"/>
        <charset val="204"/>
      </rPr>
      <t>X</t>
    </r>
    <r>
      <rPr>
        <sz val="10"/>
        <rFont val="Arial Cyr"/>
        <charset val="204"/>
      </rPr>
      <t>.</t>
    </r>
  </si>
  <si>
    <t>*если предыдущие условия не выполняются, то нейтралы:</t>
  </si>
  <si>
    <r>
      <t xml:space="preserve">-вступят в бой с героем, если </t>
    </r>
    <r>
      <rPr>
        <b/>
        <sz val="10"/>
        <rFont val="Arial Cyr"/>
        <charset val="204"/>
      </rPr>
      <t>Ch</t>
    </r>
    <r>
      <rPr>
        <sz val="10"/>
        <rFont val="Arial Cyr"/>
        <charset val="204"/>
      </rPr>
      <t xml:space="preserve"> = </t>
    </r>
    <r>
      <rPr>
        <b/>
        <sz val="10"/>
        <rFont val="Arial Cyr"/>
        <charset val="204"/>
      </rPr>
      <t>X</t>
    </r>
    <r>
      <rPr>
        <sz val="10"/>
        <rFont val="Arial Cyr"/>
        <charset val="204"/>
      </rPr>
      <t>,</t>
    </r>
  </si>
  <si>
    <r>
      <t xml:space="preserve">-обидятся и вступят в бой с героем, если </t>
    </r>
    <r>
      <rPr>
        <b/>
        <sz val="10"/>
        <rFont val="Arial Cyr"/>
        <charset val="204"/>
      </rPr>
      <t>Ch</t>
    </r>
    <r>
      <rPr>
        <sz val="10"/>
        <rFont val="Arial Cyr"/>
        <charset val="204"/>
      </rPr>
      <t xml:space="preserve"> = </t>
    </r>
    <r>
      <rPr>
        <b/>
        <sz val="10"/>
        <rFont val="Arial Cyr"/>
        <charset val="204"/>
      </rPr>
      <t>X</t>
    </r>
    <r>
      <rPr>
        <sz val="10"/>
        <rFont val="Arial Cyr"/>
        <charset val="204"/>
      </rPr>
      <t>,</t>
    </r>
  </si>
  <si>
    <r>
      <t xml:space="preserve">-попробуют сбежать, если </t>
    </r>
    <r>
      <rPr>
        <b/>
        <sz val="10"/>
        <rFont val="Arial Cyr"/>
        <charset val="204"/>
      </rPr>
      <t>Ch</t>
    </r>
    <r>
      <rPr>
        <sz val="10"/>
        <rFont val="Arial Cyr"/>
        <charset val="204"/>
      </rPr>
      <t xml:space="preserve"> &gt; </t>
    </r>
    <r>
      <rPr>
        <b/>
        <sz val="10"/>
        <rFont val="Arial Cyr"/>
        <charset val="204"/>
      </rPr>
      <t>X</t>
    </r>
    <r>
      <rPr>
        <sz val="10"/>
        <rFont val="Arial Cyr"/>
        <charset val="204"/>
      </rPr>
      <t>.</t>
    </r>
  </si>
  <si>
    <t>Расчет наносимого в бою урона.</t>
  </si>
  <si>
    <t>Расчёт наносимого в бою урона.</t>
  </si>
  <si>
    <t>Каждое существо имеет своё значение атаки. При расчёте урона, наносимого существом, его атака суммируется с первичным параметром атаки героя.</t>
  </si>
  <si>
    <t>Каждое существо имеет своё значение защиты. При расчёте получаемого урона его защита суммируется с первичным параметром защиты героя.</t>
  </si>
  <si>
    <t>- бонусы артефактов (Ожерелье стремительности (+1 к скорости существ), Кольцо странника (+1 к скорости существ) и Накидка скорости (+2 к скорости существ)) не учитываются при расчёте дневного запаса хода героя;</t>
  </si>
  <si>
    <t>МD(баз) = (Атака - Защита) * 0,05 * D(баз)</t>
  </si>
  <si>
    <t xml:space="preserve"> (если Атака &gt; Защиты) максимум на 300%, т.е. максимальный урон будет тогда, когда Атака больше на 60 единиц.</t>
  </si>
  <si>
    <t>(если Атака &lt; Защиты) максимум на 70%, т.е. минимальный урон будет тогда, когда Защита больше на 28 единиц.</t>
  </si>
  <si>
    <t>M(нап) = 0,3 * (1 + 0,05*Уровень) * D(баз)</t>
  </si>
  <si>
    <t>Указано для Экспертного уровня навыка Нападения.</t>
  </si>
  <si>
    <t xml:space="preserve">M(защ) = 0,15 * (1+0,05*Уровень) </t>
  </si>
  <si>
    <t>Как работает некромантия. Плащ короля нечисти в действии.</t>
  </si>
  <si>
    <t>Поднимаемые существа</t>
  </si>
  <si>
    <t>Кол-во</t>
  </si>
  <si>
    <t>Без Плаща короля нечисти</t>
  </si>
  <si>
    <t>С Плащом короля нечисти</t>
  </si>
  <si>
    <t>Скелеты -</t>
  </si>
  <si>
    <t>Живые мертвецы -</t>
  </si>
  <si>
    <t>Стражи -</t>
  </si>
  <si>
    <t>Личи -</t>
  </si>
  <si>
    <t>30 здоровья</t>
  </si>
  <si>
    <t>18 здоровья</t>
  </si>
  <si>
    <t>15 здоровья</t>
  </si>
  <si>
    <t>6 здоровья</t>
  </si>
  <si>
    <t>- добавляем к этой величине по 10% за каждый Усилитель чёрной магии, находящийся под управлением игрока;</t>
  </si>
  <si>
    <t>- суммируем, полученные значения по отрядам, определяя конечное число призванных существ.</t>
  </si>
  <si>
    <t>- Экспертное Чародейство с применением Плаща короля нечисти даёт модификатор +60%;</t>
  </si>
  <si>
    <t>- Усилитель чёрной магии даёт модификатор 10%;</t>
  </si>
  <si>
    <t>- бонус за специалиста 14 уровня составит 30%*(0,05*14) = 21%;</t>
  </si>
  <si>
    <t>- из первого отряда:</t>
  </si>
  <si>
    <t>- из второго отряда:</t>
  </si>
  <si>
    <t>- из третьего отряда:</t>
  </si>
  <si>
    <t>Азы демонологии.</t>
  </si>
  <si>
    <t>Клонируем существ. Особенности использования заклинания Клон.</t>
  </si>
  <si>
    <t>Эффект</t>
  </si>
  <si>
    <t>Клонирует существ 1...5 уровня, включая Троллей, Золотых големов, Снайперов, Кочевников, Мумий, Хоббитов, Воров, Наездников на кабанах и Крестьян.</t>
  </si>
  <si>
    <t>Клонирует существ 1…6 уровня, включая также Чародеев и Алмазных големов.</t>
  </si>
  <si>
    <t>Клонирует любых существ, включая также Сказочных, Ржавых, Кристаллических и Лазурных драконов.</t>
  </si>
  <si>
    <t>24 маны</t>
  </si>
  <si>
    <t>20 маны</t>
  </si>
  <si>
    <t>Цена применения</t>
  </si>
  <si>
    <t>- существо, иммунное к магии 4 уровня (при наличии у героя Медали уязвимости клонирование возможно);</t>
  </si>
  <si>
    <t>- существо, уже имеющее Клон на момент сотворения заклинания;</t>
  </si>
  <si>
    <t>- сам Клон;</t>
  </si>
  <si>
    <t>- существо, на которое наложена Антимагия выше Базового уровня.</t>
  </si>
  <si>
    <t>Магические и тактические особенности Клона:</t>
  </si>
  <si>
    <t>- Клон не наследует никакие заклинания, уже наложенные на существо;</t>
  </si>
  <si>
    <t>- Клон иммунен к заклинаниям Антимагия, Жертва, Клон;</t>
  </si>
  <si>
    <t>- Клон имеет полный стандартный запас магических и тактических навыков существа, даже если носитель уже израсходовал его до сотворения заклинания (клон стрелка имеет полный боезапас, клон мага имеет возможность колдовать заклинания);</t>
  </si>
  <si>
    <t>- за уничтожение Клона противник опыт не получает.</t>
  </si>
  <si>
    <t>Клон может быть уничтожен в следующих случаях:</t>
  </si>
  <si>
    <t>- при получении любой атаки на Клон;</t>
  </si>
  <si>
    <t>- уничтожение клонированного существа;</t>
  </si>
  <si>
    <t>- истечения N раундов после сотворения заклинания, где N - равняется величине Силы магии героя.</t>
  </si>
  <si>
    <t>Игра против союзника.</t>
  </si>
  <si>
    <t>2. Города.</t>
  </si>
  <si>
    <t>2.1 Таверна.</t>
  </si>
  <si>
    <t>2.2 Гильдия воров.</t>
  </si>
  <si>
    <t>0 (просмотр Гильдии воров в городе союзника)</t>
  </si>
  <si>
    <t>Место в рейтинге по количеству городов и героев.</t>
  </si>
  <si>
    <t>* Нанять героя в Таверне (убедитесь только, что ваш герой не стоит в воротах города);</t>
  </si>
  <si>
    <t>* Купить корабль на Верфи;</t>
  </si>
  <si>
    <t>* Купить существ в Портале вызова Темницы. Работает так, как если бы покупал владелец города, только деньги ваши.</t>
  </si>
  <si>
    <t>2.3 Доступные действия в союзном городе.</t>
  </si>
  <si>
    <t>2.4 Доступные действия в союзном городе без героя.</t>
  </si>
  <si>
    <t>2.5 Доступные действия в союзном городе, если имеется любой герой-гость.</t>
  </si>
  <si>
    <t>* Автоматически учить заклинания в Гильдии магов;</t>
  </si>
  <si>
    <t>* Купить Книгу магии. Если у гостя Книги нет - то её получает он.</t>
  </si>
  <si>
    <t>2.7 Доступные действия в союзном городе, если свой герой-гость.</t>
  </si>
  <si>
    <t>* Войти в гарнизон города;</t>
  </si>
  <si>
    <t>* Забрать войска из гарнизона (даже самолично туда отданные).</t>
  </si>
  <si>
    <t>* Отдать войска в гарнизон;</t>
  </si>
  <si>
    <t>* Использовать Водоворот маны.</t>
  </si>
  <si>
    <t>2.8 Доступные действия в своём городе, если союзный герой-гость.</t>
  </si>
  <si>
    <t>* Через обзор королевства можно открыть экран управления союзным героем;</t>
  </si>
  <si>
    <t>3. Герои на карте приключений.</t>
  </si>
  <si>
    <t>3.1 Обмен.</t>
  </si>
  <si>
    <t>3.2 Гарнизоны.</t>
  </si>
  <si>
    <t>3.3 Верфи.</t>
  </si>
  <si>
    <t>3.5 Прочие объекты с флагом союзника.</t>
  </si>
  <si>
    <t>* Взаимодействовать с охраной шахт союзника;</t>
  </si>
  <si>
    <t>* Покупать существ в жилищах союзника.</t>
  </si>
  <si>
    <t>3.6 Провидцы и палатки ключника.</t>
  </si>
  <si>
    <t>3.7 Карта-загадка.</t>
  </si>
  <si>
    <t>3.8 Эффект Грааля.</t>
  </si>
  <si>
    <t>* Небесный корабль (Башня): открытие карты и дополнительное Знание при обороне;</t>
  </si>
  <si>
    <t>* Бог огня (Инферно): постоянная неделя Бесов. Замечательный вариант использования Грааля!</t>
  </si>
  <si>
    <t>* Радуга (Сопряжение);</t>
  </si>
  <si>
    <t>* Хранитель земли (Темница);</t>
  </si>
  <si>
    <t>* Памятник богам войны (Цитадель);</t>
  </si>
  <si>
    <t>* Плотоядное растение (Крепость).</t>
  </si>
  <si>
    <t>* Колосс (Замок);</t>
  </si>
  <si>
    <t>* Хранитель духа (Оплот);</t>
  </si>
  <si>
    <t>Прочее.</t>
  </si>
  <si>
    <t>ОЧКИ = [200 - (D + 10) / (Z+5) + B + G] * R ,</t>
  </si>
  <si>
    <t>D - количество затраченных на игру дней;</t>
  </si>
  <si>
    <t>Z - количество захваченных городов;</t>
  </si>
  <si>
    <t>G - бонус за Грааль (25 очков) - достаточно только выкопать его;</t>
  </si>
  <si>
    <t>R - коэффициент сложности игры (максимум 2).</t>
  </si>
  <si>
    <t>Расчет количества очков, получаемых за прохождение кампании.</t>
  </si>
  <si>
    <t>Расчет количества очков, получаемых за игру и за кампанию.</t>
  </si>
  <si>
    <t>2) вычисляется среднее значение отдельного сценария: сумма всех результатов делится на количество сценариев;</t>
  </si>
  <si>
    <t>Расчет количества очков, получаемых за игру. Таблица.</t>
  </si>
  <si>
    <t>Возрождение Эрафии (Restoration of Erathia, RoE)</t>
  </si>
  <si>
    <t>Клинок Армагеддона (Armageddon's Blade, AB)</t>
  </si>
  <si>
    <t>Дыхание смерти (Shadow of Death, SoD) + Хроники героев (Heroes Chronicles)</t>
  </si>
  <si>
    <r>
      <t>" ?"</t>
    </r>
    <r>
      <rPr>
        <sz val="10"/>
        <color indexed="8"/>
        <rFont val="Arial"/>
        <family val="2"/>
        <charset val="204"/>
      </rPr>
      <t xml:space="preserve"> (он же </t>
    </r>
    <r>
      <rPr>
        <b/>
        <sz val="10"/>
        <color indexed="8"/>
        <rFont val="Arial"/>
        <family val="2"/>
        <charset val="204"/>
      </rPr>
      <t>" h"</t>
    </r>
    <r>
      <rPr>
        <sz val="10"/>
        <color indexed="8"/>
        <rFont val="Arial"/>
        <family val="2"/>
        <charset val="204"/>
      </rPr>
      <t xml:space="preserve"> и </t>
    </r>
    <r>
      <rPr>
        <b/>
        <sz val="10"/>
        <color indexed="8"/>
        <rFont val="Arial"/>
        <family val="2"/>
        <charset val="204"/>
      </rPr>
      <t>" H"</t>
    </r>
    <r>
      <rPr>
        <sz val="10"/>
        <color indexed="8"/>
        <rFont val="Arial"/>
        <family val="2"/>
        <charset val="204"/>
      </rPr>
      <t>) — причем обязательно с пробелом между двойной кавычкой и знаком вопроса или буквой - игра выдает сообщение, в котором объясняются следующие два ключа:</t>
    </r>
  </si>
  <si>
    <t>Создать в директории \HEROES\DATA 4 пустых файла:</t>
  </si>
  <si>
    <t>В директории \HEROES надо создать:</t>
  </si>
  <si>
    <t>Чит-коды для всех версий игры. Сопряжение в SoDе.</t>
  </si>
  <si>
    <t>Doublecast. Двойное колдовство магии за один игровой раунд.</t>
  </si>
  <si>
    <t>Использование магии в Гарнизоне антимагии.</t>
  </si>
  <si>
    <t>Продажа артефактов по завышенным ценам.</t>
  </si>
  <si>
    <t>Неоднократное посещение Сирен одним и тем же героем.</t>
  </si>
  <si>
    <t>Multidefeat. Ослабление неулучшенных нейтральных армий многократными поражениями.</t>
  </si>
  <si>
    <t>Использование навигационных бонусов на суше.</t>
  </si>
  <si>
    <t>Захват заблокированных городов с помощью заклинания Полет.</t>
  </si>
  <si>
    <t>Использование вторичного навыка Тактика при управлении двухгексовыми существами.</t>
  </si>
  <si>
    <t>Грааль в Сопряжении.</t>
  </si>
  <si>
    <t>Бесконечный запас выстрелов у Баллисты.</t>
  </si>
  <si>
    <t>Пронос нейтралов.</t>
  </si>
  <si>
    <t>Самые известные баги в игре.</t>
  </si>
  <si>
    <t>Английская терминология игры.</t>
  </si>
  <si>
    <t>Основные городские строения</t>
  </si>
  <si>
    <t>Дополнительные городские строения</t>
  </si>
  <si>
    <t>Тип города, Основные городские строения, Дополнительные городские строения, Храм Грааля, Названия городов</t>
  </si>
  <si>
    <t>Объекты на карте приключений, Артефакты, Типы артефактов, Существа</t>
  </si>
  <si>
    <t>Алтарь жертвоприношений</t>
  </si>
  <si>
    <t>Гарнизон антимагии</t>
  </si>
  <si>
    <t>Великий гноллий кистень</t>
  </si>
  <si>
    <t>Лук из вишневого дерева эльфов</t>
  </si>
  <si>
    <t>Вызвать корабль</t>
  </si>
  <si>
    <t>Вампиризм</t>
  </si>
  <si>
    <t>Сжигание маны</t>
  </si>
  <si>
    <t>Пруд самоцветов</t>
  </si>
  <si>
    <t xml:space="preserve"> Песок</t>
  </si>
  <si>
    <t xml:space="preserve"> Подземелье</t>
  </si>
  <si>
    <t>Месяц существа</t>
  </si>
  <si>
    <t>Чума</t>
  </si>
  <si>
    <t>"Горячие кнопки", используемые в игре.</t>
  </si>
  <si>
    <t>Волш.зеркало (1)</t>
  </si>
  <si>
    <t>К содержанию</t>
  </si>
  <si>
    <t>Вероятности появления заклинаний в Гильдии магов разных городов.</t>
  </si>
  <si>
    <t>Определение величины войска в армии нейтралов для разных версий игры.</t>
  </si>
  <si>
    <t>Расчет количества очков, получаемых за игру.</t>
  </si>
  <si>
    <r>
      <t>Ангелы (Архангелы)</t>
    </r>
    <r>
      <rPr>
        <sz val="10"/>
        <rFont val="Arial"/>
        <family val="2"/>
        <charset val="204"/>
      </rPr>
      <t xml:space="preserve"> - всегда наносят максимальный урон (эффект Bless базового уровня), их присутствие поднимает мораль войск, наносят 150% урона против Дьяволов (Архидьяволов). Архангелы могут колдовать Воскрешение один раз за бой из расчета 100 HP на одного Архангела.</t>
    </r>
  </si>
  <si>
    <r>
      <t>Черные рыцари (Рыцари Смерти)</t>
    </r>
    <r>
      <rPr>
        <sz val="10"/>
        <rFont val="Arial"/>
        <family val="2"/>
        <charset val="204"/>
      </rPr>
      <t xml:space="preserve"> имеют 20% шанс нанести двойной урон противнику и 20% шанс наложить на него Curse.</t>
    </r>
  </si>
  <si>
    <r>
      <t>Магоги</t>
    </r>
    <r>
      <rPr>
        <sz val="10"/>
        <rFont val="Arial"/>
        <family val="2"/>
        <charset val="204"/>
      </rPr>
      <t xml:space="preserve"> - стреляют заклинанием Огненный шар, которое наносит урон всем существам, даже иммунным.</t>
    </r>
  </si>
  <si>
    <t>*** У героев, имеющих Палатку первой помощи и Баллисту, вероятность наличия на старте этих машин также случайна, как и наличие некоторых отрядов существ.</t>
  </si>
  <si>
    <t>Уничтожает первый указанный целевой отряд дружественных существ и воскрешает второй указанный на количество здоровья равное (СМ+здоровье 1 существа в первом отряде+3)*количество существ в первом отряде.</t>
  </si>
  <si>
    <t>Эффект заклинания в зависимости от уровня развития школы магии:</t>
  </si>
  <si>
    <t>Показывает расположение всех артефактов на особой уменьшенной карте, при этом открывая терру инкогнито, показывая тип поверхности.</t>
  </si>
  <si>
    <t>То же + Скрывает количество существ в отрядах. Вместо этого противники видят будто в каждом отряде 0 существ.</t>
  </si>
  <si>
    <t>Контроль над Палаткой первой помощи. Сила Палатки повышается до 1…50 единиц здоровья при лечении.</t>
  </si>
  <si>
    <t>Контроль над Палаткой первой помощи. Сила Палатки повышается до 1…75 единиц здоровья при лечении.</t>
  </si>
  <si>
    <t>Контроль над Палаткой первой помощи. Сила Палатки повышается до 1…100 единиц здоровья при лечении.</t>
  </si>
  <si>
    <t xml:space="preserve">  Маги полностью посвящают себя приобретению мистических и магических навыков. И хотя они мало внимания уделяют боевым навыкам, когда им необходимо они при помощи мощных тайных сил могут легко оказаться в победителях. Они редко имеют при себе какое-либо оружие, полностью полагаясь на свое умение воспользоваться магией, чтобы защититься.</t>
  </si>
  <si>
    <t xml:space="preserve">  Путешественники - выходцы из элементалей. Теперь они не просто существа, подчиняющиеся воле тех, кто их вызвал. Став независимыми, они сами командуют войсками своих собратьев.</t>
  </si>
  <si>
    <t xml:space="preserve">Возможно, Мелодиа и не самый умелый Друид, в Авли, но уж точно самый везучий. Даже в стычках с самыми страшными чудовищами, она каким-то чудом ухитряется победить. Солдаты с радостью идут служить в те войска, которыми она командует. </t>
  </si>
  <si>
    <t xml:space="preserve">Айден, по происхождению Шаман, предложил свои услуги Криганам, когда обнаружил в себе темное желание однажды стать правителем своего собственного королевства.  </t>
  </si>
  <si>
    <t>Никто не может быть уверенным, что Тант когда-то был среди живых. Некоторые говорят, он дрался за Эрафию во времена Войн Тимбера, но пал жертвой Вампира во время ночного перехода через Финаксию.</t>
  </si>
  <si>
    <t>Большая часть магической силы Геона заключается в том ,что он может читать мысли других заклинателей, и таким образом обучаться заклинаниям самому.</t>
  </si>
  <si>
    <t>Живя вблизи Эрафийской столицы многие годы, Тунар активно изучала Военную тактику и Общество. Её любопытство и уважение к смертным привели её в Сопряжение.</t>
  </si>
  <si>
    <t>Четыре года назад могущественный волшебник вызвал Игниссу на земли Энрота. Не имея возможности вернуться, она странствовала по Антагаричу, пока не почувствовала зов Сопряжения.</t>
  </si>
  <si>
    <t>Родство Винстона Борагуса с ограми, которыми он командует, позволило ему далеко продвинуться в поисках источника силы.</t>
  </si>
  <si>
    <t>С тех пор, как Килгор победил своего собственного отца, чтобы быть правителем своего клана, он стал самым знаменитым во всём Кревлоде. Многие считают, что он единственный человек, способный победить на Фестивале Жизни.</t>
  </si>
  <si>
    <t>Недавно освобождённый от Криганов, Роланд почтительно служит генералом Эрафийских войск под началом своей жены Катерины. Вскоре эти войны кончатся, и он и его Катерина вернутся в Энрот. Однако, они оба должны решить судьбу Эрафийского трона.</t>
  </si>
  <si>
    <t>Получеловек, полуэльф Вори</t>
  </si>
  <si>
    <t>Мало что известно о Джелу.  Джелу был найден и выращен Генералом Морганом Кендалем, когда он служил под начальством Катерины. Джелу теперь командует Эрафийскими Лесными Стражами. Говорят, что он наполовину человек, наполовину эльф Вори.</t>
  </si>
  <si>
    <t>Существуют следующие типы Сокровищниц ресурсов:</t>
  </si>
  <si>
    <t>2.Герои Некрополиса, Инферно и Темницы могут обменять существ на опыт:</t>
  </si>
  <si>
    <t>Кораблекрушение (разграбленное)</t>
  </si>
  <si>
    <t>Основные</t>
  </si>
  <si>
    <r>
      <t xml:space="preserve">* </t>
    </r>
    <r>
      <rPr>
        <sz val="10"/>
        <rFont val="Arial"/>
        <family val="2"/>
        <charset val="204"/>
      </rPr>
      <t xml:space="preserve">В колонке </t>
    </r>
    <r>
      <rPr>
        <b/>
        <sz val="10"/>
        <rFont val="Arial"/>
        <family val="2"/>
        <charset val="204"/>
      </rPr>
      <t>Цена</t>
    </r>
    <r>
      <rPr>
        <sz val="10"/>
        <rFont val="Arial"/>
        <family val="2"/>
        <charset val="204"/>
      </rPr>
      <t xml:space="preserve"> приведены базовые стоимости артефактов в игре. К базовой цене при покупке/продаже артефактов на Чёрном рынке или у Торговцев артефактами применяются модификаторы в зависимости от количества Рынков у игрока. Исключение составляют: Книга магии, которая при базовой цене равной 0, всегда стоит 500 золота и продается только в городской Гильдии магов; Боевые машины также всегда стоят одинаково и продаются только в Кузнице или на Фабрике военной техники по базовым ценам.</t>
    </r>
  </si>
  <si>
    <t xml:space="preserve">Вас останавливает титан и требует 5000 золотых. Вы отказываетесь. Титан хватается за меч, который висит у него на поясе, однако вы успеваете проскочить у него между ног. Ваш маневр настолько неожидан, что он спотыкается и падает... прямо на свой меч. </t>
  </si>
  <si>
    <t>Вы встречаете старого оружейника, который утверждает, что должен вам за что-то отплатить. Вы соглашаетесь и он, соединив вместе несколько чешуек василиска, отдает вам отличные доспехи.</t>
  </si>
  <si>
    <t>Вас останавливает титан и требует 5000 золотых. Вы отказываетесь. Титан хватается за меч, который висит у него на поясе, однако вы успеваете проскочить у него между ног. Ваш маневр настолько неожидан, что он спотыкается и падает... прямо на свой меч.</t>
  </si>
  <si>
    <t>Повышает на 20 баллов Атаку любого защищающего город героя.</t>
  </si>
  <si>
    <t>В Гильдии магов герои могут изучить все игровые заклинания, даже если они запрещены в целом на карте, но не запрещены именно для этого города.</t>
  </si>
  <si>
    <t>Карающая Дубина Огра</t>
  </si>
  <si>
    <t>Щит Яростного Огра</t>
  </si>
  <si>
    <t>Наем Копейщиков (14 в неделю).</t>
  </si>
  <si>
    <t>Наем Алебардщиков (14 в неделю).</t>
  </si>
  <si>
    <t>Наем Арбалетчиков (9 в неделю).</t>
  </si>
  <si>
    <t>Наем Стрелков (9 в неделю).</t>
  </si>
  <si>
    <t>Наем Грифонов (7 в неделю).</t>
  </si>
  <si>
    <t>Наем Рыцарей (4 в неделю).</t>
  </si>
  <si>
    <t>Наем Крестоносцев (4 в неделю).</t>
  </si>
  <si>
    <t>Наем Монахов (3 в неделю).</t>
  </si>
  <si>
    <t>Наем Фанатиков (3 в неделю).</t>
  </si>
  <si>
    <t>Наем Кавалеристов (2 в неделю).</t>
  </si>
  <si>
    <t>Наем Чемпионов (2 в неделю).</t>
  </si>
  <si>
    <t>Наем Ангелов (1 в неделю).</t>
  </si>
  <si>
    <t>Наем Архангелов (1 в неделю).</t>
  </si>
  <si>
    <t>Наем Кентавров (14 в неделю).</t>
  </si>
  <si>
    <t>Наем Гномов (8 в неделю).</t>
  </si>
  <si>
    <t>Наем Боевых гномов (8 в неделю).</t>
  </si>
  <si>
    <t>Наем Лесных эльфов (7 в неделю).</t>
  </si>
  <si>
    <t>Наем Великих эльфов (7 в неделю).</t>
  </si>
  <si>
    <t>Наем Пегасов (5 в неделю).</t>
  </si>
  <si>
    <t>Наем Дендроидов-стражей (3 в неделю).</t>
  </si>
  <si>
    <t>Наем Дендроидов-солдат (3 в неделю).</t>
  </si>
  <si>
    <t>Наем Единорогов (2 в неделю).</t>
  </si>
  <si>
    <t>Наем Зелёных драконов (1 в неделю).</t>
  </si>
  <si>
    <t>Наем Золотых драконов (1 в неделю).</t>
  </si>
  <si>
    <t>Наем Гремлинов (16 в неделю).</t>
  </si>
  <si>
    <t>Наем Мастер-гремлинов (16 в неделю).</t>
  </si>
  <si>
    <t>Наем Магов (4 в неделю).</t>
  </si>
  <si>
    <t>Наем Архимагов (4 в неделю).</t>
  </si>
  <si>
    <t>Наем Джиннов (3 в неделю).</t>
  </si>
  <si>
    <t>Наем Мастер-джиннов (3 в неделю).</t>
  </si>
  <si>
    <t>Наем Наг (2 в неделю).</t>
  </si>
  <si>
    <t>Наем Гигантов (1 в неделю).</t>
  </si>
  <si>
    <t>Наем Титанов (1 в неделю).</t>
  </si>
  <si>
    <t>Наем Скелетов (12 в неделю).</t>
  </si>
  <si>
    <t>Наем Скелетов-воинов (12 в неделю).</t>
  </si>
  <si>
    <t>Наем Зомби (8 в неделю).</t>
  </si>
  <si>
    <t>Наем Стражей (7 в неделю).</t>
  </si>
  <si>
    <t>Наем Привидений (7 в неделю).</t>
  </si>
  <si>
    <t>Наем Вампиров (4 в неделю).</t>
  </si>
  <si>
    <t>Наем Вампиров-лордов (4 в неделю).</t>
  </si>
  <si>
    <t>Наем Личей (3 в неделю).</t>
  </si>
  <si>
    <t>Наем Чёрных рыцарей (2 в неделю).</t>
  </si>
  <si>
    <t>Наем Рыцарей смерти (2 в неделю).</t>
  </si>
  <si>
    <t>Наем Костяных драконов (1 в неделю).</t>
  </si>
  <si>
    <t>Наем Драконов-привидений (1 в неделю).</t>
  </si>
  <si>
    <t>Наем Троглодитов (14 в неделю).</t>
  </si>
  <si>
    <t>Наем Гарпий (8 в неделю).</t>
  </si>
  <si>
    <t>Наем Гарпий-ведьм (8 в неделю).</t>
  </si>
  <si>
    <t>Наем Бехолдеров (7 в неделю).</t>
  </si>
  <si>
    <t>Наем Созерцателей (7 в неделю).</t>
  </si>
  <si>
    <t>Наем Медуз (4 в неделю).</t>
  </si>
  <si>
    <t>Наем Королев медуз (4 в неделю).</t>
  </si>
  <si>
    <t>Наем Минотавров (3 в неделю).</t>
  </si>
  <si>
    <t>Наем Королей минотавров (3 в неделю).</t>
  </si>
  <si>
    <t>Наем Мантикор (2 в неделю).</t>
  </si>
  <si>
    <t>Наем Скорпикор (2 в неделю).</t>
  </si>
  <si>
    <t>Наем Красных драконов (1 в неделю).</t>
  </si>
  <si>
    <t>Наем Чёрных драконов (1 в неделю).</t>
  </si>
  <si>
    <t>Наем Бесов (15 в неделю).</t>
  </si>
  <si>
    <t>Наем Чертей (15 в неделю).</t>
  </si>
  <si>
    <t>Наем Гогов (8 в неделю).</t>
  </si>
  <si>
    <t>Наем Магогов (8 в неделю).</t>
  </si>
  <si>
    <t>Наем Адских гончих (5 в неделю).</t>
  </si>
  <si>
    <t>Наем Церберов (5 в неделю).</t>
  </si>
  <si>
    <t>Наем Демонов (4 в неделю).</t>
  </si>
  <si>
    <t>Наем Рогатых демонов (4 в неделю).</t>
  </si>
  <si>
    <t>Наем Порождений зла (3 в неделю).</t>
  </si>
  <si>
    <t>Наем Адских отродий (3 в неделю).</t>
  </si>
  <si>
    <t>Наем Ифритов (2 в неделю).</t>
  </si>
  <si>
    <t>Наем Султанов-ифритов (2 в неделю).</t>
  </si>
  <si>
    <t>Наем Дьяволов (1 в неделю).</t>
  </si>
  <si>
    <t>Наем Архидьяволов (1 в неделю).</t>
  </si>
  <si>
    <t>Наем Гноллов (12 в неделю).</t>
  </si>
  <si>
    <t>Наем Гноллов-мародёров (12 в неделю).</t>
  </si>
  <si>
    <t>Наем Ящеров (9 в неделю).</t>
  </si>
  <si>
    <t>Наем Ящеров-воинов (9 в неделю).</t>
  </si>
  <si>
    <t>Наем Змиев (8 в неделю).</t>
  </si>
  <si>
    <t>Наем Стрекоз (8 в неделю).</t>
  </si>
  <si>
    <t>Наем Василисков (4 в неделю).</t>
  </si>
  <si>
    <t>Наем Горгон (3 в неделю).</t>
  </si>
  <si>
    <t>Наем Виверн (2 в неделю).</t>
  </si>
  <si>
    <t>Наем Виверн-монархов (2 в неделю).</t>
  </si>
  <si>
    <t>Наем Гидр (1 в неделю).</t>
  </si>
  <si>
    <t>Наем Гидр хаоса (1 в неделю).</t>
  </si>
  <si>
    <t>Наем Гоблинов (15 в неделю).</t>
  </si>
  <si>
    <t>Наем Хобгоблинов (15 в неделю).</t>
  </si>
  <si>
    <t>Наем Налётчиков (9 в неделю).</t>
  </si>
  <si>
    <t>Наем Орков (7 в неделю).</t>
  </si>
  <si>
    <t>Наем Орков-вождей (7 в неделю).</t>
  </si>
  <si>
    <t>Наем Огров (4 в неделю).</t>
  </si>
  <si>
    <t>Наем Огров-магов (4 в неделю).</t>
  </si>
  <si>
    <t>Наем Птиц рух (3 в неделю).</t>
  </si>
  <si>
    <t>Наем Птиц грома (3 в неделю).</t>
  </si>
  <si>
    <t>Наем Циклопов (2 в неделю).</t>
  </si>
  <si>
    <t>Наем Королей циклопов (2 в неделю).</t>
  </si>
  <si>
    <t>Наем Чудищ (1 в неделю).</t>
  </si>
  <si>
    <t>Наем Древних чудищ (1 в неделю).</t>
  </si>
  <si>
    <t>Наем Маленьких фей (20 в неделю).</t>
  </si>
  <si>
    <t>Наем Фей (20 в неделю).</t>
  </si>
  <si>
    <t>40% сопротивление</t>
  </si>
  <si>
    <t>Элементаль, Защита от огня, Ненависть к Элементалям воды</t>
  </si>
  <si>
    <t>Внешние жилища -</t>
  </si>
  <si>
    <t>Ул.Заколдов-й ручей</t>
  </si>
  <si>
    <r>
      <t xml:space="preserve">6. Определяем показатель силы героя в сравнении с силой нейтралов </t>
    </r>
    <r>
      <rPr>
        <b/>
        <sz val="10"/>
        <rFont val="Arial Cyr"/>
        <charset val="204"/>
      </rPr>
      <t>Power_Factor</t>
    </r>
    <r>
      <rPr>
        <sz val="10"/>
        <rFont val="Arial Cyr"/>
        <charset val="204"/>
      </rPr>
      <t>:</t>
    </r>
  </si>
  <si>
    <t>Дополнительный иммунитет различных элементалей</t>
  </si>
  <si>
    <r>
      <t>1. Артефакты.</t>
    </r>
    <r>
      <rPr>
        <sz val="10"/>
        <rFont val="Arial"/>
        <family val="2"/>
        <charset val="204"/>
      </rPr>
      <t xml:space="preserve"> Надетые артефакты увеличивают (для расчета коэффициента </t>
    </r>
    <r>
      <rPr>
        <b/>
        <sz val="10"/>
        <rFont val="Arial"/>
        <family val="2"/>
        <charset val="204"/>
      </rPr>
      <t>K</t>
    </r>
    <r>
      <rPr>
        <sz val="10"/>
        <rFont val="Arial"/>
        <family val="2"/>
        <charset val="204"/>
      </rPr>
      <t xml:space="preserve">, не в реальности) базовый запас </t>
    </r>
    <r>
      <rPr>
        <b/>
        <sz val="10"/>
        <rFont val="Arial"/>
        <family val="2"/>
        <charset val="204"/>
      </rPr>
      <t>M</t>
    </r>
    <r>
      <rPr>
        <sz val="10"/>
        <rFont val="Arial"/>
        <family val="2"/>
        <charset val="204"/>
      </rPr>
      <t xml:space="preserve"> (не путать с текущим </t>
    </r>
    <r>
      <rPr>
        <b/>
        <sz val="10"/>
        <rFont val="Arial"/>
        <family val="2"/>
        <charset val="204"/>
      </rPr>
      <t>М(тек)</t>
    </r>
    <r>
      <rPr>
        <sz val="10"/>
        <rFont val="Arial"/>
        <family val="2"/>
        <charset val="204"/>
      </rPr>
      <t xml:space="preserve">, который изменяется только в случае если герой двигался), т.е. Сапоги скорости – на 600 МР, а Перчатки всадника на 300 МР, тем самым существенно снижая коэффициент </t>
    </r>
    <r>
      <rPr>
        <b/>
        <sz val="10"/>
        <rFont val="Arial"/>
        <family val="2"/>
        <charset val="204"/>
      </rPr>
      <t>K</t>
    </r>
    <r>
      <rPr>
        <sz val="10"/>
        <rFont val="Arial"/>
        <family val="2"/>
        <charset val="204"/>
      </rPr>
      <t xml:space="preserve">. Причем они начинают влиять на этот параметр сразу же после того, как были надеты, т.е. не дожидаясь перехода хода! Если герой умудрился не снять их при посадке в лодку, то увеличение величины </t>
    </r>
    <r>
      <rPr>
        <b/>
        <sz val="10"/>
        <rFont val="Arial"/>
        <family val="2"/>
        <charset val="204"/>
      </rPr>
      <t>M</t>
    </r>
    <r>
      <rPr>
        <sz val="10"/>
        <rFont val="Arial"/>
        <family val="2"/>
        <charset val="204"/>
      </rPr>
      <t xml:space="preserve"> приведет в итоге к потере 31-38% морского хода (в зависимости от первоначальной величины </t>
    </r>
    <r>
      <rPr>
        <b/>
        <sz val="10"/>
        <rFont val="Arial"/>
        <family val="2"/>
        <charset val="204"/>
      </rPr>
      <t>М</t>
    </r>
    <r>
      <rPr>
        <sz val="10"/>
        <rFont val="Arial"/>
        <family val="2"/>
        <charset val="204"/>
      </rPr>
      <t>). Верно и обратное – если их надеть перед высадкой, то этот прирост подарит нам из воздуха 45-60% очков движения! Вот он где баг сидит.</t>
    </r>
  </si>
  <si>
    <t>- против Клона нельзя применить Снятие заклинаний, так как сам Клон, хоть и имеет магическую природу, этого заклинания не боится, хотя все заклинания, которые наложены на клон снимаются Снятием заклинаний без проблем;</t>
  </si>
  <si>
    <t>Могуществ.лич</t>
  </si>
  <si>
    <t>Дикобраз</t>
  </si>
  <si>
    <t>*</t>
  </si>
  <si>
    <t>+500 очков движения (MP) к ежедневному запасу хода героя по воде, пока Маяк находится под контролем игрока. Бонусы нескольких Маяков суммируются. Бонус Маяка начинает действовать только на следующий день после установки над ним флага.</t>
  </si>
  <si>
    <t>При генерации случайной карты Склеп не может появиться на Лаве, Камнях и Подземном ландшафте.</t>
  </si>
  <si>
    <t>Рынок (внешний)</t>
  </si>
  <si>
    <t>При генерации случайной карты Рынок не может появиться на Лаве, Песке и Подземном ландшафте.</t>
  </si>
  <si>
    <t>+400 очков движения (MP) к ежедневному запасу хода до конца недели. Бесплатно усовершенствует Кавалеристов до Чемпионов. При генерации случайной карты Конюшни не могут появиться на Лаве, Песке, Снегу, Подземном ландшафте и Болоте.</t>
  </si>
  <si>
    <t>При генерации случайной карты Водяная мельница не может появиться на Лаве, Камнях, Песке и Подземном ландшафте.</t>
  </si>
  <si>
    <t>При генерации случайной карты Мистический сад не может появиться на Лаве, Камнях, Песке, Снегу и Подземном ландшафте.</t>
  </si>
  <si>
    <t>При генерации случайной карты Древо знаний может появиться только на Грязи и Траве.</t>
  </si>
  <si>
    <t>При генерации случайной карты Пирамида может появиться только на Песке.</t>
  </si>
  <si>
    <t>Боевой дух целевого существа +1 или +2, в зависимости от уровня развития Магии воды.</t>
  </si>
  <si>
    <t>Боевой дух целевого существа -1 или -2, в зависимости от уровня развития Магии земли.</t>
  </si>
  <si>
    <t>Удача целевого существа +1 или +2, в зависимости от уровня развития Магии воздуха.</t>
  </si>
  <si>
    <t>Удача целевого существа -1 или -2, в зависимости от уровня развития Магии огня.</t>
  </si>
  <si>
    <t>Боевые машины</t>
  </si>
  <si>
    <t xml:space="preserve"> Баллиста</t>
  </si>
  <si>
    <t xml:space="preserve"> Катапульта</t>
  </si>
  <si>
    <t xml:space="preserve"> Палатка первой помощи</t>
  </si>
  <si>
    <t xml:space="preserve"> Тележка с боеприпасами</t>
  </si>
  <si>
    <t xml:space="preserve"> Стрелковая башня</t>
  </si>
  <si>
    <t>Ниже все значения для существ представлены в порядке убывания ценности:</t>
  </si>
  <si>
    <t>Свитки с заклинаниями на Алтаре жертвоприношений не дают опыта.</t>
  </si>
  <si>
    <t>Герой может продать существ из своей армии за 70% от их обычной стоимости (учитывается только золото). Чтобы перевести эту сумму в количество серы, ртути, самоцветов или кристаллов, нужно разделить ее на 500. Для древесины и руды - на 250. Округление вниз.</t>
  </si>
  <si>
    <t>Помимо карты приключений, Гильдию наёмных работников можно отстроить в любой Цитадели. При этом курс продажи существ будет зависеть от количества Рынков у игрока:</t>
  </si>
  <si>
    <t>Количество Рынков</t>
  </si>
  <si>
    <t>Стоимость, в % от обычной цены</t>
  </si>
  <si>
    <t>8 и более</t>
  </si>
  <si>
    <t>Полёт, Элементаль, Защита от огня, Ненависть к Элементалям воды, Защита от огня</t>
  </si>
  <si>
    <r>
      <t>ШКОЛА МАГИИ</t>
    </r>
    <r>
      <rPr>
        <b/>
        <sz val="10"/>
        <rFont val="Arial"/>
        <family val="2"/>
        <charset val="204"/>
      </rPr>
      <t>.</t>
    </r>
  </si>
  <si>
    <r>
      <t>СВЯТЫНЯ МАГИЧЕСКОГО ВОПЛОЩЕНИЯ</t>
    </r>
    <r>
      <rPr>
        <b/>
        <sz val="10"/>
        <rFont val="Arial"/>
        <family val="2"/>
        <charset val="204"/>
      </rPr>
      <t>.</t>
    </r>
  </si>
  <si>
    <r>
      <t>СВЯТЫНЯ МАГИЧЕСКОГО ЖЕСТА</t>
    </r>
    <r>
      <rPr>
        <b/>
        <sz val="10"/>
        <rFont val="Arial"/>
        <family val="2"/>
        <charset val="204"/>
      </rPr>
      <t>.</t>
    </r>
  </si>
  <si>
    <r>
      <t>СВЯТЫНЯ МАГИЧЕСКОЙ МЫСЛИ</t>
    </r>
    <r>
      <rPr>
        <b/>
        <sz val="10"/>
        <rFont val="Arial"/>
        <family val="2"/>
        <charset val="204"/>
      </rPr>
      <t>.</t>
    </r>
  </si>
  <si>
    <t>Наем Огненных птиц (2 в неделю).</t>
  </si>
  <si>
    <t>Наем Фениксов (2 в неделю).</t>
  </si>
  <si>
    <t>4.4</t>
  </si>
  <si>
    <t>Гильдия воров.</t>
  </si>
  <si>
    <t>* Для изучения заклинаний 3 уровня требуется Базовая Мудрость.</t>
  </si>
  <si>
    <t>** Для изучения заклинаний 4 уровня требуется Продвинутая Мудрость.</t>
  </si>
  <si>
    <t>*** Для изучения заклинаний 5 уровня требуется Экспертная Мудрость.</t>
  </si>
  <si>
    <t>То же + Портрет лучшего героя.</t>
  </si>
  <si>
    <t>То же + Место в рейтинге по количеству золота и древесины/руды, первичные навыки лучшего героя.</t>
  </si>
  <si>
    <t>То же + Место в рейтинге по количеству ртути/серы/кристаллов/самоцветов и по найденным обелискам, личность игрока: Исследователь, Строитель или Воин. Личность не компьютерных игроков установлена как Человек.</t>
  </si>
  <si>
    <t>5 и более</t>
  </si>
  <si>
    <t>То же + Место в рейтинге по количеству артефактов и по мощи армии королевства, портрет лучшего существа у игрока.</t>
  </si>
  <si>
    <t>То же + Место в рейтинге по ежедневному доходу.</t>
  </si>
  <si>
    <t>Скорость цели +3. Снимает Медлительность при наложении.</t>
  </si>
  <si>
    <t>Скорость цели -25%. Снимает Ускорение при наложении.</t>
  </si>
  <si>
    <t>Урон цели равен минимальному. Снимает Благословление при наложении.</t>
  </si>
  <si>
    <t>Урон цели равен максимальному. Снимает проклятие при наложении.</t>
  </si>
  <si>
    <t>1.Сражения с нейтральными существами.</t>
  </si>
  <si>
    <t>2.Сражения с вражескими героями.</t>
  </si>
  <si>
    <t>3.Захват сокровищниц.</t>
  </si>
  <si>
    <t>4.Захват жилищ существ, шахт и т.д.</t>
  </si>
  <si>
    <t>Свободный строй</t>
  </si>
  <si>
    <t>Плотный строй</t>
  </si>
  <si>
    <t>1 отряд</t>
  </si>
  <si>
    <t>2 отряда</t>
  </si>
  <si>
    <t>3 отряда</t>
  </si>
  <si>
    <t>4 отряда</t>
  </si>
  <si>
    <t>5 отрядов</t>
  </si>
  <si>
    <t>6 отрядов</t>
  </si>
  <si>
    <t>7 отрядов</t>
  </si>
  <si>
    <t>Группировка</t>
  </si>
  <si>
    <t>Кол-во отрядов</t>
  </si>
  <si>
    <t>Занимаемые клетки</t>
  </si>
  <si>
    <t>Схема поля боя</t>
  </si>
  <si>
    <t>3 - 9</t>
  </si>
  <si>
    <t>3 - 6 - 9</t>
  </si>
  <si>
    <t>1 - 5 - 7 - 11</t>
  </si>
  <si>
    <t>1 - 3 - 6 - 9 - 11</t>
  </si>
  <si>
    <t>1 - 3 - 5 - 7 - 9 - 11</t>
  </si>
  <si>
    <t>1 - 3 - 5 - 6 - 7 - 9 - 11</t>
  </si>
  <si>
    <t>5 - 7</t>
  </si>
  <si>
    <t>5 - 6 - 7</t>
  </si>
  <si>
    <t>3 - 5 - 7 - 9</t>
  </si>
  <si>
    <t>3 - 5 - 6 - 7 - 9</t>
  </si>
  <si>
    <t>Отношение</t>
  </si>
  <si>
    <t>Количество отрядов</t>
  </si>
  <si>
    <t>0,5 … 0,66</t>
  </si>
  <si>
    <t>0,67 … 0,99</t>
  </si>
  <si>
    <t>1 … 1,49</t>
  </si>
  <si>
    <t>1,5 … 1,99</t>
  </si>
  <si>
    <t>2 … 2,99</t>
  </si>
  <si>
    <t>3 и более</t>
  </si>
  <si>
    <t>То же + Может удалять Зыбучие пески, Минные и Силовые поля. Позволяет искать Мины и Зыбучие пески без использования заклинания. Для этого нужно водить курсором над полем боя.</t>
  </si>
  <si>
    <t>2.8.</t>
  </si>
  <si>
    <t>Гидра против всех.</t>
  </si>
  <si>
    <r>
      <t xml:space="preserve">Увеличивает максимальный запас хода по воде всех героев </t>
    </r>
    <r>
      <rPr>
        <b/>
        <sz val="10"/>
        <rFont val="Arial"/>
        <family val="2"/>
        <charset val="204"/>
      </rPr>
      <t>всех</t>
    </r>
    <r>
      <rPr>
        <sz val="10"/>
        <rFont val="Arial"/>
        <family val="2"/>
        <charset val="204"/>
      </rPr>
      <t xml:space="preserve"> </t>
    </r>
    <r>
      <rPr>
        <b/>
        <sz val="10"/>
        <rFont val="Arial"/>
        <family val="2"/>
        <charset val="204"/>
      </rPr>
      <t>игроков</t>
    </r>
    <r>
      <rPr>
        <sz val="10"/>
        <rFont val="Arial"/>
        <family val="2"/>
        <charset val="204"/>
      </rPr>
      <t xml:space="preserve"> на 500 единиц (МР), начиная со следующего дня.</t>
    </r>
  </si>
  <si>
    <t xml:space="preserve">** При получении очередного 75 уровня герою сразу присваивается 88 уровень (баг в игре). Причём количество опыта остается на уровне 75, тем не менее все способности героя соответствуют уровню 88. Далее - все остальные скачки следуют совершенно бессистемно, причем разница между уровнями существенно снижается. Механизм расчёта ведет себя не стабильно - все зависит от суммы получаемой порции опыта - и при дальнейшем повышении опыта у героя станет либо отрицательное число очков опыта и уровень станет нулевым, т.е. ниже, чем на старте, либо расчёт зацикливается и предлагает герою в принципе бесконечную возможность повышения уровня. Однако, судя по всему, предел достаточно близок к указанному самому последнему значению (108). Так что его можно считать максимально достижимым корректным уровнем опыта в игре (реальное значение не будет превосходить намного). </t>
  </si>
  <si>
    <t>Высокие значения атаки и защиты героя</t>
  </si>
  <si>
    <t>~+10% за каждые 10 баллов атаки или защиты</t>
  </si>
  <si>
    <t>Сильная армия героя</t>
  </si>
  <si>
    <t>~+30% за каждые 1000 AI Value</t>
  </si>
  <si>
    <t>Исходная лояльность атакуемых существ</t>
  </si>
  <si>
    <t>2 степень - ~-26%                                                       4 степень - ~+17%</t>
  </si>
  <si>
    <t>Нейтрализует большинство способностей всех существ на поле боя, дающих защиту от заклинаний или сопротивление. Не нейтрализует эффект защиты от Мощи отца драконов.</t>
  </si>
  <si>
    <t>Цель получает возможность отвечать на 2 атаки за раунд. Если снять Контрудар с цели, то он всё равно будет работать до конца текущего раунда.</t>
  </si>
  <si>
    <t>Атака, защита и скорость цели +2. Если на цель наложена Медлительность, то Молитва даст только +1 к скорости.</t>
  </si>
  <si>
    <r>
      <t xml:space="preserve">Внимание! </t>
    </r>
    <r>
      <rPr>
        <sz val="10"/>
        <rFont val="Arial"/>
        <family val="2"/>
        <charset val="204"/>
      </rPr>
      <t>Сражение в Золотой шахте или Пещере кристаллов проходит на подземном ландшафте, т.е.бонусы родной земли получают существа Темницы.</t>
    </r>
  </si>
  <si>
    <r>
      <t xml:space="preserve">Внимание! </t>
    </r>
    <r>
      <rPr>
        <sz val="10"/>
        <rFont val="Arial"/>
        <family val="2"/>
        <charset val="204"/>
      </rPr>
      <t>Сражение в Заброшенной шахте проходит на подземном ландшафте, т.е.бонусы родной земли получают существа Темницы.</t>
    </r>
  </si>
  <si>
    <t>При телепортации на мину, Зыбучий песок, Стену огня или городской ров, существо не получит никакого вреда и сможет действовать. Однако если существо пропустит ход или будет ждать, то оно получит эффект от этих объектов.</t>
  </si>
  <si>
    <t>24 выстрелов. Атака стен (вместо очередного хода, не расходует запас выстрелов) - Стреляет по городским стенам, башням или вратам подобно катапульте на уровне Продвинутой Баллистики. Даже если циклопы перекрыты, они могут стрелять по стенам.</t>
  </si>
  <si>
    <t>Игрок получает контроль над вражеским существом имеющим не более СМ*25+10 здоровья.</t>
  </si>
  <si>
    <t>Порядок ходов.</t>
  </si>
  <si>
    <t>Воздушный щит при осаде города и навык Доспехи.</t>
  </si>
  <si>
    <t>Наличие в армии таких же существ (не имеет значение улучшенные или нет; Исключение: игра различает Элементалей воды и льда, Элементалей огня и энергии, Элементалей земли и магмы)</t>
  </si>
  <si>
    <t>*Если существ в отряде меньше или равно 10, то урон рассчитывается как сумма N случайных чисел в диапазоне урона одного существа, где N - количество существ в отряде.</t>
  </si>
  <si>
    <t>*Если существ в отряде больше 10, то урон рассчитывается как сумма 0,1*N*(сумма 10 случайных чисел в диапазоне урона одного существа), где N - количество существ в отряде.</t>
  </si>
  <si>
    <t>Не виден гарнизон вражеского города.</t>
  </si>
  <si>
    <t>Виден состав армии в гарнизоне вражеского города.</t>
  </si>
  <si>
    <t>То же + Видны диапазоны количества существ в каждом отряде армии гарнизона вражеского города.</t>
  </si>
  <si>
    <t>sqrt((1 + 0,05*(Атака героя))*(1 + 0,05*(Защита героя)))*(сумма AI Value всех существ в армии героя)</t>
  </si>
  <si>
    <t>Также двухгексовые существа имеют особые правила ответа на атаку:</t>
  </si>
  <si>
    <t>Красные стрелки - направление ответного удара Красного дракона (основная атака).</t>
  </si>
  <si>
    <t>Зелёные стрелки - направление ответного удара Красного дракона (дополнительная атака).</t>
  </si>
  <si>
    <t>Синие стрелки - направление ответного удара Красного дракона (атака с разворота).</t>
  </si>
  <si>
    <t>2.1</t>
  </si>
  <si>
    <t>3.10</t>
  </si>
  <si>
    <t>Повышает прирост всех существ в городе на 50% от базового. В сумме с Цитаделью получается 100%-ное увеличение прироста существ, без округления.</t>
  </si>
  <si>
    <t>Осада города.</t>
  </si>
  <si>
    <t>24 выстрела. Нет штрафа в ближнем бою. Нет штрафа при стрельбе через стены. Стоимость дружественных боевых заклинаний -2 (не перестаёт действовать после гибели существа).</t>
  </si>
  <si>
    <t>Эффект заклинания действует совместно с защитой от магии големов. Сперва рассчитывается урон ударного заклинания с учётом защиты от магии голема. Полученное значение пересчитывается с учётом защиты от огня.</t>
  </si>
  <si>
    <t>Эффект заклинания действует совместно с защитой от магии големов. Сперва рассчитывается урон ударного заклинания с учётом защиты от магии голема. Полученное значение пересчитывается с учётом защиты от воды.</t>
  </si>
  <si>
    <t>Эффект заклинания действует совместно с защитой от магии големов. Сперва рассчитывается урон ударного заклинания с учётом защиты от магии голема. Полученное значение пересчитывается с учётом защиты от земли.</t>
  </si>
  <si>
    <t>Эффект заклинания действует совместно с защитой от магии големов. Сперва рассчитывается урон ударного заклинания с учётом защиты от магии голема. Полученное значение пересчитывается с учётом защиты от воздуха.</t>
  </si>
  <si>
    <t>То же, но на расстоянии СМ*2 клеток + Параметры и армию вражеских героев.</t>
  </si>
  <si>
    <t>То же, но на расстоянии СМ*3 клеток + Армию в гарнизонах и вражеских городах.</t>
  </si>
  <si>
    <t>То же, но урон цели равен минимальному -1, но не ниже 1.</t>
  </si>
  <si>
    <t>То же, но урон всех вражеских существ равен минимальному -1, но не ниже 1.</t>
  </si>
  <si>
    <t>То же, но -50%.</t>
  </si>
  <si>
    <t>То же, но Защиту от огня получают все дружественные существа.</t>
  </si>
  <si>
    <t>То же, но урон цели равен максимальному +1.</t>
  </si>
  <si>
    <t>То же, но урон всех дружественных существ равен максимальному +1.</t>
  </si>
  <si>
    <t>То же, но снимает с дружественного или с вражеского существа все заклинания.</t>
  </si>
  <si>
    <t>То же, но снимает со всех существ и боевых машин на поле боя все заклинания. Удаляет Стены огня, Зыбучие пески, Минные и Силовые поля.</t>
  </si>
  <si>
    <t>То же, но Защиту от воды получают все дружественные существа.</t>
  </si>
  <si>
    <t>Атака, защита и скорость цели +4.</t>
  </si>
  <si>
    <t>Атака, защита и скорость всех дружественных существ +4.</t>
  </si>
  <si>
    <t>То же, но Защиту от земли получают все дружественные существа.</t>
  </si>
  <si>
    <t>То же, но Скорость всех вражеских существ -50%.</t>
  </si>
  <si>
    <t>То же, но скорость цели       -50%.</t>
  </si>
  <si>
    <t>То же, но скорость всех дружественных существ +5.</t>
  </si>
  <si>
    <t>То же, но скорость цели +5.</t>
  </si>
  <si>
    <t>То же, но Защиту от воздуха получают все дружественные существа.</t>
  </si>
  <si>
    <t>То же, но СМ*40+50 урона первой цели + 0,0625*(СМ*40+50) урона ближайшему к четвёртой цели.</t>
  </si>
  <si>
    <t>То же, но СМ*40+100 урона первой цели.</t>
  </si>
  <si>
    <t xml:space="preserve">Родословную Ивора можно проследить аж до времен Молчания. Хотя его воспитали как высокородного, он всегда был сорвиголовой и предпочитал нападать сам, а не ждать, когда на него нападут. Судьба пока хранит его от смерти. </t>
  </si>
  <si>
    <t>* Начиная с 13 уровня прирост очков опыта увеличивается на 20% по отношению к предыдущему значению прироста, округление вниз.</t>
  </si>
  <si>
    <r>
      <rPr>
        <b/>
        <sz val="10"/>
        <color indexed="8"/>
        <rFont val="Arial"/>
        <family val="2"/>
        <charset val="204"/>
      </rPr>
      <t>Древо знаний</t>
    </r>
    <r>
      <rPr>
        <sz val="10"/>
        <color indexed="8"/>
        <rFont val="Arial"/>
        <family val="2"/>
        <charset val="204"/>
      </rPr>
      <t xml:space="preserve"> - объект на карте приключений, мгновенно повышающий уровень героя на 1.</t>
    </r>
  </si>
  <si>
    <t>Горгулья.</t>
  </si>
  <si>
    <t>Нежить.</t>
  </si>
  <si>
    <t>Нежить. 20% шанс Болезни (при ударе) - Атака и защита цели -2, на 3 раунда.</t>
  </si>
  <si>
    <t>Нежить. Регенерация здоровья (перед ходом).</t>
  </si>
  <si>
    <t>Нежить. Регенерация здоровья (перед ходом). Сжигают по 2 маны вражеского героя перед каждым ходом.</t>
  </si>
  <si>
    <t>Нежить. Безответность - цель атаки не отвечает на удар.</t>
  </si>
  <si>
    <t>Нежить. 24 выстрела. Облако смерти - При стрельбе лич наносит урон цели и всем существам вокруг неё в радиусе 1 клетки. Не действует на големов, горгулий, элементалей, нежить и боевые машины.</t>
  </si>
  <si>
    <t>Нежить. Боевой дух всех вражеских существ -1 (не перестаёт действовать после гибели существа).</t>
  </si>
  <si>
    <t>Голем. Получаемый урон от вражеских заклинаний -50%.</t>
  </si>
  <si>
    <t>Голем. Получаемый урон от вражеских заклинаний -75%.</t>
  </si>
  <si>
    <t>Голем. Получаемый урон от вражеских заклинаний -85%.</t>
  </si>
  <si>
    <t>Голем. Получаемый урон от вражеских заклинаний -95%.</t>
  </si>
  <si>
    <t>Нейтральная мораль. Защита от Проклятия, Благословления, Печали, Радости, Слепоты, Волны смерти, Гипноза, Забывчивости, Берсерка, Бешенства, Жертвы, Воскрешения, Болезни, Облака смерти, Старости, Поднятия демонов, Смертельного взгляда, Яда, Вампиризма и Страха. Восприимчивы к Уничтожению нежити и Оживлению мертвецов.</t>
  </si>
  <si>
    <t>Нейтральная мораль. Защита от Слепоты, Гипноза, Забывчивости, Печали, Радости, Берсерка, Бешенства, Жертвы, Воскрешения, Оживления мертвецов, Уничтожение нежити, Болезни, Облака смерти, Старости, Поднятия демонов, Смертельного взгляда, Яда, Вампиризма и Страха.</t>
  </si>
  <si>
    <t>Защита от Слепоты, Гипноза, Забывчивости, Печали, Радости, Берсерка, Бешенства, Жертвы, Воскрешения, Оживления мертвецов, Уничтожения нежити, Болезни, Облака смерти, Старости, Поднятия демонов, Смертельного взгляда, Яда, Вампиризма и Страха.</t>
  </si>
  <si>
    <t>Защита от Жертвы, Воскрешения, Оживления мертвецов, Уничтожения нежити, Болезни, Облака смерти, Старости, Поднятия демонов, Смертельного взгляда, Яда, Вампиризма и Страха.</t>
  </si>
  <si>
    <t>Защита от Уничтожения нежити и Оживления мертвецов. Восприимчивость ко всем остальным заклинаниям.</t>
  </si>
  <si>
    <r>
      <t xml:space="preserve">С - коэффициент дополнительного прирост от наличия Статуи легиона у одного из героев;                                                                </t>
    </r>
    <r>
      <rPr>
        <b/>
        <sz val="10"/>
        <rFont val="Arial Cyr"/>
        <charset val="204"/>
      </rPr>
      <t xml:space="preserve">С=1,5 </t>
    </r>
    <r>
      <rPr>
        <sz val="10"/>
        <rFont val="Arial Cyr"/>
        <charset val="204"/>
      </rPr>
      <t xml:space="preserve">при наличии Статуи Легиона. Иначе </t>
    </r>
    <r>
      <rPr>
        <b/>
        <sz val="10"/>
        <rFont val="Arial Cyr"/>
        <charset val="204"/>
      </rPr>
      <t>С=1</t>
    </r>
    <r>
      <rPr>
        <sz val="10"/>
        <rFont val="Arial Cyr"/>
        <charset val="204"/>
      </rPr>
      <t>; Округление вниз;</t>
    </r>
  </si>
  <si>
    <r>
      <t xml:space="preserve">А - дополнительный прирост от артефактов: Ноги легиона: </t>
    </r>
    <r>
      <rPr>
        <b/>
        <sz val="10"/>
        <rFont val="Arial Cyr"/>
        <charset val="204"/>
      </rPr>
      <t>А=5</t>
    </r>
    <r>
      <rPr>
        <sz val="10"/>
        <rFont val="Arial Cyr"/>
        <charset val="204"/>
      </rPr>
      <t xml:space="preserve">; Поясница легиона </t>
    </r>
    <r>
      <rPr>
        <b/>
        <sz val="10"/>
        <rFont val="Arial Cyr"/>
        <charset val="204"/>
      </rPr>
      <t>А=4</t>
    </r>
    <r>
      <rPr>
        <sz val="10"/>
        <rFont val="Arial Cyr"/>
        <charset val="204"/>
      </rPr>
      <t xml:space="preserve">; Туловище легиона </t>
    </r>
    <r>
      <rPr>
        <b/>
        <sz val="10"/>
        <rFont val="Arial Cyr"/>
        <charset val="204"/>
      </rPr>
      <t>А=3</t>
    </r>
    <r>
      <rPr>
        <sz val="10"/>
        <rFont val="Arial Cyr"/>
        <charset val="204"/>
      </rPr>
      <t xml:space="preserve">; Руки легиона </t>
    </r>
    <r>
      <rPr>
        <b/>
        <sz val="10"/>
        <rFont val="Arial Cyr"/>
        <charset val="204"/>
      </rPr>
      <t>А=2</t>
    </r>
    <r>
      <rPr>
        <sz val="10"/>
        <rFont val="Arial Cyr"/>
        <charset val="204"/>
      </rPr>
      <t xml:space="preserve"> и Голова легиона </t>
    </r>
    <r>
      <rPr>
        <b/>
        <sz val="10"/>
        <rFont val="Arial Cyr"/>
        <charset val="204"/>
      </rPr>
      <t>А=1</t>
    </r>
    <r>
      <rPr>
        <sz val="10"/>
        <rFont val="Arial Cyr"/>
        <charset val="204"/>
      </rPr>
      <t>. Также этот прирост учитывается при наличии Статуи легиона у находящегося в городе героя</t>
    </r>
    <r>
      <rPr>
        <sz val="10"/>
        <rFont val="Arial Cyr"/>
        <charset val="204"/>
      </rPr>
      <t>;</t>
    </r>
  </si>
  <si>
    <r>
      <t xml:space="preserve">Гр - коэффициент дополнительного прироста от наличия Храма Грааля в городе; </t>
    </r>
    <r>
      <rPr>
        <b/>
        <sz val="10"/>
        <rFont val="Arial Cyr"/>
        <charset val="204"/>
      </rPr>
      <t xml:space="preserve">Гр=1,5 </t>
    </r>
    <r>
      <rPr>
        <sz val="10"/>
        <rFont val="Arial Cyr"/>
        <charset val="204"/>
      </rPr>
      <t xml:space="preserve">при наличии Храма Грааля. Иначе </t>
    </r>
    <r>
      <rPr>
        <b/>
        <sz val="10"/>
        <rFont val="Arial Cyr"/>
        <charset val="204"/>
      </rPr>
      <t>Гр=1</t>
    </r>
    <r>
      <rPr>
        <sz val="10"/>
        <rFont val="Arial Cyr"/>
        <charset val="204"/>
      </rPr>
      <t>; Округление вниз.</t>
    </r>
  </si>
  <si>
    <t>С = 1,5</t>
  </si>
  <si>
    <t>Гр = 1,5</t>
  </si>
  <si>
    <t>[20*1,5*1,5 + 10] * 1,5 = 82</t>
  </si>
  <si>
    <t>C = 1,5</t>
  </si>
  <si>
    <t>[20*2*1,5 + 10 + 4] * 1,5 = 111</t>
  </si>
  <si>
    <t>[20*2*1,5 + 10] * 1,5 = 105</t>
  </si>
  <si>
    <t>AI V.</t>
  </si>
  <si>
    <t>Принадлежность</t>
  </si>
  <si>
    <t>3.Герои Цитадели, Крепости и Сопряжения могут обменивать артефакты и существ на опыт.</t>
  </si>
  <si>
    <t xml:space="preserve"> Если бой происходит на подземном уровне карты приключений, то независимо от типа земли бой будет на подземном ландшафте и бонусы родной земли получат существа Темницы. Также бои в Заброшенной, Золотой или Кристаллической шахтах проходят на подземном ландшафте.</t>
  </si>
  <si>
    <t xml:space="preserve"> При осаде города бой всегда проходит на родном для этого города ландшафте, независимо от типа ландшафта, на котором находится город на карте приключений.</t>
  </si>
  <si>
    <t>Приветствую всех поклонников мира Heroes of Might &amp; Magic III</t>
  </si>
  <si>
    <t>Зидар, Сандро, Малекит, Гирд, Стиг</t>
  </si>
  <si>
    <t>Крэг Хэк, Гундула</t>
  </si>
  <si>
    <t>Специализация героев. Разное (Скорость, Баллиста).</t>
  </si>
  <si>
    <t>Некоторые нюансы:</t>
  </si>
  <si>
    <t>Атака цели против Чудищ, Огненных птиц, Гидр, Зелёных и Красных драконов (включая их улучшения) +8.</t>
  </si>
  <si>
    <r>
      <t xml:space="preserve">Внимание! </t>
    </r>
    <r>
      <rPr>
        <sz val="9"/>
        <rFont val="Arial"/>
        <family val="2"/>
        <charset val="204"/>
      </rPr>
      <t xml:space="preserve">Если убрать Силовое поле при помощи Снятия заклинаний или Устранения преград, то после того, как закончилась бы длительность действия этого Силового поля, произойдёт аварийное завершение игры </t>
    </r>
    <r>
      <rPr>
        <i/>
        <sz val="9"/>
        <rFont val="Arial"/>
        <family val="2"/>
        <charset val="204"/>
      </rPr>
      <t xml:space="preserve">(Добавил </t>
    </r>
    <r>
      <rPr>
        <b/>
        <i/>
        <sz val="9"/>
        <rFont val="Arial"/>
        <family val="2"/>
        <charset val="204"/>
      </rPr>
      <t>Сергей Хаустов</t>
    </r>
    <r>
      <rPr>
        <i/>
        <sz val="9"/>
        <rFont val="Arial"/>
        <family val="2"/>
        <charset val="204"/>
      </rPr>
      <t xml:space="preserve">, </t>
    </r>
    <r>
      <rPr>
        <i/>
        <u/>
        <sz val="9"/>
        <color rgb="FF0033CC"/>
        <rFont val="Arial"/>
        <family val="2"/>
        <charset val="204"/>
      </rPr>
      <t>vk.com</t>
    </r>
    <r>
      <rPr>
        <i/>
        <sz val="9"/>
        <rFont val="Arial"/>
        <family val="2"/>
        <charset val="204"/>
      </rPr>
      <t>).</t>
    </r>
  </si>
  <si>
    <r>
      <t xml:space="preserve">Внимание! </t>
    </r>
    <r>
      <rPr>
        <sz val="9"/>
        <rFont val="Arial"/>
        <family val="2"/>
        <charset val="204"/>
      </rPr>
      <t xml:space="preserve">При осаде города, существа под действием Воздушного щита получают ~ на 40-100% больше урона от Стрелковых башен (баг игры). Урон зависит от развития вторичного навыка Магия воздуха у героя - наблюдается увеличение урона примерно на 40% при отсутствии или Базовом уровне, на 100% - при Продвинутом или Экспертном </t>
    </r>
    <r>
      <rPr>
        <i/>
        <sz val="9"/>
        <rFont val="Arial"/>
        <family val="2"/>
        <charset val="204"/>
      </rPr>
      <t xml:space="preserve">(Добавил </t>
    </r>
    <r>
      <rPr>
        <b/>
        <i/>
        <sz val="9"/>
        <rFont val="Arial"/>
        <family val="2"/>
        <charset val="204"/>
      </rPr>
      <t>Fallen Angel</t>
    </r>
    <r>
      <rPr>
        <i/>
        <sz val="9"/>
        <rFont val="Arial"/>
        <family val="2"/>
        <charset val="204"/>
      </rPr>
      <t xml:space="preserve">, </t>
    </r>
    <r>
      <rPr>
        <i/>
        <u/>
        <sz val="9"/>
        <color rgb="FF0033CC"/>
        <rFont val="Arial"/>
        <family val="2"/>
        <charset val="204"/>
      </rPr>
      <t>heroesportal.net</t>
    </r>
    <r>
      <rPr>
        <i/>
        <sz val="9"/>
        <rFont val="Arial"/>
        <family val="2"/>
        <charset val="204"/>
      </rPr>
      <t>)</t>
    </r>
    <r>
      <rPr>
        <sz val="9"/>
        <rFont val="Arial"/>
        <family val="2"/>
        <charset val="204"/>
      </rPr>
      <t>.</t>
    </r>
  </si>
  <si>
    <t>При предоставлении новой информации просьба указывать ресурс или группу Вконтакте, которую Вы представляете.</t>
  </si>
  <si>
    <t>Далее приведена таблица, отображающая абсолютный шанс (%) появления заклинаний в Гильдии магов, полученный вычислением. Для Гильдии магов Башни указана вероятность с условием отстройки Библиотеки.</t>
  </si>
  <si>
    <t>Баллиста, Катапульта, Палатка первой помощи и Тележка с боеприпасами.</t>
  </si>
  <si>
    <r>
      <t xml:space="preserve">(Предоставил </t>
    </r>
    <r>
      <rPr>
        <b/>
        <i/>
        <sz val="8"/>
        <rFont val="Arial Cyr"/>
        <charset val="204"/>
      </rPr>
      <t>Zlatovlas</t>
    </r>
    <r>
      <rPr>
        <i/>
        <sz val="8"/>
        <rFont val="Arial Cyr"/>
        <charset val="204"/>
      </rPr>
      <t xml:space="preserve">, </t>
    </r>
    <r>
      <rPr>
        <i/>
        <u/>
        <sz val="8"/>
        <color indexed="12"/>
        <rFont val="Arial Cyr"/>
        <charset val="204"/>
      </rPr>
      <t>heroesportal.net</t>
    </r>
    <r>
      <rPr>
        <i/>
        <sz val="8"/>
        <rFont val="Arial Cyr"/>
        <charset val="204"/>
      </rPr>
      <t xml:space="preserve"> ).</t>
    </r>
  </si>
  <si>
    <t>Цвета противников, Заклинания, Первичные навыки, Вторичные навыки, Класс героя, Имена героев, Магические способности существ, Шахты, Ресурсы в игре, Тип ландшафта, Особый тип ландшафта, Месяц существа</t>
  </si>
  <si>
    <r>
      <t xml:space="preserve">На Ваше рассмотрение представлен проект, целью которого является попытка объединения воедино разрозненной информации, знаний и умений, которые будут полезны любому пользователю игры </t>
    </r>
    <r>
      <rPr>
        <b/>
        <sz val="12"/>
        <rFont val="Arial"/>
        <family val="2"/>
        <charset val="204"/>
      </rPr>
      <t>Heroes of Might &amp; Magic III</t>
    </r>
    <r>
      <rPr>
        <sz val="12"/>
        <rFont val="Arial"/>
        <family val="2"/>
        <charset val="204"/>
      </rPr>
      <t>.</t>
    </r>
  </si>
  <si>
    <t>Безусловно, она не является полным сводом правил, статистики и особенностей, заложенных разработчиками  игры, а потому требует дополнения и уточнения.</t>
  </si>
  <si>
    <t xml:space="preserve">Если Вы заметили какие либо неточности или желаете что-либо добавить от себя, то будем признательны за возможность получить Ваши комментарии или информацию. </t>
  </si>
  <si>
    <t>Уверен, что совместными усилиями мы сможем создать достойное руководство для всех истинных ценителей и приверженцев этого великого мира магии и стратегии, что поможет привлечь в наши ряды много новых сторонников, а также поможет повысить уровень мастерства всех начинающих игроков.</t>
  </si>
  <si>
    <r>
      <t>Учитывая вышесказанное, любые комментарии, уточнения и пояснения - приветствуются.</t>
    </r>
    <r>
      <rPr>
        <sz val="12"/>
        <rFont val="Arial"/>
        <family val="2"/>
        <charset val="204"/>
      </rPr>
      <t xml:space="preserve"> Также ценными будут считаться любые пожелания по поводу более оптимальной формы представления изложенной информации.</t>
    </r>
  </si>
  <si>
    <t>Данная работа не претендует на оригинальность и является результатом компиляции различных официальных (Player's Manual) и не официальных (форумы и сайты) источников, посвященных описанию внутреннего мира игры.</t>
  </si>
  <si>
    <t>Не вся указанная в этом справочнике информация может считаться официальной, по причине того, что содержит наблюдения и оценки игроков, пожелавших поделиться своим мнением по поводу особенностей игры. Но тем не менее, в целом она достаточно реально отражает Физику Мира Героев и несомненно будет полезна любому игроку.</t>
  </si>
  <si>
    <r>
      <t xml:space="preserve">- материалы форумов на сайте "Лиги Героев" </t>
    </r>
    <r>
      <rPr>
        <u/>
        <sz val="10"/>
        <color rgb="FF0033CC"/>
        <rFont val="Arial"/>
        <family val="2"/>
        <charset val="204"/>
      </rPr>
      <t>http://heroesleague.ru</t>
    </r>
    <r>
      <rPr>
        <sz val="10"/>
        <rFont val="Arial"/>
        <family val="2"/>
        <charset val="204"/>
      </rPr>
      <t xml:space="preserve"> (ссылки на авторов приводятся)</t>
    </r>
  </si>
  <si>
    <r>
      <t xml:space="preserve">- материалы сайта "Геройский Уголок" </t>
    </r>
    <r>
      <rPr>
        <u/>
        <sz val="10"/>
        <color rgb="FF0033CC"/>
        <rFont val="Arial"/>
        <family val="2"/>
        <charset val="204"/>
      </rPr>
      <t>http://heroes.ag.ru</t>
    </r>
    <r>
      <rPr>
        <sz val="10"/>
        <rFont val="Arial"/>
        <family val="2"/>
        <charset val="204"/>
      </rPr>
      <t xml:space="preserve"> (ссылки на авторов приводятся)</t>
    </r>
  </si>
  <si>
    <r>
      <t xml:space="preserve">- материалы форумов на сайте "HeroesPortal" </t>
    </r>
    <r>
      <rPr>
        <u/>
        <sz val="10"/>
        <color rgb="FF0033CC"/>
        <rFont val="Arial"/>
        <family val="2"/>
        <charset val="204"/>
      </rPr>
      <t>http://www.heroesportal.net</t>
    </r>
    <r>
      <rPr>
        <sz val="10"/>
        <rFont val="Arial"/>
        <family val="2"/>
        <charset val="204"/>
      </rPr>
      <t xml:space="preserve"> (ссылки на авторов приводятся)</t>
    </r>
  </si>
  <si>
    <r>
      <t xml:space="preserve">- материалы форумов на сайте "HeroesWorld" </t>
    </r>
    <r>
      <rPr>
        <u/>
        <sz val="10"/>
        <color rgb="FF0033CC"/>
        <rFont val="Arial"/>
        <family val="2"/>
        <charset val="204"/>
      </rPr>
      <t>http://www.heroesworld.ru</t>
    </r>
    <r>
      <rPr>
        <sz val="10"/>
        <rFont val="Arial"/>
        <family val="2"/>
        <charset val="204"/>
      </rPr>
      <t xml:space="preserve"> (ссылки на авторов приводятся)</t>
    </r>
  </si>
  <si>
    <t>Защита героя +12, Атака героя -3.</t>
  </si>
  <si>
    <t>- материалы из геройских фан-групп Вконтакте (ссылки на авторов приводятся по возможности)</t>
  </si>
  <si>
    <t>Переключить на карту подземного мира и обратно</t>
  </si>
  <si>
    <t>"Усыпить" героя</t>
  </si>
  <si>
    <t>"Разбудить" героя</t>
  </si>
  <si>
    <r>
      <t>P</t>
    </r>
    <r>
      <rPr>
        <sz val="10"/>
        <rFont val="Arial"/>
        <family val="2"/>
        <charset val="204"/>
      </rPr>
      <t xml:space="preserve"> - Карта-загадка</t>
    </r>
  </si>
  <si>
    <r>
      <t>D</t>
    </r>
    <r>
      <rPr>
        <sz val="10"/>
        <rFont val="Arial"/>
        <family val="2"/>
        <charset val="204"/>
      </rPr>
      <t xml:space="preserve"> - Копать (поиск Грааля)</t>
    </r>
  </si>
  <si>
    <t>в нём:</t>
  </si>
  <si>
    <r>
      <t>Q</t>
    </r>
    <r>
      <rPr>
        <sz val="10"/>
        <rFont val="Arial"/>
        <family val="2"/>
        <charset val="204"/>
      </rPr>
      <t xml:space="preserve"> - Выход из игры</t>
    </r>
  </si>
  <si>
    <t>Управлять движением героя (только по вертикали и горизонтали)</t>
  </si>
  <si>
    <t>Прокрутка карты приключений (скролл)</t>
  </si>
  <si>
    <t>Загрузить игру (для одиночной игры)</t>
  </si>
  <si>
    <t>Новая игра (для одиночной игры)</t>
  </si>
  <si>
    <t>Центрирует выбранного героя относительно экрана или вход в выбранный город, если выбран город</t>
  </si>
  <si>
    <t>Отправить сообщение (в сетевой игре)</t>
  </si>
  <si>
    <t>Поставить существо в защиту (пропуск хода)</t>
  </si>
  <si>
    <t>Выбрать следующее войско, в этом случае предыдущее войско автоматически получает команду "Защита", как если бы Вы нажали кнопку D</t>
  </si>
  <si>
    <t>Начало битвы (в режиме тактической фазы)</t>
  </si>
  <si>
    <t>Улучшить отряд</t>
  </si>
  <si>
    <t>Уволить отряд</t>
  </si>
  <si>
    <t>Нанять максимальное количество существ</t>
  </si>
  <si>
    <t>Окно найма существ</t>
  </si>
  <si>
    <t>Отправка сообщения фиолетовому игроку</t>
  </si>
  <si>
    <t>Отправка сообщения чайному игроку</t>
  </si>
  <si>
    <t>Оплот / Бестион</t>
  </si>
  <si>
    <t>Цитадель / Твердыня</t>
  </si>
  <si>
    <t>Сопряжение / Колония</t>
  </si>
  <si>
    <t>Башня стрелков</t>
  </si>
  <si>
    <t>Ул. Сторожевой пост</t>
  </si>
  <si>
    <t>Ул. Башня стрелков</t>
  </si>
  <si>
    <t>Ул. Башня грифонов</t>
  </si>
  <si>
    <t>Ул. Портал славы</t>
  </si>
  <si>
    <t>Ул. Конюшни кентавров</t>
  </si>
  <si>
    <t>Ул. Коттедж гномов</t>
  </si>
  <si>
    <t>Ул. Заколдованный ручей</t>
  </si>
  <si>
    <t>Ул. Арка дендроидов</t>
  </si>
  <si>
    <t>Ул. Лужайка единорогов</t>
  </si>
  <si>
    <t>Ул. Драконьи скалы</t>
  </si>
  <si>
    <t>Ул. Фабрика големов</t>
  </si>
  <si>
    <t>Ул. Башня магов</t>
  </si>
  <si>
    <t>Ул. Алтарь желаний</t>
  </si>
  <si>
    <t>Ул. Золотой павильон</t>
  </si>
  <si>
    <t>Ул. Заоблачный храм</t>
  </si>
  <si>
    <t>Котёл бесов</t>
  </si>
  <si>
    <t>Ул. Котёл бесов</t>
  </si>
  <si>
    <t>Ул. Дворец пороков</t>
  </si>
  <si>
    <t>Ул. Врата демонов</t>
  </si>
  <si>
    <t>Ул. Огненное озеро</t>
  </si>
  <si>
    <t>Ул. Покинутый дворец</t>
  </si>
  <si>
    <t>Пристанище душ</t>
  </si>
  <si>
    <t>Ул. Проклятый храм</t>
  </si>
  <si>
    <t>Ул. Камень душ</t>
  </si>
  <si>
    <t>Ул. Дворец тьмы</t>
  </si>
  <si>
    <t>Ул. Склеп драконов</t>
  </si>
  <si>
    <t>Пещера драконов</t>
  </si>
  <si>
    <t>Ул. Чердак гарпий</t>
  </si>
  <si>
    <t>Ул. Камень глаз</t>
  </si>
  <si>
    <t>Ул. Часовня безмолвия</t>
  </si>
  <si>
    <t>Ул. Логово мантикор</t>
  </si>
  <si>
    <t>Ул. Пещера драконов</t>
  </si>
  <si>
    <t>Утёс чудищ</t>
  </si>
  <si>
    <t>Ул. Казармы гоблинов</t>
  </si>
  <si>
    <t>Ул. Волчий загон</t>
  </si>
  <si>
    <t>Ул. Башня орков</t>
  </si>
  <si>
    <t>Ул. Форт огров</t>
  </si>
  <si>
    <t>Ул. Гнездо на скале</t>
  </si>
  <si>
    <t>Ул. Пещера циклопов</t>
  </si>
  <si>
    <t>Ул. Утёс чудищ</t>
  </si>
  <si>
    <t>Логово ящеров</t>
  </si>
  <si>
    <t>Улей змиев</t>
  </si>
  <si>
    <t>Яма василиска</t>
  </si>
  <si>
    <t>Логово горгон</t>
  </si>
  <si>
    <t>Ул. Хижина гноллов</t>
  </si>
  <si>
    <t>Ул. Логово ящеров</t>
  </si>
  <si>
    <t>Ул. Улей змиев</t>
  </si>
  <si>
    <t>Ул. Яма василиска</t>
  </si>
  <si>
    <t>Ул. Логово горгон</t>
  </si>
  <si>
    <t>Ул. Гнездо виверн</t>
  </si>
  <si>
    <t>Ул. Пруд гидр</t>
  </si>
  <si>
    <t>Костёр</t>
  </si>
  <si>
    <t>Ул. Волшебный фонарь</t>
  </si>
  <si>
    <t>Ул. Алтарь воздуха</t>
  </si>
  <si>
    <t>Ул. Алтарь воды</t>
  </si>
  <si>
    <t>Ул. Алтарь огня</t>
  </si>
  <si>
    <t>Ул. Алтарь земли</t>
  </si>
  <si>
    <t>Ул. Алтарь мыслей</t>
  </si>
  <si>
    <t>Ул. Костёр</t>
  </si>
  <si>
    <t>Торговцы артефактами</t>
  </si>
  <si>
    <t>Чёрный ход</t>
  </si>
  <si>
    <t>Гильдия наёмников</t>
  </si>
  <si>
    <t>Хранитель духа</t>
  </si>
  <si>
    <t>Небесный корабль</t>
  </si>
  <si>
    <t>Темница душ</t>
  </si>
  <si>
    <t>Хранитель земли</t>
  </si>
  <si>
    <t>Памятник богам войны</t>
  </si>
  <si>
    <t>Бог огня</t>
  </si>
  <si>
    <t>Лощина чародеев</t>
  </si>
  <si>
    <t>Домик фей</t>
  </si>
  <si>
    <t>Замороженный утёс</t>
  </si>
  <si>
    <t>Консерватория грифонов</t>
  </si>
  <si>
    <t>Камень знаний</t>
  </si>
  <si>
    <t>Лагерь наёмников</t>
  </si>
  <si>
    <t>Палатка кочевников</t>
  </si>
  <si>
    <t>Морской бутыль</t>
  </si>
  <si>
    <t>Огненный столп</t>
  </si>
  <si>
    <t>Флаг единства</t>
  </si>
  <si>
    <t>Учёный</t>
  </si>
  <si>
    <t>Морской сундук</t>
  </si>
  <si>
    <t>Хижина провидца</t>
  </si>
  <si>
    <t>Знак</t>
  </si>
  <si>
    <t>Скелет на земле</t>
  </si>
  <si>
    <t>Звёздное колесо</t>
  </si>
  <si>
    <t>Врата подземного мира</t>
  </si>
  <si>
    <t>Серная пещера</t>
  </si>
  <si>
    <t>Телега</t>
  </si>
  <si>
    <t>Корабль</t>
  </si>
  <si>
    <t>Башня на дереве</t>
  </si>
  <si>
    <t>Брелок свободной воли</t>
  </si>
  <si>
    <t>Неистощимая подвода леса</t>
  </si>
  <si>
    <t>Неисчерпаемая мошна золота</t>
  </si>
  <si>
    <t>Неисчерпаемая сума золота</t>
  </si>
  <si>
    <t>Фиолетовый / Пурпурный</t>
  </si>
  <si>
    <t>Бирюзовый / Чайный</t>
  </si>
  <si>
    <t>Восстановление</t>
  </si>
  <si>
    <t>Лорд Хаарт (рыцарь)</t>
  </si>
  <si>
    <t>Лорд Хаарт (рыц.смерти)</t>
  </si>
  <si>
    <t>Риланд (Оплот)</t>
  </si>
  <si>
    <t>Роланд (Замок)</t>
  </si>
  <si>
    <t>Божья коровка</t>
  </si>
  <si>
    <t>Земляной червь</t>
  </si>
  <si>
    <t>Plague</t>
  </si>
  <si>
    <t>Оригинал</t>
  </si>
  <si>
    <t>Проклятая могила</t>
  </si>
  <si>
    <t>Копаем Грааль за один день.</t>
  </si>
  <si>
    <r>
      <t xml:space="preserve">(Составлено совместно с </t>
    </r>
    <r>
      <rPr>
        <b/>
        <i/>
        <sz val="8"/>
        <rFont val="Arial"/>
        <family val="2"/>
        <charset val="204"/>
      </rPr>
      <t>Bes</t>
    </r>
    <r>
      <rPr>
        <i/>
        <sz val="8"/>
        <rFont val="Arial"/>
        <family val="2"/>
        <charset val="204"/>
      </rPr>
      <t xml:space="preserve">, </t>
    </r>
    <r>
      <rPr>
        <i/>
        <u/>
        <sz val="8"/>
        <color indexed="12"/>
        <rFont val="Arial"/>
        <family val="2"/>
        <charset val="204"/>
      </rPr>
      <t>forum.df2.ru</t>
    </r>
    <r>
      <rPr>
        <i/>
        <sz val="8"/>
        <rFont val="Arial"/>
        <family val="2"/>
        <charset val="204"/>
      </rPr>
      <t>).</t>
    </r>
  </si>
  <si>
    <t>Завершение игры. Проигрыш игрока</t>
  </si>
  <si>
    <t>Завершение игры. Победа игрока</t>
  </si>
  <si>
    <t>Герой получает Баллисту, Палатку первой помощи и Тележку с боеприпасами</t>
  </si>
  <si>
    <t>Герой получает новый уровень</t>
  </si>
  <si>
    <t>Удача героя становится максимальной (+3)</t>
  </si>
  <si>
    <t>Герой получает 1 000 000 очков движения, которые не тратятся при посадке и высадке с корабля</t>
  </si>
  <si>
    <t>Боевой дух героя становится максимальным (+3)</t>
  </si>
  <si>
    <t>Открывается вся карта-загадка</t>
  </si>
  <si>
    <t>Открывается вся карта приключений</t>
  </si>
  <si>
    <t>Герой получает 999 маны и все доступные на карте заклинания в Книгу магии</t>
  </si>
  <si>
    <t>Увеличивается цветовая насыщенность игры</t>
  </si>
  <si>
    <t>Во всех городах игрока строятся все здания</t>
  </si>
  <si>
    <t>Игрок получает 100 000 золота и по 100 единиц каждого ресурса</t>
  </si>
  <si>
    <t>Вся карта приключений скрывается Террой Инкогнито</t>
  </si>
  <si>
    <t>Завершение игры. Поражение игрока</t>
  </si>
  <si>
    <r>
      <t>Во имя Богов (In The Wake Of Gods, WоG) -</t>
    </r>
    <r>
      <rPr>
        <sz val="10"/>
        <rFont val="Arial"/>
        <family val="2"/>
        <charset val="204"/>
      </rPr>
      <t xml:space="preserve"> действуют начиная с WoG 3.58f, до этого работают коды SoD</t>
    </r>
  </si>
  <si>
    <t>Герой получает 999 маны и все доступные на карте заклинания в Книгу магии (в битве)</t>
  </si>
  <si>
    <t>Герой получает 999 маны и все доступные на карте заклинания в Книгу магии (на карте)</t>
  </si>
  <si>
    <r>
      <t xml:space="preserve">Имеется ряд других ключей, которые можно использовать в командной строке </t>
    </r>
    <r>
      <rPr>
        <i/>
        <sz val="10"/>
        <color indexed="8"/>
        <rFont val="Arial"/>
        <family val="2"/>
        <charset val="204"/>
      </rPr>
      <t xml:space="preserve">(Предоставил </t>
    </r>
    <r>
      <rPr>
        <b/>
        <i/>
        <sz val="10"/>
        <color indexed="8"/>
        <rFont val="Arial"/>
        <family val="2"/>
        <charset val="204"/>
      </rPr>
      <t>Chortos-2</t>
    </r>
    <r>
      <rPr>
        <i/>
        <sz val="10"/>
        <color indexed="8"/>
        <rFont val="Arial"/>
        <family val="2"/>
        <charset val="204"/>
      </rPr>
      <t xml:space="preserve">, </t>
    </r>
    <r>
      <rPr>
        <i/>
        <u/>
        <sz val="10"/>
        <color indexed="12"/>
        <rFont val="Arial"/>
        <family val="2"/>
        <charset val="204"/>
      </rPr>
      <t>forum.df2.ru</t>
    </r>
    <r>
      <rPr>
        <i/>
        <sz val="10"/>
        <color indexed="8"/>
        <rFont val="Arial"/>
        <family val="2"/>
        <charset val="204"/>
      </rPr>
      <t>)</t>
    </r>
    <r>
      <rPr>
        <sz val="10"/>
        <color indexed="8"/>
        <rFont val="Arial"/>
        <family val="2"/>
        <charset val="204"/>
      </rPr>
      <t>:</t>
    </r>
  </si>
  <si>
    <t>В мультиплеере и возвращает значение времени дозвона до вашего оппонента</t>
  </si>
  <si>
    <t>Сопряжение в SoDе.</t>
  </si>
  <si>
    <t>Расчёт предполагает, что карта имеет максимальный уровень сложности, игрок добыл Грааль и победил всех противников.</t>
  </si>
  <si>
    <r>
      <t>(Составлено совместно с</t>
    </r>
    <r>
      <rPr>
        <b/>
        <i/>
        <sz val="8"/>
        <rFont val="Arial"/>
        <family val="2"/>
        <charset val="204"/>
      </rPr>
      <t xml:space="preserve"> Catch</t>
    </r>
    <r>
      <rPr>
        <i/>
        <sz val="8"/>
        <rFont val="Arial"/>
        <family val="2"/>
        <charset val="204"/>
      </rPr>
      <t xml:space="preserve">, </t>
    </r>
    <r>
      <rPr>
        <i/>
        <u/>
        <sz val="8"/>
        <color indexed="12"/>
        <rFont val="Arial"/>
        <family val="2"/>
        <charset val="204"/>
      </rPr>
      <t>heroesportal.net</t>
    </r>
    <r>
      <rPr>
        <i/>
        <sz val="8"/>
        <rFont val="Arial"/>
        <family val="2"/>
        <charset val="204"/>
      </rPr>
      <t>).</t>
    </r>
  </si>
  <si>
    <t>B - бонус за победу над всеми врагами (25 очков) - однако, если на карте не было указано условие "Победить всех врагов", этот бонус в зачёт не пойдет.</t>
  </si>
  <si>
    <r>
      <t xml:space="preserve">(Источник: </t>
    </r>
    <r>
      <rPr>
        <i/>
        <u/>
        <sz val="8"/>
        <color rgb="FF0033CC"/>
        <rFont val="Arial"/>
        <family val="2"/>
        <charset val="204"/>
      </rPr>
      <t>Astralwizard</t>
    </r>
    <r>
      <rPr>
        <i/>
        <sz val="8"/>
        <rFont val="Arial"/>
        <family val="2"/>
        <charset val="204"/>
      </rPr>
      <t>, Gus Smedstad through Maranthea through Quebec Dragon).</t>
    </r>
  </si>
  <si>
    <t>5.Осада вражеского города (или оборона своего).</t>
  </si>
  <si>
    <t>Захват сокровищниц.</t>
  </si>
  <si>
    <r>
      <t xml:space="preserve">(Предоставил </t>
    </r>
    <r>
      <rPr>
        <b/>
        <i/>
        <sz val="8"/>
        <rFont val="Arial"/>
        <family val="2"/>
        <charset val="204"/>
      </rPr>
      <t>Леголегс,</t>
    </r>
    <r>
      <rPr>
        <i/>
        <sz val="8"/>
        <rFont val="Arial"/>
        <family val="2"/>
        <charset val="204"/>
      </rPr>
      <t xml:space="preserve"> </t>
    </r>
    <r>
      <rPr>
        <i/>
        <u/>
        <sz val="8"/>
        <color indexed="12"/>
        <rFont val="Arial"/>
        <family val="2"/>
        <charset val="204"/>
      </rPr>
      <t>forum.df2.ru</t>
    </r>
    <r>
      <rPr>
        <i/>
        <sz val="8"/>
        <rFont val="Arial"/>
        <family val="2"/>
        <charset val="204"/>
      </rPr>
      <t>).</t>
    </r>
  </si>
  <si>
    <t>* Использовать Преобразователь скелетов (в ход пойдут воины из гарнизона, если нет героя-гостя).</t>
  </si>
  <si>
    <t>* Купить Боевую машину в Кузнице и Книгу магии в Гильдии магов;</t>
  </si>
  <si>
    <t>* Использовать Преобразователь скелетов (преобразуются войска гостя);</t>
  </si>
  <si>
    <t>* Использовать Гильдию наёмников. Число Рынков у хозяина города на цену существ, ресурсов и артефактов влияния не оказывает, только ваши Рынки имеют значение.</t>
  </si>
  <si>
    <t>* Использовать Врата города в Инферно. Городами назначения будут только ваши города с Вратами.</t>
  </si>
  <si>
    <t>* Использовать Университет в Сопряжении;</t>
  </si>
  <si>
    <t>* Автоматически получать опыт и +1 к первичным навыкам от соответствующих строений, а также использовать Конюшню;</t>
  </si>
  <si>
    <t>* Ваш герой-гость в союзном городе с частями легиона будет давать бонусы владельцу этого города и наоборот</t>
  </si>
  <si>
    <t>2.6 Доступные действия в союзном городе, если союзный герой в гарнизоне.</t>
  </si>
  <si>
    <t>* Открыть полнофункциональный экран гарнизонного героя (без возможности его уволить);</t>
  </si>
  <si>
    <r>
      <t xml:space="preserve">* Купить и продать артефакты. </t>
    </r>
    <r>
      <rPr>
        <b/>
        <sz val="10"/>
        <rFont val="Arial"/>
        <family val="2"/>
        <charset val="204"/>
      </rPr>
      <t xml:space="preserve">Внимание! </t>
    </r>
    <r>
      <rPr>
        <sz val="10"/>
        <rFont val="Arial"/>
        <family val="2"/>
        <charset val="204"/>
      </rPr>
      <t>Покупка бесплатна, если у вас нет своего Рынка! При попытке обмена ресурсов на ресурсы и в Гильдии наёмников происходит аварийное завершение игры! В Рынок прямо с экрана города войти нельзя, но можно через Гильдию наёмников или Торговцев артефактами специальной кнопкой. Также можно так передать ресурсы другому игроку, эта функция работает нормально. Набор артефактов у торговцев, как известно, один на всех игроков и меняется каждый месяц.</t>
    </r>
  </si>
  <si>
    <r>
      <t xml:space="preserve">* Перемещать героя из гарнизона и обратно, но если в гостях ваш герой, то обмен не удастся. </t>
    </r>
    <r>
      <rPr>
        <b/>
        <sz val="10"/>
        <rFont val="Arial"/>
        <family val="2"/>
        <charset val="204"/>
      </rPr>
      <t>Внимание!</t>
    </r>
    <r>
      <rPr>
        <sz val="10"/>
        <rFont val="Arial"/>
        <family val="2"/>
        <charset val="204"/>
      </rPr>
      <t xml:space="preserve"> Не пользуйтесь этим для обмена местами двух союзных героев! В игре начинаются странности, вроде пропадания и дублирования героев в списках, клонов на карте, телепортаций, вылетов и даже проигрыша союзного игрока;</t>
    </r>
  </si>
  <si>
    <t>* То же, что и в пункте 2.4;</t>
  </si>
  <si>
    <t>* Отдать войска из гарнизона герою-гостю.</t>
  </si>
  <si>
    <t>* Забрать войска союзника.</t>
  </si>
  <si>
    <t>* Открыть окно союзного героя или его журнал;</t>
  </si>
  <si>
    <t>* Забрать существ союзника.</t>
  </si>
  <si>
    <t>* Отдать своих существ;</t>
  </si>
  <si>
    <t>* Забрать отряды из союзного гарнизона;</t>
  </si>
  <si>
    <t>* Заменить отряды союзника своими;</t>
  </si>
  <si>
    <t>* Уволить отряды союзника.</t>
  </si>
  <si>
    <t>* Отдать свои отряды.</t>
  </si>
  <si>
    <t>* Построить корабль, посетив Верфь;</t>
  </si>
  <si>
    <t>* Построить корабль на расстоянии;</t>
  </si>
  <si>
    <t>* Построить корабль можно даже если на месте его появления находится свой герой на другом корабле.</t>
  </si>
  <si>
    <t>3.4 Маяки.</t>
  </si>
  <si>
    <t>*Вызов корабля:</t>
  </si>
  <si>
    <t>*Городской портал:</t>
  </si>
  <si>
    <t>* Использовать Преобразователь скелетов (в ход пойдут воины из гарнизона, если нет героя-гостя);</t>
  </si>
  <si>
    <t>* Телепортировать героя через Врата города (Инферно) в любое своё Инферно с отстроенными Вратами.</t>
  </si>
  <si>
    <r>
      <t xml:space="preserve">(Предоставил </t>
    </r>
    <r>
      <rPr>
        <b/>
        <i/>
        <sz val="8"/>
        <rFont val="Arial"/>
        <family val="2"/>
        <charset val="204"/>
      </rPr>
      <t>AlexSpl,</t>
    </r>
    <r>
      <rPr>
        <i/>
        <sz val="8"/>
        <rFont val="Arial"/>
        <family val="2"/>
        <charset val="204"/>
      </rPr>
      <t xml:space="preserve"> </t>
    </r>
    <r>
      <rPr>
        <i/>
        <u/>
        <sz val="8"/>
        <color indexed="12"/>
        <rFont val="Arial"/>
        <family val="2"/>
        <charset val="204"/>
      </rPr>
      <t>heroesworld.ru</t>
    </r>
    <r>
      <rPr>
        <i/>
        <sz val="8"/>
        <rFont val="Arial"/>
        <family val="2"/>
        <charset val="204"/>
      </rPr>
      <t>).</t>
    </r>
  </si>
  <si>
    <t>То же</t>
  </si>
  <si>
    <r>
      <t>Клонированию подлежит любое существо</t>
    </r>
    <r>
      <rPr>
        <sz val="10"/>
        <rFont val="Arial Cyr"/>
        <charset val="204"/>
      </rPr>
      <t xml:space="preserve"> (в том числе магически призванные элементали и поднятые Демоны) любое количество раз за бой, за исключением случаев, когда заклинание не действует, если его объектом является:</t>
    </r>
  </si>
  <si>
    <r>
      <t xml:space="preserve">- для героев, которые являются специалистами по Чародейству (Исра, Видомина) рассчитываем бонус. Основанием для расчета бонуса является только процентный показатель, определяемый степенью развития вторичного навыка 10...30% (ни Плащ короля нечисти, ни Усилители чёрной магии не участвуют в этом расчете). За каждый уровень, достигнутый этим героем </t>
    </r>
    <r>
      <rPr>
        <b/>
        <sz val="10"/>
        <rFont val="Arial"/>
        <family val="2"/>
        <charset val="204"/>
      </rPr>
      <t>на момент начала битвы</t>
    </r>
    <r>
      <rPr>
        <sz val="10"/>
        <rFont val="Arial"/>
        <family val="2"/>
        <charset val="204"/>
      </rPr>
      <t>, добавляем к процентному показателю +5% (в относительном выражении, а не в абсолютном).</t>
    </r>
  </si>
  <si>
    <r>
      <t>- итого, общая сумма модификаторов будет 60+10+21=</t>
    </r>
    <r>
      <rPr>
        <b/>
        <sz val="10"/>
        <rFont val="Arial"/>
        <family val="2"/>
        <charset val="204"/>
      </rPr>
      <t>91%.</t>
    </r>
  </si>
  <si>
    <r>
      <t>43+22+4=</t>
    </r>
    <r>
      <rPr>
        <b/>
        <sz val="10"/>
        <color indexed="10"/>
        <rFont val="Arial"/>
        <family val="2"/>
        <charset val="204"/>
      </rPr>
      <t>69</t>
    </r>
    <r>
      <rPr>
        <sz val="10"/>
        <rFont val="Arial"/>
        <family val="2"/>
        <charset val="204"/>
      </rPr>
      <t xml:space="preserve"> Личей будет призвано в армию Исры после завершения битвы.</t>
    </r>
  </si>
  <si>
    <t>- суммируем все полученные показатели и применяем коэффициент Чародейства (в долях) к количеству существ в каждом отряде (N) по отдельности.</t>
  </si>
  <si>
    <r>
      <rPr>
        <sz val="10"/>
        <rFont val="Arial"/>
        <family val="2"/>
        <charset val="204"/>
      </rPr>
      <t xml:space="preserve">Отсюда видно, что модификатор базового урона может принимать значения в диапазоне [-0,7...3], где за единицу принят базовый урон </t>
    </r>
    <r>
      <rPr>
        <b/>
        <sz val="10"/>
        <rFont val="Arial"/>
        <family val="2"/>
        <charset val="204"/>
      </rPr>
      <t>D(баз)</t>
    </r>
    <r>
      <rPr>
        <sz val="10"/>
        <rFont val="Arial"/>
        <family val="2"/>
        <charset val="204"/>
      </rPr>
      <t>. Или, другими словами, базовый урон, скорректированный модификатором в итоге составит величину (0,3...4).</t>
    </r>
  </si>
  <si>
    <t>Указано для Экспертного уровня навыка Доспехи.</t>
  </si>
  <si>
    <r>
      <t xml:space="preserve">(Составлено на основе материалов </t>
    </r>
    <r>
      <rPr>
        <b/>
        <i/>
        <sz val="8"/>
        <rFont val="Arial"/>
        <family val="2"/>
        <charset val="204"/>
      </rPr>
      <t>Viktor "Coyot"</t>
    </r>
    <r>
      <rPr>
        <i/>
        <sz val="8"/>
        <rFont val="Arial"/>
        <family val="2"/>
        <charset val="204"/>
      </rPr>
      <t xml:space="preserve"> Urban's Town Guide For The Single Player. Оригинал предоставил </t>
    </r>
    <r>
      <rPr>
        <b/>
        <i/>
        <sz val="8"/>
        <rFont val="Arial"/>
        <family val="2"/>
        <charset val="204"/>
      </rPr>
      <t>ThatOne</t>
    </r>
    <r>
      <rPr>
        <i/>
        <sz val="8"/>
        <rFont val="Arial"/>
        <family val="2"/>
        <charset val="204"/>
      </rPr>
      <t xml:space="preserve">, </t>
    </r>
    <r>
      <rPr>
        <i/>
        <u/>
        <sz val="8"/>
        <color indexed="12"/>
        <rFont val="Arial"/>
        <family val="2"/>
        <charset val="204"/>
      </rPr>
      <t>heroes.ag.ru</t>
    </r>
    <r>
      <rPr>
        <i/>
        <sz val="8"/>
        <rFont val="Arial"/>
        <family val="2"/>
        <charset val="204"/>
      </rPr>
      <t>).</t>
    </r>
  </si>
  <si>
    <t>Всегда присоединяется.</t>
  </si>
  <si>
    <t>Никогда не присоединяется.</t>
  </si>
  <si>
    <t>~+5% (единоразово)</t>
  </si>
  <si>
    <t>1. Войска героя должны быть "сильнее" присоединяемого существа. Сила армии равна сумме АI Value всех существ.</t>
  </si>
  <si>
    <r>
      <t xml:space="preserve">1. Находим силу героя </t>
    </r>
    <r>
      <rPr>
        <b/>
        <sz val="10"/>
        <rFont val="Arial Cyr"/>
        <charset val="204"/>
      </rPr>
      <t>Hero_Power</t>
    </r>
    <r>
      <rPr>
        <sz val="10"/>
        <rFont val="Arial Cyr"/>
        <charset val="204"/>
      </rPr>
      <t xml:space="preserve"> = sqrt((1 + 0,05 * Атака) * (1 + 0,05 * Защита));</t>
    </r>
  </si>
  <si>
    <r>
      <t xml:space="preserve">Например, для героя с атакой и защитой равным 10, Hero_Power будет равна sqrt((1+0,5)*(1+0,5)) = </t>
    </r>
    <r>
      <rPr>
        <b/>
        <i/>
        <sz val="10"/>
        <rFont val="Arial Cyr"/>
        <charset val="204"/>
      </rPr>
      <t>1,5</t>
    </r>
    <r>
      <rPr>
        <i/>
        <sz val="10"/>
        <rFont val="Arial Cyr"/>
        <charset val="204"/>
      </rPr>
      <t>.</t>
    </r>
  </si>
  <si>
    <r>
      <t xml:space="preserve">Например, если в армии героя 50 Копейщиков, 20 Грифонов, 5 Кавалеристов и 1 Ангел, Creatures_Power будет равна 50*80+20*251+5*1946+1*5019 = </t>
    </r>
    <r>
      <rPr>
        <b/>
        <i/>
        <sz val="10"/>
        <rFont val="Arial Cyr"/>
        <charset val="204"/>
      </rPr>
      <t>23769</t>
    </r>
    <r>
      <rPr>
        <i/>
        <sz val="10"/>
        <rFont val="Arial Cyr"/>
        <charset val="204"/>
      </rPr>
      <t>.</t>
    </r>
  </si>
  <si>
    <r>
      <t xml:space="preserve">В нашем случае Army_Power будет равна 1,5*23769 = </t>
    </r>
    <r>
      <rPr>
        <b/>
        <i/>
        <sz val="10"/>
        <rFont val="Arial Cyr"/>
        <charset val="204"/>
      </rPr>
      <t>35653</t>
    </r>
    <r>
      <rPr>
        <i/>
        <sz val="10"/>
        <rFont val="Arial Cyr"/>
        <charset val="204"/>
      </rPr>
      <t>.</t>
    </r>
  </si>
  <si>
    <r>
      <t xml:space="preserve">В нашем случае Sympathy будет равна </t>
    </r>
    <r>
      <rPr>
        <b/>
        <i/>
        <sz val="10"/>
        <rFont val="Arial Cyr"/>
        <charset val="204"/>
      </rPr>
      <t>0</t>
    </r>
    <r>
      <rPr>
        <i/>
        <sz val="10"/>
        <rFont val="Arial Cyr"/>
        <charset val="204"/>
      </rPr>
      <t>.</t>
    </r>
  </si>
  <si>
    <t>X = -4 для Податливых;</t>
  </si>
  <si>
    <r>
      <t xml:space="preserve">Например, если в армии нейтралов 150 Демонов, Neutrals_Power будет равна 150*445 = </t>
    </r>
    <r>
      <rPr>
        <b/>
        <i/>
        <sz val="10"/>
        <rFont val="Arial Cyr"/>
        <charset val="204"/>
      </rPr>
      <t>66750</t>
    </r>
    <r>
      <rPr>
        <i/>
        <sz val="10"/>
        <rFont val="Arial Cyr"/>
        <charset val="204"/>
      </rPr>
      <t>.</t>
    </r>
  </si>
  <si>
    <r>
      <t xml:space="preserve">В нашем случае k будет равен 35653/66750 = </t>
    </r>
    <r>
      <rPr>
        <b/>
        <i/>
        <sz val="10"/>
        <rFont val="Arial Cyr"/>
        <charset val="204"/>
      </rPr>
      <t>0,534</t>
    </r>
    <r>
      <rPr>
        <i/>
        <sz val="10"/>
        <rFont val="Arial Cyr"/>
        <charset val="204"/>
      </rPr>
      <t>.</t>
    </r>
  </si>
  <si>
    <r>
      <t xml:space="preserve">В нашем случае Power_Factor будет равен </t>
    </r>
    <r>
      <rPr>
        <b/>
        <i/>
        <sz val="10"/>
        <rFont val="Arial Cyr"/>
        <charset val="204"/>
      </rPr>
      <t>-1</t>
    </r>
    <r>
      <rPr>
        <i/>
        <sz val="10"/>
        <rFont val="Arial Cyr"/>
        <charset val="204"/>
      </rPr>
      <t>.</t>
    </r>
  </si>
  <si>
    <r>
      <t xml:space="preserve">Например, при Экспертной Дипломатии, Ch будет равна -1+3+0 = </t>
    </r>
    <r>
      <rPr>
        <b/>
        <i/>
        <sz val="10"/>
        <rFont val="Arial Cyr"/>
        <charset val="204"/>
      </rPr>
      <t>2</t>
    </r>
    <r>
      <rPr>
        <i/>
        <sz val="10"/>
        <rFont val="Arial Cyr"/>
        <charset val="204"/>
      </rPr>
      <t>.</t>
    </r>
  </si>
  <si>
    <r>
      <t xml:space="preserve">Для дружелюбных Демонов, Х будет равна, например </t>
    </r>
    <r>
      <rPr>
        <b/>
        <i/>
        <sz val="10"/>
        <rFont val="Arial Cyr"/>
        <charset val="204"/>
      </rPr>
      <t>1</t>
    </r>
    <r>
      <rPr>
        <i/>
        <sz val="10"/>
        <rFont val="Arial Cyr"/>
        <charset val="204"/>
      </rPr>
      <t>.</t>
    </r>
  </si>
  <si>
    <t>В нашем случае произойдёт именно это.</t>
  </si>
  <si>
    <t>Бесплатное присоединение, %</t>
  </si>
  <si>
    <t>Платное присоединение, %</t>
  </si>
  <si>
    <t>Симпатия</t>
  </si>
  <si>
    <t>Уровень Дипломатии</t>
  </si>
  <si>
    <t>Продв.</t>
  </si>
  <si>
    <r>
      <t>3. "Разгонялки".</t>
    </r>
    <r>
      <rPr>
        <sz val="10"/>
        <rFont val="Arial"/>
        <family val="2"/>
        <charset val="204"/>
      </rPr>
      <t xml:space="preserve"> Оазис, Водоем, Флаг единства и Фонтан молодости увеличивают текущий запас </t>
    </r>
    <r>
      <rPr>
        <b/>
        <sz val="10"/>
        <rFont val="Arial"/>
        <family val="2"/>
        <charset val="204"/>
      </rPr>
      <t>М(тек)</t>
    </r>
    <r>
      <rPr>
        <sz val="10"/>
        <rFont val="Arial"/>
        <family val="2"/>
        <charset val="204"/>
      </rPr>
      <t xml:space="preserve"> хода. Однако, если после этого ни разу не открыть окно героя, а просто сесть в лодку, то наблюдаем искажение расчёта, которое заключается в том, что бонус добавляется и к величине </t>
    </r>
    <r>
      <rPr>
        <b/>
        <sz val="10"/>
        <rFont val="Arial"/>
        <family val="2"/>
        <charset val="204"/>
      </rPr>
      <t>M(тек)</t>
    </r>
    <r>
      <rPr>
        <sz val="10"/>
        <rFont val="Arial"/>
        <family val="2"/>
        <charset val="204"/>
      </rPr>
      <t xml:space="preserve"> и к величине </t>
    </r>
    <r>
      <rPr>
        <b/>
        <sz val="10"/>
        <rFont val="Arial"/>
        <family val="2"/>
        <charset val="204"/>
      </rPr>
      <t>M</t>
    </r>
    <r>
      <rPr>
        <sz val="10"/>
        <rFont val="Arial"/>
        <family val="2"/>
        <charset val="204"/>
      </rPr>
      <t xml:space="preserve">, что в итоге, при посадке в лодку, снижает количество морских очков движения. Рекомендуется обязательно открыть окно героя и полюбоваться на его портрет перед посадкой - в этом случае произойдет пересчёт значений и всё встанет на свои места – текущий запас хода остается неизменным, а базовый возвращается к своему исходному (не завышенному) значению. Это позволит не потерять законный сухопутный бонус хода. Однако, следует знать, что посещение Конюшни также добавляет +400 МР и к текущему запасу хода </t>
    </r>
    <r>
      <rPr>
        <b/>
        <sz val="10"/>
        <rFont val="Arial"/>
        <family val="2"/>
        <charset val="204"/>
      </rPr>
      <t>М(тек)</t>
    </r>
    <r>
      <rPr>
        <sz val="10"/>
        <rFont val="Arial"/>
        <family val="2"/>
        <charset val="204"/>
      </rPr>
      <t xml:space="preserve"> и к базовому </t>
    </r>
    <r>
      <rPr>
        <b/>
        <sz val="10"/>
        <rFont val="Arial"/>
        <family val="2"/>
        <charset val="204"/>
      </rPr>
      <t>М</t>
    </r>
    <r>
      <rPr>
        <sz val="10"/>
        <rFont val="Arial"/>
        <family val="2"/>
        <charset val="204"/>
      </rPr>
      <t>. Но при открытии окна пересчет этой позиции не происходит, т.к. посещение Конюшни повышает базу до конца текущей недели.</t>
    </r>
  </si>
  <si>
    <r>
      <t>5. Специализация в Навигации.</t>
    </r>
    <r>
      <rPr>
        <sz val="10"/>
        <rFont val="Arial"/>
        <family val="2"/>
        <charset val="204"/>
      </rPr>
      <t xml:space="preserve"> В тех случаях, когда происходит расчет остатка движения для героев, имеющих специализацию Навигация (Сильвия и Вой), необходимо модифицировать параметр </t>
    </r>
    <r>
      <rPr>
        <b/>
        <sz val="10"/>
        <rFont val="Arial"/>
        <family val="2"/>
        <charset val="204"/>
      </rPr>
      <t>М'</t>
    </r>
    <r>
      <rPr>
        <sz val="10"/>
        <rFont val="Arial"/>
        <family val="2"/>
        <charset val="204"/>
      </rPr>
      <t xml:space="preserve"> с учетом уровня героя. За каждый достигнутый уровень специалист получает дополнительно 5% к стартовому запасу морского хода.</t>
    </r>
  </si>
  <si>
    <t>+300 (Перчатки всадника), +600 (Сапоги скорости) = 900 МР.</t>
  </si>
  <si>
    <r>
      <t>P.S.</t>
    </r>
    <r>
      <rPr>
        <sz val="10"/>
        <rFont val="Arial"/>
        <family val="2"/>
        <charset val="204"/>
      </rPr>
      <t xml:space="preserve"> Собственно, именно эти особенности некорректного программирования игры и породили такого монстра, каким является Шляпа адмирала. Но, предупрежден, значит вооружен! При любом раскладе - случайное применение этого бага, на мой взгляд, крайне маловероятно. Знать эти нюансы не повредит, а вот уж применять их или нет на практике - остается на усмотрение игрока… А результат - на его совести. :)</t>
    </r>
  </si>
  <si>
    <r>
      <t xml:space="preserve">(Составлено на основе материалов </t>
    </r>
    <r>
      <rPr>
        <b/>
        <i/>
        <sz val="8"/>
        <rFont val="Arial Cyr"/>
        <charset val="204"/>
      </rPr>
      <t>huMMer,</t>
    </r>
    <r>
      <rPr>
        <i/>
        <sz val="8"/>
        <rFont val="Arial Cyr"/>
        <charset val="204"/>
      </rPr>
      <t xml:space="preserve"> </t>
    </r>
    <r>
      <rPr>
        <i/>
        <u/>
        <sz val="8"/>
        <color indexed="12"/>
        <rFont val="Arial Cyr"/>
        <charset val="204"/>
      </rPr>
      <t>gdb.diaspora.ru</t>
    </r>
    <r>
      <rPr>
        <i/>
        <sz val="8"/>
        <color indexed="12"/>
        <rFont val="Arial Cyr"/>
        <charset val="204"/>
      </rPr>
      <t xml:space="preserve">, </t>
    </r>
    <r>
      <rPr>
        <i/>
        <sz val="8"/>
        <rFont val="Arial Cyr"/>
        <charset val="204"/>
      </rPr>
      <t xml:space="preserve">Предоставил </t>
    </r>
    <r>
      <rPr>
        <b/>
        <i/>
        <sz val="8"/>
        <rFont val="Arial Cyr"/>
        <charset val="204"/>
      </rPr>
      <t>Wight</t>
    </r>
    <r>
      <rPr>
        <i/>
        <sz val="8"/>
        <rFont val="Arial Cyr"/>
        <charset val="204"/>
      </rPr>
      <t>).</t>
    </r>
  </si>
  <si>
    <t>Воскрешение, Жертва, Слепота, Берсерк, Бешенство, Гипноз, Радость, Печаль.</t>
  </si>
  <si>
    <t>Магия огня, Огненный щит Султана-ифрита, Магическая стрела.</t>
  </si>
  <si>
    <t>Слепота, Берсерк, Бешенство, Гипноз, Радость, Печаль, Благословление, Проклятие, Жертва, Воскрешение.</t>
  </si>
  <si>
    <t>Воскрешение, Жертва, Слепота, Берсерк, Бешенство, Гипноз, Радость, Печаль, Забывчивость.</t>
  </si>
  <si>
    <t>Слепота, Берсерк, Бешенство, Гипноз, Радость, Печаль, Забывчивость.</t>
  </si>
  <si>
    <t>Удар молнии, Цепная молния, Армагеддон, Гром титана.</t>
  </si>
  <si>
    <t>Воскрешение, Жертва, Радость, Печаль.</t>
  </si>
  <si>
    <t>Радость, Печаль, Благословление, Проклятие, Жертва, Воскрешение.</t>
  </si>
  <si>
    <r>
      <rPr>
        <b/>
        <sz val="10"/>
        <rFont val="Arial Cyr"/>
        <charset val="204"/>
      </rPr>
      <t>Пример:</t>
    </r>
    <r>
      <rPr>
        <sz val="10"/>
        <rFont val="Arial Cyr"/>
        <charset val="204"/>
      </rPr>
      <t xml:space="preserve"> на клетчатой сетке приведены некоторые примеры: стрелок с клетки </t>
    </r>
    <r>
      <rPr>
        <b/>
        <sz val="10"/>
        <rFont val="Arial Cyr"/>
        <charset val="204"/>
      </rPr>
      <t>А1</t>
    </r>
    <r>
      <rPr>
        <sz val="10"/>
        <rFont val="Arial Cyr"/>
        <charset val="204"/>
      </rPr>
      <t xml:space="preserve"> может попасть по цели на клетке </t>
    </r>
    <r>
      <rPr>
        <b/>
        <sz val="10"/>
        <rFont val="Arial Cyr"/>
        <charset val="204"/>
      </rPr>
      <t>В12</t>
    </r>
    <r>
      <rPr>
        <sz val="10"/>
        <rFont val="Arial Cyr"/>
        <charset val="204"/>
      </rPr>
      <t xml:space="preserve"> без штрафа за препятствия.</t>
    </r>
  </si>
  <si>
    <r>
      <rPr>
        <b/>
        <sz val="10"/>
        <rFont val="Arial Cyr"/>
        <charset val="204"/>
      </rPr>
      <t>Пример 2:</t>
    </r>
    <r>
      <rPr>
        <sz val="10"/>
        <rFont val="Arial Cyr"/>
        <charset val="204"/>
      </rPr>
      <t xml:space="preserve"> стрелок с клетки </t>
    </r>
    <r>
      <rPr>
        <b/>
        <sz val="10"/>
        <rFont val="Arial Cyr"/>
        <charset val="204"/>
      </rPr>
      <t>Л6</t>
    </r>
    <r>
      <rPr>
        <sz val="10"/>
        <rFont val="Arial Cyr"/>
        <charset val="204"/>
      </rPr>
      <t xml:space="preserve"> может попасть по целям на клетках </t>
    </r>
    <r>
      <rPr>
        <b/>
        <sz val="10"/>
        <rFont val="Arial Cyr"/>
        <charset val="204"/>
      </rPr>
      <t>Д12, Г13, В14</t>
    </r>
    <r>
      <rPr>
        <sz val="10"/>
        <rFont val="Arial Cyr"/>
        <charset val="204"/>
      </rPr>
      <t xml:space="preserve"> и </t>
    </r>
    <r>
      <rPr>
        <b/>
        <sz val="10"/>
        <rFont val="Arial Cyr"/>
        <charset val="204"/>
      </rPr>
      <t>Б15</t>
    </r>
    <r>
      <rPr>
        <sz val="10"/>
        <rFont val="Arial Cyr"/>
        <charset val="204"/>
      </rPr>
      <t xml:space="preserve"> без штрафа за препятствия.</t>
    </r>
  </si>
  <si>
    <t>Ров наносит 70 урона.</t>
  </si>
  <si>
    <t>Живая изгородь наносит 70 урона.</t>
  </si>
  <si>
    <r>
      <t>Минное поле, заменяющее фортификационный ров для в этом городе, имеет относительно сложную математику расчёта поражения войск наступающей армии. Об этом более детально указано ниже</t>
    </r>
    <r>
      <rPr>
        <b/>
        <sz val="10"/>
        <rFont val="Arial Cyr"/>
        <charset val="204"/>
      </rPr>
      <t xml:space="preserve"> (1).</t>
    </r>
  </si>
  <si>
    <t>Груды костей наносят 70 урона.</t>
  </si>
  <si>
    <t>Кипящее масло наносит 90 урона.</t>
  </si>
  <si>
    <t>Лава наносит 90 урона любому отряду.</t>
  </si>
  <si>
    <t>Кипящая смола наносит 90 урона. Рвы преодолеваются отрядами за два хода.</t>
  </si>
  <si>
    <t>Стена шипов наносит 70 урона.</t>
  </si>
  <si>
    <t>Шанс нанести урон:</t>
  </si>
  <si>
    <t>Катапульта и расчет её эффективности при штурме.</t>
  </si>
  <si>
    <t>Тактические особенности штурма и защиты города.</t>
  </si>
  <si>
    <r>
      <t xml:space="preserve">(Составлено на основе материалов </t>
    </r>
    <r>
      <rPr>
        <b/>
        <i/>
        <sz val="8"/>
        <rFont val="Arial"/>
        <family val="2"/>
        <charset val="204"/>
      </rPr>
      <t>Турист</t>
    </r>
    <r>
      <rPr>
        <i/>
        <sz val="8"/>
        <rFont val="Arial"/>
        <family val="2"/>
        <charset val="204"/>
      </rPr>
      <t xml:space="preserve">, </t>
    </r>
    <r>
      <rPr>
        <i/>
        <u/>
        <sz val="8"/>
        <color indexed="12"/>
        <rFont val="Arial"/>
        <family val="2"/>
        <charset val="204"/>
      </rPr>
      <t>heroes.ag.ru</t>
    </r>
    <r>
      <rPr>
        <i/>
        <sz val="8"/>
        <rFont val="Arial"/>
        <family val="2"/>
        <charset val="204"/>
      </rPr>
      <t>).</t>
    </r>
  </si>
  <si>
    <t>- учитываются бонусы специалистов по существам (+1 к скорости профильного существа независимо от уровня героя), за исключением специальностей, дающих постоянный бонус. Такими специальностями обладают герои Сопряжения и некоторые герои кампаний.</t>
  </si>
  <si>
    <r>
      <t>Герои со специальностью Логистика (Десса, Гуннар и Киррь) получают дополнительный бонус который зависит от бонуса вторичного навыка и рассчитывается по формуле:</t>
    </r>
    <r>
      <rPr>
        <b/>
        <sz val="10"/>
        <rFont val="Arial"/>
        <family val="2"/>
        <charset val="204"/>
      </rPr>
      <t xml:space="preserve"> [Бонус Логистики] * [Уровень героя] * 0,05 .</t>
    </r>
  </si>
  <si>
    <t>Базовый запас хода героя на воде зависит от вторичного навыка Навигация:</t>
  </si>
  <si>
    <r>
      <t>Герои со специальностью Навигация (Сильвия и Вой) получают дополнительный бонус, который зависит от бонуса вторичного навыка и рассчитывается по формуле:</t>
    </r>
    <r>
      <rPr>
        <b/>
        <sz val="10"/>
        <rFont val="Arial"/>
        <family val="2"/>
        <charset val="204"/>
      </rPr>
      <t xml:space="preserve"> [Запас хода - 1500] * [Уровень героя] * 0,05 .</t>
    </r>
  </si>
  <si>
    <t>+300 на суше</t>
  </si>
  <si>
    <t>+600 на суше</t>
  </si>
  <si>
    <t>+500 на воде</t>
  </si>
  <si>
    <t>+1000 на воде</t>
  </si>
  <si>
    <t>Маяк (объект на карте)</t>
  </si>
  <si>
    <t>Если у героя две пары перчаток, действовать будет только одна.</t>
  </si>
  <si>
    <t>Бонус начисляется за каждый Маяк под контролем игрока.</t>
  </si>
  <si>
    <r>
      <t xml:space="preserve">Маяк в Замке даёт бонус </t>
    </r>
    <r>
      <rPr>
        <b/>
        <sz val="10"/>
        <rFont val="Arial"/>
        <family val="2"/>
        <charset val="204"/>
      </rPr>
      <t>всем игрокам.</t>
    </r>
  </si>
  <si>
    <t>Бонус распространяется только на текущий день (если в день посещения напасть на кого-нибудь, можно повторно получить бонус к запасу хода (MP)).</t>
  </si>
  <si>
    <t>Конюшни на карте и в Замке дают одинаковый бонус который действует до окончания недели.</t>
  </si>
  <si>
    <t>+800 на суше</t>
  </si>
  <si>
    <t>+400 на суше</t>
  </si>
  <si>
    <t>Конюшня (объект на карте или строение в Замке)</t>
  </si>
  <si>
    <t>- если в армии имеются нейтральные войска (Кочевники, Мумии и пр.), а для остальных войск местность, по которой движется отряд, является родственной (т.е. штраф местности не действует на них), то можно избежать штрафа и для нейтральных войск. Для этого необходимо разместить войска таким образом, чтобы нейтралы были левее остальных войск. Этот момент не документирован, но работает без ограничений.</t>
  </si>
  <si>
    <r>
      <t xml:space="preserve">(Предоставил </t>
    </r>
    <r>
      <rPr>
        <b/>
        <i/>
        <sz val="8"/>
        <rFont val="Arial"/>
        <family val="2"/>
        <charset val="204"/>
      </rPr>
      <t>ThatOne</t>
    </r>
    <r>
      <rPr>
        <i/>
        <sz val="8"/>
        <rFont val="Arial"/>
        <family val="2"/>
        <charset val="204"/>
      </rPr>
      <t xml:space="preserve">, </t>
    </r>
    <r>
      <rPr>
        <i/>
        <u/>
        <sz val="8"/>
        <color rgb="FF0033CC"/>
        <rFont val="Arial"/>
        <family val="2"/>
        <charset val="204"/>
      </rPr>
      <t>heroes.ag.ru</t>
    </r>
    <r>
      <rPr>
        <i/>
        <sz val="8"/>
        <rFont val="Arial"/>
        <family val="2"/>
        <charset val="204"/>
      </rPr>
      <t>).</t>
    </r>
  </si>
  <si>
    <r>
      <t>Василиски</t>
    </r>
    <r>
      <rPr>
        <sz val="10"/>
        <rFont val="Arial"/>
        <family val="2"/>
        <charset val="204"/>
      </rPr>
      <t xml:space="preserve"> - имеют 20% шанс окаменить противника.</t>
    </r>
  </si>
  <si>
    <r>
      <t>Гидры (Гидры хаоса)</t>
    </r>
    <r>
      <rPr>
        <sz val="10"/>
        <rFont val="Arial"/>
        <family val="2"/>
        <charset val="204"/>
      </rPr>
      <t xml:space="preserve"> - атакуют во все стороны без ответной атаки.</t>
    </r>
  </si>
  <si>
    <r>
      <t>Налётчики</t>
    </r>
    <r>
      <rPr>
        <sz val="10"/>
        <rFont val="Arial"/>
        <family val="2"/>
        <charset val="204"/>
      </rPr>
      <t xml:space="preserve"> - имеют две атаки за ход (аналогично Крестоносцам).</t>
    </r>
  </si>
  <si>
    <r>
      <t>Огры-маги</t>
    </r>
    <r>
      <rPr>
        <sz val="10"/>
        <rFont val="Arial"/>
        <family val="2"/>
        <charset val="204"/>
      </rPr>
      <t xml:space="preserve"> - могут колдовать Жажду крови 3 раза за бой.</t>
    </r>
  </si>
  <si>
    <r>
      <t>Птицы грома</t>
    </r>
    <r>
      <rPr>
        <sz val="10"/>
        <rFont val="Arial"/>
        <family val="2"/>
        <charset val="204"/>
      </rPr>
      <t xml:space="preserve"> - имеют 20% шанс ударить врага молнией в дополнение к обычной атаке (из расчета 10 урона на одну птицу в атакующем отряде).</t>
    </r>
  </si>
  <si>
    <r>
      <t>Церберы</t>
    </r>
    <r>
      <rPr>
        <sz val="10"/>
        <rFont val="Arial"/>
        <family val="2"/>
        <charset val="204"/>
      </rPr>
      <t xml:space="preserve"> - атакуют безответно на три соседние клетки.</t>
    </r>
  </si>
  <si>
    <r>
      <t>Ифриты (Султаны-ифриты)</t>
    </r>
    <r>
      <rPr>
        <sz val="10"/>
        <rFont val="Arial"/>
        <family val="2"/>
        <charset val="204"/>
      </rPr>
      <t xml:space="preserve"> - иммунны к Магии огня, наносят 150% урона Джиннам (Мастер-джиннам). Ифриты-султаны имеют "врождённо" наложенное на них заклинание Огненный щит.</t>
    </r>
  </si>
  <si>
    <r>
      <t>Троглодиты</t>
    </r>
    <r>
      <rPr>
        <sz val="10"/>
        <rFont val="Arial"/>
        <family val="2"/>
        <charset val="204"/>
      </rPr>
      <t xml:space="preserve"> - иммунны к Слепоте и Окаменению.</t>
    </r>
  </si>
  <si>
    <r>
      <t>Бехолдеры (Созерцатели)</t>
    </r>
    <r>
      <rPr>
        <sz val="10"/>
        <rFont val="Arial"/>
        <family val="2"/>
        <charset val="204"/>
      </rPr>
      <t xml:space="preserve"> - не имеют штрафа за ближний бой.</t>
    </r>
  </si>
  <si>
    <r>
      <t>Минотавры (Короли минотавров)</t>
    </r>
    <r>
      <rPr>
        <sz val="10"/>
        <rFont val="Arial"/>
        <family val="2"/>
        <charset val="204"/>
      </rPr>
      <t xml:space="preserve"> - всегда имеют положительную мораль.</t>
    </r>
  </si>
  <si>
    <r>
      <t>Зомби</t>
    </r>
    <r>
      <rPr>
        <sz val="10"/>
        <rFont val="Arial"/>
        <family val="2"/>
        <charset val="204"/>
      </rPr>
      <t xml:space="preserve"> - имеют 20% шанс "заразить" противника. Показатели атаки и защиты такого существа будут снижены на 2 в течение 3 ходов.</t>
    </r>
  </si>
  <si>
    <r>
      <t>Стражи (Привидения)</t>
    </r>
    <r>
      <rPr>
        <sz val="10"/>
        <rFont val="Arial"/>
        <family val="2"/>
        <charset val="204"/>
      </rPr>
      <t xml:space="preserve"> - излечивают сами себя в начале хода. Каждый отряд Привидений отнимает у противника 2 маны за ход.</t>
    </r>
  </si>
  <si>
    <r>
      <t>Каменные големы</t>
    </r>
    <r>
      <rPr>
        <sz val="10"/>
        <rFont val="Arial"/>
        <family val="2"/>
        <charset val="204"/>
      </rPr>
      <t xml:space="preserve"> - получают только 50% ущерба от атакующих заклинаний, Стальные големы - 25%.</t>
    </r>
  </si>
  <si>
    <r>
      <t>Горгульи и Големы</t>
    </r>
    <r>
      <rPr>
        <sz val="10"/>
        <rFont val="Arial"/>
        <family val="2"/>
        <charset val="204"/>
      </rPr>
      <t xml:space="preserve"> - являются особыми типами "мёртвых" существ, сходных со стихийными элементалями. В частности, на них не действует Воскрешение, Жертва и подобные заклинания, вампиры не могут высасывать из них жизнь и т.п. С другой стороны, на них действуют заклинания разума, такие как Слепота, Проклятие и прочие.</t>
    </r>
  </si>
  <si>
    <r>
      <t>Гномы</t>
    </r>
    <r>
      <rPr>
        <sz val="10"/>
        <rFont val="Arial"/>
        <family val="2"/>
        <charset val="204"/>
      </rPr>
      <t xml:space="preserve"> - имеют 20% сопротивляемость магии, </t>
    </r>
    <r>
      <rPr>
        <sz val="10"/>
        <color indexed="12"/>
        <rFont val="Arial"/>
        <family val="2"/>
        <charset val="204"/>
      </rPr>
      <t>Боевые гномы</t>
    </r>
    <r>
      <rPr>
        <sz val="10"/>
        <rFont val="Arial"/>
        <family val="2"/>
        <charset val="204"/>
      </rPr>
      <t xml:space="preserve"> - 40%.</t>
    </r>
  </si>
  <si>
    <r>
      <t>Великие эльфы</t>
    </r>
    <r>
      <rPr>
        <sz val="10"/>
        <rFont val="Arial"/>
        <family val="2"/>
        <charset val="204"/>
      </rPr>
      <t xml:space="preserve"> - стреляют дважды.</t>
    </r>
  </si>
  <si>
    <r>
      <t>Пегасы (Серебряные пегасы)</t>
    </r>
    <r>
      <rPr>
        <sz val="10"/>
        <rFont val="Arial"/>
        <family val="2"/>
        <charset val="204"/>
      </rPr>
      <t xml:space="preserve"> - повышают цену заклинаний противника на 2 маны.</t>
    </r>
  </si>
  <si>
    <r>
      <t>Дендроиды</t>
    </r>
    <r>
      <rPr>
        <sz val="10"/>
        <rFont val="Arial"/>
        <family val="2"/>
        <charset val="204"/>
      </rPr>
      <t xml:space="preserve"> - удерживают противника на месте.</t>
    </r>
  </si>
  <si>
    <r>
      <t>Зеленые драконы</t>
    </r>
    <r>
      <rPr>
        <sz val="10"/>
        <rFont val="Arial"/>
        <family val="2"/>
        <charset val="204"/>
      </rPr>
      <t xml:space="preserve"> - иммунны к заклинаниям 1-3 уровня, </t>
    </r>
    <r>
      <rPr>
        <sz val="10"/>
        <color indexed="12"/>
        <rFont val="Arial"/>
        <family val="2"/>
        <charset val="204"/>
      </rPr>
      <t>Золотые драконы</t>
    </r>
    <r>
      <rPr>
        <sz val="10"/>
        <rFont val="Arial"/>
        <family val="2"/>
        <charset val="204"/>
      </rPr>
      <t xml:space="preserve"> - иммунны к заклинаниям 1-4 уровня, атакуют на две клетки.</t>
    </r>
  </si>
  <si>
    <r>
      <t>Арбалетчики</t>
    </r>
    <r>
      <rPr>
        <sz val="10"/>
        <rFont val="Arial"/>
        <family val="2"/>
        <charset val="204"/>
      </rPr>
      <t xml:space="preserve"> - стреляют дважды (после улучшения).</t>
    </r>
  </si>
  <si>
    <r>
      <t>Грифоны</t>
    </r>
    <r>
      <rPr>
        <sz val="10"/>
        <rFont val="Arial"/>
        <family val="2"/>
        <charset val="204"/>
      </rPr>
      <t xml:space="preserve"> - имеют лишний ответный удар за ход, Королевский Грифон - неограниченное количество ответных ударов.</t>
    </r>
  </si>
  <si>
    <r>
      <t>Крестоносцы</t>
    </r>
    <r>
      <rPr>
        <sz val="10"/>
        <rFont val="Arial"/>
        <family val="2"/>
        <charset val="204"/>
      </rPr>
      <t xml:space="preserve"> - имеют две атаки за ход (до и после ответа).</t>
    </r>
  </si>
  <si>
    <r>
      <t>Фанатики</t>
    </r>
    <r>
      <rPr>
        <sz val="10"/>
        <rFont val="Arial"/>
        <family val="2"/>
        <charset val="204"/>
      </rPr>
      <t xml:space="preserve"> - не имеют штрафа за ближний бой.</t>
    </r>
  </si>
  <si>
    <r>
      <t xml:space="preserve">(Предоставил </t>
    </r>
    <r>
      <rPr>
        <b/>
        <i/>
        <sz val="8"/>
        <rFont val="Arial"/>
        <family val="2"/>
        <charset val="204"/>
      </rPr>
      <t>ThatOne,</t>
    </r>
    <r>
      <rPr>
        <i/>
        <sz val="8"/>
        <rFont val="Arial"/>
        <family val="2"/>
        <charset val="204"/>
      </rPr>
      <t xml:space="preserve"> </t>
    </r>
    <r>
      <rPr>
        <i/>
        <u/>
        <sz val="8"/>
        <color indexed="12"/>
        <rFont val="Arial"/>
        <family val="2"/>
        <charset val="204"/>
      </rPr>
      <t>heroes.ag.ru</t>
    </r>
    <r>
      <rPr>
        <i/>
        <sz val="8"/>
        <rFont val="Arial"/>
        <family val="2"/>
        <charset val="204"/>
      </rPr>
      <t>).</t>
    </r>
  </si>
  <si>
    <r>
      <t xml:space="preserve">Показываемая информация </t>
    </r>
    <r>
      <rPr>
        <sz val="10"/>
        <rFont val="Arial"/>
        <family val="2"/>
        <charset val="204"/>
      </rPr>
      <t>(по правому клику на вражеском городе)</t>
    </r>
  </si>
  <si>
    <t>Радуга (Грааль)</t>
  </si>
  <si>
    <t>Памятник богам войны (Грааль)</t>
  </si>
  <si>
    <t>Бог огня              (Грааль)</t>
  </si>
  <si>
    <t>Хранитель земли (Грааль)</t>
  </si>
  <si>
    <t>Хранитель духа (Грааль)</t>
  </si>
  <si>
    <t>Колосс                  (Грааль)</t>
  </si>
  <si>
    <t>В Замке, Темнице и Сопряжении можно купить Баллисту за 2500 золота. В Оплоте, Некрополисе и Крепости - Палатку первой помощи за 750 золота. В Башне, Инферно и Цитадели - Тележку с боеприпасами за 1000 золота.</t>
  </si>
  <si>
    <t>Позволяет изучить 4 заклинания 2 уровня.</t>
  </si>
  <si>
    <t>Позволяет изучить 3 заклинания 3 уровня*.</t>
  </si>
  <si>
    <t>Не доступна для строительства в Цитадели и Крепости. Позволяет изучить 2 заклинания 4 уровня**.</t>
  </si>
  <si>
    <t>Не доступна для строительства в Замке. Позволяет изучить 1 заклинание 5 уровня***.</t>
  </si>
  <si>
    <t>В городе не доступна Гильдия магов 5 уровня.</t>
  </si>
  <si>
    <t>Высокая потребность в кристаллах.</t>
  </si>
  <si>
    <t>Самый дорогой город по ресурсоемкости. Высокая потребность в самоцветах.</t>
  </si>
  <si>
    <t>Высокая потребность в сере.</t>
  </si>
  <si>
    <t>Высокая потребность в золоте и ртути.</t>
  </si>
  <si>
    <t>В городе не доступна Гильдия магов 4-5 уровня. Высокая потребность в дереве.</t>
  </si>
  <si>
    <t>В городе не доступна Гильдия магов 4-5 уровня, Самый дешёвый город по ресурсоёмкости. Высокая потребность в руде.</t>
  </si>
  <si>
    <t>Наем Королевских грифонов (7 в неделю).</t>
  </si>
  <si>
    <t>Наем Капитанов кентавров (14 в неделю).</t>
  </si>
  <si>
    <t>Наем Серебряных пегасов (5 в неделю).</t>
  </si>
  <si>
    <t>Наем Боевых единорогов (2 в неделю).</t>
  </si>
  <si>
    <t>Наем Каменных горгулий (9 в неделю).</t>
  </si>
  <si>
    <t>Наем Обсидиановых горгулий (9 в неделю).</t>
  </si>
  <si>
    <t>Наем Каменных големов (6 в неделю).</t>
  </si>
  <si>
    <t>Наем Стальных големов (6 в неделю).</t>
  </si>
  <si>
    <t>Наем Королевских наг (2 в неделю).</t>
  </si>
  <si>
    <t>Наем Живых мертвецов (8 в неделю).</t>
  </si>
  <si>
    <t>Наем Могущественных личей (3 в неделю).</t>
  </si>
  <si>
    <t>Наем Адских троглодитов (14 в неделю).</t>
  </si>
  <si>
    <t>Наем Великих василисков (4 в неделю).</t>
  </si>
  <si>
    <t>Наем Могучих горгон (3 в неделю).</t>
  </si>
  <si>
    <t>Наем Наездников на волках (9 в неделю).</t>
  </si>
  <si>
    <t>Наем Элементалей воздуха (6 в неделю).</t>
  </si>
  <si>
    <t>Наем Штормовых элементалей (6 в неделю).</t>
  </si>
  <si>
    <t>Наем Элементалей воды (6 в неделю).</t>
  </si>
  <si>
    <t>Наем Ледяных элементалей (6 в неделю).</t>
  </si>
  <si>
    <t>Наем Элементалей огня (5 в неделю).</t>
  </si>
  <si>
    <t>Наем Энергетических элементалей (5 в неделю).</t>
  </si>
  <si>
    <t>Наем Элементалей земли (4 в неделю).</t>
  </si>
  <si>
    <t>Наем Магмовых элементалей (4 в неделю).</t>
  </si>
  <si>
    <t>Наем Психических элементалей (2 в неделю).</t>
  </si>
  <si>
    <t>Наем Магических элементалей (2 в неделю).</t>
  </si>
  <si>
    <r>
      <t xml:space="preserve">Все существа Крепости, Сопряжения и Цитадели под управлением героев, получают +2 к Удаче.
</t>
    </r>
    <r>
      <rPr>
        <i/>
        <sz val="10"/>
        <rFont val="Arial"/>
        <family val="2"/>
        <charset val="204"/>
      </rPr>
      <t xml:space="preserve">(Добавил </t>
    </r>
    <r>
      <rPr>
        <b/>
        <i/>
        <sz val="10"/>
        <rFont val="Arial"/>
        <family val="2"/>
        <charset val="204"/>
      </rPr>
      <t>AlexSpl,</t>
    </r>
    <r>
      <rPr>
        <i/>
        <sz val="10"/>
        <rFont val="Arial"/>
        <family val="2"/>
        <charset val="204"/>
      </rPr>
      <t xml:space="preserve"> </t>
    </r>
    <r>
      <rPr>
        <i/>
        <u/>
        <sz val="10"/>
        <color indexed="12"/>
        <rFont val="Arial"/>
        <family val="2"/>
        <charset val="204"/>
      </rPr>
      <t>heroesworld.ru</t>
    </r>
    <r>
      <rPr>
        <i/>
        <sz val="10"/>
        <rFont val="Arial"/>
        <family val="2"/>
        <charset val="204"/>
      </rPr>
      <t>: нейтральные существа (без героя) не получают +2 к Удаче, хотя анимация присутствует).</t>
    </r>
  </si>
  <si>
    <t>*** Все существа в битве на родной земле получают +1 к Атаке, Защите и Скорости. Также герой на родной земле видит месторасположение вражеских мин и Зыбучих песков, которые на другой земле скрыты.</t>
  </si>
  <si>
    <r>
      <t xml:space="preserve"> Если битва происходит на клетке карты приключений, которая граничит с водой, то независимо от типа земли бой будет на песке и бонусов родной земли не будет ни у одной из сторон </t>
    </r>
    <r>
      <rPr>
        <i/>
        <sz val="10"/>
        <rFont val="Arial"/>
        <family val="2"/>
        <charset val="204"/>
      </rPr>
      <t xml:space="preserve">(Предоставил </t>
    </r>
    <r>
      <rPr>
        <b/>
        <i/>
        <sz val="10"/>
        <rFont val="Arial"/>
        <family val="2"/>
        <charset val="204"/>
      </rPr>
      <t>SAG19330184</t>
    </r>
    <r>
      <rPr>
        <i/>
        <sz val="10"/>
        <rFont val="Arial"/>
        <family val="2"/>
        <charset val="204"/>
      </rPr>
      <t xml:space="preserve">, </t>
    </r>
    <r>
      <rPr>
        <i/>
        <u/>
        <sz val="10"/>
        <color rgb="FF0033CC"/>
        <rFont val="Arial"/>
        <family val="2"/>
        <charset val="204"/>
      </rPr>
      <t>forum.df2.ru</t>
    </r>
    <r>
      <rPr>
        <i/>
        <sz val="10"/>
        <rFont val="Arial"/>
        <family val="2"/>
        <charset val="204"/>
      </rPr>
      <t>).</t>
    </r>
  </si>
  <si>
    <t>Фрагмент стены (случайный)</t>
  </si>
  <si>
    <r>
      <t xml:space="preserve">2…3 * (Атака +1) </t>
    </r>
    <r>
      <rPr>
        <sz val="10"/>
        <rFont val="Arial Cyr"/>
        <charset val="204"/>
      </rPr>
      <t>,</t>
    </r>
  </si>
  <si>
    <r>
      <t xml:space="preserve">(Составлено с использованием материалов </t>
    </r>
    <r>
      <rPr>
        <b/>
        <i/>
        <sz val="8"/>
        <rFont val="Arial"/>
        <family val="2"/>
        <charset val="204"/>
      </rPr>
      <t>Туриста</t>
    </r>
    <r>
      <rPr>
        <i/>
        <sz val="8"/>
        <rFont val="Arial"/>
        <family val="2"/>
        <charset val="204"/>
      </rPr>
      <t xml:space="preserve">, </t>
    </r>
    <r>
      <rPr>
        <i/>
        <u/>
        <sz val="8"/>
        <color indexed="12"/>
        <rFont val="Arial"/>
        <family val="2"/>
        <charset val="204"/>
      </rPr>
      <t>heroes.ag.ru</t>
    </r>
    <r>
      <rPr>
        <i/>
        <sz val="8"/>
        <rFont val="Arial"/>
        <family val="2"/>
        <charset val="204"/>
      </rPr>
      <t>).</t>
    </r>
  </si>
  <si>
    <r>
      <rPr>
        <i/>
        <sz val="9"/>
        <rFont val="Arial"/>
        <family val="2"/>
        <charset val="204"/>
      </rPr>
      <t>Состоит из Магических доспехов, Сандалий святого, Ожерелья божественной благодати, Щита львиной храбрости, Меча правосудия и Шлема небесного просвещения.</t>
    </r>
    <r>
      <rPr>
        <sz val="10"/>
        <rFont val="Arial"/>
        <family val="2"/>
        <charset val="204"/>
      </rPr>
      <t xml:space="preserve">                                Атака, Защита, Сила магии и Знание героя </t>
    </r>
    <r>
      <rPr>
        <b/>
        <sz val="10"/>
        <rFont val="Arial"/>
        <family val="2"/>
        <charset val="204"/>
      </rPr>
      <t>+21</t>
    </r>
    <r>
      <rPr>
        <sz val="10"/>
        <rFont val="Arial"/>
        <family val="2"/>
        <charset val="204"/>
      </rPr>
      <t>. Позволяет смешивать в армии существ Замка, Оплота, Башни, Крепости и Цитадели без штрафа в боевом духе. Перед первым за бой ходом существа героя автоматически колдуется Экспертная Молитва (работает на Проклятой земле, в гарнизоне Антимагии и со Сферой запрещения, но не работает с Плащом отрицания).</t>
    </r>
  </si>
  <si>
    <r>
      <rPr>
        <i/>
        <sz val="9"/>
        <rFont val="Arial"/>
        <family val="2"/>
        <charset val="204"/>
      </rPr>
      <t>Состоит из Амулета гробовщика, Мантии вампира и Сапогов мертвеца.</t>
    </r>
    <r>
      <rPr>
        <sz val="10"/>
        <rFont val="Arial"/>
        <family val="2"/>
        <charset val="204"/>
      </rPr>
      <t xml:space="preserve">                        Усиливает навык Чародейства, если он есть у героя, на 30%. Воскрешает 30% погибших в бою вражеских существ в виде Скелетов, которые присоединяются к армии героя, если он не имеет Чародейства. При Базовом уровне Чародейства вместо Скелетов воскрешаются Живые мертвецы. При Продвинутом Чародействе - Стражи. При Экспертном Чародействе - Личи.</t>
    </r>
  </si>
  <si>
    <r>
      <t xml:space="preserve">Правая рука </t>
    </r>
    <r>
      <rPr>
        <i/>
        <sz val="9"/>
        <rFont val="Arial"/>
        <family val="2"/>
        <charset val="204"/>
      </rPr>
      <t>(Туловище, Ноги, Шея, Левая рука и Шлем, находятся "под замком")</t>
    </r>
  </si>
  <si>
    <r>
      <t xml:space="preserve">Плащ              </t>
    </r>
    <r>
      <rPr>
        <i/>
        <sz val="9"/>
        <rFont val="Arial"/>
        <family val="2"/>
        <charset val="204"/>
      </rPr>
      <t>(Шея и Ноги находятся "под замком")</t>
    </r>
  </si>
  <si>
    <r>
      <rPr>
        <i/>
        <sz val="9"/>
        <rFont val="Arial"/>
        <family val="2"/>
        <charset val="204"/>
      </rPr>
      <t>Состоит из Кольца жизни, Кольца жизненной силы и Склянки жизненной силы.</t>
    </r>
    <r>
      <rPr>
        <sz val="10"/>
        <rFont val="Arial"/>
        <family val="2"/>
        <charset val="204"/>
      </rPr>
      <t xml:space="preserve">                   Увеличивает максимальное здоровье всех существ героя на 4. Увеличивает максимальное здоровье всех существ, кроме нежити, големов, горгулий, боевых машин и элементалей, на 25% (округление вниз) и даёт им способность Регенерации здоровья (максимум на 50 единиц).</t>
    </r>
  </si>
  <si>
    <r>
      <t xml:space="preserve">Разное                             </t>
    </r>
    <r>
      <rPr>
        <i/>
        <sz val="9"/>
        <rFont val="Arial"/>
        <family val="2"/>
        <charset val="204"/>
      </rPr>
      <t>(2 слота Кольцо находятся "под замком")</t>
    </r>
  </si>
  <si>
    <r>
      <t xml:space="preserve">Туловище   </t>
    </r>
    <r>
      <rPr>
        <i/>
        <sz val="9"/>
        <rFont val="Arial"/>
        <family val="2"/>
        <charset val="204"/>
      </rPr>
      <t>(Голова, Правая и Левая рука находятся "под замком")</t>
    </r>
  </si>
  <si>
    <r>
      <t xml:space="preserve">Разное                  </t>
    </r>
    <r>
      <rPr>
        <i/>
        <sz val="9"/>
        <rFont val="Arial"/>
        <family val="2"/>
        <charset val="204"/>
      </rPr>
      <t>(все слоты Разное находятся "под замком")</t>
    </r>
  </si>
  <si>
    <r>
      <rPr>
        <i/>
        <sz val="9"/>
        <rFont val="Arial"/>
        <family val="2"/>
        <charset val="204"/>
      </rPr>
      <t>Состоит из Ног легиона, Поясницы легиона, Туловища легиона, Рук легиона и Головы легиона.</t>
    </r>
    <r>
      <rPr>
        <sz val="10"/>
        <rFont val="Arial"/>
        <family val="2"/>
        <charset val="204"/>
      </rPr>
      <t xml:space="preserve">                                                                 Прирост всех существ во всех городах игрока увеличивается на 50% от базового (включая прирост Цитадели и Замка). Если артефакт находится в городе, то дополнительно увеличивается прирост существ 2 уровня на 5, существ 3 уровня на 4, существ 4 уровня на 3, существ 5 уровня на 2 и существ 6 уровня на 1.</t>
    </r>
  </si>
  <si>
    <r>
      <t xml:space="preserve">Туловище </t>
    </r>
    <r>
      <rPr>
        <i/>
        <sz val="9"/>
        <rFont val="Arial"/>
        <family val="2"/>
        <charset val="204"/>
      </rPr>
      <t>(Голова, Правая и Левая рука, 2 слота Кольцо, Плащ, Шея и Ноги находятся "под замком")</t>
    </r>
  </si>
  <si>
    <r>
      <rPr>
        <i/>
        <sz val="9"/>
        <rFont val="Arial"/>
        <family val="2"/>
        <charset val="204"/>
      </rPr>
      <t>Состоит из Языков пламени красного дракона, Щита из чешуи дракона, Шлема из зубов дракона, Доспехов из чешуи дракона, Застывшего глаза дракона, Неподвижного глаза дракона, Плаща из драконьих крыльев, Ожерелья из зубов дракона и Наколенников из драконьей кости.</t>
    </r>
    <r>
      <rPr>
        <sz val="10"/>
        <rFont val="Arial"/>
        <family val="2"/>
        <charset val="204"/>
      </rPr>
      <t xml:space="preserve">                                                   Атака, Защита, Сила магии и Знание героя +16. Удача и Боевой дух героя +1. Существа героя получают защиту от заклинаний 1...4 уровней, кроме Грома титана (игнорирует Медаль уязвимости).</t>
    </r>
  </si>
  <si>
    <r>
      <t xml:space="preserve">Правая рука </t>
    </r>
    <r>
      <rPr>
        <i/>
        <sz val="9"/>
        <rFont val="Arial"/>
        <family val="2"/>
        <charset val="204"/>
      </rPr>
      <t>(Туловище, Голова и Левая рука находятся "под замком")</t>
    </r>
  </si>
  <si>
    <r>
      <rPr>
        <i/>
        <sz val="9"/>
        <rFont val="Arial"/>
        <family val="2"/>
        <charset val="204"/>
      </rPr>
      <t>Состоит из Гладиуса титана, Щита часового, Шлема небесного грома и Лат титана.</t>
    </r>
    <r>
      <rPr>
        <sz val="10"/>
        <rFont val="Arial"/>
        <family val="2"/>
        <charset val="204"/>
      </rPr>
      <t xml:space="preserve">                                                                   Атака и Защита героя +9. Сила магии и Знание героя +8. Обучает героя заклинанию Гром титана. Бесплатно даёт герою Книгу магии.</t>
    </r>
  </si>
  <si>
    <r>
      <t xml:space="preserve">Голова               </t>
    </r>
    <r>
      <rPr>
        <i/>
        <sz val="9"/>
        <rFont val="Arial"/>
        <family val="2"/>
        <charset val="204"/>
      </rPr>
      <t>(Шея находится "под замком")</t>
    </r>
  </si>
  <si>
    <r>
      <rPr>
        <i/>
        <sz val="9"/>
        <rFont val="Arial"/>
        <family val="2"/>
        <charset val="204"/>
      </rPr>
      <t>Состоит из Ожерелья морского проведения и Шляпы морского капитана.</t>
    </r>
    <r>
      <rPr>
        <sz val="10"/>
        <rFont val="Arial"/>
        <family val="2"/>
        <charset val="204"/>
      </rPr>
      <t xml:space="preserve">                             Увеличивает запас хода героя по воде на 1500 МР. Обучает героя заклинаниям Вызов корабля и Затопить корабль. Защищает существ героя от потерь в Водовороте. Запас хода героя не тратится на посадку и высадку с корабля.</t>
    </r>
  </si>
  <si>
    <r>
      <t xml:space="preserve">Разное                     </t>
    </r>
    <r>
      <rPr>
        <i/>
        <sz val="9"/>
        <rFont val="Arial"/>
        <family val="2"/>
        <charset val="204"/>
      </rPr>
      <t>(2 слота Разное находятся "под замком")</t>
    </r>
  </si>
  <si>
    <r>
      <t xml:space="preserve">Разное                    </t>
    </r>
    <r>
      <rPr>
        <i/>
        <sz val="9"/>
        <rFont val="Arial"/>
        <family val="2"/>
        <charset val="204"/>
      </rPr>
      <t>(2 слота Разное находятся "под замком")</t>
    </r>
  </si>
  <si>
    <r>
      <rPr>
        <i/>
        <sz val="9"/>
        <rFont val="Arial"/>
        <family val="2"/>
        <charset val="204"/>
      </rPr>
      <t>Состоит из Амулета маны, Талисмана маны и Магической медали маны.</t>
    </r>
    <r>
      <rPr>
        <sz val="10"/>
        <rFont val="Arial"/>
        <family val="2"/>
        <charset val="204"/>
      </rPr>
      <t xml:space="preserve">                                                   В начале каждого дня восстанавливает ману героя до максимума.</t>
    </r>
  </si>
  <si>
    <r>
      <t xml:space="preserve">Кольцо           </t>
    </r>
    <r>
      <rPr>
        <i/>
        <sz val="9"/>
        <rFont val="Arial"/>
        <family val="2"/>
        <charset val="204"/>
      </rPr>
      <t xml:space="preserve"> (Шея и Плащ находятся "под замком")</t>
    </r>
  </si>
  <si>
    <r>
      <rPr>
        <i/>
        <sz val="9"/>
        <rFont val="Arial"/>
        <family val="2"/>
        <charset val="204"/>
      </rPr>
      <t>Состоит из Магического кольца, Магического ошейника и Магической накидки.</t>
    </r>
    <r>
      <rPr>
        <sz val="10"/>
        <rFont val="Arial"/>
        <family val="2"/>
        <charset val="204"/>
      </rPr>
      <t xml:space="preserve">                        Увеличивает длительность всех заклинаний героя на 50 раундов.</t>
    </r>
  </si>
  <si>
    <r>
      <t xml:space="preserve">Разное      </t>
    </r>
    <r>
      <rPr>
        <i/>
        <sz val="9"/>
        <rFont val="Arial"/>
        <family val="2"/>
        <charset val="204"/>
      </rPr>
      <t xml:space="preserve"> (Плащ и 2 слота Кольцо находятся "под замком")</t>
    </r>
  </si>
  <si>
    <r>
      <rPr>
        <i/>
        <sz val="9"/>
        <rFont val="Arial"/>
        <family val="2"/>
        <charset val="204"/>
      </rPr>
      <t>Состоит из Плаща бесконечных кристаллов, Кольца драгоценных камней, Бесконечной склянки ртути и Вечного кольца серы.</t>
    </r>
    <r>
      <rPr>
        <sz val="10"/>
        <rFont val="Arial"/>
        <family val="2"/>
        <charset val="204"/>
      </rPr>
      <t xml:space="preserve">          Приносит по 5 кристаллов, самоцветов, ртути и серы в день.</t>
    </r>
  </si>
  <si>
    <t>Не реализованные артефакты, но оставшиеся в файлах игры</t>
  </si>
  <si>
    <r>
      <t xml:space="preserve">Плащ                </t>
    </r>
    <r>
      <rPr>
        <i/>
        <sz val="9"/>
        <rFont val="Arial"/>
        <family val="2"/>
        <charset val="204"/>
      </rPr>
      <t>(Шея и Кольцо находятся "под замком")</t>
    </r>
  </si>
  <si>
    <r>
      <rPr>
        <i/>
        <sz val="9"/>
        <rFont val="Arial"/>
        <family val="2"/>
        <charset val="204"/>
      </rPr>
      <t>Состоит из Кольца дипломата, Медали дипломата и Ленты посла.</t>
    </r>
    <r>
      <rPr>
        <sz val="10"/>
        <rFont val="Arial"/>
        <family val="2"/>
        <charset val="204"/>
      </rPr>
      <t xml:space="preserve">                                    Стоимость откупа при побеге с поля боя -30%. Дополнительные свойства неизвестны.</t>
    </r>
  </si>
  <si>
    <r>
      <t xml:space="preserve">Туловище </t>
    </r>
    <r>
      <rPr>
        <i/>
        <sz val="9"/>
        <rFont val="Arial"/>
        <family val="2"/>
        <charset val="204"/>
      </rPr>
      <t>(Шея и Ноги находятся "под замком")</t>
    </r>
  </si>
  <si>
    <r>
      <rPr>
        <i/>
        <sz val="9"/>
        <rFont val="Arial"/>
        <family val="2"/>
        <charset val="204"/>
      </rPr>
      <t>Состоит из Колье отрицания, Мантии равновесия и Сапогов противодействия.</t>
    </r>
    <r>
      <rPr>
        <sz val="10"/>
        <rFont val="Arial"/>
        <family val="2"/>
        <charset val="204"/>
      </rPr>
      <t xml:space="preserve">            Существа в армии героя получают 30% шанс блокировать заклинание, являясь его целью. Дополнительные свойства неизвестны.</t>
    </r>
  </si>
  <si>
    <r>
      <t xml:space="preserve">Правая рука </t>
    </r>
    <r>
      <rPr>
        <i/>
        <sz val="9"/>
        <rFont val="Arial"/>
        <family val="2"/>
        <charset val="204"/>
      </rPr>
      <t>(Голова, Туловище и Левая рука находятся "под замком")</t>
    </r>
  </si>
  <si>
    <r>
      <rPr>
        <i/>
        <sz val="9"/>
        <rFont val="Arial"/>
        <family val="2"/>
        <charset val="204"/>
      </rPr>
      <t>Состоит из Дубины яростного огра, Щита яростного огра, Короны верховного мага и Туники короля циклопов.</t>
    </r>
    <r>
      <rPr>
        <sz val="10"/>
        <rFont val="Arial"/>
        <family val="2"/>
        <charset val="204"/>
      </rPr>
      <t xml:space="preserve">                                             Атака и Защита героя +5. Сила магии и Знание героя +4. Дополнительные свойства неизвестны.</t>
    </r>
  </si>
  <si>
    <t>-Показывается личность лучших героев: Исследователь, Строитель, Воин;</t>
  </si>
  <si>
    <t>Мгновенно наносит СМ*50+30 урона всем существам и боевым машинам на поле боя.</t>
  </si>
  <si>
    <t>Мгновенно наносит СМ*50+60 урона всем существам и боевым машинам на поле боя.</t>
  </si>
  <si>
    <t>Мгновенно наносит СМ*50+120 урона всем существам и боевым машинам на поле боя.</t>
  </si>
  <si>
    <t>Мгновенно наносит СМ*10+10 урона всем существам Некрополиса и Мумиям на поле боя.</t>
  </si>
  <si>
    <t>То же + Можно клонировать существ 7 уровня.</t>
  </si>
  <si>
    <t>Мгновенно наносит СМ*5+10 урона всем существам на поле боя, кроме существ Некрополиса, Мумий, големов, горгулий, элементалей и боевых машин.</t>
  </si>
  <si>
    <t>Воскрешает и излечивает цель на количество здоровья равное СМ*50+30. Действует только на нежить. Не подействует на цель, если силы не хватит на воскрешение хотя бы одного существа.</t>
  </si>
  <si>
    <t>Воскрешает и излечивает цель на количество здоровья равное СМ*50+40. После боя воскрешённые существа исчезают. Не действует на нежить, элементалей, големов и горгулий. Если герой победил, а в его армии остались только воскрешённые существа, то 1 самое слабое существо из них не исчезнет после боя. Не подействует на цель, если силы не хватит на воскрешение хотя бы одного существа.</t>
  </si>
  <si>
    <t>Посещение разграбленного Склепа: Боевой дух героя -1 на ближайшую битву.</t>
  </si>
  <si>
    <t>Посещение разграбленного Покинутого корабля: Боевой дух героя -1 на ближайшую битву.</t>
  </si>
  <si>
    <t>Посещение разграбленного Кораблекрушения: Боевой дух героя -1 на ближайшую битву.</t>
  </si>
  <si>
    <t>Артефакт-Сокровище + Боевой дух -3 на ближайшую битву</t>
  </si>
  <si>
    <t>Второстепенный артефакт + Боевой дух -3 на ближайшую битву</t>
  </si>
  <si>
    <t>Основной артефакт + Боевой дух -3 на ближайшую битву</t>
  </si>
  <si>
    <t>Артефакт-Реликт + Боевой дух -3 на ближайшую битву</t>
  </si>
  <si>
    <t>Посещение разграбленной Пирамиды: Удача героя -2 на ближайшую битву. Если герой уже имеет "проклятие" Пирамиды, то ещё -2 к удаче не добавляется.</t>
  </si>
  <si>
    <t>Имущество, Лидерство, Первая помощь</t>
  </si>
  <si>
    <t>5000 золота + 10 серы</t>
  </si>
  <si>
    <t>Артефакт-Сокровище. Если рюкзак полон, герой получает на выбор: 1000 золота или 500 опыта</t>
  </si>
  <si>
    <t>СИРЕНЫ.</t>
  </si>
  <si>
    <t>Боевой дух героя -3 на ближайшую битву.</t>
  </si>
  <si>
    <t>Боевой дух героя -1 на ближайшую битву.</t>
  </si>
  <si>
    <t>Удача героя -2 на ближайшую битву.</t>
  </si>
  <si>
    <t>При каждом посещении герой восполняет свой запас маны до максимума. Можно посещать только 1 раз в день для каждого героя.</t>
  </si>
  <si>
    <t>16 выстрелов. Атака стен (вместо очередного хода, не расходует запас выстрелов) - Стреляет по городским стенам, башням или вратам подобно катапульте на уровне Базовой Баллистики. Даже если циклопы перекрыты, они могут стрелять по стенам.</t>
  </si>
  <si>
    <t>Герой получает по 5 Архангелов в каждый свободный слот</t>
  </si>
  <si>
    <t>Герой получает по 10 Чёрных рыцарей в каждый свободный слот</t>
  </si>
  <si>
    <t>Если герою-магу, кроме Элементалиста, ещё не предлагали Магию стихии, то ему предложат одну из стихий на 3, 6, 9 и т.д. уровнях. Если предложили на другом уровне, то счётчик сбрасывается.</t>
  </si>
  <si>
    <t>Если герою-магу, кроме Элементалиста, ещё не предлагали Мудрость, то ему предложат её на 3, 6, 9 и т.д. уровнях. Если предложили на другом уровне, то счётчик сбрасывается.</t>
  </si>
  <si>
    <t>Полёт, Боевой дух +1, Ненависть к дьяволам</t>
  </si>
  <si>
    <t>Полёт, Боевой дух +1, Ненависть к дьяволам, Воскрешение</t>
  </si>
  <si>
    <t>Полёт, Защита от магии, Дыхание дракона, Ненависть к Титанам</t>
  </si>
  <si>
    <t>Witch</t>
  </si>
  <si>
    <t>Ore</t>
  </si>
  <si>
    <r>
      <t>Гарпии (Гарпии-ведьмы)</t>
    </r>
    <r>
      <rPr>
        <sz val="10"/>
        <rFont val="Arial"/>
        <family val="2"/>
        <charset val="204"/>
      </rPr>
      <t xml:space="preserve"> - после атаки возвращаются на прежнее место. Гарпии-ведьмы, в дополнение, атакуют безответно.</t>
    </r>
  </si>
  <si>
    <r>
      <t>Адские отродья</t>
    </r>
    <r>
      <rPr>
        <sz val="10"/>
        <rFont val="Arial"/>
        <family val="2"/>
        <charset val="204"/>
      </rPr>
      <t xml:space="preserve"> - каждый отряд один раз за бой может оживить некоторое количество убитых дружественных существ в виде Демонов.</t>
    </r>
  </si>
  <si>
    <r>
      <t>Могучие горгоны</t>
    </r>
    <r>
      <rPr>
        <sz val="10"/>
        <rFont val="Arial"/>
        <family val="2"/>
        <charset val="204"/>
      </rPr>
      <t xml:space="preserve"> - дополнительно к прямому урону каждая Могучая горгона в отряде имеет 10% процентную вероятность уничтожить смертельным дыханием одно вражеское существо не зависимо от его запаса здоровья.</t>
    </r>
  </si>
  <si>
    <t>Гильдия магов (в городе)</t>
  </si>
  <si>
    <t>Водоворот маны (в городе)</t>
  </si>
  <si>
    <r>
      <t xml:space="preserve">(Составлено на основе материалов </t>
    </r>
    <r>
      <rPr>
        <b/>
        <i/>
        <sz val="8"/>
        <rFont val="Arial"/>
        <family val="2"/>
        <charset val="204"/>
      </rPr>
      <t>Туриста</t>
    </r>
    <r>
      <rPr>
        <i/>
        <sz val="8"/>
        <rFont val="Arial"/>
        <family val="2"/>
        <charset val="204"/>
      </rPr>
      <t xml:space="preserve">, </t>
    </r>
    <r>
      <rPr>
        <b/>
        <i/>
        <sz val="8"/>
        <rFont val="Arial"/>
        <family val="2"/>
        <charset val="204"/>
      </rPr>
      <t>ThatOne</t>
    </r>
    <r>
      <rPr>
        <i/>
        <sz val="8"/>
        <rFont val="Arial"/>
        <family val="2"/>
        <charset val="204"/>
      </rPr>
      <t xml:space="preserve"> и </t>
    </r>
    <r>
      <rPr>
        <b/>
        <i/>
        <sz val="8"/>
        <rFont val="Arial"/>
        <family val="2"/>
        <charset val="204"/>
      </rPr>
      <t>MaximusX</t>
    </r>
    <r>
      <rPr>
        <i/>
        <sz val="8"/>
        <rFont val="Arial"/>
        <family val="2"/>
        <charset val="204"/>
      </rPr>
      <t xml:space="preserve">, </t>
    </r>
    <r>
      <rPr>
        <i/>
        <u/>
        <sz val="8"/>
        <color indexed="12"/>
        <rFont val="Arial"/>
        <family val="2"/>
        <charset val="204"/>
      </rPr>
      <t>heroes.ag.ru</t>
    </r>
    <r>
      <rPr>
        <i/>
        <sz val="8"/>
        <rFont val="Arial"/>
        <family val="2"/>
        <charset val="204"/>
      </rPr>
      <t>).</t>
    </r>
  </si>
  <si>
    <t>Опыт при наличии Обучения</t>
  </si>
  <si>
    <r>
      <t>Внимание!</t>
    </r>
    <r>
      <rPr>
        <sz val="10"/>
        <rFont val="Arial"/>
        <family val="2"/>
        <charset val="204"/>
      </rPr>
      <t xml:space="preserve"> В Сокровищницах не действует вторичный навык Тактика.</t>
    </r>
  </si>
  <si>
    <r>
      <t>Внимание!</t>
    </r>
    <r>
      <rPr>
        <sz val="10"/>
        <rFont val="Arial"/>
        <family val="2"/>
        <charset val="204"/>
      </rPr>
      <t xml:space="preserve"> Боевые машины не участвуют в захвате сокровищниц, однако если у героя есть Тележка с боеприпасами, то его стрелки всё равно будут иметь бесконечный боезапас.</t>
    </r>
  </si>
  <si>
    <r>
      <rPr>
        <b/>
        <sz val="10"/>
        <rFont val="Arial"/>
        <family val="2"/>
        <charset val="204"/>
      </rPr>
      <t>Внимание!</t>
    </r>
    <r>
      <rPr>
        <sz val="10"/>
        <rFont val="Arial"/>
        <family val="2"/>
        <charset val="204"/>
      </rPr>
      <t xml:space="preserve"> Получение вторичного навыка в Университете вне "Дерева навыков" нарушает его последовательность.</t>
    </r>
  </si>
  <si>
    <r>
      <t xml:space="preserve">Формула расчёта цены </t>
    </r>
    <r>
      <rPr>
        <b/>
        <sz val="10"/>
        <rFont val="Arial"/>
        <family val="2"/>
        <charset val="204"/>
      </rPr>
      <t>покупки</t>
    </r>
    <r>
      <rPr>
        <sz val="10"/>
        <rFont val="Arial"/>
        <family val="2"/>
        <charset val="204"/>
      </rPr>
      <t xml:space="preserve"> артефактов:</t>
    </r>
  </si>
  <si>
    <r>
      <t xml:space="preserve">Формула расчёта цены </t>
    </r>
    <r>
      <rPr>
        <b/>
        <sz val="10"/>
        <rFont val="Arial"/>
        <family val="2"/>
        <charset val="204"/>
      </rPr>
      <t>продажи</t>
    </r>
    <r>
      <rPr>
        <sz val="10"/>
        <rFont val="Arial"/>
        <family val="2"/>
        <charset val="204"/>
      </rPr>
      <t xml:space="preserve"> артефактов:</t>
    </r>
  </si>
  <si>
    <t>Получить артефакты можно просто подобрав их на карте приключений. Кроме этого артефакты могут попасться при посещении определённых объектов:</t>
  </si>
  <si>
    <t>Месяц чумы</t>
  </si>
  <si>
    <t>Орёл</t>
  </si>
  <si>
    <t>Камен.горгулья</t>
  </si>
  <si>
    <t>Наезд.на кабане</t>
  </si>
  <si>
    <t>Серые клетки - например, Красный дракон.</t>
  </si>
  <si>
    <t>Буква "Г" - "голова" Красного дракона.</t>
  </si>
  <si>
    <t>Жёлтые линии - направления атаки по Красному дракону вражеским существом.</t>
  </si>
  <si>
    <t>Красные стрелки - направление ответного удара, который будет произведён (основная атака).</t>
  </si>
  <si>
    <t>Зелёные стрелки - направление ответного удара, который должен был бы быть, если бы это было одногексовое существо.</t>
  </si>
  <si>
    <r>
      <rPr>
        <b/>
        <sz val="10"/>
        <rFont val="Arial Cyr"/>
        <charset val="204"/>
      </rPr>
      <t>Двухгексовые</t>
    </r>
    <r>
      <rPr>
        <sz val="10"/>
        <rFont val="Arial Cyr"/>
        <charset val="204"/>
      </rPr>
      <t xml:space="preserve"> отряды имеют также дополнительный вид атаки:</t>
    </r>
  </si>
  <si>
    <t>2 синие клетки - двухгексовое существо ("голова" справа).</t>
  </si>
  <si>
    <r>
      <t xml:space="preserve">N = Start_Value - Killed_Units - Live_Upgraded </t>
    </r>
    <r>
      <rPr>
        <sz val="10"/>
        <rFont val="Arial Cyr"/>
        <charset val="204"/>
      </rPr>
      <t>,</t>
    </r>
  </si>
  <si>
    <r>
      <t xml:space="preserve">(Составлено совместно с </t>
    </r>
    <r>
      <rPr>
        <b/>
        <i/>
        <sz val="8"/>
        <rFont val="Arial"/>
        <family val="2"/>
        <charset val="204"/>
      </rPr>
      <t>Brennan</t>
    </r>
    <r>
      <rPr>
        <i/>
        <sz val="8"/>
        <rFont val="Arial"/>
        <family val="2"/>
        <charset val="204"/>
      </rPr>
      <t xml:space="preserve">, </t>
    </r>
    <r>
      <rPr>
        <i/>
        <u/>
        <sz val="8"/>
        <color indexed="12"/>
        <rFont val="Arial"/>
        <family val="2"/>
        <charset val="204"/>
      </rPr>
      <t>heroesportal.net</t>
    </r>
    <r>
      <rPr>
        <i/>
        <sz val="8"/>
        <rFont val="Arial"/>
        <family val="2"/>
        <charset val="204"/>
      </rPr>
      <t>).</t>
    </r>
  </si>
  <si>
    <r>
      <t xml:space="preserve">Прирост нейтральных отрядов на карте приключений, если он не запрещён автором карты, составляет </t>
    </r>
    <r>
      <rPr>
        <b/>
        <sz val="10"/>
        <rFont val="Arial"/>
        <family val="2"/>
        <charset val="204"/>
      </rPr>
      <t>+10%</t>
    </r>
    <r>
      <rPr>
        <sz val="10"/>
        <rFont val="Arial"/>
        <family val="2"/>
        <charset val="204"/>
      </rPr>
      <t xml:space="preserve"> в неделю.</t>
    </r>
  </si>
  <si>
    <t>С городе Сопряжение построена Цитадель, Сад жизни, Храм Грааля (Радуга). Герой имеет Статую Легиона.</t>
  </si>
  <si>
    <r>
      <t xml:space="preserve">1. На способность существ колдовать заклинания </t>
    </r>
    <r>
      <rPr>
        <b/>
        <sz val="10"/>
        <rFont val="Arial"/>
        <family val="2"/>
        <charset val="204"/>
      </rPr>
      <t>НЕ влияют</t>
    </r>
    <r>
      <rPr>
        <sz val="10"/>
        <rFont val="Arial"/>
        <family val="2"/>
        <charset val="204"/>
      </rPr>
      <t xml:space="preserve"> следующие факторы:</t>
    </r>
  </si>
  <si>
    <r>
      <t xml:space="preserve">2. Однако, существует ряд факторов, которые </t>
    </r>
    <r>
      <rPr>
        <b/>
        <sz val="10"/>
        <rFont val="Arial"/>
        <family val="2"/>
        <charset val="204"/>
      </rPr>
      <t>влияют</t>
    </r>
    <r>
      <rPr>
        <sz val="10"/>
        <rFont val="Arial"/>
        <family val="2"/>
        <charset val="204"/>
      </rPr>
      <t xml:space="preserve"> на колдующих существ:</t>
    </r>
  </si>
  <si>
    <t>Урон 70 + 50*(N-1), где N - количество драконов в отряде.</t>
  </si>
  <si>
    <t>Урон 175 + 125*(N-1), где N - количество драконов в отряде.</t>
  </si>
  <si>
    <t>Урон 120 + 100*(N-1), где N - количество драконов в отряде.</t>
  </si>
  <si>
    <t>Урон 80 + 50*(N-1), где N - количество драконов в отряде.</t>
  </si>
  <si>
    <t>Урон 90 + 50*(N-1), где N - количество драконов в отряде.</t>
  </si>
  <si>
    <t>Урон 145 + 125*(N-1), где N - количество драконов в отряде.</t>
  </si>
  <si>
    <t>Урон 250 + 200*(N-1), где N - количество драконов в отряде.</t>
  </si>
  <si>
    <r>
      <t xml:space="preserve">(Составлено с использованием материалов </t>
    </r>
    <r>
      <rPr>
        <b/>
        <i/>
        <sz val="8"/>
        <rFont val="Arial"/>
        <family val="2"/>
        <charset val="204"/>
      </rPr>
      <t>HateYou</t>
    </r>
    <r>
      <rPr>
        <i/>
        <sz val="8"/>
        <rFont val="Arial"/>
        <family val="2"/>
        <charset val="204"/>
      </rPr>
      <t xml:space="preserve">, </t>
    </r>
    <r>
      <rPr>
        <b/>
        <i/>
        <sz val="8"/>
        <rFont val="Arial"/>
        <family val="2"/>
        <charset val="204"/>
      </rPr>
      <t>Wight</t>
    </r>
    <r>
      <rPr>
        <i/>
        <sz val="8"/>
        <rFont val="Arial"/>
        <family val="2"/>
        <charset val="204"/>
      </rPr>
      <t xml:space="preserve"> и </t>
    </r>
    <r>
      <rPr>
        <b/>
        <i/>
        <sz val="8"/>
        <rFont val="Arial"/>
        <family val="2"/>
        <charset val="204"/>
      </rPr>
      <t>Navuchodonosor</t>
    </r>
    <r>
      <rPr>
        <i/>
        <sz val="8"/>
        <rFont val="Arial"/>
        <family val="2"/>
        <charset val="204"/>
      </rPr>
      <t xml:space="preserve">, </t>
    </r>
    <r>
      <rPr>
        <i/>
        <u/>
        <sz val="8"/>
        <color indexed="12"/>
        <rFont val="Arial"/>
        <family val="2"/>
        <charset val="204"/>
      </rPr>
      <t>heroesportal.net</t>
    </r>
    <r>
      <rPr>
        <i/>
        <sz val="8"/>
        <rFont val="Arial"/>
        <family val="2"/>
        <charset val="204"/>
      </rPr>
      <t>).</t>
    </r>
  </si>
  <si>
    <r>
      <t xml:space="preserve">Оплетение (при ударе) - Существо не может перемещаться, пока дендроид жив и находится на месте удара. Оплетение снимается Снятием заклинаний или Телепортом. </t>
    </r>
    <r>
      <rPr>
        <b/>
        <sz val="10"/>
        <rFont val="Arial"/>
        <family val="2"/>
        <charset val="204"/>
      </rPr>
      <t>Это интересно!</t>
    </r>
    <r>
      <rPr>
        <sz val="10"/>
        <rFont val="Arial"/>
        <family val="2"/>
        <charset val="204"/>
      </rPr>
      <t xml:space="preserve"> Если на вражеские отряды дендроидов наложить Берсерк, то после взаимных атаки/ответа они остаются прикованы к месту до тех пор, пока не будет уничтожен тот отряд, который осуществил оплетение.</t>
    </r>
  </si>
  <si>
    <r>
      <t xml:space="preserve">Элементаль. Окружающий удар - При атаке элементаль наносит урон цели и всем вражеским существам вокруг себя в радиусе 1 клетки. Безответность - цель атаки не отвечает на удар. Урон против существ Некрополиса, Мумий, големов, Гигантов, Титанов, элементалей и Чёрных драконов -50% </t>
    </r>
    <r>
      <rPr>
        <i/>
        <sz val="10"/>
        <rFont val="Arial"/>
        <family val="2"/>
        <charset val="204"/>
      </rPr>
      <t xml:space="preserve">(Добавил </t>
    </r>
    <r>
      <rPr>
        <b/>
        <i/>
        <sz val="10"/>
        <rFont val="Arial"/>
        <family val="2"/>
        <charset val="204"/>
      </rPr>
      <t>SAG19330184</t>
    </r>
    <r>
      <rPr>
        <i/>
        <sz val="10"/>
        <rFont val="Arial"/>
        <family val="2"/>
        <charset val="204"/>
      </rPr>
      <t xml:space="preserve">, </t>
    </r>
    <r>
      <rPr>
        <i/>
        <u/>
        <sz val="10"/>
        <color rgb="FF0033CC"/>
        <rFont val="Arial"/>
        <family val="2"/>
        <charset val="204"/>
      </rPr>
      <t>forum.df2.ru</t>
    </r>
    <r>
      <rPr>
        <i/>
        <sz val="10"/>
        <rFont val="Arial"/>
        <family val="2"/>
        <charset val="204"/>
      </rPr>
      <t>)</t>
    </r>
    <r>
      <rPr>
        <sz val="10"/>
        <rFont val="Arial"/>
        <family val="2"/>
        <charset val="204"/>
      </rPr>
      <t>.</t>
    </r>
  </si>
  <si>
    <r>
      <t xml:space="preserve">20% шанс Окаменения (при ударе, на 3 раунда) - цель пропускает свои очередные ходы и получает только 50% урона от атак вражеских существ (исключение - атака городских стрелковых башен, так как их урон удваивается в этом случае - очевидный баг в игре </t>
    </r>
    <r>
      <rPr>
        <i/>
        <sz val="10"/>
        <rFont val="Arial"/>
        <family val="2"/>
        <charset val="204"/>
      </rPr>
      <t xml:space="preserve">(Добавил </t>
    </r>
    <r>
      <rPr>
        <b/>
        <i/>
        <sz val="10"/>
        <rFont val="Arial"/>
        <family val="2"/>
        <charset val="204"/>
      </rPr>
      <t>Лорд Хаарт</t>
    </r>
    <r>
      <rPr>
        <i/>
        <sz val="10"/>
        <rFont val="Arial"/>
        <family val="2"/>
        <charset val="204"/>
      </rPr>
      <t xml:space="preserve">, </t>
    </r>
    <r>
      <rPr>
        <i/>
        <u/>
        <sz val="10"/>
        <color rgb="FF0033CC"/>
        <rFont val="Arial"/>
        <family val="2"/>
        <charset val="204"/>
      </rPr>
      <t>forum.df2.ru</t>
    </r>
    <r>
      <rPr>
        <i/>
        <sz val="10"/>
        <rFont val="Arial"/>
        <family val="2"/>
        <charset val="204"/>
      </rPr>
      <t>)</t>
    </r>
    <r>
      <rPr>
        <sz val="10"/>
        <rFont val="Arial"/>
        <family val="2"/>
        <charset val="204"/>
      </rPr>
      <t>. Снимается при получении любого урона.</t>
    </r>
  </si>
  <si>
    <r>
      <t xml:space="preserve">8 выстрелов. Нет штрафа в ближнем бою. 20% шанс Окаменения (при ударе, на 3 раунда) - цель пропускает свои очередные ходы и получает только 50% урона от атак вражеских существ (исключение - атака городских стрелковых башен, так как их урон удваивается в этом случае - очевидный баг в игре </t>
    </r>
    <r>
      <rPr>
        <i/>
        <sz val="10"/>
        <rFont val="Arial"/>
        <family val="2"/>
        <charset val="204"/>
      </rPr>
      <t xml:space="preserve">(Добавил </t>
    </r>
    <r>
      <rPr>
        <b/>
        <i/>
        <sz val="10"/>
        <rFont val="Arial"/>
        <family val="2"/>
        <charset val="204"/>
      </rPr>
      <t>Лорд Хаарт</t>
    </r>
    <r>
      <rPr>
        <i/>
        <sz val="10"/>
        <rFont val="Arial"/>
        <family val="2"/>
        <charset val="204"/>
      </rPr>
      <t xml:space="preserve">, </t>
    </r>
    <r>
      <rPr>
        <i/>
        <u/>
        <sz val="10"/>
        <color indexed="12"/>
        <rFont val="Arial"/>
        <family val="2"/>
        <charset val="204"/>
      </rPr>
      <t>forum.df2.ru</t>
    </r>
    <r>
      <rPr>
        <i/>
        <sz val="10"/>
        <rFont val="Arial"/>
        <family val="2"/>
        <charset val="204"/>
      </rPr>
      <t>)</t>
    </r>
    <r>
      <rPr>
        <sz val="10"/>
        <rFont val="Arial"/>
        <family val="2"/>
        <charset val="204"/>
      </rPr>
      <t>. Снимается при получении любого урона.</t>
    </r>
  </si>
  <si>
    <r>
      <t xml:space="preserve">4 выстрела. Нет штрафа в ближнем бою. 20% шанс Окаменения (при ударе, на 3 раунда) - цель пропускает свои очередные ходы и получает только 50% урона от атак вражеских существ (исключение - атака городских стрелковых башен, так как их урон удваивается в этом случае - очевидный баг в игре </t>
    </r>
    <r>
      <rPr>
        <i/>
        <sz val="10"/>
        <rFont val="Arial"/>
        <family val="2"/>
        <charset val="204"/>
      </rPr>
      <t xml:space="preserve">(Добавил </t>
    </r>
    <r>
      <rPr>
        <b/>
        <i/>
        <sz val="10"/>
        <rFont val="Arial"/>
        <family val="2"/>
        <charset val="204"/>
      </rPr>
      <t>Лорд Хаарт</t>
    </r>
    <r>
      <rPr>
        <i/>
        <sz val="10"/>
        <rFont val="Arial"/>
        <family val="2"/>
        <charset val="204"/>
      </rPr>
      <t xml:space="preserve">, </t>
    </r>
    <r>
      <rPr>
        <i/>
        <u/>
        <sz val="10"/>
        <color indexed="12"/>
        <rFont val="Arial"/>
        <family val="2"/>
        <charset val="204"/>
      </rPr>
      <t>forum.df2.ru</t>
    </r>
    <r>
      <rPr>
        <i/>
        <sz val="10"/>
        <rFont val="Arial"/>
        <family val="2"/>
        <charset val="204"/>
      </rPr>
      <t>)</t>
    </r>
    <r>
      <rPr>
        <sz val="10"/>
        <rFont val="Arial"/>
        <family val="2"/>
        <charset val="204"/>
      </rPr>
      <t>. Снимается при получении любого урона.</t>
    </r>
  </si>
  <si>
    <t>Защита от Кавалерийского бонуса</t>
  </si>
  <si>
    <t>Полёт, Ответ на 2 атаки</t>
  </si>
  <si>
    <t>Полёт, Ответ на все атаки</t>
  </si>
  <si>
    <t>Полёт, Защита от магии               1-3 уровня, Дыхание дракона</t>
  </si>
  <si>
    <t>Полёт, Защита от магии              1-4 уровня, Дыхание дракона</t>
  </si>
  <si>
    <t>Стрельба, Нет штрафа в б.б., Нет штрафа за стены, Цена магии -2</t>
  </si>
  <si>
    <t>Полёт, Защита от магии                               1-3 уровня, Дыхание дракона</t>
  </si>
  <si>
    <r>
      <t xml:space="preserve">(Составлено совместно с </t>
    </r>
    <r>
      <rPr>
        <b/>
        <i/>
        <sz val="8"/>
        <rFont val="Arial"/>
        <family val="2"/>
        <charset val="204"/>
      </rPr>
      <t>Wight</t>
    </r>
    <r>
      <rPr>
        <i/>
        <sz val="8"/>
        <rFont val="Arial"/>
        <family val="2"/>
        <charset val="204"/>
      </rPr>
      <t xml:space="preserve">, </t>
    </r>
    <r>
      <rPr>
        <i/>
        <u/>
        <sz val="8"/>
        <color indexed="12"/>
        <rFont val="Arial"/>
        <family val="2"/>
        <charset val="204"/>
      </rPr>
      <t>heroesportal.net</t>
    </r>
    <r>
      <rPr>
        <i/>
        <sz val="8"/>
        <rFont val="Arial"/>
        <family val="2"/>
        <charset val="204"/>
      </rPr>
      <t>).</t>
    </r>
  </si>
  <si>
    <r>
      <t>*В силу того, что Магическая стрела и Видение относятся ко всем школам магии, за основу определения их эффектов берется та школа магии, которая имеет более высокий уровень развития на момент применения заклинания (</t>
    </r>
    <r>
      <rPr>
        <i/>
        <sz val="9"/>
        <rFont val="Arial"/>
        <family val="2"/>
        <charset val="204"/>
      </rPr>
      <t xml:space="preserve">Добавил </t>
    </r>
    <r>
      <rPr>
        <b/>
        <i/>
        <sz val="9"/>
        <rFont val="Arial"/>
        <family val="2"/>
        <charset val="204"/>
      </rPr>
      <t>tolich</t>
    </r>
    <r>
      <rPr>
        <i/>
        <sz val="9"/>
        <rFont val="Arial"/>
        <family val="2"/>
        <charset val="204"/>
      </rPr>
      <t xml:space="preserve">, </t>
    </r>
    <r>
      <rPr>
        <i/>
        <u/>
        <sz val="9"/>
        <color rgb="FF0033CC"/>
        <rFont val="Arial"/>
        <family val="2"/>
        <charset val="204"/>
      </rPr>
      <t>forum.df2.ru</t>
    </r>
    <r>
      <rPr>
        <i/>
        <sz val="9"/>
        <rFont val="Arial"/>
        <family val="2"/>
        <charset val="204"/>
      </rPr>
      <t>).</t>
    </r>
  </si>
  <si>
    <t>То же + Может перемещать через городской ров и стены цитадели. Цена снижается до 6.</t>
  </si>
  <si>
    <t>То же + Может перемещать через городской ров и стены. Цена снижается до 3.</t>
  </si>
  <si>
    <r>
      <t xml:space="preserve">Предел повышения уровня - 32767, потом уходит в минус, т.к. старший бит 16-битного значения компьютер интерпретирует как знаковый, т.е. числа от 32768 до 65535 считаются отрицательными </t>
    </r>
    <r>
      <rPr>
        <i/>
        <sz val="10"/>
        <color indexed="8"/>
        <rFont val="Arial"/>
        <family val="2"/>
        <charset val="204"/>
      </rPr>
      <t xml:space="preserve">(Добавил </t>
    </r>
    <r>
      <rPr>
        <b/>
        <i/>
        <sz val="10"/>
        <color indexed="8"/>
        <rFont val="Arial"/>
        <family val="2"/>
        <charset val="204"/>
      </rPr>
      <t>medstrax</t>
    </r>
    <r>
      <rPr>
        <i/>
        <sz val="10"/>
        <color indexed="8"/>
        <rFont val="Arial"/>
        <family val="2"/>
        <charset val="204"/>
      </rPr>
      <t xml:space="preserve">, </t>
    </r>
    <r>
      <rPr>
        <i/>
        <u/>
        <sz val="10"/>
        <color indexed="12"/>
        <rFont val="Arial"/>
        <family val="2"/>
        <charset val="204"/>
      </rPr>
      <t>heroesworld.ru</t>
    </r>
    <r>
      <rPr>
        <i/>
        <sz val="10"/>
        <color indexed="8"/>
        <rFont val="Arial"/>
        <family val="2"/>
        <charset val="204"/>
      </rPr>
      <t>)</t>
    </r>
    <r>
      <rPr>
        <sz val="10"/>
        <color indexed="8"/>
        <rFont val="Arial"/>
        <family val="2"/>
        <charset val="204"/>
      </rPr>
      <t>.</t>
    </r>
  </si>
  <si>
    <t>Позволяет строить корабли за 1000 золота и 10 древесины.</t>
  </si>
  <si>
    <r>
      <t xml:space="preserve">Внимание! </t>
    </r>
    <r>
      <rPr>
        <sz val="9"/>
        <rFont val="Arial"/>
        <family val="2"/>
        <charset val="204"/>
      </rPr>
      <t>При осаде города, существа героя, у которого имеется навык Доспехи получают больший урон (на 5-15%) от Стрелковых башен (баг игры, присутствует не во всех версиях).</t>
    </r>
  </si>
  <si>
    <r>
      <t xml:space="preserve">Специализация усиливает свойства Волшебства на 5% за каждый уровень героя. Формула расчёта эффекта Волшебства: </t>
    </r>
    <r>
      <rPr>
        <b/>
        <sz val="10"/>
        <rFont val="Arial Cyr"/>
        <charset val="204"/>
      </rPr>
      <t>k*(1+0,05*N)</t>
    </r>
    <r>
      <rPr>
        <sz val="10"/>
        <rFont val="Arial Cyr"/>
        <charset val="204"/>
      </rPr>
      <t>,
где N - уровень героя, k=5% для базового уровня Волшебства,
      k=10% для продвинутого уровня Волшебства,
      k=15% для экспертного уровня Волшебства.
Максимальная эффективность Волшебства составляет +96% к урону заклинаний героя.</t>
    </r>
  </si>
  <si>
    <r>
      <t xml:space="preserve">Специализация усиливает свойства Доспехов на 5% за каждый уровень героя. Формула расчёта эффекта Доспехов: </t>
    </r>
    <r>
      <rPr>
        <b/>
        <sz val="10"/>
        <rFont val="Arial Cyr"/>
        <charset val="204"/>
      </rPr>
      <t>k*(1+0,05*N)</t>
    </r>
    <r>
      <rPr>
        <sz val="10"/>
        <rFont val="Arial Cyr"/>
        <charset val="204"/>
      </rPr>
      <t>,
где N - уровень героя, k=5% для базового уровня Доспехов;
      k=10% для продвинутого уровня Доспехов;
      k=15% для экспертного уровня Доспехов.
Максимальная эффективность Доспехов достигается тогда, когда они способны снизить получаемый существом урон до 1.</t>
    </r>
  </si>
  <si>
    <r>
      <t xml:space="preserve">Специализация усиливает свойства Логистики на 5% за каждый уровень героя. Формула расчёта эффекта Логистики: </t>
    </r>
    <r>
      <rPr>
        <b/>
        <sz val="10"/>
        <rFont val="Arial Cyr"/>
        <charset val="204"/>
      </rPr>
      <t>k*(1+0,05*N)</t>
    </r>
    <r>
      <rPr>
        <sz val="10"/>
        <rFont val="Arial Cyr"/>
        <charset val="204"/>
      </rPr>
      <t>,
где N - уровень героя, k=10% для базового уровня Логистики;
      k=20% для продвинутого уровня Логистики;
      k=30% для экспертного уровня Логистики.
Максимальная эффективность Логистики составляет +192% к максимальному запасу хода героя.</t>
    </r>
  </si>
  <si>
    <t>Адриэн имеет стартовую Экспертную Магию огня.</t>
  </si>
  <si>
    <r>
      <t xml:space="preserve">Специализация усиливает свойства Интеллекта на 5% за каждый уровень героя. Формула расчёта максимального запаса маны героя: </t>
    </r>
    <r>
      <rPr>
        <b/>
        <sz val="10"/>
        <rFont val="Arial Cyr"/>
        <charset val="204"/>
      </rPr>
      <t>Знание*(1+k*(1+0,05*N))*10</t>
    </r>
    <r>
      <rPr>
        <sz val="10"/>
        <rFont val="Arial Cyr"/>
        <charset val="204"/>
      </rPr>
      <t>,
где N - уровень героя, k=0,25 для базового уровня Интеллекта;
      k=0,5 для продвинутого уровня Интеллекта;
      k=1 для экспертного уровня Интеллекта.
Максимальный запас маны героя может составлять 7326 единицы, а при посещении Водоворота маны или Магического ручья - 14652 единиц.</t>
    </r>
  </si>
  <si>
    <r>
      <t xml:space="preserve">Специализация усиливает свойства Нападения на 5% за каждый уровень героя. Формула расчёта эффекта Нападения: </t>
    </r>
    <r>
      <rPr>
        <b/>
        <sz val="10"/>
        <rFont val="Arial Cyr"/>
        <charset val="204"/>
      </rPr>
      <t>k*(1+0,05*N)</t>
    </r>
    <r>
      <rPr>
        <sz val="10"/>
        <rFont val="Arial Cyr"/>
        <charset val="204"/>
      </rPr>
      <t>,
где N - уровень героя, k=10% для базового уровня Нападения;
      k=20% для продвинутого уровня Нападения;
      k=30% для экспертного уровня Нападения.
Максимальная эффективность Нападения составляет +192% к урону, наносимому существами героя.</t>
    </r>
  </si>
  <si>
    <r>
      <t xml:space="preserve">Специализация усиливает свойства Сопротивления на 5% за каждый уровень героя. Формула расчёта сопротивления существ героя: </t>
    </r>
    <r>
      <rPr>
        <b/>
        <sz val="10"/>
        <rFont val="Arial Cyr"/>
        <charset val="204"/>
      </rPr>
      <t>k*(1+0,05*N)</t>
    </r>
    <r>
      <rPr>
        <sz val="10"/>
        <rFont val="Arial Cyr"/>
        <charset val="204"/>
      </rPr>
      <t>,
где N - уровень героя, k=5% для базового уровня Сопротивления;
      k=10% для продвинутого уровня Сопротивления;
      k=20% для экспертного уровня Сопротивления.
Максимальная эффективность Сопротивления достигается на 80 уровне, когда сопротивление всех существ в армии героя составляет 100%. При наличии Колье отрицания, Мантии равновесия и Сапогов противодействия максимальная эффективность достигается на 50 уровне. Вероятность сопротивления магии суммируется со способностями Гномов, Боевых гномов и Кристаллических драконов.</t>
    </r>
  </si>
  <si>
    <r>
      <t xml:space="preserve">Специализация усиливает свойства Стрельбы на 5% за каждый уровень героя. Формула расчёта эффекта Стрельбы: </t>
    </r>
    <r>
      <rPr>
        <b/>
        <sz val="10"/>
        <rFont val="Arial Cyr"/>
        <charset val="204"/>
      </rPr>
      <t>k*(1+0,05*N)</t>
    </r>
    <r>
      <rPr>
        <sz val="10"/>
        <rFont val="Arial Cyr"/>
        <charset val="204"/>
      </rPr>
      <t>,
где N - уровень героя, k=10% для базового уровня Стрельбы;
      k=25% для продвинутого уровня Стрельбы;
      k=50% для экспертного уровня Стрельбы;
Максимальная эффективность Стрельбы составляет +320% к урону, наносимому существами героя.</t>
    </r>
  </si>
  <si>
    <r>
      <t xml:space="preserve">Специализация усиливает свойства Чародейства на 5% за каждый уровень героя. Формула расчёта эффекта Чародейства: </t>
    </r>
    <r>
      <rPr>
        <b/>
        <sz val="10"/>
        <rFont val="Arial Cyr"/>
        <charset val="204"/>
      </rPr>
      <t>k*(1+0,05*N)</t>
    </r>
    <r>
      <rPr>
        <sz val="10"/>
        <rFont val="Arial Cyr"/>
        <charset val="204"/>
      </rPr>
      <t>,
где N - уровень героя, k=10% для базового уровня Чародейства;
      k=20% для продвинутого уровня Чародейства;
      k=30% для экспертного уровня Чародейства.
Максимальная эффективность Чародейства достигается на 47 уровне, когда герой после боя воскрешает 100% убитых вражеских существ в виде Скелетов.</t>
    </r>
  </si>
  <si>
    <r>
      <t xml:space="preserve">Специализация увеличивает урон Волны смерти на 3% за каждый уровень героя, кратный уровню целевого существа. расчёт производится для каждого существа, на которого подействовала Волна смерти. Формула расчета урона Волны смерти для экспертного уровня Магии земли:
                   </t>
    </r>
    <r>
      <rPr>
        <b/>
        <sz val="10"/>
        <rFont val="Arial Cyr"/>
        <charset val="204"/>
      </rPr>
      <t>Урон=(СМ*5+30)*(1+[N/n]*0,03)</t>
    </r>
    <r>
      <rPr>
        <sz val="10"/>
        <rFont val="Arial Cyr"/>
        <charset val="204"/>
      </rPr>
      <t>,
где СМ - сила магии героя, N - уровень героя, n - уровень существа. Округление вверх.</t>
    </r>
  </si>
  <si>
    <r>
      <t xml:space="preserve">Специализация усиливает эффект Воскрешения на 3% за каждый уровень героя, кратный уровню воскрешаемого существа. Формула расчёта силы Воскрешения (в единицах здоровья) для экспертного уровня Магии земли:
                   </t>
    </r>
    <r>
      <rPr>
        <b/>
        <sz val="10"/>
        <rFont val="Arial Cyr"/>
        <charset val="204"/>
      </rPr>
      <t>Ед.здоровья=(СМ*50+160)*(1+[N/n]*0,03)</t>
    </r>
    <r>
      <rPr>
        <sz val="10"/>
        <rFont val="Arial Cyr"/>
        <charset val="204"/>
      </rPr>
      <t>,
где СМ - сила магии героя, N - уровень героя, n - уровень существа. Округление вверх.</t>
    </r>
  </si>
  <si>
    <r>
      <t xml:space="preserve">Специализация усиливает эффект Гипноза на 3% за каждый уровень героя, кратный уровню целевого существа. Сила Гипноза определяет максимальное количество здоровья целевого отряда, на который он сможет подействовать. Формула расчёта силы Гипноза (максимальное количество здоровья) для экспертного уровня Магии воздуха:
                   </t>
    </r>
    <r>
      <rPr>
        <b/>
        <sz val="10"/>
        <rFont val="Arial Cyr"/>
        <charset val="204"/>
      </rPr>
      <t>Ед.здоровья=(СМ*25+50)*(1+[N/n]*0,03)</t>
    </r>
    <r>
      <rPr>
        <sz val="10"/>
        <rFont val="Arial Cyr"/>
        <charset val="204"/>
      </rPr>
      <t>,
где СМ - сила магии героя, N - уровень героя, n - уровень существа. Округление вверх.</t>
    </r>
  </si>
  <si>
    <r>
      <t xml:space="preserve">Специализация усиливает эффект Жажды крови на </t>
    </r>
    <r>
      <rPr>
        <b/>
        <sz val="10"/>
        <rFont val="Arial Cyr"/>
        <charset val="204"/>
      </rPr>
      <t>1...3</t>
    </r>
    <r>
      <rPr>
        <sz val="10"/>
        <rFont val="Arial Cyr"/>
        <charset val="204"/>
      </rPr>
      <t xml:space="preserve"> единицы, в зависимости от уровня целевого существа. Зависимость силы Жажды крови от уровня цели для экспертного уровня Магии огня:
- Существа 1 и 2 уровня - атака +9 (в том числе эффект специализации +3);
- Существа 3 и 4 уровня - атака +8 (в том числе эффект специализации +2);
- Существа 5 и 6 уровня - атака +7 (в том числе эффект специализации +1);
- Существа 7 уровня - атака +6 (нет эффекта специализации).</t>
    </r>
  </si>
  <si>
    <r>
      <t xml:space="preserve">Специализация увеличивает урон Инферно на 3% за каждый уровень героя, кратный уровню целевого существа. расчёт производится для каждого существа, на которого подействовало Инферно. Формула расчёта урона Инферно для экспертного уровня Магии огня:
                   </t>
    </r>
    <r>
      <rPr>
        <b/>
        <sz val="10"/>
        <rFont val="Arial Cyr"/>
        <charset val="204"/>
      </rPr>
      <t>Урон=(СМ*10+80)*(1+[N/n]*0,03)</t>
    </r>
    <r>
      <rPr>
        <sz val="10"/>
        <rFont val="Arial Cyr"/>
        <charset val="204"/>
      </rPr>
      <t>,
где СМ - сила магии героя, N - уровень героя, n - уровень существа. Округление вверх.</t>
    </r>
  </si>
  <si>
    <r>
      <t xml:space="preserve">Специализация усиливает эффект Каменной кожи на </t>
    </r>
    <r>
      <rPr>
        <b/>
        <sz val="10"/>
        <rFont val="Arial Cyr"/>
        <charset val="204"/>
      </rPr>
      <t>1...3</t>
    </r>
    <r>
      <rPr>
        <sz val="10"/>
        <rFont val="Arial Cyr"/>
        <charset val="204"/>
      </rPr>
      <t xml:space="preserve"> единицы, в зависимости от уровня целевого существа. Зависимость силы Каменной кожи от уровня цели для экспертного уровня Магии земли:
- Существа 1 и 2 уровня - защита +9 (в том числе эффект специализации +3);
- Существа 3 и 4 уровня - защита +8 (в том числе эффект специализации +2);
- Существа 5 и 6 уровня - защита +7 (в том числе эффект специализации +1);
- Существа 7 уровня - защита +6 (нет эффекта специализации).</t>
    </r>
  </si>
  <si>
    <r>
      <t xml:space="preserve">Специализация увеличивает урон Кольца холода на 3% за каждый уровень героя, кратный уровню целевого существа. Расчёт производится для каждого существа, на которого подействовало Кольцо холода. Формула расчёта урона Кольца холода для экспертного уровня Магии воды:
                   </t>
    </r>
    <r>
      <rPr>
        <b/>
        <sz val="10"/>
        <rFont val="Arial Cyr"/>
        <charset val="204"/>
      </rPr>
      <t>Урон=(СМ*10+60)*(1+[N/n]*0,03)</t>
    </r>
    <r>
      <rPr>
        <sz val="10"/>
        <rFont val="Arial Cyr"/>
        <charset val="204"/>
      </rPr>
      <t>,
где СМ - сила магии героя, N - уровень героя, n - уровень существа. Округление вверх.</t>
    </r>
  </si>
  <si>
    <r>
      <t xml:space="preserve">Специализация увеличивает урон Ледяной молнии на 3% за каждый уровень героя, кратный уровню целевого существа. Формула расчёта урона Ледяной молнии для экспертного уровня Магии воды:
                   </t>
    </r>
    <r>
      <rPr>
        <b/>
        <sz val="10"/>
        <rFont val="Arial Cyr"/>
        <charset val="204"/>
      </rPr>
      <t>Урон=(СМ*20+50)*(1+[N/n]*0,03)</t>
    </r>
    <r>
      <rPr>
        <sz val="10"/>
        <rFont val="Arial Cyr"/>
        <charset val="204"/>
      </rPr>
      <t>,
где СМ - сила магии героя, N - уровень героя, n - уровень существа. Округление вверх.                                           При расчёте урона Ледяной молнии Алагара следует учесть, что он изначально имеет вторичный навык Волшебства. Поэтому, в зависимости от уровня его развития, фактический урон Ледяной молнии будет увеличен на 5...15%.</t>
    </r>
  </si>
  <si>
    <r>
      <t xml:space="preserve">Специализация усиливает эффект Лечения на 3% за каждый уровень героя, кратный уровню излечиваемого существа. Формула расчёта силы Лечения (в единицах здоровья) для экспертного уровня Магии воды: 
                   </t>
    </r>
    <r>
      <rPr>
        <b/>
        <sz val="10"/>
        <rFont val="Arial Cyr"/>
        <charset val="204"/>
      </rPr>
      <t>Ед.здоровья=(СМ*5+30)*(1+[N/n]*0,03)</t>
    </r>
    <r>
      <rPr>
        <sz val="10"/>
        <rFont val="Arial Cyr"/>
        <charset val="204"/>
      </rPr>
      <t>,
где СМ - сила магии героя, N - уровень героя, n - уровень существа. Округление вверх.</t>
    </r>
  </si>
  <si>
    <r>
      <t xml:space="preserve">Специализация увеличивает итоговый урон Магической стрелы на </t>
    </r>
    <r>
      <rPr>
        <b/>
        <sz val="10"/>
        <rFont val="Arial Cyr"/>
        <charset val="204"/>
      </rPr>
      <t>50%</t>
    </r>
    <r>
      <rPr>
        <sz val="10"/>
        <rFont val="Arial Cyr"/>
        <charset val="204"/>
      </rPr>
      <t>.</t>
    </r>
  </si>
  <si>
    <r>
      <t xml:space="preserve">Специализация увеличивает урон Метеоритного дождя на 3% за каждый уровень героя, кратный уровню целевого существа. Расчёт производится для каждого существа, на которого подействовал Метеоритный дождь. Формула расчёта урона Метеоритного дождя для экспертного уровня Магии земли:
                   </t>
    </r>
    <r>
      <rPr>
        <b/>
        <sz val="10"/>
        <rFont val="Arial Cyr"/>
        <charset val="204"/>
      </rPr>
      <t>Урон=(СМ*25+100)*(1+[N/n]*0,03)</t>
    </r>
    <r>
      <rPr>
        <sz val="10"/>
        <rFont val="Arial Cyr"/>
        <charset val="204"/>
      </rPr>
      <t>,
где СМ - сила магии героя, N - уровень героя, n - уровень существа. Округление вверх.</t>
    </r>
  </si>
  <si>
    <r>
      <t xml:space="preserve">Специализация усиливает эффект Молитвы на </t>
    </r>
    <r>
      <rPr>
        <b/>
        <sz val="10"/>
        <rFont val="Arial Cyr"/>
        <charset val="204"/>
      </rPr>
      <t>1...3</t>
    </r>
    <r>
      <rPr>
        <sz val="10"/>
        <rFont val="Arial Cyr"/>
        <charset val="204"/>
      </rPr>
      <t xml:space="preserve"> единицы, в зависимости от уровня целевого существа. Зависимость силы Молитвы от уровня цели для экспертного уровня Магии воды:
- Существа 1 и 2 уровня - атака, защита и скорость +7 (в том числе эффект специализации +3);
- Существа 3 и 4 уровня - атака, защита и скорость +6 (в том числе эффект специализации +2);
- Существа 5 и 6 уровня - атака, защита и скорость +5 (в том числе эффект специализации +1);
- Существа 7 уровня - атака, защита и скорость +4 (нет эффекта специализации).</t>
    </r>
  </si>
  <si>
    <r>
      <t xml:space="preserve">Специализация увеличивает урон Огненного шара на 3% за каждый уровень героя, кратный уровню целевого существа. Расчёт производится для каждого существа, на которого подействовал Огненный шар. Формула расчёта урона Огненного шара для экспертного уровня Магии огня:
                   </t>
    </r>
    <r>
      <rPr>
        <b/>
        <sz val="10"/>
        <rFont val="Arial Cyr"/>
        <charset val="204"/>
      </rPr>
      <t>Урон=(СМ*10+60)*(1+[N/n]*0,03)</t>
    </r>
    <r>
      <rPr>
        <sz val="10"/>
        <rFont val="Arial Cyr"/>
        <charset val="204"/>
      </rPr>
      <t>,
где СМ - сила магии героя, N - уровень героя, n - уровень существа. Округление вверх.</t>
    </r>
  </si>
  <si>
    <r>
      <t xml:space="preserve">Специализация усиливает эффект Оживления мертвецов на 3% за каждый уровень героя, кратный уровню оживляемого существа. Формула расчёта силы Оживления мертвецов (в единицах здоровья) для экспертного уровня Магии земли:
                   </t>
    </r>
    <r>
      <rPr>
        <b/>
        <sz val="10"/>
        <rFont val="Arial Cyr"/>
        <charset val="204"/>
      </rPr>
      <t>Ед.здоровья=(СМ*50+160)*(1+[N/n]*0,03)</t>
    </r>
    <r>
      <rPr>
        <sz val="10"/>
        <rFont val="Arial Cyr"/>
        <charset val="204"/>
      </rPr>
      <t>,
где СМ - сила магии героя, N - уровень героя, n - уровень существа. Округление вверх.</t>
    </r>
  </si>
  <si>
    <r>
      <t xml:space="preserve">Специализация усиливает эффект Палача на </t>
    </r>
    <r>
      <rPr>
        <b/>
        <sz val="10"/>
        <rFont val="Arial Cyr"/>
        <charset val="204"/>
      </rPr>
      <t>1…4</t>
    </r>
    <r>
      <rPr>
        <sz val="10"/>
        <rFont val="Arial Cyr"/>
        <charset val="204"/>
      </rPr>
      <t xml:space="preserve"> единицы, в зависимости от уровня целевого существа. Зависимость силы Палача от уровня цели для экспертного уровня Магии огня:
- Существа 1 уровня - атака +12 (в том числе эффект специализации +4);                                                        - Существа 2 уровня - атака +11 (в том числе эффект специализации +3);                                                            - Существа 3 уровня - атака +10 (в том числе эффект специализации +2);                                                             - Существа 4 уровня - атака +9 (в том числе эффект специализации +1);                                                                 - Существа 5, 6 и 7 уровня - атака +8 (нет эффекта специализации).</t>
    </r>
  </si>
  <si>
    <r>
      <t xml:space="preserve">Специализация усиливает эффект Разрушающего луча на </t>
    </r>
    <r>
      <rPr>
        <b/>
        <sz val="10"/>
        <rFont val="Arial Cyr"/>
        <charset val="204"/>
      </rPr>
      <t>2</t>
    </r>
    <r>
      <rPr>
        <sz val="10"/>
        <rFont val="Arial Cyr"/>
        <charset val="204"/>
      </rPr>
      <t xml:space="preserve"> единицы.</t>
    </r>
  </si>
  <si>
    <r>
      <t xml:space="preserve">Специализация усиливает эффект Слабости на </t>
    </r>
    <r>
      <rPr>
        <b/>
        <sz val="10"/>
        <rFont val="Arial Cyr"/>
        <charset val="204"/>
      </rPr>
      <t>1...3</t>
    </r>
    <r>
      <rPr>
        <sz val="10"/>
        <rFont val="Arial Cyr"/>
        <charset val="204"/>
      </rPr>
      <t xml:space="preserve"> единицы, в зависимости от уровня целевого существа. Зависимость силы Слабости от уровня цели для экспертного уровня Магии воды:
- Существа 1 и 2 уровня - атака -9 (в том числе эффект специализации -3);
- Существа 3 и 4 уровня - атака -8 (в том числе эффект специализации -2);
- Существа 5 и 6 уровня - атака -7 (в том числе эффект специализации -1);
- Существа 7 уровня - атака -6 (нет эффекта специализации).</t>
    </r>
  </si>
  <si>
    <r>
      <t xml:space="preserve">Специализация увеличивает итоговый урон Стены огня на </t>
    </r>
    <r>
      <rPr>
        <b/>
        <sz val="10"/>
        <rFont val="Arial Cyr"/>
        <charset val="204"/>
      </rPr>
      <t>100%</t>
    </r>
    <r>
      <rPr>
        <sz val="10"/>
        <rFont val="Arial Cyr"/>
        <charset val="204"/>
      </rPr>
      <t>.</t>
    </r>
  </si>
  <si>
    <r>
      <t xml:space="preserve">Специализация усиливает эффект Точности на </t>
    </r>
    <r>
      <rPr>
        <b/>
        <sz val="10"/>
        <rFont val="Arial Cyr"/>
        <charset val="204"/>
      </rPr>
      <t>1...3</t>
    </r>
    <r>
      <rPr>
        <sz val="10"/>
        <rFont val="Arial Cyr"/>
        <charset val="204"/>
      </rPr>
      <t xml:space="preserve"> единицы, в зависимости от уровня целевого существа. Зависимость силы Точности от уровня цели для экспертного уровня Магии воздуха:
- Существа 1 и 2 уровня - атака +9 (в том числе эффект специализации +3);
- Существа 3 и 4 уровня - атака +8 (в том числе эффект специализации +2);
- Существа 5 и 6 уровня - атака +7 (в том числе эффект специализации +1);
- Существа 7 уровня (Титан) - атака +6 (нет эффекта специализации).</t>
    </r>
  </si>
  <si>
    <r>
      <t xml:space="preserve">Специализация усиливает эффект Удачи до максимума - </t>
    </r>
    <r>
      <rPr>
        <b/>
        <sz val="10"/>
        <rFont val="Arial Cyr"/>
        <charset val="204"/>
      </rPr>
      <t>+3</t>
    </r>
    <r>
      <rPr>
        <sz val="10"/>
        <rFont val="Arial Cyr"/>
        <charset val="204"/>
      </rPr>
      <t xml:space="preserve"> к удаче целевого существа, не зависимо от уровня развития Магии воздуха. Максимальная удача существа не может быть больше +3 единиц (шанс 12,5%).</t>
    </r>
  </si>
  <si>
    <r>
      <t xml:space="preserve">Специализация усиливает эффект Ускорения на </t>
    </r>
    <r>
      <rPr>
        <b/>
        <sz val="10"/>
        <rFont val="Arial Cyr"/>
        <charset val="204"/>
      </rPr>
      <t>1...3</t>
    </r>
    <r>
      <rPr>
        <sz val="10"/>
        <rFont val="Arial Cyr"/>
        <charset val="204"/>
      </rPr>
      <t xml:space="preserve"> единицы, в зависимости от уровня целевого существа. Зависимость силы Ускорения от уровня цели для экспертного уровня Магии воздуха:
- Существа 1 и 2 уровня - скорость +8 (в том числе эффект специализации +3);
- Существа 3 и 4 уровня - скорость +7 (в том числе эффект специализации +2);
- Существа 5 и 6 уровня - скорость +6 (в том числе эффект специализации +1);
- Существа 7 уровня - скорость +5 (нет эффекта специализации).</t>
    </r>
  </si>
  <si>
    <r>
      <t xml:space="preserve">Специализация увеличивает урон Цепной молнии на 3% за каждый уровень героя, кратный уровню целевого существа. Расчёт производится для каждого существа, на которого подействовала Цепная молния, причём сначала производится расчёт базового урона для каждой цели, а затем только он модифицируется по указанной ниже формуле. Формула расчёта урона Цепной молнии для экспертного уровня Магии воздуха:
                   </t>
    </r>
    <r>
      <rPr>
        <b/>
        <sz val="10"/>
        <rFont val="Arial Cyr"/>
        <charset val="204"/>
      </rPr>
      <t>Урон=(СМ*40+100)*(1+[N/n]*0,03)</t>
    </r>
    <r>
      <rPr>
        <sz val="10"/>
        <rFont val="Arial Cyr"/>
        <charset val="204"/>
      </rPr>
      <t>,
где СМ - сила магии героя, N - уровень героя, n - уровень существа. Округление вверх.</t>
    </r>
  </si>
  <si>
    <r>
      <t xml:space="preserve">Специализация увеличивает урон существа, на которого наложено благословление, на 3% за каждый уровень героя, кратный уровню этого существа. Формула расчета урона цели для экспертного уровня Магии воды:                                                                                                                                                  - Если атака нападающего превышает защиту атакуемого:
                  </t>
    </r>
    <r>
      <rPr>
        <b/>
        <sz val="10"/>
        <rFont val="Arial Cyr"/>
        <charset val="204"/>
      </rPr>
      <t>Урон цели=(D(max)+1)*(1+(Атака-Защита)*0,05+[N/n]*0,03)</t>
    </r>
    <r>
      <rPr>
        <sz val="10"/>
        <rFont val="Arial Cyr"/>
        <charset val="204"/>
      </rPr>
      <t xml:space="preserve">.
- Если защита атакуемого превышает атаку нападающего:
                  </t>
    </r>
    <r>
      <rPr>
        <b/>
        <sz val="10"/>
        <rFont val="Arial Cyr"/>
        <charset val="204"/>
      </rPr>
      <t>Урон цели=(D(max)+1)*(1+(Атака-Защита)*0,025)*(1+[N/n]*0,03)</t>
    </r>
    <r>
      <rPr>
        <sz val="10"/>
        <rFont val="Arial Cyr"/>
        <charset val="204"/>
      </rPr>
      <t>,
где N - уровень героя, n - уровень существа. Округление вниз.</t>
    </r>
  </si>
  <si>
    <r>
      <t xml:space="preserve">(Составлено с использованием материалов </t>
    </r>
    <r>
      <rPr>
        <b/>
        <i/>
        <sz val="8"/>
        <rFont val="Arial"/>
        <family val="2"/>
        <charset val="204"/>
      </rPr>
      <t>HateYou</t>
    </r>
    <r>
      <rPr>
        <i/>
        <sz val="8"/>
        <rFont val="Arial"/>
        <family val="2"/>
        <charset val="204"/>
      </rPr>
      <t xml:space="preserve"> и </t>
    </r>
    <r>
      <rPr>
        <b/>
        <i/>
        <sz val="8"/>
        <rFont val="Arial"/>
        <family val="2"/>
        <charset val="204"/>
      </rPr>
      <t>Baoba</t>
    </r>
    <r>
      <rPr>
        <i/>
        <sz val="8"/>
        <rFont val="Arial"/>
        <family val="2"/>
        <charset val="204"/>
      </rPr>
      <t>,</t>
    </r>
    <r>
      <rPr>
        <i/>
        <u/>
        <sz val="8"/>
        <color indexed="12"/>
        <rFont val="Arial"/>
        <family val="2"/>
        <charset val="204"/>
      </rPr>
      <t>heroesportal.net</t>
    </r>
    <r>
      <rPr>
        <i/>
        <sz val="8"/>
        <rFont val="Arial"/>
        <family val="2"/>
        <charset val="204"/>
      </rPr>
      <t>).</t>
    </r>
  </si>
  <si>
    <r>
      <t xml:space="preserve">** По умолчанию каждый герой имеет вероятность на старте получить указанное количество существ, однако обычно некоторые отряды отсутствуют вообще. Шанс, что герой будет иметь 1 отряд на старте составляет 9%, причём этот отряд будет из первой колонки таблицы. Шанс, что герой будет иметь 2 отряда на старте составляет 69%, причём первый отряд будет из первой колонки таблицы, а второй случайный: из второй или третей колонки таблицы. Шанс, что герой будет иметь все 3 отряда на старте составляет 22% </t>
    </r>
    <r>
      <rPr>
        <i/>
        <sz val="10"/>
        <rFont val="Arial"/>
        <family val="2"/>
        <charset val="204"/>
      </rPr>
      <t xml:space="preserve">(Составлено с использованием материалов </t>
    </r>
    <r>
      <rPr>
        <b/>
        <i/>
        <sz val="10"/>
        <rFont val="Arial"/>
        <family val="2"/>
        <charset val="204"/>
      </rPr>
      <t>Sav</t>
    </r>
    <r>
      <rPr>
        <i/>
        <sz val="10"/>
        <rFont val="Arial"/>
        <family val="2"/>
        <charset val="204"/>
      </rPr>
      <t xml:space="preserve">, </t>
    </r>
    <r>
      <rPr>
        <i/>
        <u/>
        <sz val="10"/>
        <color rgb="FF0033CC"/>
        <rFont val="Arial"/>
        <family val="2"/>
        <charset val="204"/>
      </rPr>
      <t>forum.df2.ru</t>
    </r>
    <r>
      <rPr>
        <i/>
        <sz val="10"/>
        <rFont val="Arial"/>
        <family val="2"/>
        <charset val="204"/>
      </rPr>
      <t>).</t>
    </r>
  </si>
  <si>
    <r>
      <t xml:space="preserve">(Составлено на основе материалов </t>
    </r>
    <r>
      <rPr>
        <b/>
        <i/>
        <sz val="8"/>
        <rFont val="Arial"/>
        <family val="2"/>
        <charset val="204"/>
      </rPr>
      <t>Sav</t>
    </r>
    <r>
      <rPr>
        <i/>
        <sz val="8"/>
        <rFont val="Arial"/>
        <family val="2"/>
        <charset val="204"/>
      </rPr>
      <t xml:space="preserve">, </t>
    </r>
    <r>
      <rPr>
        <i/>
        <u/>
        <sz val="8"/>
        <color rgb="FF0033CC"/>
        <rFont val="Arial"/>
        <family val="2"/>
        <charset val="204"/>
      </rPr>
      <t>forum.df2.ru</t>
    </r>
    <r>
      <rPr>
        <i/>
        <sz val="8"/>
        <rFont val="Arial"/>
        <family val="2"/>
        <charset val="204"/>
      </rPr>
      <t>).</t>
    </r>
  </si>
  <si>
    <t>&gt;&gt; Подробнее о МР и Логистике</t>
  </si>
  <si>
    <t>Базовый боевой дух.</t>
  </si>
  <si>
    <t>&gt;&gt; Подробнее об Огненном щите</t>
  </si>
  <si>
    <t>&gt;&gt; Подробнее о Демонологии</t>
  </si>
  <si>
    <t>&gt;&gt; Подробнее о штрафах при стрельбе через стены</t>
  </si>
  <si>
    <t>&gt;&gt; Подробнее о Гильдии воров</t>
  </si>
  <si>
    <t>Атака цели в ближнем бою +3.</t>
  </si>
  <si>
    <t>Атака цели в ближнем бою +6.</t>
  </si>
  <si>
    <t>Атака всех дружественных существ в ближнем бою +6.</t>
  </si>
  <si>
    <t>Продвинутая/Экспертная Молитва</t>
  </si>
  <si>
    <t>Базовая Молитва</t>
  </si>
  <si>
    <t>Стандартный эффект</t>
  </si>
  <si>
    <t>скорость 3</t>
  </si>
  <si>
    <t>скорость 4</t>
  </si>
  <si>
    <t>скорость 5</t>
  </si>
  <si>
    <t>скорость 6</t>
  </si>
  <si>
    <t>скорость 7</t>
  </si>
  <si>
    <t>скорость 8</t>
  </si>
  <si>
    <t>скорость 9</t>
  </si>
  <si>
    <t>скорость 10</t>
  </si>
  <si>
    <t>скорость 11</t>
  </si>
  <si>
    <t>скорость 12</t>
  </si>
  <si>
    <t>скорость 13</t>
  </si>
  <si>
    <t>скорость 14</t>
  </si>
  <si>
    <t>скорость 15</t>
  </si>
  <si>
    <t>скорость 16</t>
  </si>
  <si>
    <t>скорость 17</t>
  </si>
  <si>
    <t>скорость 18</t>
  </si>
  <si>
    <t>скорость 19</t>
  </si>
  <si>
    <t>скорость 20</t>
  </si>
  <si>
    <t>скорость 21</t>
  </si>
  <si>
    <t>Скорость = 2</t>
  </si>
  <si>
    <t>Скорость = 3</t>
  </si>
  <si>
    <t>Скорость = 4</t>
  </si>
  <si>
    <t>Скорость = 5</t>
  </si>
  <si>
    <t>Скорость = 6</t>
  </si>
  <si>
    <t>Скорость = 7</t>
  </si>
  <si>
    <t>Скорость = 8</t>
  </si>
  <si>
    <t>Скорость = 9</t>
  </si>
  <si>
    <t>Скорость = 10</t>
  </si>
  <si>
    <t>Скорость = 11</t>
  </si>
  <si>
    <t>Скорость = 12</t>
  </si>
  <si>
    <t>Скорость = 13</t>
  </si>
  <si>
    <t>Скорость = 14</t>
  </si>
  <si>
    <t>Скорость = 15</t>
  </si>
  <si>
    <t>Скорость = 16</t>
  </si>
  <si>
    <t>Скорость = 17</t>
  </si>
  <si>
    <t xml:space="preserve">Скорость =18 </t>
  </si>
  <si>
    <t>Скорость = 1</t>
  </si>
  <si>
    <t>Молитва или Медлительность?</t>
  </si>
  <si>
    <r>
      <t xml:space="preserve">Базовая </t>
    </r>
    <r>
      <rPr>
        <b/>
        <sz val="10"/>
        <rFont val="Arial Cyr"/>
        <charset val="204"/>
      </rPr>
      <t>Медлительность</t>
    </r>
  </si>
  <si>
    <r>
      <t xml:space="preserve">Продвинутая </t>
    </r>
    <r>
      <rPr>
        <b/>
        <sz val="10"/>
        <rFont val="Arial Cyr"/>
        <charset val="204"/>
      </rPr>
      <t>Медлительность</t>
    </r>
  </si>
  <si>
    <t>Базовая скорость существа</t>
  </si>
  <si>
    <t>Мгновенно перемещает героя в любую незанятую точку на карте в пределах экрана, центрированного на герое. Можно использовать 2 раза в день (без Магии воздуха - 1 раз в день). Отнимает 300 очков движения (МР).</t>
  </si>
  <si>
    <t>* Братство меча требует наличие Таверны.</t>
  </si>
  <si>
    <t>** Хранилище ресурсов требует наличие Рынка.</t>
  </si>
  <si>
    <t>*** Бастион грифонов требует наличие Башни грифонов.</t>
  </si>
  <si>
    <t>***** Маяк требует наличие Верфи.</t>
  </si>
  <si>
    <t>* Гильдия горняков требует наличие Коттеджа гномов.</t>
  </si>
  <si>
    <t>*** Сокровищница требует наличие Гильдии горняков.</t>
  </si>
  <si>
    <t>**** Фонтан удачи требует наличие Таинственного пруда.</t>
  </si>
  <si>
    <t>***** Молодые дендроиды требуют наличие Арки дендроидов.</t>
  </si>
  <si>
    <t>* Торговец артефактами требует наличие Рынка.</t>
  </si>
  <si>
    <t>** Крылья ваятеля требуют наличие Парапета.</t>
  </si>
  <si>
    <t>*** Хранилище ресурсов требует наличие Рынка.</t>
  </si>
  <si>
    <t>* Хранилище ресурсов требует наличие Рынка.</t>
  </si>
  <si>
    <t>*** Разрытые могилы требуют наличие Проклятого храма.</t>
  </si>
  <si>
    <t>** Грибные кольца требуют наличие Загона.</t>
  </si>
  <si>
    <t>*** Торговец артефактами требует наличие Рынка.</t>
  </si>
  <si>
    <t>** Инкубатор требует наличие Котла бесов.</t>
  </si>
  <si>
    <t>*** Клетки требуют наличие Псарни.</t>
  </si>
  <si>
    <t>* Клетка богов войны требует наличие Знаков страха.</t>
  </si>
  <si>
    <t>** Обелиск крови требует наличие Знаков страха.</t>
  </si>
  <si>
    <t>**** Квартира капитана требует наличие Хижины гноллов.</t>
  </si>
  <si>
    <t>** Столовая требует наличие Казармы гоблинов.</t>
  </si>
  <si>
    <t>*** Двор баллист требует наличие Кузницы.</t>
  </si>
  <si>
    <t>*** Сад жизни требует наличие Волшебного фонаря.</t>
  </si>
  <si>
    <t>+1 к скорости существа от специалиста по нему;</t>
  </si>
  <si>
    <t>+2 к скорости от специализации Сэра Мюллиха;</t>
  </si>
  <si>
    <t>+1 к скорости Дьяволов и Архидьяволов от специализации Ксерона;</t>
  </si>
  <si>
    <t>+1…3 к скорости при наложении Молитвы от Лоинса;</t>
  </si>
  <si>
    <t>+1 к скорости существа на родной земле;</t>
  </si>
  <si>
    <t>+1…2 у скорости от артефактов (Ожерелье стремительности, Кольцо странника, Накидка скорости).</t>
  </si>
  <si>
    <t>Специализация увеличивает атаку и защиту Баллисты на 5% за каждые 5 уровней героя.</t>
  </si>
  <si>
    <t>Полёт, Безответность, Ненависть к Ангелам, Удача -1</t>
  </si>
  <si>
    <t>Удача существ, атакующих одновременно несколько целей.</t>
  </si>
  <si>
    <t>Правила объединения армии гарнизона и армии героя-гостя.</t>
  </si>
  <si>
    <t>По логике наградой в Банке наг должны были являться самоцветы, а не сера. Этот баг исправлен в WoGе, HD-моде и в HotA.</t>
  </si>
  <si>
    <t>Убежище воров</t>
  </si>
  <si>
    <t>Сарай (крестьян)</t>
  </si>
  <si>
    <t>Магический лес</t>
  </si>
  <si>
    <t>Тростниковая лачуга</t>
  </si>
  <si>
    <r>
      <t xml:space="preserve">Контакты: </t>
    </r>
    <r>
      <rPr>
        <b/>
        <sz val="12"/>
        <rFont val="Arial"/>
        <family val="2"/>
        <charset val="204"/>
      </rPr>
      <t>AmberSoler</t>
    </r>
    <r>
      <rPr>
        <i/>
        <sz val="10"/>
        <rFont val="Arial"/>
        <family val="2"/>
        <charset val="204"/>
      </rPr>
      <t xml:space="preserve">: </t>
    </r>
    <r>
      <rPr>
        <u/>
        <sz val="10"/>
        <color rgb="FF0033CC"/>
        <rFont val="Arial"/>
        <family val="2"/>
        <charset val="204"/>
      </rPr>
      <t>ambersoler@inbox.ru</t>
    </r>
  </si>
  <si>
    <r>
      <t xml:space="preserve">Страница в сети: </t>
    </r>
    <r>
      <rPr>
        <u/>
        <sz val="12"/>
        <color rgb="FF0033CC"/>
        <rFont val="Arial"/>
        <family val="2"/>
        <charset val="204"/>
      </rPr>
      <t>vk.com/fizmig</t>
    </r>
  </si>
  <si>
    <t>*Если существо получило плохую мораль, было убито и воскрешено, оно не походит снова в том же раунде.</t>
  </si>
  <si>
    <t xml:space="preserve">*На Клона действует правило преимущества того, кто не ходил только что, но не действует правило левого слота – если в армии имеется несколько существ с одинаковой скоростью, и Клон является копией любого из их, он будет ходить после того, как походят все эти существа. </t>
  </si>
  <si>
    <t>*Если существо встало в защиту, её действие кончится тогда, когда к существу придёт очередной ход в следующем раунде (т.е. тихоходное существо выдержит атаки всех быстроходных существ врага, имея защиту).</t>
  </si>
  <si>
    <t>3.10 При атаке врага на союзный город, где гостем стоит ваш герой.</t>
  </si>
  <si>
    <t>3.11 Заклинания:</t>
  </si>
  <si>
    <t>3.9 Обсерватории, Огненные столпы и Глаза мага.</t>
  </si>
  <si>
    <r>
      <t>* Улучшать своих существ, если отстроено необходимое для этого здание</t>
    </r>
    <r>
      <rPr>
        <i/>
        <sz val="10"/>
        <rFont val="Arial"/>
        <family val="2"/>
        <charset val="204"/>
      </rPr>
      <t xml:space="preserve"> (Добавил </t>
    </r>
    <r>
      <rPr>
        <b/>
        <i/>
        <sz val="10"/>
        <rFont val="Arial"/>
        <family val="2"/>
        <charset val="204"/>
      </rPr>
      <t>dnaop-wr</t>
    </r>
    <r>
      <rPr>
        <i/>
        <sz val="10"/>
        <rFont val="Arial"/>
        <family val="2"/>
        <charset val="204"/>
      </rPr>
      <t xml:space="preserve">, </t>
    </r>
    <r>
      <rPr>
        <i/>
        <u/>
        <sz val="10"/>
        <color rgb="FF0033CC"/>
        <rFont val="Arial"/>
        <family val="2"/>
        <charset val="204"/>
      </rPr>
      <t>Памятка по НоММ-3</t>
    </r>
    <r>
      <rPr>
        <i/>
        <sz val="10"/>
        <rFont val="Arial"/>
        <family val="2"/>
        <charset val="204"/>
      </rPr>
      <t>)</t>
    </r>
    <r>
      <rPr>
        <sz val="10"/>
        <rFont val="Arial"/>
        <family val="2"/>
        <charset val="204"/>
      </rPr>
      <t>.</t>
    </r>
  </si>
  <si>
    <r>
      <t xml:space="preserve">В начале каждой недели и в момент строительства в Таверне практически всегда появляется родной для этого города герой, если остались такие герои, доступные для появления </t>
    </r>
    <r>
      <rPr>
        <i/>
        <sz val="10"/>
        <rFont val="Arial"/>
        <family val="2"/>
        <charset val="204"/>
      </rPr>
      <t xml:space="preserve">(Добавил </t>
    </r>
    <r>
      <rPr>
        <b/>
        <i/>
        <sz val="10"/>
        <rFont val="Arial"/>
        <family val="2"/>
        <charset val="204"/>
      </rPr>
      <t>dnaop-wr</t>
    </r>
    <r>
      <rPr>
        <i/>
        <sz val="10"/>
        <rFont val="Arial"/>
        <family val="2"/>
        <charset val="204"/>
      </rPr>
      <t xml:space="preserve">, </t>
    </r>
    <r>
      <rPr>
        <i/>
        <u/>
        <sz val="10"/>
        <color rgb="FF0033CC"/>
        <rFont val="Arial"/>
        <family val="2"/>
        <charset val="204"/>
      </rPr>
      <t>Памятка по НоММ-3</t>
    </r>
    <r>
      <rPr>
        <i/>
        <sz val="10"/>
        <rFont val="Arial"/>
        <family val="2"/>
        <charset val="204"/>
      </rPr>
      <t>)</t>
    </r>
    <r>
      <rPr>
        <sz val="10"/>
        <rFont val="Arial"/>
        <family val="2"/>
        <charset val="204"/>
      </rPr>
      <t>.</t>
    </r>
  </si>
  <si>
    <t>Смертельный взгляд Могучей горгоны.</t>
  </si>
  <si>
    <r>
      <t>1 - (1-p)^N</t>
    </r>
    <r>
      <rPr>
        <sz val="10"/>
        <rFont val="Arial Cyr"/>
        <charset val="204"/>
      </rPr>
      <t xml:space="preserve"> ,</t>
    </r>
  </si>
  <si>
    <t>Кол-во М.горгон</t>
  </si>
  <si>
    <t>Вероятность убить Смертельным взглядом N существ, где N равно:</t>
  </si>
  <si>
    <t>и т.д.</t>
  </si>
  <si>
    <t>K = ОКРУГЛВВЕРХ (N/10)</t>
  </si>
  <si>
    <t>Чёрные Рыцари</t>
  </si>
  <si>
    <t>Таблица демонологии.</t>
  </si>
  <si>
    <t>Кол-во Адских отродий</t>
  </si>
  <si>
    <t>Кол-во Демонов</t>
  </si>
  <si>
    <t>Здоровье 1 существа в целевом мёртвом отряде</t>
  </si>
  <si>
    <t>Гарпия Ящер</t>
  </si>
  <si>
    <r>
      <t xml:space="preserve">(Составлено на основе материалов </t>
    </r>
    <r>
      <rPr>
        <b/>
        <i/>
        <sz val="8"/>
        <rFont val="Arial Cyr"/>
        <charset val="204"/>
      </rPr>
      <t>AmberSoler</t>
    </r>
    <r>
      <rPr>
        <i/>
        <sz val="8"/>
        <rFont val="Arial Cyr"/>
        <charset val="204"/>
      </rPr>
      <t xml:space="preserve">, </t>
    </r>
    <r>
      <rPr>
        <b/>
        <i/>
        <sz val="8"/>
        <rFont val="Arial Cyr"/>
        <charset val="204"/>
      </rPr>
      <t>Dirty_Player</t>
    </r>
    <r>
      <rPr>
        <i/>
        <sz val="8"/>
        <rFont val="Arial Cyr"/>
        <charset val="204"/>
      </rPr>
      <t xml:space="preserve">, </t>
    </r>
    <r>
      <rPr>
        <b/>
        <i/>
        <sz val="8"/>
        <rFont val="Arial Cyr"/>
        <charset val="204"/>
      </rPr>
      <t>Self-seeking</t>
    </r>
    <r>
      <rPr>
        <i/>
        <sz val="8"/>
        <rFont val="Arial Cyr"/>
        <charset val="204"/>
      </rPr>
      <t xml:space="preserve"> и </t>
    </r>
    <r>
      <rPr>
        <b/>
        <i/>
        <sz val="8"/>
        <rFont val="Arial Cyr"/>
        <charset val="204"/>
      </rPr>
      <t>Jerky Fox</t>
    </r>
    <r>
      <rPr>
        <i/>
        <sz val="8"/>
        <rFont val="Arial Cyr"/>
        <charset val="204"/>
      </rPr>
      <t xml:space="preserve">, </t>
    </r>
    <r>
      <rPr>
        <i/>
        <u/>
        <sz val="8"/>
        <color rgb="FF0033CC"/>
        <rFont val="Arial Cyr"/>
        <charset val="204"/>
      </rPr>
      <t>heroesworld.ru</t>
    </r>
    <r>
      <rPr>
        <i/>
        <sz val="8"/>
        <rFont val="Arial Cyr"/>
        <charset val="204"/>
      </rPr>
      <t>).</t>
    </r>
  </si>
  <si>
    <t>Огненный щит Султана-ифрита.</t>
  </si>
  <si>
    <t>Слепота, Окаменение.</t>
  </si>
  <si>
    <t>- рассчитываем модификатор, исходя из уровня развития Чародейства, что дает нам от 30 до 60%;</t>
  </si>
  <si>
    <r>
      <rPr>
        <b/>
        <sz val="9"/>
        <rFont val="Arial"/>
        <family val="2"/>
        <charset val="204"/>
      </rPr>
      <t>Внимание!</t>
    </r>
    <r>
      <rPr>
        <sz val="9"/>
        <rFont val="Arial"/>
        <family val="2"/>
        <charset val="204"/>
      </rPr>
      <t xml:space="preserve"> Существует баг - Фениксы могут воскреснуть даже после их принесения в Жертву (с Медалью уязвимости).</t>
    </r>
  </si>
  <si>
    <r>
      <rPr>
        <b/>
        <sz val="9"/>
        <rFont val="Arial"/>
        <family val="2"/>
        <charset val="204"/>
      </rPr>
      <t xml:space="preserve">Внимание! </t>
    </r>
    <r>
      <rPr>
        <sz val="9"/>
        <rFont val="Arial"/>
        <family val="2"/>
        <charset val="204"/>
      </rPr>
      <t>При выкупе героя, получении или продвижении навыка Разведка или надевании артефакта, увеличивающего дальность обзора, новая территория открывается не сразу, а только после шага героем по карте.</t>
    </r>
  </si>
  <si>
    <t>Радиус обзора героя +1 клетка. При надевании артефакта новая территория открывается не сразу, а только после шага героем по карте.</t>
  </si>
  <si>
    <t>Цель не может стрелять (так сказано в описании). На самом деле все вражеские существа не могут стрелять (баг).</t>
  </si>
  <si>
    <t>Ранги существ в очках за игру.</t>
  </si>
  <si>
    <t>Ящик Пандоры.</t>
  </si>
  <si>
    <t>1. Ящик Пандоры может содержать сообщение, любезно оставленное там автором карты.</t>
  </si>
  <si>
    <t>3. В качестве награды в ящике может оказаться следующее:</t>
  </si>
  <si>
    <t>*Дополнительное количество опыта.</t>
  </si>
  <si>
    <t>*Повышение или снижение очков маны.</t>
  </si>
  <si>
    <t>*Бонус/штраф к боевому духу героя (от -3 до +3).</t>
  </si>
  <si>
    <t>*Бонус/штраф к удаче героя (от -3 до +3).</t>
  </si>
  <si>
    <t>*Ресурсы (прибавляются или отнимаются).</t>
  </si>
  <si>
    <t>*Дополнительные очки первичных навыков.</t>
  </si>
  <si>
    <t>*Обучение вторичному навыку Базового, Продвинутого или Экспертного уровня.</t>
  </si>
  <si>
    <t>*Артефакты.</t>
  </si>
  <si>
    <t>*Обучение заклинанию.</t>
  </si>
  <si>
    <t>*Существа.</t>
  </si>
  <si>
    <r>
      <t xml:space="preserve">MonsterPrizeValues / AI_Value </t>
    </r>
    <r>
      <rPr>
        <sz val="10"/>
        <rFont val="Arial"/>
        <family val="2"/>
        <charset val="204"/>
      </rPr>
      <t>,</t>
    </r>
  </si>
  <si>
    <t>MonsterPrizeValues - ценность уровня существа;</t>
  </si>
  <si>
    <t>MonsterPrizeValues в зависимости от уровня существа:</t>
  </si>
  <si>
    <t>1 уровень</t>
  </si>
  <si>
    <t>2 уровень</t>
  </si>
  <si>
    <t>3 уровень</t>
  </si>
  <si>
    <t>4 уровень</t>
  </si>
  <si>
    <t>5 уровень</t>
  </si>
  <si>
    <t>6 уровень</t>
  </si>
  <si>
    <t>7 уровень</t>
  </si>
  <si>
    <r>
      <rPr>
        <b/>
        <sz val="10"/>
        <rFont val="Arial"/>
        <family val="2"/>
        <charset val="204"/>
      </rPr>
      <t>Внимание!</t>
    </r>
    <r>
      <rPr>
        <sz val="10"/>
        <rFont val="Arial"/>
        <family val="2"/>
        <charset val="204"/>
      </rPr>
      <t xml:space="preserve"> Существует баг: игра считает Ледяных элементалей существами 4 уровня, Энергетических элементалей - 5 уровня, а Магмовых элементалей - 3 уровня.</t>
    </r>
  </si>
  <si>
    <t>*Если базовое кол-во &gt;50, то итоговое = 10 * ((Базовое + 5) / 10);</t>
  </si>
  <si>
    <t>*Если базовое кол-во &lt;50, но &gt;12, то итоговое = 5 * ((Базовое + 2) / 5);</t>
  </si>
  <si>
    <t>Пример 1:</t>
  </si>
  <si>
    <t>Пример 2:</t>
  </si>
  <si>
    <t>Пример 3:</t>
  </si>
  <si>
    <t>Далее приведена таблица существ и их количества в Ящиках Пандоры:</t>
  </si>
  <si>
    <t>Некроп.</t>
  </si>
  <si>
    <t>Инфер.</t>
  </si>
  <si>
    <t>Далее, полученное по формуле количество округляется вниз и модифицируется в итоговое:</t>
  </si>
  <si>
    <t>Причём дробь (Базовое+Х)/Y) также округляется вниз перед умножением.</t>
  </si>
  <si>
    <t>Базовое кол-во = 5000 / 80 = 62,5 =&gt; 62; Итоговое кол-во = 10 * ((62 + 5) / 10) = 10 * 6,7 = 10 * 6 = 60.</t>
  </si>
  <si>
    <t>Базовое кол-во = 16000 / 835 = 19,2 =&gt; 19; Итоговое кол-во = 5 * ((19 + 2) / 5) = 5 * 4,2 = 5 * 4 = 20.</t>
  </si>
  <si>
    <t>Базовое кол-во = 27000 / 6721 = 4,02 =&gt; 4; Итоговое кол-во = 2 * ((4 + 1) / 2) = 2 * 2,5 = 2 * 2 = 4.</t>
  </si>
  <si>
    <t>Энергетический элем.</t>
  </si>
  <si>
    <t>Психический элемент.</t>
  </si>
  <si>
    <t>Магический элемент.</t>
  </si>
  <si>
    <t>Золотой/Алмазный голем</t>
  </si>
  <si>
    <t>Цитад.</t>
  </si>
  <si>
    <t>Крепос.</t>
  </si>
  <si>
    <t>Сопряж.</t>
  </si>
  <si>
    <t>2. Ящик Пандоры может содержать охрану, в любом количестве и составе.</t>
  </si>
  <si>
    <r>
      <rPr>
        <i/>
        <sz val="8"/>
        <rFont val="Arial"/>
        <family val="2"/>
        <charset val="204"/>
      </rPr>
      <t xml:space="preserve">(Составлено на основе материалов </t>
    </r>
    <r>
      <rPr>
        <b/>
        <i/>
        <sz val="8"/>
        <rFont val="Arial"/>
        <family val="2"/>
        <charset val="204"/>
      </rPr>
      <t>Vladimir Kazemir</t>
    </r>
    <r>
      <rPr>
        <i/>
        <sz val="8"/>
        <rFont val="Arial"/>
        <family val="2"/>
        <charset val="204"/>
      </rPr>
      <t xml:space="preserve"> и </t>
    </r>
    <r>
      <rPr>
        <b/>
        <i/>
        <sz val="8"/>
        <rFont val="Arial"/>
        <family val="2"/>
        <charset val="204"/>
      </rPr>
      <t>Sav</t>
    </r>
    <r>
      <rPr>
        <i/>
        <sz val="8"/>
        <rFont val="Arial"/>
        <family val="2"/>
        <charset val="204"/>
      </rPr>
      <t xml:space="preserve">, </t>
    </r>
    <r>
      <rPr>
        <i/>
        <u/>
        <sz val="8"/>
        <color rgb="FF0033CC"/>
        <rFont val="Arial"/>
        <family val="2"/>
        <charset val="204"/>
      </rPr>
      <t>vk.com</t>
    </r>
    <r>
      <rPr>
        <i/>
        <sz val="8"/>
        <rFont val="Arial"/>
        <family val="2"/>
        <charset val="204"/>
      </rPr>
      <t>).</t>
    </r>
  </si>
  <si>
    <t>Кристаллические и Лазурные драконы не могут появиться в Ящиках Пандоры.</t>
  </si>
  <si>
    <r>
      <t xml:space="preserve">Отдельная благодарность Роману aka </t>
    </r>
    <r>
      <rPr>
        <b/>
        <sz val="10"/>
        <rFont val="Arial"/>
        <family val="2"/>
        <charset val="204"/>
      </rPr>
      <t>Belzer</t>
    </r>
    <r>
      <rPr>
        <sz val="10"/>
        <rFont val="Arial"/>
        <family val="2"/>
        <charset val="204"/>
      </rPr>
      <t xml:space="preserve"> за глобальную редактуру справочника по части оформления и орфографии.</t>
    </r>
  </si>
  <si>
    <t>Базовая цена откупа при побеге с поля боя. Библиотека просвещения требует 10 уровень героя.</t>
  </si>
  <si>
    <r>
      <t xml:space="preserve">Специализация усиливает свойства Зоркости на 5% за каждый уровень героя. Формула расчёта эффекта Зоркости: </t>
    </r>
    <r>
      <rPr>
        <b/>
        <sz val="10"/>
        <rFont val="Arial Cyr"/>
        <charset val="204"/>
      </rPr>
      <t>k*(1+0,05*N)</t>
    </r>
    <r>
      <rPr>
        <sz val="10"/>
        <rFont val="Arial Cyr"/>
        <charset val="204"/>
      </rPr>
      <t>,
где N - уровень герои, k=40% для базового уровня Зоркости;
      k=50% для продвинутого уровня Зоркости;
      k=60% для экспертного уровня Зоркости.
Максимальная эффективность Зоркости достигается на ~13 уровне героя, когда шанс изучить заклинание благодаря Зоркости составляет 100%.</t>
    </r>
  </si>
  <si>
    <r>
      <t xml:space="preserve">Специализация увнличивает дальность передвижения герояспо воде на 5% за каждый уровень героя. 5% берётся от стандартного запаса движения героя по воде (1500) и не зависит от уровня развития Навигации. Формула расчёта максимального запаса хода героя на воде: </t>
    </r>
    <r>
      <rPr>
        <b/>
        <sz val="10"/>
        <rFont val="Arial Cyr"/>
        <charset val="204"/>
      </rPr>
      <t>1500*(1+0,05*N)</t>
    </r>
    <r>
      <rPr>
        <sz val="10"/>
        <rFont val="Arial Cyr"/>
        <charset val="204"/>
      </rPr>
      <t xml:space="preserve">,
где N - уровень героя </t>
    </r>
    <r>
      <rPr>
        <i/>
        <sz val="10"/>
        <rFont val="Arial Cyr"/>
        <charset val="204"/>
      </rPr>
      <t xml:space="preserve">(Информация </t>
    </r>
    <r>
      <rPr>
        <b/>
        <i/>
        <sz val="10"/>
        <rFont val="Arial Cyr"/>
        <charset val="204"/>
      </rPr>
      <t>Sav</t>
    </r>
    <r>
      <rPr>
        <i/>
        <sz val="10"/>
        <rFont val="Arial Cyr"/>
        <charset val="204"/>
      </rPr>
      <t xml:space="preserve">, </t>
    </r>
    <r>
      <rPr>
        <i/>
        <u/>
        <sz val="10"/>
        <color rgb="FF0033CC"/>
        <rFont val="Arial Cyr"/>
        <charset val="204"/>
      </rPr>
      <t>forum.df2.ru</t>
    </r>
    <r>
      <rPr>
        <i/>
        <sz val="10"/>
        <rFont val="Arial Cyr"/>
        <charset val="204"/>
      </rPr>
      <t>).</t>
    </r>
    <r>
      <rPr>
        <sz val="10"/>
        <rFont val="Arial Cyr"/>
        <charset val="204"/>
      </rPr>
      <t xml:space="preserve">
Максимальный запас хода героя на воде (без учета маяков и артефактов) может составлять 9600 МР.</t>
    </r>
  </si>
  <si>
    <t>На 4 случайных клетках поля боя появляются мины, не видимые противнику (видны только колдующему и существам на родной земле). Мины наносят СМ*10+25 урона вражеским существам прошедшим через них или остановившимся на них. После нанесения урона мина исчезает. Существа игрока, который видит мины не получают урон при прохождении через них (мины не взрываются).</t>
  </si>
  <si>
    <t>При получении целью урона в ближнем бою, Огненный щит наносит атакующему 20% от нанесённого им урона. % урона берётся после расчёта всех бонусов к атаке, но до расчёта всех штрафов.</t>
  </si>
  <si>
    <t>Как работает Огненный щит.</t>
  </si>
  <si>
    <t>*Модификатора базового урона (если атака превышает защиту);</t>
  </si>
  <si>
    <t>*Модификатора удачи;</t>
  </si>
  <si>
    <t>*Кавалерийского бонуса;</t>
  </si>
  <si>
    <t>*Ненавистей существа;</t>
  </si>
  <si>
    <t>*Навыка Нападение;</t>
  </si>
  <si>
    <t>*Специализации по Нападению;</t>
  </si>
  <si>
    <t>*Специализации по Благословению;</t>
  </si>
  <si>
    <t>*Смертельного удара Рыцарей смерти.</t>
  </si>
  <si>
    <t>*Удара Психического или Магического элементаля по существам с соответствующими защитами от магий;</t>
  </si>
  <si>
    <t>*Штрафа при рукапашной;</t>
  </si>
  <si>
    <t>*Штрафа при ответном ударе после снятия Слепоты или Паралича и ударе по окаменённому существу;</t>
  </si>
  <si>
    <t>*Штрафа за наложенное заклинание Щит;</t>
  </si>
  <si>
    <t>*Навыка Доспехи;</t>
  </si>
  <si>
    <t>*Специализации по Доспехам.</t>
  </si>
  <si>
    <t>*Наличие у героя Сферы бушующего огня;</t>
  </si>
  <si>
    <t>*Специализация по Волшебству;</t>
  </si>
  <si>
    <t>*Навык Волшебство;</t>
  </si>
  <si>
    <t>*Игнорирование части урона Каменными, Стальными, Золотыми и Алмазными големами;</t>
  </si>
  <si>
    <t>*Наличие наложенного заклинания Защита от огня.</t>
  </si>
  <si>
    <t>На 4 случайных клетках поля боя появляются пески, не видимые противнику (видно только колдующему и существам на родной земле). При попадании в песок существо прекращает движение, атака прерывается.</t>
  </si>
  <si>
    <r>
      <t xml:space="preserve">Случайная магия (5 раз за бой, вместо очередного хода) - может наколдовать следующие заклинания: Магическая стрела (земля, 10%), Метеоритный дождь (15%), Ледяная молния (11%), Кольцо холода (13%), Огненный шар (14%), Инферно (14%), Удар молнии (11%), Цепная молния (12%). Все заклинания действуют на Продвинутом уровне магии, а их урон рассчитывается как при силе магии героя равной 5. На урон влияют Волшебство героя, наличие Сфер магии и ландшафт. Целью Случайной магии не могут быть вызванные элементали </t>
    </r>
    <r>
      <rPr>
        <i/>
        <sz val="10"/>
        <rFont val="Arial"/>
        <family val="2"/>
        <charset val="204"/>
      </rPr>
      <t xml:space="preserve">(Добавил </t>
    </r>
    <r>
      <rPr>
        <b/>
        <i/>
        <sz val="10"/>
        <rFont val="Arial"/>
        <family val="2"/>
        <charset val="204"/>
      </rPr>
      <t>SAG19330184</t>
    </r>
    <r>
      <rPr>
        <i/>
        <sz val="10"/>
        <rFont val="Arial"/>
        <family val="2"/>
        <charset val="204"/>
      </rPr>
      <t xml:space="preserve">, </t>
    </r>
    <r>
      <rPr>
        <i/>
        <u/>
        <sz val="10"/>
        <color rgb="FF0033CC"/>
        <rFont val="Arial"/>
        <family val="2"/>
        <charset val="204"/>
      </rPr>
      <t>forum.df2.ru</t>
    </r>
    <r>
      <rPr>
        <i/>
        <sz val="10"/>
        <rFont val="Arial"/>
        <family val="2"/>
        <charset val="204"/>
      </rPr>
      <t>)</t>
    </r>
    <r>
      <rPr>
        <sz val="10"/>
        <rFont val="Arial"/>
        <family val="2"/>
        <charset val="204"/>
      </rPr>
      <t xml:space="preserve">. Если Сказочному дракону приказать Ждать, то он поменяет колдуемое заклинание. 20% шанс Волшебного зеркала (являясь целью заклинания) - Действует на Базовом уровне Магии воздуха. Волшебное зеркало не отражает заклинания, если дракон не является их основной целью (площадные заклинания, Цепная молния, массовые проклятия и благословления). Также Волшебное зеркало не отражает заклинание, если его не на кого наложить (например Слепоту в бою с нежитью). Если на Сказочного дракона наложить Волшебное зеркало, то будет браться максимальный из эффектов (эффект заклинания будет перекрывать врождённое зеркало, а не суммироваться). ИИ никак не учитывает врождённое зеркало при расчёте ценности колдовства героем </t>
    </r>
    <r>
      <rPr>
        <i/>
        <sz val="10"/>
        <rFont val="Arial"/>
        <family val="2"/>
        <charset val="204"/>
      </rPr>
      <t xml:space="preserve">(Информация </t>
    </r>
    <r>
      <rPr>
        <b/>
        <i/>
        <sz val="10"/>
        <rFont val="Arial"/>
        <family val="2"/>
        <charset val="204"/>
      </rPr>
      <t>Sav</t>
    </r>
    <r>
      <rPr>
        <i/>
        <sz val="10"/>
        <rFont val="Arial"/>
        <family val="2"/>
        <charset val="204"/>
      </rPr>
      <t xml:space="preserve">, </t>
    </r>
    <r>
      <rPr>
        <i/>
        <u/>
        <sz val="10"/>
        <color rgb="FF0033CC"/>
        <rFont val="Arial"/>
        <family val="2"/>
        <charset val="204"/>
      </rPr>
      <t>forum.df2.ru</t>
    </r>
    <r>
      <rPr>
        <i/>
        <sz val="10"/>
        <rFont val="Arial"/>
        <family val="2"/>
        <charset val="204"/>
      </rPr>
      <t>)</t>
    </r>
    <r>
      <rPr>
        <sz val="10"/>
        <rFont val="Arial"/>
        <family val="2"/>
        <charset val="204"/>
      </rPr>
      <t>.</t>
    </r>
  </si>
  <si>
    <t>Лечение (1)</t>
  </si>
  <si>
    <t>Молитва (6)</t>
  </si>
  <si>
    <t>Щит (7)</t>
  </si>
  <si>
    <t>Огненный щит (7)</t>
  </si>
  <si>
    <t>Жажда крови (8)</t>
  </si>
  <si>
    <t>Жажда крови (3)</t>
  </si>
  <si>
    <t>Нежить. 25% шанс Проклятия (при ударе, Базового уровня Магии огня, на 3 раунда).</t>
  </si>
  <si>
    <t>Нежить. 25% шанс Проклятия (при ударе, Базового уровня Магии огня, на 3 раунда). 20% шанс Смертельного удара (при ударе) - наносит цели двойной урон.</t>
  </si>
  <si>
    <t>Нежить. 25% шанс Проклятия (при ударе, на 3 раунда). Действует на Базовом уровне Магии огня.</t>
  </si>
  <si>
    <r>
      <t xml:space="preserve">20% шанс Паралича (при ударе, на 3 раунда) - цель пропускает свои очередные ходы. Снимается при получении любого урона, при этом ответный удар будет нанесён с 25% силой </t>
    </r>
    <r>
      <rPr>
        <i/>
        <sz val="10"/>
        <rFont val="Arial"/>
        <family val="2"/>
        <charset val="204"/>
      </rPr>
      <t xml:space="preserve">(Информация </t>
    </r>
    <r>
      <rPr>
        <b/>
        <i/>
        <sz val="10"/>
        <rFont val="Arial"/>
        <family val="2"/>
        <charset val="204"/>
      </rPr>
      <t>Sav</t>
    </r>
    <r>
      <rPr>
        <i/>
        <sz val="10"/>
        <rFont val="Arial"/>
        <family val="2"/>
        <charset val="204"/>
      </rPr>
      <t xml:space="preserve">, </t>
    </r>
    <r>
      <rPr>
        <i/>
        <u/>
        <sz val="10"/>
        <color rgb="FF0033CC"/>
        <rFont val="Arial"/>
        <family val="2"/>
        <charset val="204"/>
      </rPr>
      <t>forum.df2.ru</t>
    </r>
    <r>
      <rPr>
        <i/>
        <sz val="10"/>
        <rFont val="Arial"/>
        <family val="2"/>
        <charset val="204"/>
      </rPr>
      <t>)</t>
    </r>
    <r>
      <rPr>
        <sz val="10"/>
        <rFont val="Arial"/>
        <family val="2"/>
        <charset val="204"/>
      </rPr>
      <t>. Если на парализованное существо наложить Экспертную Слепоту, то ответного удара не будет.</t>
    </r>
  </si>
  <si>
    <t>Нежить. Боевой дух всех вражеских существ -1 (не перестаёт действовать после гибели существа). 20% шанс Старости (при ударе) - на 3 раунда, включая текущий, здоровье цели снижается на 50%.</t>
  </si>
  <si>
    <r>
      <t xml:space="preserve">Защита от магии огня, включая Магическую стрелу. Восстание из пепла - После гибели отряда, воскрешается N/5 + Х, где N - начальное количество Фениксов в убитом отряде; Х - остаток от деления N/5 - количество Фениксов, имеющих 20% на восстание. </t>
    </r>
    <r>
      <rPr>
        <b/>
        <sz val="10"/>
        <rFont val="Arial"/>
        <family val="2"/>
        <charset val="204"/>
      </rPr>
      <t>Пример:</t>
    </r>
    <r>
      <rPr>
        <sz val="10"/>
        <rFont val="Arial"/>
        <family val="2"/>
        <charset val="204"/>
      </rPr>
      <t xml:space="preserve"> В убитом отряде было 19 Фениксов (N). 19/5=3 Феникса воскреснут точно. 19-15=4 Феникса имеют 20% шанс воскреснуть. При особом везении могут воскреснуть все 7</t>
    </r>
    <r>
      <rPr>
        <i/>
        <sz val="10"/>
        <rFont val="Arial"/>
        <family val="2"/>
        <charset val="204"/>
      </rPr>
      <t xml:space="preserve"> (Информация </t>
    </r>
    <r>
      <rPr>
        <b/>
        <i/>
        <sz val="10"/>
        <rFont val="Arial"/>
        <family val="2"/>
        <charset val="204"/>
      </rPr>
      <t>Sav</t>
    </r>
    <r>
      <rPr>
        <i/>
        <sz val="10"/>
        <rFont val="Arial"/>
        <family val="2"/>
        <charset val="204"/>
      </rPr>
      <t xml:space="preserve">, </t>
    </r>
    <r>
      <rPr>
        <i/>
        <u/>
        <sz val="10"/>
        <color rgb="FF0033CC"/>
        <rFont val="Arial"/>
        <family val="2"/>
        <charset val="204"/>
      </rPr>
      <t>forum.df2.ru</t>
    </r>
    <r>
      <rPr>
        <sz val="10"/>
        <rFont val="Arial"/>
        <family val="2"/>
        <charset val="204"/>
      </rPr>
      <t xml:space="preserve">). Атака на 2 клетки по направлению удара. </t>
    </r>
    <r>
      <rPr>
        <b/>
        <sz val="10"/>
        <rFont val="Arial"/>
        <family val="2"/>
        <charset val="204"/>
      </rPr>
      <t xml:space="preserve">Внимание! </t>
    </r>
    <r>
      <rPr>
        <sz val="10"/>
        <rFont val="Arial"/>
        <family val="2"/>
        <charset val="204"/>
      </rPr>
      <t>Существует баг - Фениксы могут воскреснуть даже после их принесения в Жертву (с Медалью уязвимости).</t>
    </r>
  </si>
  <si>
    <t>Атака на 2 клетки по направлению удара. Кислотное дыхание (при ударе) - Защита основной цели -3 и с шансом 20% наносит 25*N урона, где N - количество Ржавых драконов в атакующем отряде. Эффекты снижения защиты от Кислотного дыхания суммируются, но защита цели не может быть ниже 0.</t>
  </si>
  <si>
    <r>
      <t xml:space="preserve">Здоровье отряда                                                 </t>
    </r>
    <r>
      <rPr>
        <sz val="10"/>
        <rFont val="Arial Cyr"/>
        <charset val="204"/>
      </rPr>
      <t xml:space="preserve"> в среднем</t>
    </r>
  </si>
  <si>
    <t>gosolo</t>
  </si>
  <si>
    <t>Передать управление игроком компьютеру</t>
  </si>
  <si>
    <t>Технические коды не будут рассматриваться как мошенничество:</t>
  </si>
  <si>
    <r>
      <t xml:space="preserve">Прирост = [Баз*Зам*С + А + Д + В] * Гр </t>
    </r>
    <r>
      <rPr>
        <sz val="10"/>
        <rFont val="Arial"/>
        <family val="2"/>
        <charset val="204"/>
      </rPr>
      <t>,</t>
    </r>
  </si>
  <si>
    <r>
      <t xml:space="preserve">Зам - коэффициент дополнительного прироста от наличия Цитадели или Замка в городе;                                                                </t>
    </r>
    <r>
      <rPr>
        <b/>
        <sz val="10"/>
        <rFont val="Arial Cyr"/>
        <charset val="204"/>
      </rPr>
      <t>Зам=2</t>
    </r>
    <r>
      <rPr>
        <sz val="10"/>
        <rFont val="Arial Cyr"/>
        <charset val="204"/>
      </rPr>
      <t xml:space="preserve"> при наличии замка; </t>
    </r>
    <r>
      <rPr>
        <b/>
        <sz val="10"/>
        <rFont val="Arial Cyr"/>
        <charset val="204"/>
      </rPr>
      <t>Зам=1,5</t>
    </r>
    <r>
      <rPr>
        <sz val="10"/>
        <rFont val="Arial Cyr"/>
        <charset val="204"/>
      </rPr>
      <t xml:space="preserve"> при наличии Цитадели (округление вниз). Иначе </t>
    </r>
    <r>
      <rPr>
        <b/>
        <sz val="10"/>
        <rFont val="Arial Cyr"/>
        <charset val="204"/>
      </rPr>
      <t>Зам=1</t>
    </r>
    <r>
      <rPr>
        <sz val="10"/>
        <rFont val="Arial Cyr"/>
        <charset val="204"/>
      </rPr>
      <t>;</t>
    </r>
  </si>
  <si>
    <t>Д - дополнительный прирост от особых строений в городе (например Бастион грифонов или Клетки);</t>
  </si>
  <si>
    <t>Зам = 1,5</t>
  </si>
  <si>
    <t>Д = 10</t>
  </si>
  <si>
    <t>Зам = 2</t>
  </si>
  <si>
    <t>Если герою-воину или Элементалисту ещё не предлагали Магию стихии, то ему предложат одну из стихий на 4, 8, 12 и т.д. уровнях.</t>
  </si>
  <si>
    <t>Если им предложили одну из стихий, в соответствии с вероятностью, на другом уровне, то счётчик сбрасывается. Например, если герою предложили Магию огня на 2 уровне, то повторно её предложат на 6, 10, 14 и т.д. уровнях.</t>
  </si>
  <si>
    <t>Если герою-воину или Элементалисту ещё не предлагали Мудрость, то ему предложат её на 6, 12, 18 и т.д. уровнях. Если предложили на другом уровне, то счётчик сбрасывается.</t>
  </si>
  <si>
    <t>Указанные зависимости справедливы и для Продвинутых/Экспертных навыков. Если совпадает так, что на одном и том же уровне должны появиться и Магия стихии и Мудрость, то появится Мудрость, т.е. она имеет более высокий приоритет.</t>
  </si>
  <si>
    <t>+25% к максимальному запасу маны героя. Округление вниз.</t>
  </si>
  <si>
    <t>+50% к максимальному запасу маны героя. Округление вниз.</t>
  </si>
  <si>
    <t>Мгновенно наносит СМ*10+15 урона всем существам вокруг цели в радиусе 1 клетки. Целью может быть пустая клетка.</t>
  </si>
  <si>
    <r>
      <t xml:space="preserve">Снимает Гипноз при наложении. Компьютерные герои не используют Берсерк. Определить подействует Берсерк на существо или нет можно активацией заклинания и наведением курсора на желаемую цель. Если на цели появляется обводка, то Берсерк на неё подействует.                                      </t>
    </r>
    <r>
      <rPr>
        <b/>
        <sz val="9"/>
        <rFont val="Arial"/>
        <family val="2"/>
        <charset val="204"/>
      </rPr>
      <t xml:space="preserve">Внимание! </t>
    </r>
    <r>
      <rPr>
        <sz val="9"/>
        <rFont val="Arial"/>
        <family val="2"/>
        <charset val="204"/>
      </rPr>
      <t xml:space="preserve">Если вы попробуете применить Берсерк против существа, имеющего иммунитет к огню, к разуму или к магии в целом, то эффекта не будет, а колдовство и мана героя будут потрачены (баг) </t>
    </r>
    <r>
      <rPr>
        <i/>
        <sz val="9"/>
        <rFont val="Arial"/>
        <family val="2"/>
        <charset val="204"/>
      </rPr>
      <t xml:space="preserve">(Добавил </t>
    </r>
    <r>
      <rPr>
        <b/>
        <i/>
        <sz val="9"/>
        <rFont val="Arial"/>
        <family val="2"/>
        <charset val="204"/>
      </rPr>
      <t>Роман aka Belzer</t>
    </r>
    <r>
      <rPr>
        <i/>
        <sz val="9"/>
        <rFont val="Arial"/>
        <family val="2"/>
        <charset val="204"/>
      </rPr>
      <t xml:space="preserve">, </t>
    </r>
    <r>
      <rPr>
        <i/>
        <u/>
        <sz val="9"/>
        <color rgb="FF0033CC"/>
        <rFont val="Arial"/>
        <family val="2"/>
        <charset val="204"/>
      </rPr>
      <t>vk.com</t>
    </r>
    <r>
      <rPr>
        <i/>
        <sz val="9"/>
        <rFont val="Arial"/>
        <family val="2"/>
        <charset val="204"/>
      </rPr>
      <t>)</t>
    </r>
    <r>
      <rPr>
        <sz val="9"/>
        <rFont val="Arial"/>
        <family val="2"/>
        <charset val="204"/>
      </rPr>
      <t>.</t>
    </r>
  </si>
  <si>
    <r>
      <t xml:space="preserve">Оплетение (при ударе). </t>
    </r>
    <r>
      <rPr>
        <b/>
        <sz val="10"/>
        <rFont val="Arial"/>
        <family val="2"/>
        <charset val="204"/>
      </rPr>
      <t xml:space="preserve">Внимание! </t>
    </r>
    <r>
      <rPr>
        <sz val="10"/>
        <rFont val="Arial"/>
        <family val="2"/>
        <charset val="204"/>
      </rPr>
      <t>Если Гарпия атакует дендроида и тот оплетёт её, то Гарпия вернётся на исходную позицию, благодаря своей способности возврата, останется оплетённой и не сможет больше перемещаться.</t>
    </r>
  </si>
  <si>
    <t>Боевой дух героя +1.Даёт герою защиту от магии разума (Слепота, Берсерк, Бешенство, Гипноз, Радость, Забывчивость и Печаль).</t>
  </si>
  <si>
    <r>
      <t xml:space="preserve">Удар и возврат - после атаки и получения ответного удара. </t>
    </r>
    <r>
      <rPr>
        <b/>
        <sz val="10"/>
        <rFont val="Arial"/>
        <family val="2"/>
        <charset val="204"/>
      </rPr>
      <t>Внимание!</t>
    </r>
    <r>
      <rPr>
        <sz val="10"/>
        <rFont val="Arial"/>
        <family val="2"/>
        <charset val="204"/>
      </rPr>
      <t xml:space="preserve"> Если Гарпия атакует дендроида и тот оплетёт её, то Гарпия вернётся на исходную позицию, благодаря своей способности возврата, останется оплетённой и не сможет больше перемещаться.</t>
    </r>
  </si>
  <si>
    <t>Таблица Гипноза.</t>
  </si>
  <si>
    <t>Сила магии героя</t>
  </si>
  <si>
    <t>+2…4 к скорости при наложении Молитвы;</t>
  </si>
  <si>
    <t>2.9.</t>
  </si>
  <si>
    <t>Воскрешение в воротах.</t>
  </si>
  <si>
    <t>Механика посещения объектов на карте приключений.</t>
  </si>
  <si>
    <t>Сбор.</t>
  </si>
  <si>
    <t>Существуют объекты, которые исчезают при посещении. К ним относятся сундуки, артефакты, ресурсы и другие. Нейтральных существ на карте приключений тоже можно классифицировать как объект, при контакте с которым происходит определённое действие.</t>
  </si>
  <si>
    <t>Посещение.</t>
  </si>
  <si>
    <t>Подход.</t>
  </si>
  <si>
    <t>Все игровые объекты, кроме вертикальных Гарнизонов, имеют свободный подход к ним снизу, включая нижние диагональные подходы. С остальных сторон такая возможность варьируется у разных объектов. Некоторые объекты можно посетить с любой стороны, некоторые только справа или слева.</t>
  </si>
  <si>
    <t>Точка входа.</t>
  </si>
  <si>
    <t>Существуют объекты, которые имеют не одну, а несколько равнозначных точек посещения, причём если эти точки смежные, то можно перемещаться между ними за один шаг.</t>
  </si>
  <si>
    <t>Объекты, позволяющие получить артефакты:</t>
  </si>
  <si>
    <t>Склеп (снизу)</t>
  </si>
  <si>
    <t>Покинутый корабль               (снизу + слева)</t>
  </si>
  <si>
    <t>Утопия драконов (снизу + справа)</t>
  </si>
  <si>
    <t>Скелет на земле                 (все)</t>
  </si>
  <si>
    <t>!!! Герой не встаёт на точку входа.</t>
  </si>
  <si>
    <t>Место кораблекрушения 1 (все, кроме справа)</t>
  </si>
  <si>
    <t>Телега (снизу + слева + справа)</t>
  </si>
  <si>
    <t>Потерпевший кораблекрушение                (все)</t>
  </si>
  <si>
    <t>Морской сундук (все)</t>
  </si>
  <si>
    <t>Место кораблекрушения 2 (все, кроме слева)</t>
  </si>
  <si>
    <t>!!! Объект исчезает после посещения.</t>
  </si>
  <si>
    <t>Могила воина (снизу + справа)</t>
  </si>
  <si>
    <t>Сундук с сокровищами (все)</t>
  </si>
  <si>
    <t>Объекты, позволяющие купить/продать артефакты:</t>
  </si>
  <si>
    <t>Чёрный рынок                         (снизу + справа)</t>
  </si>
  <si>
    <t>Объекты, позволяющие получить навыки и заклинания:</t>
  </si>
  <si>
    <t>Библиотека просвещения (снизу)</t>
  </si>
  <si>
    <t>Учёный                               (все)</t>
  </si>
  <si>
    <t>Башня Марлетто (снизу + справа)</t>
  </si>
  <si>
    <t>Арена (снизу)</t>
  </si>
  <si>
    <t>Звёздное колесо (снизу + слева + справа)</t>
  </si>
  <si>
    <t>Сад откровения (снизу + слева + справа)</t>
  </si>
  <si>
    <t>Пирамида (снизу + справа)</t>
  </si>
  <si>
    <t>Лагерь наёмников (снизу)</t>
  </si>
  <si>
    <t>Университет (снизу)</t>
  </si>
  <si>
    <t>Школа магии (снизу + слева + справа)</t>
  </si>
  <si>
    <t>Школа войны (снизу + справа)</t>
  </si>
  <si>
    <t>Магическая святыня          (снизу + слева + справа)</t>
  </si>
  <si>
    <t>Хижина ведьмы (снизу + слева + справа)</t>
  </si>
  <si>
    <t>Объекты, позволяющие получить существ:</t>
  </si>
  <si>
    <t>Жилища существ: (снизу + слева)</t>
  </si>
  <si>
    <t>Башня стрелков, Коттедж гномов, Усадьба, Огненное озеро, Дворец порока, Гнездо виверн, Пруд гидр, Камень душ, Поместье, Склеп драконов, Камень глаз, Лабиринт, Пещера драконов, Могила проклятых.</t>
  </si>
  <si>
    <t>Жилища существ: (снизу)</t>
  </si>
  <si>
    <t>Лужайка единорогов (большая), Разлом элементалей воздуха/ воды/огня/земли.</t>
  </si>
  <si>
    <t>Лагерь беженцев (снизу + справа)</t>
  </si>
  <si>
    <t>Форт на холме (снизу + справа)</t>
  </si>
  <si>
    <t>Конюшня (снизу + справа)</t>
  </si>
  <si>
    <t>Консерватория грифонов (снизу + справа)</t>
  </si>
  <si>
    <t>Улей змиев (снизу + слева + справа)</t>
  </si>
  <si>
    <t>Сопряжение (снизу)</t>
  </si>
  <si>
    <t>Объекты, позволяющие получить ресурсы:</t>
  </si>
  <si>
    <t>Все шахты ресурсов, включая Заброшенную шахту, посещаются только снизу и с нижних диагональных направлений.</t>
  </si>
  <si>
    <t>Мистический сад                   (снизу)</t>
  </si>
  <si>
    <t>Навес (снизу + справа)</t>
  </si>
  <si>
    <t>Рынок (снизу + справа)</t>
  </si>
  <si>
    <t>Гильдия наёмных работников (снизу)</t>
  </si>
  <si>
    <t>Водяная мельница (снизу + справа)</t>
  </si>
  <si>
    <t>Ветряная мельница (снизу+ слева + справа)</t>
  </si>
  <si>
    <t>Костёр                          (все)</t>
  </si>
  <si>
    <t>Обломки кораблекрушения                          (все)</t>
  </si>
  <si>
    <t>Отдельно лежащие ресурсы: древесина, сера, руда, ртуть, золото, самоцветы, кристаллы         (все)</t>
  </si>
  <si>
    <t>Тайник бесов (снизу + справа)</t>
  </si>
  <si>
    <t>Сокровищница гномов             (снизу)</t>
  </si>
  <si>
    <t>Хранилище медуз           (снизу + слева)</t>
  </si>
  <si>
    <t>Склады циклопов (снизу + слева)</t>
  </si>
  <si>
    <t>Нага банк                         (снизу + слева)</t>
  </si>
  <si>
    <t>Объекты, позволяющие получить опыт:</t>
  </si>
  <si>
    <t>Камень знаний (снизу + слева + справа)</t>
  </si>
  <si>
    <t>Сирены                     (снизу)</t>
  </si>
  <si>
    <t>Алтарь жертвоприношений (снизу + справа)</t>
  </si>
  <si>
    <t>Древо знаний (снизу + слева + справа)</t>
  </si>
  <si>
    <t>Объекты, позволяющие получить боевой дух, удачу, ману и очки движения:</t>
  </si>
  <si>
    <t>Домик фей (снизу + слева)</t>
  </si>
  <si>
    <t>Фонтан удачи (снизу + слева + справа)</t>
  </si>
  <si>
    <t>Озеро алых лебедей (снизу + слева)</t>
  </si>
  <si>
    <t>Флаг единства (снизу + справа)</t>
  </si>
  <si>
    <t>Храм (снизу + слева)</t>
  </si>
  <si>
    <t>Фонтан молодости (снизу + справа)</t>
  </si>
  <si>
    <t>Маяк (снизу + слева + справа)</t>
  </si>
  <si>
    <t>Буй               (все)</t>
  </si>
  <si>
    <t>Оазис (снизу + слева + справа).</t>
  </si>
  <si>
    <t>Имеет 2 независимые точки посещения.</t>
  </si>
  <si>
    <t>Каждую из них можно посетить снизу.</t>
  </si>
  <si>
    <t>А боковые ещё и с боков. Также можно</t>
  </si>
  <si>
    <t>перемещаться между точками.</t>
  </si>
  <si>
    <t>Идол удачи (снизу + слева + справа)</t>
  </si>
  <si>
    <t>Водоём (снизу + слева + справа).</t>
  </si>
  <si>
    <t>Русалка             (снизу)</t>
  </si>
  <si>
    <t>Имеет 4 независимые точки посещения.</t>
  </si>
  <si>
    <t>Магический колодец        (снизу + слева + справа)</t>
  </si>
  <si>
    <t>Магический ручей (снизу + слева + справа)</t>
  </si>
  <si>
    <t>Прочие объекты на карте приключений:</t>
  </si>
  <si>
    <t>Фабрика военной техники                  (снизу + слева)</t>
  </si>
  <si>
    <t>Монолит входа / выхода, Двусторонний монолит                   (снизу + слева + справа)</t>
  </si>
  <si>
    <t>Гильдия воров (снизу + справа)</t>
  </si>
  <si>
    <t>Гарнизон, Антимагический гарнизон, Пограничные ворота [горизонтальные]                                  (снизу + сверху)</t>
  </si>
  <si>
    <t>!!! Герой не встаёт на точку входа, если Палатка ключника не посещена.</t>
  </si>
  <si>
    <t>Врата подземного мира          (снизу)</t>
  </si>
  <si>
    <t>Монолит входа/ выхода, Двусторонний монолит          (снизу + слева)</t>
  </si>
  <si>
    <t>Вуаль тьмы     (снизу + слева)</t>
  </si>
  <si>
    <t>Обсерватория красного дерева, Огненный столп (снизу + слева + справа)</t>
  </si>
  <si>
    <t>Хижина мага, Глаз мага (снизу + слева + справа)</t>
  </si>
  <si>
    <t>Картограф [любой]        (снизу + слева)</t>
  </si>
  <si>
    <t>Гарнизон, Антимагический гарнизон, Пограничные ворота [вертикальные]                                  (слева + справа)</t>
  </si>
  <si>
    <t>Таверна          (снизу + слева)</t>
  </si>
  <si>
    <t>Страж границы, Страж прохода          (все)</t>
  </si>
  <si>
    <t>Палатка ключника       (снизу + справа)</t>
  </si>
  <si>
    <t>Тюрьма              (снизу + справа)</t>
  </si>
  <si>
    <t>Святилище             (снизу + справа)</t>
  </si>
  <si>
    <t>!!! Объект исчезает после посещения, если герой освобождается.</t>
  </si>
  <si>
    <t>Хижина провидца   [любая]                  (снизу + слева + справа)</t>
  </si>
  <si>
    <t>Верфь        (снизу)</t>
  </si>
  <si>
    <t>Знак (снизу + слева + справа)</t>
  </si>
  <si>
    <t>Океанский бутыль (все)</t>
  </si>
  <si>
    <t>Обелиск     (снизу + слева + справа)</t>
  </si>
  <si>
    <t>Город [любой] (снизу)</t>
  </si>
  <si>
    <t>Водоворот                                                             (все)</t>
  </si>
  <si>
    <t>Ящик Пандоры, Артефакт                  [любой]                        (все)</t>
  </si>
  <si>
    <t xml:space="preserve">Ну и последний момент: </t>
  </si>
  <si>
    <t>Базовая Магия воздуха</t>
  </si>
  <si>
    <t>Продвинутая Магия воздуха</t>
  </si>
  <si>
    <t>Экспертная Магия воздуха</t>
  </si>
  <si>
    <t>Жёлтые - войска героя (задняя часть, если существа двуклеточные); Синие - Элементали воды (распределяются поровну).</t>
  </si>
  <si>
    <t>Жёлтые - войска героя (задняя часть, если существа двуклеточные); Серые - Стражи (распределяются поровну).</t>
  </si>
  <si>
    <t>Жёлтые - войска героя (задняя часть, если существа двуклеточные); Красная - Грифоны/ Королевские грифоны; Синие - Грифоны.</t>
  </si>
  <si>
    <t>Жёлтые - войска героя (задняя часть, если существа двуклеточные); Зелёные - Змии.</t>
  </si>
  <si>
    <t>1, 2, 3, 4, 5, 6 и 7 - порядковые номера существ в окне героя слева-направо. Если существа занимают 2 клетки, то на отмеченную клетку они встают задней частью; Цветные клетки - возможные места появления вражеских существ.</t>
  </si>
  <si>
    <t>Синие - войска героя (задняя часть, если существа двуклеточные); Чёрная - Чёрные драконы; Зелёная - Зелёные драконы; Красная - Красные драконы; Жёлтая - Золотые драконы.</t>
  </si>
  <si>
    <t>-Показывается лучшее существо у игрока.</t>
  </si>
  <si>
    <t>Чтобы посетить некоторые объекты, герою необходимо встать на его точку входа. Однако другие объекты этого не требуют и посещая их, герой остаётся на клетке с которой он подошёл. Чтобы посетить объект, герою нужно иметь достаточное количество очков движения. Даже если посещается объект, на точку входа которого герой не встаёт, очки движения всё равно тратятся.                                                                                                                                                               Находясь на точке входа в объект герой может посетить его повторно, нажав пробел и не тратя очков движения. Это бывает полезно при посещении городов, порталов, водоворотов и т.д (в RoE посещение через пробел не работает).</t>
  </si>
  <si>
    <t>- Не входить</t>
  </si>
  <si>
    <t>- Прохода нет</t>
  </si>
  <si>
    <t>- Нет доступа</t>
  </si>
  <si>
    <t>- Только для своих</t>
  </si>
  <si>
    <t>- Держись подальше</t>
  </si>
  <si>
    <t>- Продолжайте на свой страх и риск</t>
  </si>
  <si>
    <t>- Время ожидания - 90 минут</t>
  </si>
  <si>
    <t>- Драконы близки</t>
  </si>
  <si>
    <t>- Скользко когда мокро</t>
  </si>
  <si>
    <t>- Не слоняйся</t>
  </si>
  <si>
    <t>- Мертвецам не входить</t>
  </si>
  <si>
    <t>- Опасность возгорания - не разводить костры</t>
  </si>
  <si>
    <t>- Близок конец</t>
  </si>
  <si>
    <t>- Зверей не кормить</t>
  </si>
  <si>
    <t>- Лагерь в 10 милях</t>
  </si>
  <si>
    <t>- Не суетиться</t>
  </si>
  <si>
    <t>- Не курить</t>
  </si>
  <si>
    <t>- Живым не входить</t>
  </si>
  <si>
    <t>- Вход - 2 золотых</t>
  </si>
  <si>
    <t>- Путник, отдохни</t>
  </si>
  <si>
    <t>- Здесь был Вася</t>
  </si>
  <si>
    <t>- Олени</t>
  </si>
  <si>
    <t>- Медленнее</t>
  </si>
  <si>
    <t>- Опасность</t>
  </si>
  <si>
    <t>- "Наземный" - открывает всю карту приключений, кроме воды и типа почвы "подземелье";</t>
  </si>
  <si>
    <t>- "Подземный" - открывает всю территорию с типом почвы "подземелье" (даже если она есть на поверхности);</t>
  </si>
  <si>
    <t>В Сокровищницах может появляться улучшенный отряд существ на фиолетовой клетке с вероятностью 50%.</t>
  </si>
  <si>
    <r>
      <t>Запрещает использование заклинаний выше 1 уровня и большинство магических способностей существ. Нейтрализует бонусы родной земли. Герои, управляемые человеком, не могут использовать походные заклинания выше 1 уровня. Однако герои компьютера легко используют Городской портал и Дверь измерений (</t>
    </r>
    <r>
      <rPr>
        <b/>
        <sz val="10"/>
        <rFont val="Arial"/>
        <family val="2"/>
        <charset val="204"/>
      </rPr>
      <t>баг</t>
    </r>
    <r>
      <rPr>
        <sz val="10"/>
        <rFont val="Arial"/>
        <family val="2"/>
        <charset val="204"/>
      </rPr>
      <t>).</t>
    </r>
  </si>
  <si>
    <t>Водяная мельница          [на снеге] (снизу + справа)</t>
  </si>
  <si>
    <t>Жилища существ: (снизу + справа)</t>
  </si>
  <si>
    <t>AI Value</t>
  </si>
  <si>
    <t>Пусть, например, гекс B получил метку "7"</t>
  </si>
  <si>
    <t>На клетку "7", существо должно перейти с клетки "6", поэтому среди всех клеток "6" вокруг клетки "7" выбираем ту, которая обладает наивысшим приоритетом исходя из схемы справа (красные цифры).</t>
  </si>
  <si>
    <r>
      <rPr>
        <b/>
        <sz val="10"/>
        <color rgb="FFFF0000"/>
        <rFont val="Arial Cyr"/>
        <charset val="204"/>
      </rPr>
      <t>1</t>
    </r>
    <r>
      <rPr>
        <sz val="10"/>
        <rFont val="Arial Cyr"/>
        <charset val="204"/>
      </rPr>
      <t xml:space="preserve"> - наивысший приоритет.</t>
    </r>
  </si>
  <si>
    <t>Например, если верхний левый и средний левый гекс имеют метку "6", то выбираем верхний гекс, так как он имеет высший приоритет 4 (а средний левый только 5). Найденный гекс будет предпоследним в маршруте A-B.</t>
  </si>
  <si>
    <t>Теперь ищем клетки, соседние с найденным и имеющие метку "5" и т.д.</t>
  </si>
  <si>
    <t>Если вкратце, то данное правило можно интерпретировать:</t>
  </si>
  <si>
    <r>
      <t xml:space="preserve">(Предоставил </t>
    </r>
    <r>
      <rPr>
        <b/>
        <i/>
        <sz val="8"/>
        <rFont val="Arial"/>
        <family val="2"/>
        <charset val="204"/>
      </rPr>
      <t>AlexSpl,</t>
    </r>
    <r>
      <rPr>
        <i/>
        <sz val="8"/>
        <rFont val="Arial"/>
        <family val="2"/>
        <charset val="204"/>
      </rPr>
      <t xml:space="preserve"> </t>
    </r>
    <r>
      <rPr>
        <i/>
        <u/>
        <sz val="8"/>
        <color indexed="12"/>
        <rFont val="Arial"/>
        <family val="2"/>
        <charset val="204"/>
      </rPr>
      <t>heroesworld.ru</t>
    </r>
    <r>
      <rPr>
        <i/>
        <sz val="8"/>
        <rFont val="Arial"/>
        <family val="2"/>
        <charset val="204"/>
      </rPr>
      <t xml:space="preserve"> , дополнил </t>
    </r>
    <r>
      <rPr>
        <b/>
        <i/>
        <sz val="8"/>
        <rFont val="Arial"/>
        <family val="2"/>
        <charset val="204"/>
      </rPr>
      <t>Zoom</t>
    </r>
    <r>
      <rPr>
        <i/>
        <sz val="8"/>
        <rFont val="Arial"/>
        <family val="2"/>
        <charset val="204"/>
      </rPr>
      <t xml:space="preserve">, </t>
    </r>
    <r>
      <rPr>
        <i/>
        <u/>
        <sz val="8"/>
        <color rgb="FF0033CC"/>
        <rFont val="Arial"/>
        <family val="2"/>
        <charset val="204"/>
      </rPr>
      <t>heroesworld.ru</t>
    </r>
    <r>
      <rPr>
        <i/>
        <sz val="8"/>
        <rFont val="Arial"/>
        <family val="2"/>
        <charset val="204"/>
      </rPr>
      <t>).</t>
    </r>
  </si>
  <si>
    <t>Поведение ИИ в бою.</t>
  </si>
  <si>
    <t>а) Войдёт этим существом в зону досягаемости существ игрока, атаковав какую-нибудь цель.</t>
  </si>
  <si>
    <t>б) Будет Ждать, если атаковать некого.</t>
  </si>
  <si>
    <t>- Если ИИ видит, что он может использовать Ускорение на свой отряд и он достанет до вражеского существа, чтобы атаковать его, ИИ будет колдовать, иначе он может, например, использовать Магическую стрелу или Каменную кожу. Таким образом можно вынуждать ИИ использовать определенные заклинания, используя подставу.</t>
  </si>
  <si>
    <t>а) Сила ответного удара (расчёт ведётся по текущему количеству существ в потенциальном атакуемом отряде, а не от того, сколько должно остаться после удара). ИИ старается выбрать минимальное значение.</t>
  </si>
  <si>
    <t>б) Учитывает своё текущее положение в битве (выигрышное или проигрышное положение). Если ИИ считает, что сможет выиграть, то атакует более нижние отряды. При проигрышном положении ИИ начинает с более верхних.</t>
  </si>
  <si>
    <t>в) ИИ старается использовать способности и возможности своих существ, например блокировать стреляющих или использовать дыхание драконов, наложить заклинание при ударе (Слабость у Стрекоз).</t>
  </si>
  <si>
    <t>Лич                (ранее человек)</t>
  </si>
  <si>
    <t>Хотя в своей погоне за властью некромант Финеас Вилмар не остановится ни перед чем, политические интриги и военная тактика - его слабые стороны. Он присоединился к Сандро, так что теперь он может использовать его способности, чтобы продвинуться выше.</t>
  </si>
  <si>
    <t>После убийства Короля Грифонхарта, Генерал Морган Кендал временно занял место на троне. История запомнит его как единственного правителя Эрафии, позволившего захватить столицу Стэдвика.</t>
  </si>
  <si>
    <t>Отец дал ему военное имя, но Ордвальд отказался заниматься военными искусствами и сосредоточился на магии. Он старый, но могущественный, колдун в местах, где мало кто доживает до старости.</t>
  </si>
  <si>
    <t>Некоторые поговаривали, что отъезд Лорда Хаарта из Энрота произошёл из-за его связей с культом Чародеев, но его служба короне Эрафии была также безупречна, как и его служение Роланду Железному Кулаку перед Войной Успеха.</t>
  </si>
  <si>
    <t>Финеас Вилмар</t>
  </si>
  <si>
    <t>Генерал Морган Кендел</t>
  </si>
  <si>
    <t>Ордвальд</t>
  </si>
  <si>
    <t>Сэр Кристиан</t>
  </si>
  <si>
    <t>* Отдать свои артефакты;</t>
  </si>
  <si>
    <t>* Отдать свои боевые машины.</t>
  </si>
  <si>
    <t>* Темница душ (Некрополис).</t>
  </si>
  <si>
    <t>Приоритет выбора цели Стрелковыми башнями при осаде.</t>
  </si>
  <si>
    <t>Приоритет</t>
  </si>
  <si>
    <t>Дракон-призрак</t>
  </si>
  <si>
    <t>Различия переводов.</t>
  </si>
  <si>
    <t>Перевод RoE</t>
  </si>
  <si>
    <t>Перевод AB / SoD</t>
  </si>
  <si>
    <t>Перевод Complete</t>
  </si>
  <si>
    <t>Перевод WoG 3.58f</t>
  </si>
  <si>
    <t>Перевод HotA</t>
  </si>
  <si>
    <t>Бастион</t>
  </si>
  <si>
    <t>Некрополь</t>
  </si>
  <si>
    <t>Колония</t>
  </si>
  <si>
    <t>Управа</t>
  </si>
  <si>
    <t>Дом старейшин</t>
  </si>
  <si>
    <t>Ратуша</t>
  </si>
  <si>
    <t>Магистрат</t>
  </si>
  <si>
    <t>Гильдия магов N уровня</t>
  </si>
  <si>
    <t>N этаж гильдии магов</t>
  </si>
  <si>
    <t>Караулка -&gt; Сторожевая</t>
  </si>
  <si>
    <t>Башня лучников</t>
  </si>
  <si>
    <t>Башня стрелков -&gt; Башня лучников</t>
  </si>
  <si>
    <t>Грифонова башня</t>
  </si>
  <si>
    <t>Башня грифонов -&gt; Крепость грифонов</t>
  </si>
  <si>
    <t>Бараки -&gt; Казармы</t>
  </si>
  <si>
    <t>Монастырь -&gt; Храм</t>
  </si>
  <si>
    <t>Арена -&gt; Ристалище</t>
  </si>
  <si>
    <t>Портал славы -&gt; Портал доблести</t>
  </si>
  <si>
    <t>Конюшни кентавров -&gt; Двор кентавров</t>
  </si>
  <si>
    <t>Избушка гномов -&gt; Хоромы гномов</t>
  </si>
  <si>
    <t>Усадьба -&gt; Большая усадьба</t>
  </si>
  <si>
    <t>Волшебный родник -&gt; Волшебный источник</t>
  </si>
  <si>
    <t>Заколдованный ручей (Магический родник)</t>
  </si>
  <si>
    <t>Роща дендроидов -&gt; Лес дендроидов</t>
  </si>
  <si>
    <t>Поляна единорогов -&gt; Лужайка единорогов</t>
  </si>
  <si>
    <t>Лужайка единорогов (Опушка единорогов)</t>
  </si>
  <si>
    <t>Утёсы дракона -&gt; Скала дракона</t>
  </si>
  <si>
    <t>Драконьи скалы (Утёс драконов)</t>
  </si>
  <si>
    <t>Мастерская -&gt; Мануфактура</t>
  </si>
  <si>
    <t>Парапет -&gt; Часовня</t>
  </si>
  <si>
    <t>Фабрика големов -&gt; Завод големов</t>
  </si>
  <si>
    <t>Башня магов -&gt; Оплот магов</t>
  </si>
  <si>
    <t>Алтарь грёз -&gt; Алтарь мечты</t>
  </si>
  <si>
    <t>Золотой павильон -&gt; Золотой сад</t>
  </si>
  <si>
    <t>Небесный храм -&gt; Небесный чертог</t>
  </si>
  <si>
    <t>Тигель бесов -&gt; Котёл бесов</t>
  </si>
  <si>
    <t>Зал грехов -&gt; Храм грехов</t>
  </si>
  <si>
    <t>Дворец пороков (Зала грешников)</t>
  </si>
  <si>
    <t>Псарни -&gt; Большие псарни</t>
  </si>
  <si>
    <t>Псарни (Псарня)</t>
  </si>
  <si>
    <t>Врата демонов -&gt; Врата ада</t>
  </si>
  <si>
    <t>Геенна -&gt; Преисподняя</t>
  </si>
  <si>
    <t>Провал (Адская дыра)</t>
  </si>
  <si>
    <t>Огненное озеро -&gt; Огненное море</t>
  </si>
  <si>
    <t>Заброшенный дворец -&gt; Заброшенный замок</t>
  </si>
  <si>
    <t>Проклятый замок</t>
  </si>
  <si>
    <t>Проклятый храм -&gt; Проклятый чертог</t>
  </si>
  <si>
    <t>Кладбище -&gt; Курган</t>
  </si>
  <si>
    <t>Гробница душ -&gt; Склеп душ</t>
  </si>
  <si>
    <t>Пристанище душ (Могила душ)</t>
  </si>
  <si>
    <t>Поместье -&gt; Большое поместье</t>
  </si>
  <si>
    <t>Поместье (Имение)</t>
  </si>
  <si>
    <t>Мавзолей -&gt; Старый мавзолей</t>
  </si>
  <si>
    <t>Чертог тьмы -&gt; Храм тьмы</t>
  </si>
  <si>
    <t>Дворец тьмы (Зала тьмы)</t>
  </si>
  <si>
    <t>Склеп дракона -&gt; Гробница дракона</t>
  </si>
  <si>
    <t>Склеп драконов (Свод драконов)</t>
  </si>
  <si>
    <t>Садок -&gt; Роща</t>
  </si>
  <si>
    <t>Чердак гарпий -&gt; Хоры гарпий</t>
  </si>
  <si>
    <t>Глазница -&gt; Великая глазница</t>
  </si>
  <si>
    <t>Камень глаз (Опора глаз)</t>
  </si>
  <si>
    <t>Капелла безмолвия -&gt; Капелла тишины</t>
  </si>
  <si>
    <t>Лабиринт -&gt; Великий лабиринт</t>
  </si>
  <si>
    <t>Логово мантикоры</t>
  </si>
  <si>
    <t>Логово мантикор -&gt; Гнездо мантикор</t>
  </si>
  <si>
    <t>Логово мантикор (Берлога мантикор)</t>
  </si>
  <si>
    <t>Пещера драконов -&gt; Логово драконов</t>
  </si>
  <si>
    <t>Бараки гоблинов -&gt; Казармы гоблинов</t>
  </si>
  <si>
    <t>Волчье логово -&gt; Волчий загон</t>
  </si>
  <si>
    <t>Башня орков -&gt; Крепость орков</t>
  </si>
  <si>
    <t>Форт огров -&gt; Крепость огров</t>
  </si>
  <si>
    <t>Гнездо на утёсе -&gt; Гнездо на скале</t>
  </si>
  <si>
    <t>Гнездо на скале (Гнездо на утёсе)</t>
  </si>
  <si>
    <t>Пещера циклопов -&gt; Логово циклопов</t>
  </si>
  <si>
    <t>Логово бегемотов</t>
  </si>
  <si>
    <t>Обиталище чудищ -&gt; Логово чудищ</t>
  </si>
  <si>
    <t>Лачуга гноллов -&gt; Хибара гноллов</t>
  </si>
  <si>
    <t>Хижина гноллов (Лачуга гноллов)</t>
  </si>
  <si>
    <t>Пещера ящеров -&gt; Логово ящеров</t>
  </si>
  <si>
    <t>Логово ящериц (Убежище ящеров)</t>
  </si>
  <si>
    <t>Змеиное гнездо -&gt; Змеиное логово</t>
  </si>
  <si>
    <t>Яма василисков -&gt; Логово василисков</t>
  </si>
  <si>
    <t>Гнездо горгон -&gt; Логово горгон</t>
  </si>
  <si>
    <t>Гнездо вивернов</t>
  </si>
  <si>
    <t>Гнездо виверн -&gt; Насест виверн</t>
  </si>
  <si>
    <t>Гнездо виверны</t>
  </si>
  <si>
    <t>Пруд гидр -&gt; Озеро гидр</t>
  </si>
  <si>
    <t>Волшебный фонарь -&gt; Волшебный омут</t>
  </si>
  <si>
    <t>Волшебный фонарь (Магический фонарик)</t>
  </si>
  <si>
    <t>Алтарь воздуха -&gt; Храм грома</t>
  </si>
  <si>
    <t>Алтарь воды -&gt; Храм льда</t>
  </si>
  <si>
    <t>Алтарь огня -&gt; Храм энергии</t>
  </si>
  <si>
    <t>Алтарь земли -&gt; Храм магмы</t>
  </si>
  <si>
    <t>Алтарь разума -&gt; Храм магии</t>
  </si>
  <si>
    <t>Алтарь мысли</t>
  </si>
  <si>
    <t>Погребальный костёр -&gt; Похоронный костёр</t>
  </si>
  <si>
    <t>Костёр (Погребальный костёр)</t>
  </si>
  <si>
    <t>Погребальный костёр</t>
  </si>
  <si>
    <t>Военная академия</t>
  </si>
  <si>
    <t>Облака серы</t>
  </si>
  <si>
    <t>Клеть воителя</t>
  </si>
  <si>
    <t>Жильё капитана</t>
  </si>
  <si>
    <t>Врата города</t>
  </si>
  <si>
    <t>Портал</t>
  </si>
  <si>
    <t>Завеса тьмы</t>
  </si>
  <si>
    <t>Кровавый обелиск</t>
  </si>
  <si>
    <t>Роща дендроидов</t>
  </si>
  <si>
    <t>Подземный ход</t>
  </si>
  <si>
    <t>Гильдия наёмных работников</t>
  </si>
  <si>
    <t>Гильдия наёмных рабочих</t>
  </si>
  <si>
    <t>Роща жизни</t>
  </si>
  <si>
    <t>Глифы ужаса</t>
  </si>
  <si>
    <t>Валгалла</t>
  </si>
  <si>
    <t>Сторожевая башня</t>
  </si>
  <si>
    <t>Магический университет</t>
  </si>
  <si>
    <t>Вихрь маны</t>
  </si>
  <si>
    <t>Трапезная</t>
  </si>
  <si>
    <t>Кольца грибов</t>
  </si>
  <si>
    <t>Волшебный пруд</t>
  </si>
  <si>
    <t>Усилитель некромантии</t>
  </si>
  <si>
    <t>Склад ресурсов</t>
  </si>
  <si>
    <t>Мастерская скульптора</t>
  </si>
  <si>
    <t>Машина скелетов</t>
  </si>
  <si>
    <t>Дух-хранитель</t>
  </si>
  <si>
    <t>Страж земли</t>
  </si>
  <si>
    <t>Монумент полководца</t>
  </si>
  <si>
    <t>Полярное сияние</t>
  </si>
  <si>
    <t>Алтарь жертвоприношения</t>
  </si>
  <si>
    <t>Жертвенник</t>
  </si>
  <si>
    <t>Жертвенный алтарь</t>
  </si>
  <si>
    <t>Гарнизон с защитой от магии</t>
  </si>
  <si>
    <t>Гарнизон с антимагией</t>
  </si>
  <si>
    <t>Антимагический гарнизон</t>
  </si>
  <si>
    <t>Кабанья лощина</t>
  </si>
  <si>
    <t>Поляна боровов</t>
  </si>
  <si>
    <t>Лодка</t>
  </si>
  <si>
    <t>Врата пограничного стража</t>
  </si>
  <si>
    <t>Пограничные врата</t>
  </si>
  <si>
    <t>Бивачный костёр</t>
  </si>
  <si>
    <t>Кострище покинутого лагеря</t>
  </si>
  <si>
    <t>Сундук сокровищ</t>
  </si>
  <si>
    <t>Ларец с сокровищами</t>
  </si>
  <si>
    <t>Сундук с сокровищами</t>
  </si>
  <si>
    <t>Покров тьмы</t>
  </si>
  <si>
    <t>Кристальная пещера</t>
  </si>
  <si>
    <t>Склад циклопов</t>
  </si>
  <si>
    <t>Хранилище циклопов</t>
  </si>
  <si>
    <t>Притон воров</t>
  </si>
  <si>
    <t>Гильдия воров</t>
  </si>
  <si>
    <t>Ветхий корабль</t>
  </si>
  <si>
    <t>Заброшенный корабль</t>
  </si>
  <si>
    <t>Улей стрекозы</t>
  </si>
  <si>
    <t>Улей летучих змиев</t>
  </si>
  <si>
    <t>Тайник гномов</t>
  </si>
  <si>
    <t>Ложбина чародеев</t>
  </si>
  <si>
    <t>Яма заклинателей</t>
  </si>
  <si>
    <t>Магическое око</t>
  </si>
  <si>
    <t>Кольцо фей</t>
  </si>
  <si>
    <t>Мёрзлые утёсы</t>
  </si>
  <si>
    <t>Ледяной утёс</t>
  </si>
  <si>
    <t>Пещера разбойников</t>
  </si>
  <si>
    <t>Холмовой форт</t>
  </si>
  <si>
    <t>Сарай</t>
  </si>
  <si>
    <t>Амбар</t>
  </si>
  <si>
    <t>Магическое окно</t>
  </si>
  <si>
    <t>Яма бесов</t>
  </si>
  <si>
    <t>Шатры хранителя ключей</t>
  </si>
  <si>
    <t>Волшебный лес</t>
  </si>
  <si>
    <t>Камень учёности</t>
  </si>
  <si>
    <t>Библиотека просвящения</t>
  </si>
  <si>
    <t>Библиотека просвящённых</t>
  </si>
  <si>
    <t>Волшебный источник</t>
  </si>
  <si>
    <t>Магический источник</t>
  </si>
  <si>
    <t>Колесо магов</t>
  </si>
  <si>
    <t>Колодец мага</t>
  </si>
  <si>
    <t>Башня ветеранов</t>
  </si>
  <si>
    <t>Башня марлетто</t>
  </si>
  <si>
    <t>Склады медузы</t>
  </si>
  <si>
    <t>Склады медуз</t>
  </si>
  <si>
    <t>Монолит входа / выхода</t>
  </si>
  <si>
    <t>Портал входа / выхода</t>
  </si>
  <si>
    <t>Двухсторонний монолит</t>
  </si>
  <si>
    <t>Таинственный сад</t>
  </si>
  <si>
    <t>Банк наги</t>
  </si>
  <si>
    <t>Нага банк</t>
  </si>
  <si>
    <t>Хранилище наг</t>
  </si>
  <si>
    <t>Нага-банк</t>
  </si>
  <si>
    <t>Шатёр кочевников</t>
  </si>
  <si>
    <t>Океанская бутыль</t>
  </si>
  <si>
    <t>Бутылка</t>
  </si>
  <si>
    <t>Флаг общего сбора</t>
  </si>
  <si>
    <t>Наблюдательная вышка</t>
  </si>
  <si>
    <t>Лагерь беженцов</t>
  </si>
  <si>
    <t>Убежище</t>
  </si>
  <si>
    <t>Учёный книжник</t>
  </si>
  <si>
    <t>Школа магов </t>
  </si>
  <si>
    <t>Школа магии</t>
  </si>
  <si>
    <t>Школа магов</t>
  </si>
  <si>
    <t>Хижина предсказателя</t>
  </si>
  <si>
    <t>Разбившийся корабль</t>
  </si>
  <si>
    <t>Святилище магических жестов</t>
  </si>
  <si>
    <t>Святилище магических песнопений</t>
  </si>
  <si>
    <t>Святилище магических мыслей</t>
  </si>
  <si>
    <t>Указатель</t>
  </si>
  <si>
    <t>Труп</t>
  </si>
  <si>
    <t>Звёздная ось</t>
  </si>
  <si>
    <t>Подземные врата</t>
  </si>
  <si>
    <t>Серная берлога</t>
  </si>
  <si>
    <t>Сернистое логово</t>
  </si>
  <si>
    <t>Мазанка</t>
  </si>
  <si>
    <t>Могила проклятых</t>
  </si>
  <si>
    <t>Гробница проклятых</t>
  </si>
  <si>
    <t>Могилы проклятых</t>
  </si>
  <si>
    <t>Базар</t>
  </si>
  <si>
    <t>Древо познания</t>
  </si>
  <si>
    <t>Башня на деревьях</t>
  </si>
  <si>
    <t>Повозка</t>
  </si>
  <si>
    <t>Гробница воина</t>
  </si>
  <si>
    <t>Родник</t>
  </si>
  <si>
    <t>Водяное колесо</t>
  </si>
  <si>
    <t>Фабрика военной техники</t>
  </si>
  <si>
    <t>Мастерская боевых машин</t>
  </si>
  <si>
    <t>Чёрный рынок</t>
  </si>
  <si>
    <t>Прислониться к</t>
  </si>
  <si>
    <t>Навес</t>
  </si>
  <si>
    <t>Чей-то погреб</t>
  </si>
  <si>
    <t>Хранитель вопроса</t>
  </si>
  <si>
    <t>Страж задания</t>
  </si>
  <si>
    <t>Страж прохода</t>
  </si>
  <si>
    <t>Волшебная книга</t>
  </si>
  <si>
    <t>Волшебный свиток</t>
  </si>
  <si>
    <t>Подвода с боеприпасами</t>
  </si>
  <si>
    <t>Обоз</t>
  </si>
  <si>
    <t>Санитарная палатка</t>
  </si>
  <si>
    <t>Топор кентавра</t>
  </si>
  <si>
    <t>Чёрный меч мёртвого рыцаря</t>
  </si>
  <si>
    <t>Чёрный клинок мёртвого рыцаря</t>
  </si>
  <si>
    <t>Клинок мёртвого рыцаря</t>
  </si>
  <si>
    <t>Великий гномий кистень</t>
  </si>
  <si>
    <t>Боевой цеп гнолла</t>
  </si>
  <si>
    <t>Карающая дубина орга</t>
  </si>
  <si>
    <t>Огрова дубина разрушения</t>
  </si>
  <si>
    <t>Меч адского пламени</t>
  </si>
  <si>
    <t>Боевой меч титана</t>
  </si>
  <si>
    <t>Щит королей гномов</t>
  </si>
  <si>
    <t>Щит гномьих героев</t>
  </si>
  <si>
    <t>Щит неупокоенных</t>
  </si>
  <si>
    <t>Щит яростного орга</t>
  </si>
  <si>
    <t>Щит неистового огра</t>
  </si>
  <si>
    <t>Щит проклятых</t>
  </si>
  <si>
    <t>Щит стража</t>
  </si>
  <si>
    <t>Корона главного волхва</t>
  </si>
  <si>
    <t>Корона главного мага</t>
  </si>
  <si>
    <t>Корона верховного волхва</t>
  </si>
  <si>
    <t>Шлем адской бури</t>
  </si>
  <si>
    <t>Громовой шлем</t>
  </si>
  <si>
    <t>Доспехи из окаменевшего древа</t>
  </si>
  <si>
    <t>Рёбра</t>
  </si>
  <si>
    <t>Каркас</t>
  </si>
  <si>
    <t>Чешуя большого василиска</t>
  </si>
  <si>
    <t>Доспехи самородной серы</t>
  </si>
  <si>
    <t>Кираса титана</t>
  </si>
  <si>
    <t>Дивный доспех</t>
  </si>
  <si>
    <t>Сандали святых</t>
  </si>
  <si>
    <t>Сандалии святых</t>
  </si>
  <si>
    <t>Сандалии святого</t>
  </si>
  <si>
    <t>Ожерелье небесного блаженства</t>
  </si>
  <si>
    <t>Шлем небесного просветления</t>
  </si>
  <si>
    <t>Безмолвный глаз дракона</t>
  </si>
  <si>
    <t>Огненный язык красного дракона</t>
  </si>
  <si>
    <t>Щит дракона</t>
  </si>
  <si>
    <t>Доспех чёрного дракона</t>
  </si>
  <si>
    <t>Поножи из кости дракона</t>
  </si>
  <si>
    <t>Плащ из крыла дракона</t>
  </si>
  <si>
    <t>Корона дракона</t>
  </si>
  <si>
    <t>Застывшей глаз дракона</t>
  </si>
  <si>
    <t>Клевер фортуны</t>
  </si>
  <si>
    <t>Божья коровка удачи</t>
  </si>
  <si>
    <t>Птица счастья</t>
  </si>
  <si>
    <t>Знак мужества</t>
  </si>
  <si>
    <t>Крест отваги</t>
  </si>
  <si>
    <t>Глиф доблести</t>
  </si>
  <si>
    <t>Брелок смелости</t>
  </si>
  <si>
    <t>Кулон мужества</t>
  </si>
  <si>
    <t>Дух угнетения</t>
  </si>
  <si>
    <t>Часы недоброго часа</t>
  </si>
  <si>
    <t>Зеркало</t>
  </si>
  <si>
    <t>Амулет некроманта</t>
  </si>
  <si>
    <t>Плащ вампира</t>
  </si>
  <si>
    <t>Башмаки мертвеца</t>
  </si>
  <si>
    <t>Наследный доспех</t>
  </si>
  <si>
    <t>Плащ равновесия</t>
  </si>
  <si>
    <t>Башмаки полярности</t>
  </si>
  <si>
    <t>Эльфийский лук из вишнёвого дерева</t>
  </si>
  <si>
    <t>Тетива из гривы единорога</t>
  </si>
  <si>
    <t>Стрелы с перьями ангела</t>
  </si>
  <si>
    <t>Птица проницательности</t>
  </si>
  <si>
    <t>Стойкий часовой</t>
  </si>
  <si>
    <t>Символ знания</t>
  </si>
  <si>
    <t>Медаль чиновника</t>
  </si>
  <si>
    <t>Волшебная сфера маны</t>
  </si>
  <si>
    <t>Колье заклинателя</t>
  </si>
  <si>
    <t>Магическое ожерелье</t>
  </si>
  <si>
    <t>Кольцо заклинателя</t>
  </si>
  <si>
    <t>Накидка заклинателя</t>
  </si>
  <si>
    <t>Сапоги-скороходы</t>
  </si>
  <si>
    <t>Башмаки скороходы</t>
  </si>
  <si>
    <t>Ожерелье скорости</t>
  </si>
  <si>
    <t>Ожерелье навигатора</t>
  </si>
  <si>
    <t>Ожерелье морского пути</t>
  </si>
  <si>
    <t>Башмаки левитации</t>
  </si>
  <si>
    <t>Медаль небесного свода</t>
  </si>
  <si>
    <t>Медаль илистого озера</t>
  </si>
  <si>
    <t>Сфера тверди земной</t>
  </si>
  <si>
    <t>Медаль бушующего огня</t>
  </si>
  <si>
    <t>Сфера буйного пламени</t>
  </si>
  <si>
    <t>Медаль проливного дождя</t>
  </si>
  <si>
    <t>Накидка отречения</t>
  </si>
  <si>
    <t>Фолиант магии огня</t>
  </si>
  <si>
    <t>Фолиант магии воздуха</t>
  </si>
  <si>
    <t>Фолиант магии воды</t>
  </si>
  <si>
    <t>Фолиант магии земли</t>
  </si>
  <si>
    <t>Сфера постоянства</t>
  </si>
  <si>
    <t>Сфера уязвимости</t>
  </si>
  <si>
    <t>Шляпа заклинателя</t>
  </si>
  <si>
    <t>Медаль запрещения</t>
  </si>
  <si>
    <t>Сфера подавления</t>
  </si>
  <si>
    <t>Кольцо здоровья</t>
  </si>
  <si>
    <t>Сосуд с кровью жизни</t>
  </si>
  <si>
    <t>Кулон бесстрастия</t>
  </si>
  <si>
    <t>Кулон внутреннего зрения</t>
  </si>
  <si>
    <t>Кулон святости</t>
  </si>
  <si>
    <t>Брелок жизни</t>
  </si>
  <si>
    <t>Кулон жизни</t>
  </si>
  <si>
    <t>Брелок смерти</t>
  </si>
  <si>
    <t>Кулон смерти</t>
  </si>
  <si>
    <t>Брелок свободы</t>
  </si>
  <si>
    <t>Кулон свободной воли</t>
  </si>
  <si>
    <t>Брелок отрицательности</t>
  </si>
  <si>
    <t>Кулон отрицания</t>
  </si>
  <si>
    <t>Кулон твёрдой памяти</t>
  </si>
  <si>
    <t>Изобильная накидка кристаллов</t>
  </si>
  <si>
    <t>Нескончаемое кольцо самоцветов</t>
  </si>
  <si>
    <t>Бездонный сосуд ртути</t>
  </si>
  <si>
    <t>Неисчерпаемая вагонетка руды</t>
  </si>
  <si>
    <t>Неиссякаемое кольцо серы</t>
  </si>
  <si>
    <t>Бесконечная повозка дров</t>
  </si>
  <si>
    <t>Неиссякаемый мешок золота</t>
  </si>
  <si>
    <t>Бездонный мешок золота</t>
  </si>
  <si>
    <t>Неиссякаемая сума золота</t>
  </si>
  <si>
    <t>Бездонная сума золота</t>
  </si>
  <si>
    <t>Неиссякаемая мошна золота</t>
  </si>
  <si>
    <t>Бездонный кошель золота</t>
  </si>
  <si>
    <t>Ноги легионера</t>
  </si>
  <si>
    <t>Поясница легионера</t>
  </si>
  <si>
    <t>Торс легионера</t>
  </si>
  <si>
    <t>Руки легионера</t>
  </si>
  <si>
    <t>Голова легионера</t>
  </si>
  <si>
    <t>Шляпа капитана</t>
  </si>
  <si>
    <t>Фиал драконьей крови</t>
  </si>
  <si>
    <t>Ангельский союз</t>
  </si>
  <si>
    <t>Плащ короля нежити</t>
  </si>
  <si>
    <t>Накидка мёртвого короля</t>
  </si>
  <si>
    <t>Фиал с кровью жизни</t>
  </si>
  <si>
    <t>Доспех проклятого</t>
  </si>
  <si>
    <t>Статуя легионера</t>
  </si>
  <si>
    <t>Сила отца драконов</t>
  </si>
  <si>
    <t>Источник чародея</t>
  </si>
  <si>
    <t>Лучник</t>
  </si>
  <si>
    <t>Тяжёлый арбалетчик</t>
  </si>
  <si>
    <t>Мечник</t>
  </si>
  <si>
    <t>Кавалер</t>
  </si>
  <si>
    <t>Всадник</t>
  </si>
  <si>
    <t>Лесной ельф</t>
  </si>
  <si>
    <t>Королевский эльф</t>
  </si>
  <si>
    <t>Высокий эльф</t>
  </si>
  <si>
    <t>Благородный эльф</t>
  </si>
  <si>
    <t>Страж-дендроид</t>
  </si>
  <si>
    <t>Дендроид охранник</t>
  </si>
  <si>
    <t>Дендроид страж</t>
  </si>
  <si>
    <t>Дендроид</t>
  </si>
  <si>
    <t>Солдат-дендроид</t>
  </si>
  <si>
    <t>Дендроид солдат</t>
  </si>
  <si>
    <t>Дендроид воин</t>
  </si>
  <si>
    <t>Гремлин-вожак</t>
  </si>
  <si>
    <t>Мастер гремлин</t>
  </si>
  <si>
    <t>Каменная гаргулья</t>
  </si>
  <si>
    <t>Обсидиановая гаргулья</t>
  </si>
  <si>
    <t>Железный голем</t>
  </si>
  <si>
    <t>Верховный маг</t>
  </si>
  <si>
    <t>Архи-маг</t>
  </si>
  <si>
    <t>Джин</t>
  </si>
  <si>
    <t>Главный джин</t>
  </si>
  <si>
    <t>Мастер-джин</t>
  </si>
  <si>
    <t>Владыка джиннов</t>
  </si>
  <si>
    <t>Нага-королева</t>
  </si>
  <si>
    <t>Королева нага</t>
  </si>
  <si>
    <t>Королева наг</t>
  </si>
  <si>
    <t>Воин скелет</t>
  </si>
  <si>
    <t>Скелет воин</t>
  </si>
  <si>
    <t>Ходячий мертвец</t>
  </si>
  <si>
    <t>Лорд вампиров</t>
  </si>
  <si>
    <t>Вампир лорд</t>
  </si>
  <si>
    <t>Повелитель личей</t>
  </si>
  <si>
    <t>Могучий лич</t>
  </si>
  <si>
    <t>Зловещий рыцарь</t>
  </si>
  <si>
    <t>Рыцарь ужаса</t>
  </si>
  <si>
    <t>Дракон-дух</t>
  </si>
  <si>
    <t>Призрачный дракон</t>
  </si>
  <si>
    <t>Карга-гарпия</t>
  </si>
  <si>
    <t>Гарпия ведьма</t>
  </si>
  <si>
    <t>Злой глаз</t>
  </si>
  <si>
    <t>Дурной глаз</t>
  </si>
  <si>
    <t>Злобоглаз</t>
  </si>
  <si>
    <t>Королева медуза</t>
  </si>
  <si>
    <t>Медуза-королева</t>
  </si>
  <si>
    <t>Короли-минотавры</t>
  </si>
  <si>
    <t>Король минотавр</t>
  </si>
  <si>
    <t>Королевский минотавров</t>
  </si>
  <si>
    <t>Минотавр-король</t>
  </si>
  <si>
    <t>Прилипала</t>
  </si>
  <si>
    <t>Гога</t>
  </si>
  <si>
    <t>Магога</t>
  </si>
  <si>
    <t>Гончая ада</t>
  </si>
  <si>
    <t>Демон бездны</t>
  </si>
  <si>
    <t>Владыка бездны</t>
  </si>
  <si>
    <t>Эфрит</t>
  </si>
  <si>
    <t>Султан эфритов</t>
  </si>
  <si>
    <t>Эфрит-султан</t>
  </si>
  <si>
    <t>Султан ифритов</t>
  </si>
  <si>
    <t>Ифрит-султан</t>
  </si>
  <si>
    <t>Гнолл мародёр</t>
  </si>
  <si>
    <t>Человек-ящер</t>
  </si>
  <si>
    <t>Ящер воин</t>
  </si>
  <si>
    <t>Змей</t>
  </si>
  <si>
    <t>Летучий змей</t>
  </si>
  <si>
    <t>Летучий змий</t>
  </si>
  <si>
    <t>Змий-дракон</t>
  </si>
  <si>
    <t>Горгон</t>
  </si>
  <si>
    <t>Великая горгона</t>
  </si>
  <si>
    <t>Могучий горгон</t>
  </si>
  <si>
    <t>Виверн</t>
  </si>
  <si>
    <t>Король виверн</t>
  </si>
  <si>
    <t>Виверн-монарх</t>
  </si>
  <si>
    <t>Волчий всадник</t>
  </si>
  <si>
    <t>Наездник на волках</t>
  </si>
  <si>
    <t>Волчий воин</t>
  </si>
  <si>
    <t>Разбойник на волке</t>
  </si>
  <si>
    <t>Вождь орков</t>
  </si>
  <si>
    <t>Людоед</t>
  </si>
  <si>
    <t>Людоед маг</t>
  </si>
  <si>
    <t>Огр-шаман</t>
  </si>
  <si>
    <t>Рух</t>
  </si>
  <si>
    <t>Громовая птица</t>
  </si>
  <si>
    <t>Птица-гром</t>
  </si>
  <si>
    <t>Королевский циклоп</t>
  </si>
  <si>
    <t>Циклоп-король</t>
  </si>
  <si>
    <t>Бегемот</t>
  </si>
  <si>
    <t>Древний бегемот</t>
  </si>
  <si>
    <t>Пикси</t>
  </si>
  <si>
    <t>Элемент воздуха</t>
  </si>
  <si>
    <t>Воздушный элементаль</t>
  </si>
  <si>
    <t>Воздушный элементал</t>
  </si>
  <si>
    <t>Элементаль шторма</t>
  </si>
  <si>
    <t>Штормовой элементал</t>
  </si>
  <si>
    <t>Элемент воды</t>
  </si>
  <si>
    <t>Водный элементал</t>
  </si>
  <si>
    <t>Водный элементаль</t>
  </si>
  <si>
    <t>Ледяной элементал</t>
  </si>
  <si>
    <t>Элементаль льда</t>
  </si>
  <si>
    <t>Элемент огня</t>
  </si>
  <si>
    <t>Огненный элементаль</t>
  </si>
  <si>
    <t>Огненный элементал</t>
  </si>
  <si>
    <t>Ракшас</t>
  </si>
  <si>
    <t>Элементаль энергии</t>
  </si>
  <si>
    <t>Элемент земли</t>
  </si>
  <si>
    <t>Земной элементал</t>
  </si>
  <si>
    <t>Земляной элементаль</t>
  </si>
  <si>
    <t>Элементаль магмы</t>
  </si>
  <si>
    <t>Элементал магмы</t>
  </si>
  <si>
    <t>Элементал мысли</t>
  </si>
  <si>
    <t>Волшебный элементал</t>
  </si>
  <si>
    <t>Элементаль магии</t>
  </si>
  <si>
    <t>Жар-птица</t>
  </si>
  <si>
    <t>Полурослик</t>
  </si>
  <si>
    <t>Кабан</t>
  </si>
  <si>
    <t>Боров</t>
  </si>
  <si>
    <t>Орк на кабане</t>
  </si>
  <si>
    <t>Разбойник</t>
  </si>
  <si>
    <t>Колдун</t>
  </si>
  <si>
    <t>Кристальный дракон</t>
  </si>
  <si>
    <t>Серый</t>
  </si>
  <si>
    <t>Зелёный</t>
  </si>
  <si>
    <t>Багровый</t>
  </si>
  <si>
    <t>Лиловый</t>
  </si>
  <si>
    <t>Пурпурный</t>
  </si>
  <si>
    <t>Фиолетовый</t>
  </si>
  <si>
    <t>Чайный</t>
  </si>
  <si>
    <t>Сизый</t>
  </si>
  <si>
    <t>Бирюзовый</t>
  </si>
  <si>
    <t>Призвать корабль</t>
  </si>
  <si>
    <t>Затопление корабля</t>
  </si>
  <si>
    <t>Видения</t>
  </si>
  <si>
    <t>Виденье</t>
  </si>
  <si>
    <t>Земное око</t>
  </si>
  <si>
    <t>Небесное око</t>
  </si>
  <si>
    <t>Движение по воде</t>
  </si>
  <si>
    <t>Дверь в измерение</t>
  </si>
  <si>
    <t>Пространственные врата</t>
  </si>
  <si>
    <t>Городские ворота</t>
  </si>
  <si>
    <t>Портал города</t>
  </si>
  <si>
    <t>Зыбучий песок</t>
  </si>
  <si>
    <t>Мины</t>
  </si>
  <si>
    <t>Волшебная стрела</t>
  </si>
  <si>
    <t>Ледяная стрела</t>
  </si>
  <si>
    <t>Молния</t>
  </si>
  <si>
    <t>Удушение</t>
  </si>
  <si>
    <t>Цепь молний</t>
  </si>
  <si>
    <t>Шаровая молния</t>
  </si>
  <si>
    <t>Звездопад</t>
  </si>
  <si>
    <t>Камнепад</t>
  </si>
  <si>
    <t>Дрожь смерти</t>
  </si>
  <si>
    <t>Уничтожение живых мертвецов</t>
  </si>
  <si>
    <t>Уничтожить нечисть</t>
  </si>
  <si>
    <t>Уничтожить нежить</t>
  </si>
  <si>
    <t>Упокоить нежить</t>
  </si>
  <si>
    <t>Оберег воздуха</t>
  </si>
  <si>
    <t>Оберег огня</t>
  </si>
  <si>
    <t>Оберег воды</t>
  </si>
  <si>
    <t>Оберег земли</t>
  </si>
  <si>
    <t>Анти-магия</t>
  </si>
  <si>
    <t>Снятие заклинания</t>
  </si>
  <si>
    <t>Снять чары</t>
  </si>
  <si>
    <t>Оживление мертвеца</t>
  </si>
  <si>
    <t>Поднять мертвецов</t>
  </si>
  <si>
    <t>Оживить нежить</t>
  </si>
  <si>
    <t>Жертвоприношение</t>
  </si>
  <si>
    <t>Благословение</t>
  </si>
  <si>
    <t>Проклятье</t>
  </si>
  <si>
    <t>Меткость</t>
  </si>
  <si>
    <t>Разрушительный луч</t>
  </si>
  <si>
    <t>Фортуна</t>
  </si>
  <si>
    <t>Спешка</t>
  </si>
  <si>
    <t>Замедление</t>
  </si>
  <si>
    <t>Убийца</t>
  </si>
  <si>
    <t>Гром титанов</t>
  </si>
  <si>
    <t>Молния титана</t>
  </si>
  <si>
    <t>Ответный удар</t>
  </si>
  <si>
    <t>Ослепление</t>
  </si>
  <si>
    <t>Телепортация</t>
  </si>
  <si>
    <t>Устранение препятствий</t>
  </si>
  <si>
    <t>Убрать препятствие</t>
  </si>
  <si>
    <t>Убрать преграду</t>
  </si>
  <si>
    <t>Фантом</t>
  </si>
  <si>
    <t>Вызов огня</t>
  </si>
  <si>
    <t>Вызов земли</t>
  </si>
  <si>
    <t>Вызов воды</t>
  </si>
  <si>
    <t>Вызов воздуха</t>
  </si>
  <si>
    <t>Магическая сила</t>
  </si>
  <si>
    <t>Сила заклинаний</t>
  </si>
  <si>
    <t>Знания</t>
  </si>
  <si>
    <t>1 ступени</t>
  </si>
  <si>
    <t>2 ступени</t>
  </si>
  <si>
    <t>3 ступени</t>
  </si>
  <si>
    <t>Осн.</t>
  </si>
  <si>
    <t>1 ст.</t>
  </si>
  <si>
    <t>2 ст.</t>
  </si>
  <si>
    <t>3 ст.</t>
  </si>
  <si>
    <t>Следопыт</t>
  </si>
  <si>
    <t>Орлиный глаз</t>
  </si>
  <si>
    <t>Некромантия</t>
  </si>
  <si>
    <t>Казначей</t>
  </si>
  <si>
    <t>Поместья</t>
  </si>
  <si>
    <t>Книжник</t>
  </si>
  <si>
    <t>Обучаемость</t>
  </si>
  <si>
    <t>Броня</t>
  </si>
  <si>
    <t>Разум</t>
  </si>
  <si>
    <t>Ворожба</t>
  </si>
  <si>
    <t>Устойчивость к магии</t>
  </si>
  <si>
    <t>Клерик</t>
  </si>
  <si>
    <t>Клирик</t>
  </si>
  <si>
    <t>Одержимый</t>
  </si>
  <si>
    <t>Верховный лорд</t>
  </si>
  <si>
    <t>Зверолов</t>
  </si>
  <si>
    <t>Странник</t>
  </si>
  <si>
    <t>Адела</t>
  </si>
  <si>
    <t>Адриана</t>
  </si>
  <si>
    <t>Аэрис</t>
  </si>
  <si>
    <t>Эйне</t>
  </si>
  <si>
    <t>Эйслинна</t>
  </si>
  <si>
    <t>Арлак</t>
  </si>
  <si>
    <t>Пепелина</t>
  </si>
  <si>
    <t>Эниан</t>
  </si>
  <si>
    <t>Брогхильд</t>
  </si>
  <si>
    <t>Вестан</t>
  </si>
  <si>
    <t>Воя</t>
  </si>
  <si>
    <t>Гирда</t>
  </si>
  <si>
    <t>Гретхен</t>
  </si>
  <si>
    <t>Дэрмит</t>
  </si>
  <si>
    <t>Дэйс</t>
  </si>
  <si>
    <t>Димер</t>
  </si>
  <si>
    <t>Гелар</t>
  </si>
  <si>
    <t>Гело</t>
  </si>
  <si>
    <t>Гем</t>
  </si>
  <si>
    <t>Жемчужина</t>
  </si>
  <si>
    <t>Дрэйкон</t>
  </si>
  <si>
    <t>Янова</t>
  </si>
  <si>
    <t>Ябаркас</t>
  </si>
  <si>
    <t>Ягер</t>
  </si>
  <si>
    <t>Джедитта</t>
  </si>
  <si>
    <t>Жосефина</t>
  </si>
  <si>
    <t>Игнатиус</t>
  </si>
  <si>
    <t>Интей</t>
  </si>
  <si>
    <t>Ингэм</t>
  </si>
  <si>
    <t>Изра</t>
  </si>
  <si>
    <t>Кейтлина</t>
  </si>
  <si>
    <t>Кейтлин</t>
  </si>
  <si>
    <t>Калида</t>
  </si>
  <si>
    <t>Кэлх</t>
  </si>
  <si>
    <t>Сайра</t>
  </si>
  <si>
    <t>Кайри</t>
  </si>
  <si>
    <t>Клэнси</t>
  </si>
  <si>
    <t>Крельон</t>
  </si>
  <si>
    <t>Краг Хак</t>
  </si>
  <si>
    <t>Крэг Хак</t>
  </si>
  <si>
    <t>Зерон</t>
  </si>
  <si>
    <t>Лакусса</t>
  </si>
  <si>
    <t>Лойнис</t>
  </si>
  <si>
    <t>Лорилей</t>
  </si>
  <si>
    <t>Малком</t>
  </si>
  <si>
    <t>Мариусса</t>
  </si>
  <si>
    <t>Мелодия</t>
  </si>
  <si>
    <t>Мефала</t>
  </si>
  <si>
    <t>Мериста</t>
  </si>
  <si>
    <t>Мутара</t>
  </si>
  <si>
    <t>Мутара Дрэйк</t>
  </si>
  <si>
    <t>Нимусса</t>
  </si>
  <si>
    <t>Орин</t>
  </si>
  <si>
    <t>Пасисса</t>
  </si>
  <si>
    <t>Пикедрам</t>
  </si>
  <si>
    <t>Пайра</t>
  </si>
  <si>
    <t>Рисса</t>
  </si>
  <si>
    <t>Росик</t>
  </si>
  <si>
    <t>Ryland (Rampart)</t>
  </si>
  <si>
    <t>Roland (Castle)</t>
  </si>
  <si>
    <t>Соня</t>
  </si>
  <si>
    <t>Соруг</t>
  </si>
  <si>
    <t>Септинна</t>
  </si>
  <si>
    <t>Сефинрот</t>
  </si>
  <si>
    <t>Сольмир</t>
  </si>
  <si>
    <t>Сэр Мюллич</t>
  </si>
  <si>
    <t>Теодорус</t>
  </si>
  <si>
    <t>Тирис</t>
  </si>
  <si>
    <t>Фиур</t>
  </si>
  <si>
    <t>Сийла</t>
  </si>
  <si>
    <t>Эльшар</t>
  </si>
  <si>
    <t>Атака страхом</t>
  </si>
  <si>
    <t>Приводящая в оцепенение атака</t>
  </si>
  <si>
    <t>Окаменяющая атака</t>
  </si>
  <si>
    <t>Ядовитый</t>
  </si>
  <si>
    <t>Отравляет ядом</t>
  </si>
  <si>
    <t>Отравление</t>
  </si>
  <si>
    <t>Удерживает врагов</t>
  </si>
  <si>
    <t>Приковывает врагов к месту где те стоят</t>
  </si>
  <si>
    <t>Путы</t>
  </si>
  <si>
    <t>Связывающие путы</t>
  </si>
  <si>
    <t>Зараза</t>
  </si>
  <si>
    <t>Заражает болезнью</t>
  </si>
  <si>
    <t>Парализующий яд</t>
  </si>
  <si>
    <t>Парализует ядом</t>
  </si>
  <si>
    <t>Парализующее жало</t>
  </si>
  <si>
    <t>Атака старит врага</t>
  </si>
  <si>
    <t>Высасывает жизнь</t>
  </si>
  <si>
    <t>Атакует облаком смерти</t>
  </si>
  <si>
    <t>Атака облаком смерти</t>
  </si>
  <si>
    <t>Стреляет облаком смерти</t>
  </si>
  <si>
    <t>Удар молнией</t>
  </si>
  <si>
    <t>Наносит удар молнией</t>
  </si>
  <si>
    <t>Бьёт молнией</t>
  </si>
  <si>
    <t>Нейтрализует лечебные заклинания</t>
  </si>
  <si>
    <t>Нейтрализует хорошие заклинания</t>
  </si>
  <si>
    <t>Снимает благоприятные заклинания</t>
  </si>
  <si>
    <t>Снимает полезные чары</t>
  </si>
  <si>
    <t>Смертоносный взгляд</t>
  </si>
  <si>
    <t>Плюёт кислотой</t>
  </si>
  <si>
    <t>Изрыгает кислоту</t>
  </si>
  <si>
    <t>Кража здоровья</t>
  </si>
  <si>
    <t>Атака огненным шаром</t>
  </si>
  <si>
    <t>Метает огненный шар</t>
  </si>
  <si>
    <t>Стреляет огненным шаром</t>
  </si>
  <si>
    <t>Создаёт демона из мёртвого союзника</t>
  </si>
  <si>
    <t>Создаёт демонов из мёртвых союзников</t>
  </si>
  <si>
    <t>Поднимает демонов из тел павших союзников</t>
  </si>
  <si>
    <t>Регенерируется</t>
  </si>
  <si>
    <t>Регенерирует</t>
  </si>
  <si>
    <t>Восстановление здоровья</t>
  </si>
  <si>
    <t>Высасывает ману врага</t>
  </si>
  <si>
    <t>Отнимает магическую энергию</t>
  </si>
  <si>
    <t>Магический канал</t>
  </si>
  <si>
    <t>Создаёт магический канал</t>
  </si>
  <si>
    <t>Кража магии</t>
  </si>
  <si>
    <t>Рудоносная шахта</t>
  </si>
  <si>
    <t>Рудная шахта</t>
  </si>
  <si>
    <t>Серный карьер</t>
  </si>
  <si>
    <t>Пещера кристалов</t>
  </si>
  <si>
    <t>Россыпь самоцветов</t>
  </si>
  <si>
    <t>Пруд драг. камней</t>
  </si>
  <si>
    <t>Золотоносная шахта</t>
  </si>
  <si>
    <t>Кристалл</t>
  </si>
  <si>
    <t>Драг камни</t>
  </si>
  <si>
    <t>Драгоценные камни</t>
  </si>
  <si>
    <t>Драг. камни</t>
  </si>
  <si>
    <t xml:space="preserve">Грязь </t>
  </si>
  <si>
    <t>Земля</t>
  </si>
  <si>
    <t xml:space="preserve">Трава </t>
  </si>
  <si>
    <t xml:space="preserve">Снег </t>
  </si>
  <si>
    <t xml:space="preserve">Болото </t>
  </si>
  <si>
    <t xml:space="preserve">Камни </t>
  </si>
  <si>
    <t>Подземный</t>
  </si>
  <si>
    <t xml:space="preserve">Лава </t>
  </si>
  <si>
    <t xml:space="preserve">Вода </t>
  </si>
  <si>
    <t>Вода</t>
  </si>
  <si>
    <t>Камни (пустота)</t>
  </si>
  <si>
    <t>Скалы</t>
  </si>
  <si>
    <t>Проклятые земли</t>
  </si>
  <si>
    <t>Равнина магов</t>
  </si>
  <si>
    <t>Волшебные равнины</t>
  </si>
  <si>
    <t>Огненная земля</t>
  </si>
  <si>
    <t>Прозрачные водоёмы</t>
  </si>
  <si>
    <t>Прозрачные пруды</t>
  </si>
  <si>
    <t>Волшебные облака</t>
  </si>
  <si>
    <t>Каменистая земля</t>
  </si>
  <si>
    <t>Скалистая земля</t>
  </si>
  <si>
    <t>Зловещая мгла</t>
  </si>
  <si>
    <t>Попутные ветры</t>
  </si>
  <si>
    <r>
      <rPr>
        <i/>
        <sz val="9"/>
        <rFont val="Arial"/>
        <family val="2"/>
        <charset val="204"/>
      </rPr>
      <t>*Цветной*</t>
    </r>
    <r>
      <rPr>
        <sz val="9"/>
        <rFont val="Arial"/>
        <family val="2"/>
        <charset val="204"/>
      </rPr>
      <t xml:space="preserve"> монолит входа / выхода</t>
    </r>
  </si>
  <si>
    <r>
      <rPr>
        <i/>
        <sz val="9"/>
        <rFont val="Arial"/>
        <family val="2"/>
        <charset val="204"/>
      </rPr>
      <t>*Цветной*</t>
    </r>
    <r>
      <rPr>
        <sz val="9"/>
        <rFont val="Arial"/>
        <family val="2"/>
        <charset val="204"/>
      </rPr>
      <t xml:space="preserve"> двухсторонний монолит</t>
    </r>
  </si>
  <si>
    <r>
      <rPr>
        <i/>
        <sz val="8"/>
        <rFont val="Arial Cyr"/>
        <charset val="204"/>
      </rPr>
      <t xml:space="preserve">(Основано на информации </t>
    </r>
    <r>
      <rPr>
        <b/>
        <i/>
        <sz val="8"/>
        <rFont val="Arial Cyr"/>
        <charset val="204"/>
      </rPr>
      <t xml:space="preserve">Typucm </t>
    </r>
    <r>
      <rPr>
        <i/>
        <sz val="8"/>
        <rFont val="Arial Cyr"/>
        <charset val="204"/>
      </rPr>
      <t>и</t>
    </r>
    <r>
      <rPr>
        <b/>
        <i/>
        <sz val="8"/>
        <rFont val="Arial Cyr"/>
        <charset val="204"/>
      </rPr>
      <t xml:space="preserve"> MaximusX</t>
    </r>
    <r>
      <rPr>
        <i/>
        <sz val="8"/>
        <rFont val="Arial Cyr"/>
        <charset val="204"/>
      </rPr>
      <t xml:space="preserve">, </t>
    </r>
    <r>
      <rPr>
        <i/>
        <u/>
        <sz val="8"/>
        <color rgb="FF362CFC"/>
        <rFont val="Arial Cyr"/>
        <charset val="204"/>
      </rPr>
      <t>forums.ag.ru</t>
    </r>
    <r>
      <rPr>
        <i/>
        <sz val="8"/>
        <rFont val="Arial Cyr"/>
        <charset val="204"/>
      </rPr>
      <t>)</t>
    </r>
  </si>
  <si>
    <t>Ценность</t>
  </si>
  <si>
    <t>Случайная кучка ресурсов</t>
  </si>
  <si>
    <t>Хижина провидца (существа 1 уровня)</t>
  </si>
  <si>
    <t>Свиток с заклинанием уровня 4</t>
  </si>
  <si>
    <t>Артефакт класса Второстепенный</t>
  </si>
  <si>
    <t>Звездное колесо</t>
  </si>
  <si>
    <t>Свиток с заклинанием уровня 5</t>
  </si>
  <si>
    <t>Тюрьма (герой с 5000 опыта)</t>
  </si>
  <si>
    <t>Ключник</t>
  </si>
  <si>
    <t>Ящик Пандоры (вся магия 1 уровня или 5000 золота)</t>
  </si>
  <si>
    <t>Хижина провидца (10000 золота или существа 2 уровня)</t>
  </si>
  <si>
    <t>Ящик Пандоры (5000 опыта)</t>
  </si>
  <si>
    <t>Кучка ртути</t>
  </si>
  <si>
    <t>Кучка серы</t>
  </si>
  <si>
    <t>Ящик Пандоры (вся магия 2 уровня)</t>
  </si>
  <si>
    <t>Кучка кристаллов</t>
  </si>
  <si>
    <t>Ящик Пандоры (существа 1 уровня)</t>
  </si>
  <si>
    <t>Кучка самоцветов</t>
  </si>
  <si>
    <t>Хижина провидца (существа 3 уровня)</t>
  </si>
  <si>
    <t>Свиток с заклинанием уровня 1</t>
  </si>
  <si>
    <t>Черный рынок</t>
  </si>
  <si>
    <t>Хижина провидца (5000 опыта или золота)</t>
  </si>
  <si>
    <t>Хижина провидца (15000 опыта или золота или существа 4 уровня)</t>
  </si>
  <si>
    <t>Артефакт класса Сокровище</t>
  </si>
  <si>
    <t>Артефакт класса Основной</t>
  </si>
  <si>
    <t>Тюрьма (герой с 0 опыта)</t>
  </si>
  <si>
    <t>Ящик Пандоры (10000 золота)</t>
  </si>
  <si>
    <t>Тюрьма (герой с 15000 опыта)</t>
  </si>
  <si>
    <t>Кучка золота</t>
  </si>
  <si>
    <t>Свиток с заклинанием уровня 2</t>
  </si>
  <si>
    <t>Склады циклопов, Нага банк</t>
  </si>
  <si>
    <t>Ящик Пандоры (10000 опыта или существа 2 уровня или вся магия 3 уровня)</t>
  </si>
  <si>
    <t>Ящик Пандоры (существа 3 уровня или 15000 золота)</t>
  </si>
  <si>
    <t>Кучка руды</t>
  </si>
  <si>
    <t>Кучка древесины</t>
  </si>
  <si>
    <t>Свиток с заклинанием уровня 3</t>
  </si>
  <si>
    <r>
      <t xml:space="preserve">Боевые артефакты </t>
    </r>
    <r>
      <rPr>
        <sz val="10"/>
        <color indexed="8"/>
        <rFont val="Arial"/>
        <family val="2"/>
        <charset val="204"/>
      </rPr>
      <t>- те артефакты, которые дают бонус герою в битвах.</t>
    </r>
  </si>
  <si>
    <r>
      <t>"Пижамы"</t>
    </r>
    <r>
      <rPr>
        <sz val="10"/>
        <color indexed="8"/>
        <rFont val="Arial"/>
        <family val="2"/>
        <charset val="204"/>
      </rPr>
      <t xml:space="preserve"> - артефакты, которые необходимо использовать перед завершением хода и убирать после наступления нового.</t>
    </r>
  </si>
  <si>
    <r>
      <t>Дух уныния</t>
    </r>
    <r>
      <rPr>
        <sz val="10"/>
        <color indexed="8"/>
        <rFont val="Arial"/>
        <family val="2"/>
        <charset val="204"/>
      </rPr>
      <t xml:space="preserve"> можно не брать в бой против нежити и элементалей.</t>
    </r>
  </si>
  <si>
    <r>
      <t>Колье отрицания</t>
    </r>
    <r>
      <rPr>
        <sz val="10"/>
        <color indexed="8"/>
        <rFont val="Arial"/>
        <family val="2"/>
        <charset val="204"/>
      </rPr>
      <t xml:space="preserve">, </t>
    </r>
    <r>
      <rPr>
        <b/>
        <sz val="10"/>
        <color indexed="8"/>
        <rFont val="Arial"/>
        <family val="2"/>
        <charset val="204"/>
      </rPr>
      <t xml:space="preserve">Мантия равновесия </t>
    </r>
    <r>
      <rPr>
        <sz val="10"/>
        <color indexed="8"/>
        <rFont val="Arial"/>
        <family val="2"/>
        <charset val="204"/>
      </rPr>
      <t>и</t>
    </r>
    <r>
      <rPr>
        <b/>
        <sz val="10"/>
        <color indexed="8"/>
        <rFont val="Arial"/>
        <family val="2"/>
        <charset val="204"/>
      </rPr>
      <t xml:space="preserve"> Сапоги противодействия</t>
    </r>
    <r>
      <rPr>
        <sz val="10"/>
        <color indexed="8"/>
        <rFont val="Arial"/>
        <family val="2"/>
        <charset val="204"/>
      </rPr>
      <t xml:space="preserve"> понадобятся герою только в битве против вражеских героев, имеющих Книгу заклинаний, и нейтралов, умеющих колдовать.</t>
    </r>
  </si>
  <si>
    <r>
      <t>Лук из вишнёвого дерева эльфов</t>
    </r>
    <r>
      <rPr>
        <sz val="10"/>
        <color indexed="8"/>
        <rFont val="Arial"/>
        <family val="2"/>
        <charset val="204"/>
      </rPr>
      <t xml:space="preserve">, </t>
    </r>
    <r>
      <rPr>
        <b/>
        <sz val="10"/>
        <color indexed="8"/>
        <rFont val="Arial"/>
        <family val="2"/>
        <charset val="204"/>
      </rPr>
      <t xml:space="preserve">Тетива из волоса гривы единорога </t>
    </r>
    <r>
      <rPr>
        <sz val="10"/>
        <color indexed="8"/>
        <rFont val="Arial"/>
        <family val="2"/>
        <charset val="204"/>
      </rPr>
      <t>и</t>
    </r>
    <r>
      <rPr>
        <b/>
        <sz val="10"/>
        <color indexed="8"/>
        <rFont val="Arial"/>
        <family val="2"/>
        <charset val="204"/>
      </rPr>
      <t xml:space="preserve"> Стрелы из ангельских перьев</t>
    </r>
    <r>
      <rPr>
        <sz val="10"/>
        <color indexed="8"/>
        <rFont val="Arial"/>
        <family val="2"/>
        <charset val="204"/>
      </rPr>
      <t xml:space="preserve"> будут давать бонус герою если у него есть навык Стрельба и стреляющие существа в армии.</t>
    </r>
  </si>
  <si>
    <r>
      <t>Птица познания</t>
    </r>
    <r>
      <rPr>
        <sz val="10"/>
        <color indexed="8"/>
        <rFont val="Arial"/>
        <family val="2"/>
        <charset val="204"/>
      </rPr>
      <t xml:space="preserve">, </t>
    </r>
    <r>
      <rPr>
        <b/>
        <sz val="10"/>
        <color indexed="8"/>
        <rFont val="Arial"/>
        <family val="2"/>
        <charset val="204"/>
      </rPr>
      <t xml:space="preserve">Бесстрашный хранитель </t>
    </r>
    <r>
      <rPr>
        <sz val="10"/>
        <color indexed="8"/>
        <rFont val="Arial"/>
        <family val="2"/>
        <charset val="204"/>
      </rPr>
      <t>и</t>
    </r>
    <r>
      <rPr>
        <b/>
        <sz val="10"/>
        <color indexed="8"/>
        <rFont val="Arial"/>
        <family val="2"/>
        <charset val="204"/>
      </rPr>
      <t xml:space="preserve"> Символ знаний</t>
    </r>
    <r>
      <rPr>
        <sz val="10"/>
        <color indexed="8"/>
        <rFont val="Arial"/>
        <family val="2"/>
        <charset val="204"/>
      </rPr>
      <t xml:space="preserve"> понадобятся герою только в битве против вражеских героев, имеющих Книгу заклинаний, они будут давать бонус герою если у него есть навык Зоркость, есть Книга заклинаний и есть ещё не выученные им заклинания.</t>
    </r>
  </si>
  <si>
    <r>
      <t>Магический ошейник</t>
    </r>
    <r>
      <rPr>
        <sz val="10"/>
        <color indexed="8"/>
        <rFont val="Arial"/>
        <family val="2"/>
        <charset val="204"/>
      </rPr>
      <t xml:space="preserve">, </t>
    </r>
    <r>
      <rPr>
        <b/>
        <sz val="10"/>
        <color indexed="8"/>
        <rFont val="Arial"/>
        <family val="2"/>
        <charset val="204"/>
      </rPr>
      <t xml:space="preserve">Магическое кольцо </t>
    </r>
    <r>
      <rPr>
        <sz val="10"/>
        <color indexed="8"/>
        <rFont val="Arial"/>
        <family val="2"/>
        <charset val="204"/>
      </rPr>
      <t>и</t>
    </r>
    <r>
      <rPr>
        <b/>
        <sz val="10"/>
        <color indexed="8"/>
        <rFont val="Arial"/>
        <family val="2"/>
        <charset val="204"/>
      </rPr>
      <t xml:space="preserve"> Магическая накидка</t>
    </r>
    <r>
      <rPr>
        <sz val="10"/>
        <color indexed="8"/>
        <rFont val="Arial"/>
        <family val="2"/>
        <charset val="204"/>
      </rPr>
      <t xml:space="preserve"> пригодятся только если вы планируете в бою пользоваться длительно действующими заклинаниями и/или у героя не достаточно силы магии, чтобы обеспечить их продолжительность.</t>
    </r>
  </si>
  <si>
    <r>
      <t>Шар постоянства</t>
    </r>
    <r>
      <rPr>
        <sz val="10"/>
        <color indexed="8"/>
        <rFont val="Arial"/>
        <family val="2"/>
        <charset val="204"/>
      </rPr>
      <t xml:space="preserve"> полезен в бою против Змиев и Стрекоз.</t>
    </r>
  </si>
  <si>
    <r>
      <t>Амулет маны</t>
    </r>
    <r>
      <rPr>
        <sz val="10"/>
        <color indexed="8"/>
        <rFont val="Arial"/>
        <family val="2"/>
        <charset val="204"/>
      </rPr>
      <t xml:space="preserve">, </t>
    </r>
    <r>
      <rPr>
        <b/>
        <sz val="10"/>
        <color indexed="8"/>
        <rFont val="Arial"/>
        <family val="2"/>
        <charset val="204"/>
      </rPr>
      <t>Талисман маны</t>
    </r>
    <r>
      <rPr>
        <sz val="10"/>
        <color indexed="8"/>
        <rFont val="Arial"/>
        <family val="2"/>
        <charset val="204"/>
      </rPr>
      <t>,</t>
    </r>
    <r>
      <rPr>
        <b/>
        <sz val="10"/>
        <color indexed="8"/>
        <rFont val="Arial"/>
        <family val="2"/>
        <charset val="204"/>
      </rPr>
      <t xml:space="preserve"> Магическая медаль маны</t>
    </r>
    <r>
      <rPr>
        <sz val="10"/>
        <color indexed="8"/>
        <rFont val="Arial"/>
        <family val="2"/>
        <charset val="204"/>
      </rPr>
      <t xml:space="preserve"> и </t>
    </r>
    <r>
      <rPr>
        <b/>
        <sz val="10"/>
        <color indexed="8"/>
        <rFont val="Arial"/>
        <family val="2"/>
        <charset val="204"/>
      </rPr>
      <t>Волшебный колодец</t>
    </r>
    <r>
      <rPr>
        <sz val="10"/>
        <color indexed="8"/>
        <rFont val="Arial"/>
        <family val="2"/>
        <charset val="204"/>
      </rPr>
      <t xml:space="preserve"> восстанавливают ману героя к началу нового дня.</t>
    </r>
  </si>
  <si>
    <r>
      <t>Плащ бесконечных кристаллов</t>
    </r>
    <r>
      <rPr>
        <sz val="10"/>
        <color indexed="8"/>
        <rFont val="Arial"/>
        <family val="2"/>
        <charset val="204"/>
      </rPr>
      <t xml:space="preserve">, </t>
    </r>
    <r>
      <rPr>
        <b/>
        <sz val="10"/>
        <color indexed="8"/>
        <rFont val="Arial"/>
        <family val="2"/>
        <charset val="204"/>
      </rPr>
      <t>Кольцо драгоценных камней</t>
    </r>
    <r>
      <rPr>
        <sz val="10"/>
        <color indexed="8"/>
        <rFont val="Arial"/>
        <family val="2"/>
        <charset val="204"/>
      </rPr>
      <t>,</t>
    </r>
    <r>
      <rPr>
        <b/>
        <sz val="10"/>
        <color indexed="8"/>
        <rFont val="Arial"/>
        <family val="2"/>
        <charset val="204"/>
      </rPr>
      <t xml:space="preserve"> Неиссякаемая склянка ртути</t>
    </r>
    <r>
      <rPr>
        <sz val="10"/>
        <color indexed="8"/>
        <rFont val="Arial"/>
        <family val="2"/>
        <charset val="204"/>
      </rPr>
      <t>,</t>
    </r>
    <r>
      <rPr>
        <b/>
        <sz val="10"/>
        <color indexed="8"/>
        <rFont val="Arial"/>
        <family val="2"/>
        <charset val="204"/>
      </rPr>
      <t xml:space="preserve"> Вечное кольцо серы</t>
    </r>
    <r>
      <rPr>
        <sz val="10"/>
        <color indexed="8"/>
        <rFont val="Arial"/>
        <family val="2"/>
        <charset val="204"/>
      </rPr>
      <t>,</t>
    </r>
    <r>
      <rPr>
        <b/>
        <sz val="10"/>
        <color indexed="8"/>
        <rFont val="Arial"/>
        <family val="2"/>
        <charset val="204"/>
      </rPr>
      <t xml:space="preserve"> Неистощимая подвода с рудой</t>
    </r>
    <r>
      <rPr>
        <sz val="10"/>
        <color indexed="8"/>
        <rFont val="Arial"/>
        <family val="2"/>
        <charset val="204"/>
      </rPr>
      <t>,</t>
    </r>
    <r>
      <rPr>
        <b/>
        <sz val="10"/>
        <color indexed="8"/>
        <rFont val="Arial"/>
        <family val="2"/>
        <charset val="204"/>
      </rPr>
      <t xml:space="preserve"> Неистощимая подвода леса</t>
    </r>
    <r>
      <rPr>
        <sz val="10"/>
        <color indexed="8"/>
        <rFont val="Arial"/>
        <family val="2"/>
        <charset val="204"/>
      </rPr>
      <t>,</t>
    </r>
    <r>
      <rPr>
        <b/>
        <sz val="10"/>
        <color indexed="8"/>
        <rFont val="Arial"/>
        <family val="2"/>
        <charset val="204"/>
      </rPr>
      <t xml:space="preserve"> Неистощимый мешок золота</t>
    </r>
    <r>
      <rPr>
        <sz val="10"/>
        <color indexed="8"/>
        <rFont val="Arial"/>
        <family val="2"/>
        <charset val="204"/>
      </rPr>
      <t>,</t>
    </r>
    <r>
      <rPr>
        <b/>
        <sz val="10"/>
        <color indexed="8"/>
        <rFont val="Arial"/>
        <family val="2"/>
        <charset val="204"/>
      </rPr>
      <t xml:space="preserve"> Неистощимая сума золота</t>
    </r>
    <r>
      <rPr>
        <sz val="10"/>
        <color indexed="8"/>
        <rFont val="Arial"/>
        <family val="2"/>
        <charset val="204"/>
      </rPr>
      <t>,</t>
    </r>
    <r>
      <rPr>
        <b/>
        <sz val="10"/>
        <color indexed="8"/>
        <rFont val="Arial"/>
        <family val="2"/>
        <charset val="204"/>
      </rPr>
      <t xml:space="preserve"> Неистощимая сумка золота</t>
    </r>
    <r>
      <rPr>
        <sz val="10"/>
        <color indexed="8"/>
        <rFont val="Arial"/>
        <family val="2"/>
        <charset val="204"/>
      </rPr>
      <t xml:space="preserve"> и </t>
    </r>
    <r>
      <rPr>
        <b/>
        <sz val="10"/>
        <color indexed="8"/>
        <rFont val="Arial"/>
        <family val="2"/>
        <charset val="204"/>
      </rPr>
      <t>Рог изобилия</t>
    </r>
    <r>
      <rPr>
        <sz val="10"/>
        <color indexed="8"/>
        <rFont val="Arial"/>
        <family val="2"/>
        <charset val="204"/>
      </rPr>
      <t xml:space="preserve"> добавляют ресурсы в казну королевства уже к началу вашего хода.</t>
    </r>
  </si>
  <si>
    <r>
      <t>Перчатки всадника</t>
    </r>
    <r>
      <rPr>
        <sz val="10"/>
        <color indexed="8"/>
        <rFont val="Arial"/>
        <family val="2"/>
        <charset val="204"/>
      </rPr>
      <t xml:space="preserve">, </t>
    </r>
    <r>
      <rPr>
        <b/>
        <sz val="10"/>
        <color indexed="8"/>
        <rFont val="Arial"/>
        <family val="2"/>
        <charset val="204"/>
      </rPr>
      <t>Сапоги скорости</t>
    </r>
    <r>
      <rPr>
        <sz val="10"/>
        <color indexed="8"/>
        <rFont val="Arial"/>
        <family val="2"/>
        <charset val="204"/>
      </rPr>
      <t>,</t>
    </r>
    <r>
      <rPr>
        <b/>
        <sz val="10"/>
        <color indexed="8"/>
        <rFont val="Arial"/>
        <family val="2"/>
        <charset val="204"/>
      </rPr>
      <t xml:space="preserve"> Ожерелье морского провидения</t>
    </r>
    <r>
      <rPr>
        <sz val="10"/>
        <color indexed="8"/>
        <rFont val="Arial"/>
        <family val="2"/>
        <charset val="204"/>
      </rPr>
      <t xml:space="preserve">, </t>
    </r>
    <r>
      <rPr>
        <b/>
        <sz val="10"/>
        <color indexed="8"/>
        <rFont val="Arial"/>
        <family val="2"/>
        <charset val="204"/>
      </rPr>
      <t>Шляпа морского капитана</t>
    </r>
    <r>
      <rPr>
        <sz val="10"/>
        <color indexed="8"/>
        <rFont val="Arial"/>
        <family val="2"/>
        <charset val="204"/>
      </rPr>
      <t xml:space="preserve"> и </t>
    </r>
    <r>
      <rPr>
        <b/>
        <sz val="10"/>
        <color indexed="8"/>
        <rFont val="Arial"/>
        <family val="2"/>
        <charset val="204"/>
      </rPr>
      <t>Шляпа адмирала</t>
    </r>
    <r>
      <rPr>
        <sz val="10"/>
        <color indexed="8"/>
        <rFont val="Arial"/>
        <family val="2"/>
        <charset val="204"/>
      </rPr>
      <t xml:space="preserve"> дают бонус к запасу хода героя в начале игрового дня. После их можно смело снимать с героя.</t>
    </r>
  </si>
  <si>
    <r>
      <t>Шляпа оратора</t>
    </r>
    <r>
      <rPr>
        <sz val="10"/>
        <color indexed="8"/>
        <rFont val="Arial"/>
        <family val="2"/>
        <charset val="204"/>
      </rPr>
      <t xml:space="preserve"> и </t>
    </r>
    <r>
      <rPr>
        <b/>
        <sz val="10"/>
        <color indexed="8"/>
        <rFont val="Arial"/>
        <family val="2"/>
        <charset val="204"/>
      </rPr>
      <t>Книги магии огня/воды/воздуха/земли</t>
    </r>
    <r>
      <rPr>
        <sz val="10"/>
        <color indexed="8"/>
        <rFont val="Arial"/>
        <family val="2"/>
        <charset val="204"/>
      </rPr>
      <t xml:space="preserve"> частично относятся в эту категорию, если вы их используете для возможности применения Двери измерений, Полёта, Хождения по воде и/или Городского портала.</t>
    </r>
  </si>
  <si>
    <t>Женоподобный мальчик. Его отец отдал всё, чтобы он стал одним из самых великих и могущественных Военных Лордов.</t>
  </si>
  <si>
    <t>fixed</t>
  </si>
  <si>
    <t>Каитлин, Енова, Аин, Октавия, Клавиус,                              Нагаш, Дамакон, Джелар, Гриндан</t>
  </si>
  <si>
    <r>
      <t xml:space="preserve">Зелёные, Золотые, Костяные, Призрачные, Красные, Чёрные, Сказочные, Ржавые, Кристаллические и Лазурные драконы получают </t>
    </r>
    <r>
      <rPr>
        <b/>
        <sz val="10"/>
        <rFont val="Arial Cyr"/>
        <charset val="204"/>
      </rPr>
      <t>+5</t>
    </r>
    <r>
      <rPr>
        <sz val="10"/>
        <rFont val="Arial Cyr"/>
        <charset val="204"/>
      </rPr>
      <t xml:space="preserve"> к атаке и к защите.</t>
    </r>
  </si>
  <si>
    <r>
      <t xml:space="preserve">Дьяволы и Архидьяволы получают </t>
    </r>
    <r>
      <rPr>
        <b/>
        <sz val="10"/>
        <rFont val="Arial Cyr"/>
        <charset val="204"/>
      </rPr>
      <t>+4</t>
    </r>
    <r>
      <rPr>
        <sz val="10"/>
        <rFont val="Arial Cyr"/>
        <charset val="204"/>
      </rPr>
      <t xml:space="preserve"> к атаке, </t>
    </r>
    <r>
      <rPr>
        <b/>
        <sz val="10"/>
        <rFont val="Arial Cyr"/>
        <charset val="204"/>
      </rPr>
      <t>+2</t>
    </r>
    <r>
      <rPr>
        <sz val="10"/>
        <rFont val="Arial Cyr"/>
        <charset val="204"/>
      </rPr>
      <t xml:space="preserve"> к защите и </t>
    </r>
    <r>
      <rPr>
        <b/>
        <sz val="10"/>
        <rFont val="Arial Cyr"/>
        <charset val="204"/>
      </rPr>
      <t>+1</t>
    </r>
    <r>
      <rPr>
        <sz val="10"/>
        <rFont val="Arial Cyr"/>
        <charset val="204"/>
      </rPr>
      <t xml:space="preserve"> к скорости.</t>
    </r>
  </si>
  <si>
    <r>
      <t xml:space="preserve">Психические и Магические элементали получают </t>
    </r>
    <r>
      <rPr>
        <b/>
        <sz val="10"/>
        <rFont val="Arial Cyr"/>
        <charset val="204"/>
      </rPr>
      <t>+3</t>
    </r>
    <r>
      <rPr>
        <sz val="10"/>
        <rFont val="Arial Cyr"/>
        <charset val="204"/>
      </rPr>
      <t xml:space="preserve"> к атаке и к защите.</t>
    </r>
  </si>
  <si>
    <r>
      <t xml:space="preserve">Джелу может в любое время </t>
    </r>
    <r>
      <rPr>
        <b/>
        <sz val="10"/>
        <rFont val="Arial Cyr"/>
        <charset val="204"/>
      </rPr>
      <t>улучшать</t>
    </r>
    <r>
      <rPr>
        <sz val="10"/>
        <rFont val="Arial Cyr"/>
        <charset val="204"/>
      </rPr>
      <t xml:space="preserve"> Арбалетчиков, Стрелков, Лесных и Великих эльфов в Снайперов за 300, 250, 200 и 175 золота соответственно.</t>
    </r>
  </si>
  <si>
    <r>
      <t xml:space="preserve">Дракон может в любое время </t>
    </r>
    <r>
      <rPr>
        <b/>
        <sz val="10"/>
        <rFont val="Arial Cyr"/>
        <charset val="204"/>
      </rPr>
      <t>улучшать</t>
    </r>
    <r>
      <rPr>
        <sz val="10"/>
        <rFont val="Arial Cyr"/>
        <charset val="204"/>
      </rPr>
      <t xml:space="preserve"> Магов, Архимагов, Монахов и Фанатиков в Чародеев за 400, 300, 350 и 300 золота соответственно</t>
    </r>
  </si>
  <si>
    <r>
      <t xml:space="preserve">Черные рыцари и Рыцари смерти получают </t>
    </r>
    <r>
      <rPr>
        <b/>
        <sz val="10"/>
        <rFont val="Arial Cyr"/>
        <charset val="204"/>
      </rPr>
      <t>+10</t>
    </r>
    <r>
      <rPr>
        <sz val="10"/>
        <rFont val="Arial Cyr"/>
        <charset val="204"/>
      </rPr>
      <t xml:space="preserve"> к урону, </t>
    </r>
    <r>
      <rPr>
        <b/>
        <sz val="10"/>
        <rFont val="Arial Cyr"/>
        <charset val="204"/>
      </rPr>
      <t>+5</t>
    </r>
    <r>
      <rPr>
        <sz val="10"/>
        <rFont val="Arial Cyr"/>
        <charset val="204"/>
      </rPr>
      <t xml:space="preserve"> к атаке и к защите.</t>
    </r>
  </si>
  <si>
    <r>
      <t xml:space="preserve">Чудища и Древние чудища получают </t>
    </r>
    <r>
      <rPr>
        <b/>
        <sz val="10"/>
        <rFont val="Arial Cyr"/>
        <charset val="204"/>
      </rPr>
      <t>+10</t>
    </r>
    <r>
      <rPr>
        <sz val="10"/>
        <rFont val="Arial Cyr"/>
        <charset val="204"/>
      </rPr>
      <t xml:space="preserve"> к урону, </t>
    </r>
    <r>
      <rPr>
        <b/>
        <sz val="10"/>
        <rFont val="Arial Cyr"/>
        <charset val="204"/>
      </rPr>
      <t>+5</t>
    </r>
    <r>
      <rPr>
        <sz val="10"/>
        <rFont val="Arial Cyr"/>
        <charset val="204"/>
      </rPr>
      <t xml:space="preserve"> к атаке и к защите.</t>
    </r>
  </si>
  <si>
    <r>
      <t xml:space="preserve">Элементали воды и Ледяные элементали получают </t>
    </r>
    <r>
      <rPr>
        <b/>
        <sz val="10"/>
        <rFont val="Arial Cyr"/>
        <charset val="204"/>
      </rPr>
      <t>+2</t>
    </r>
    <r>
      <rPr>
        <sz val="10"/>
        <rFont val="Arial Cyr"/>
        <charset val="204"/>
      </rPr>
      <t xml:space="preserve"> к атаке.</t>
    </r>
  </si>
  <si>
    <r>
      <t xml:space="preserve">Элементали земли и Магмовые элементали получают </t>
    </r>
    <r>
      <rPr>
        <b/>
        <sz val="10"/>
        <rFont val="Arial Cyr"/>
        <charset val="204"/>
      </rPr>
      <t>+2</t>
    </r>
    <r>
      <rPr>
        <sz val="10"/>
        <rFont val="Arial Cyr"/>
        <charset val="204"/>
      </rPr>
      <t xml:space="preserve"> к атаке, </t>
    </r>
    <r>
      <rPr>
        <b/>
        <sz val="10"/>
        <rFont val="Arial Cyr"/>
        <charset val="204"/>
      </rPr>
      <t>+1</t>
    </r>
    <r>
      <rPr>
        <sz val="10"/>
        <rFont val="Arial Cyr"/>
        <charset val="204"/>
      </rPr>
      <t xml:space="preserve"> к защите и </t>
    </r>
    <r>
      <rPr>
        <b/>
        <sz val="10"/>
        <rFont val="Arial Cyr"/>
        <charset val="204"/>
      </rPr>
      <t>+5</t>
    </r>
    <r>
      <rPr>
        <sz val="10"/>
        <rFont val="Arial Cyr"/>
        <charset val="204"/>
      </rPr>
      <t xml:space="preserve"> к урону.</t>
    </r>
  </si>
  <si>
    <r>
      <t xml:space="preserve">Элементали огня и Энергетические элементали получают </t>
    </r>
    <r>
      <rPr>
        <b/>
        <sz val="10"/>
        <rFont val="Arial Cyr"/>
        <charset val="204"/>
      </rPr>
      <t>+1</t>
    </r>
    <r>
      <rPr>
        <sz val="10"/>
        <rFont val="Arial Cyr"/>
        <charset val="204"/>
      </rPr>
      <t xml:space="preserve"> к атаке, </t>
    </r>
    <r>
      <rPr>
        <b/>
        <sz val="10"/>
        <rFont val="Arial Cyr"/>
        <charset val="204"/>
      </rPr>
      <t>+2</t>
    </r>
    <r>
      <rPr>
        <sz val="10"/>
        <rFont val="Arial Cyr"/>
        <charset val="204"/>
      </rPr>
      <t xml:space="preserve"> к защите и к урону.</t>
    </r>
  </si>
  <si>
    <t>Существа героя не имеют сопротивления, кроме Гномов,          Боевых гномов и Кристаллических драконов.</t>
  </si>
  <si>
    <r>
      <rPr>
        <b/>
        <sz val="9"/>
        <rFont val="Arial"/>
        <family val="2"/>
        <charset val="204"/>
      </rPr>
      <t>Внимание!</t>
    </r>
    <r>
      <rPr>
        <sz val="9"/>
        <rFont val="Arial"/>
        <family val="2"/>
        <charset val="204"/>
      </rPr>
      <t xml:space="preserve"> Если вторичный навык Тактика имеется как у нападающего, так и у защищающегося героя, то тактические бонусы сокращаются.
</t>
    </r>
    <r>
      <rPr>
        <b/>
        <sz val="9"/>
        <rFont val="Arial"/>
        <family val="2"/>
        <charset val="204"/>
      </rPr>
      <t>Базовая Тактика</t>
    </r>
    <r>
      <rPr>
        <sz val="9"/>
        <rFont val="Arial"/>
        <family val="2"/>
        <charset val="204"/>
      </rPr>
      <t xml:space="preserve"> у вашего героя:
-Если противник имеет навык Тактики, то игрок не сможет расставить существ перед боем.                   </t>
    </r>
    <r>
      <rPr>
        <b/>
        <sz val="9"/>
        <rFont val="Arial"/>
        <family val="2"/>
        <charset val="204"/>
      </rPr>
      <t>Продвинутая Тактика</t>
    </r>
    <r>
      <rPr>
        <sz val="9"/>
        <rFont val="Arial"/>
        <family val="2"/>
        <charset val="204"/>
      </rPr>
      <t xml:space="preserve"> у вашего героя:                                                                                                                                -Если противник имеет Базовую Тактику, то игрок сможет расставить существ перед боем в области 3 рядов клеток (как при Базовой Тактике).
-Если противник имеет Продвинутую или Экспертную Тактику, то игрок не сможет расставить существ перед боем.                                                                                                                                                                  </t>
    </r>
    <r>
      <rPr>
        <b/>
        <sz val="9"/>
        <rFont val="Arial"/>
        <family val="2"/>
        <charset val="204"/>
      </rPr>
      <t>Экспертная Тактика</t>
    </r>
    <r>
      <rPr>
        <sz val="9"/>
        <rFont val="Arial"/>
        <family val="2"/>
        <charset val="204"/>
      </rPr>
      <t xml:space="preserve"> у вашего героя:                                                                                                                                             -Если противник имеет Базовую Тактику, то игрок сможет расставить существ перед боем в области 5 рядов клеток (как при Продвинутой Тактике).
-Если противник имеет Продвинутую Тактику, то игрок сможет расставить существ перед боем в области 3 клеток (как при Базовой Тактике).
-Если противник имеет Экспертную Тактику, то игрок не сможет расставить существ перед боем.   </t>
    </r>
    <r>
      <rPr>
        <i/>
        <sz val="9"/>
        <rFont val="Arial"/>
        <family val="2"/>
        <charset val="204"/>
      </rPr>
      <t xml:space="preserve">(Добавил </t>
    </r>
    <r>
      <rPr>
        <b/>
        <i/>
        <sz val="9"/>
        <rFont val="Arial"/>
        <family val="2"/>
        <charset val="204"/>
      </rPr>
      <t>Kluka</t>
    </r>
    <r>
      <rPr>
        <i/>
        <sz val="9"/>
        <rFont val="Arial"/>
        <family val="2"/>
        <charset val="204"/>
      </rPr>
      <t xml:space="preserve">, </t>
    </r>
    <r>
      <rPr>
        <i/>
        <u/>
        <sz val="9"/>
        <color rgb="FF0033CC"/>
        <rFont val="Arial"/>
        <family val="2"/>
        <charset val="204"/>
      </rPr>
      <t>www.heroesworld.ru</t>
    </r>
    <r>
      <rPr>
        <i/>
        <sz val="9"/>
        <rFont val="Arial"/>
        <family val="2"/>
        <charset val="204"/>
      </rPr>
      <t>)</t>
    </r>
  </si>
  <si>
    <r>
      <t xml:space="preserve">* MP - очки хода героя в день. Синим цветом выделены значения, имеющие непостоянное значение, зависящее от стартовой армии. Жирным шрифтом выделены лидеры скорости на старте в своем классе.                                                                                                  Существует зависимость стартового запаса MP героя от скорости самого медленного существа в его стартовой армии. Иногда герой на старте имеет не все возможные отряды существ. Однако стартовый запас MP определяют существа, появление которых могло быть </t>
    </r>
    <r>
      <rPr>
        <i/>
        <sz val="10"/>
        <rFont val="Arial"/>
        <family val="2"/>
        <charset val="204"/>
      </rPr>
      <t xml:space="preserve">(Тестирование скорости провел и предоставил </t>
    </r>
    <r>
      <rPr>
        <b/>
        <i/>
        <sz val="10"/>
        <rFont val="Arial"/>
        <family val="2"/>
        <charset val="204"/>
      </rPr>
      <t>Ataman</t>
    </r>
    <r>
      <rPr>
        <i/>
        <sz val="10"/>
        <rFont val="Arial"/>
        <family val="2"/>
        <charset val="204"/>
      </rPr>
      <t xml:space="preserve">, </t>
    </r>
    <r>
      <rPr>
        <i/>
        <u/>
        <sz val="10"/>
        <color indexed="12"/>
        <rFont val="Arial"/>
        <family val="2"/>
        <charset val="204"/>
      </rPr>
      <t>heroesworld.ru</t>
    </r>
    <r>
      <rPr>
        <i/>
        <sz val="10"/>
        <rFont val="Arial"/>
        <family val="2"/>
        <charset val="204"/>
      </rPr>
      <t>).</t>
    </r>
  </si>
  <si>
    <t>-Ксирон и Ксарфакс - единственные герои, которые не могут колдовать своё профильное заклинание с начала игры.</t>
  </si>
  <si>
    <r>
      <t>Это интересно!                                                                                                                                                                                                                -</t>
    </r>
    <r>
      <rPr>
        <sz val="10"/>
        <rFont val="Arial"/>
        <family val="2"/>
        <charset val="204"/>
      </rPr>
      <t>Торосар - единственный специалист по Баллисте, который не имеет на старте навыка Артиллерии</t>
    </r>
    <r>
      <rPr>
        <i/>
        <sz val="10"/>
        <rFont val="Arial"/>
        <family val="2"/>
        <charset val="204"/>
      </rPr>
      <t xml:space="preserve"> (Добавил </t>
    </r>
    <r>
      <rPr>
        <b/>
        <i/>
        <sz val="10"/>
        <rFont val="Arial"/>
        <family val="2"/>
        <charset val="204"/>
      </rPr>
      <t>ThatOne</t>
    </r>
    <r>
      <rPr>
        <i/>
        <sz val="10"/>
        <rFont val="Arial"/>
        <family val="2"/>
        <charset val="204"/>
      </rPr>
      <t xml:space="preserve">, </t>
    </r>
    <r>
      <rPr>
        <i/>
        <u/>
        <sz val="10"/>
        <color rgb="FF0033CC"/>
        <rFont val="Arial"/>
        <family val="2"/>
        <charset val="204"/>
      </rPr>
      <t>forums.ag.ru</t>
    </r>
    <r>
      <rPr>
        <i/>
        <sz val="10"/>
        <rFont val="Arial"/>
        <family val="2"/>
        <charset val="204"/>
      </rPr>
      <t>).</t>
    </r>
  </si>
  <si>
    <t>-Шакти имеет самую дорогостоящую максимальную стартовую армию.</t>
  </si>
  <si>
    <t>-Монер имеет самый большой стартовый запас очков хода (МР).</t>
  </si>
  <si>
    <t>-Адриэн имеет Экспертную Магию огня в качестве стартового вторичного навыка.</t>
  </si>
  <si>
    <t>Рыцарь                      смерти</t>
  </si>
  <si>
    <t>Черно-                  книжник</t>
  </si>
  <si>
    <t>Хозяин          зверей</t>
  </si>
  <si>
    <t>Путешест-   венник</t>
  </si>
  <si>
    <r>
      <t xml:space="preserve">(Составлено с использованием материалов </t>
    </r>
    <r>
      <rPr>
        <b/>
        <i/>
        <sz val="8"/>
        <rFont val="Arial"/>
        <family val="2"/>
        <charset val="204"/>
      </rPr>
      <t>Роман Мельник</t>
    </r>
    <r>
      <rPr>
        <i/>
        <sz val="8"/>
        <rFont val="Arial"/>
        <family val="2"/>
        <charset val="204"/>
      </rPr>
      <t xml:space="preserve">, </t>
    </r>
    <r>
      <rPr>
        <i/>
        <u/>
        <sz val="8"/>
        <color indexed="12"/>
        <rFont val="Arial"/>
        <family val="2"/>
        <charset val="204"/>
      </rPr>
      <t>vk.com</t>
    </r>
    <r>
      <rPr>
        <i/>
        <sz val="8"/>
        <rFont val="Arial"/>
        <family val="2"/>
        <charset val="204"/>
      </rPr>
      <t>).</t>
    </r>
  </si>
  <si>
    <t>Нельзя вызывать других элементалей после вызова Элементалей огня.</t>
  </si>
  <si>
    <t>Герой должен находиться рядом с водой. Дружественная лодка - неиспользовавшаяся ранее лодка или лодка из которой последним высадился дружественный герой. Максимум лодок на карте равен 64.</t>
  </si>
  <si>
    <t>Нельзя вызывать других элементалей после вызова Элементалей воды.</t>
  </si>
  <si>
    <t>Нельзя вызывать других элементалей после вызова Элементалей земли.</t>
  </si>
  <si>
    <t>Нельзя вызывать других элементалей после вызова Элементалей воздуха.</t>
  </si>
  <si>
    <r>
      <t xml:space="preserve">Это интересно! </t>
    </r>
    <r>
      <rPr>
        <sz val="10"/>
        <rFont val="Arial"/>
        <family val="2"/>
        <charset val="204"/>
      </rPr>
      <t xml:space="preserve">Для специалиста по Волшебству формула расчета урона от Грома титана будет выглядеть следующим образом:
             </t>
    </r>
    <r>
      <rPr>
        <b/>
        <sz val="10"/>
        <rFont val="Arial"/>
        <family val="2"/>
        <charset val="204"/>
      </rPr>
      <t>Урон = 600 * [1 + k (1 +  N * 0,05)] * Сф</t>
    </r>
    <r>
      <rPr>
        <sz val="10"/>
        <rFont val="Arial"/>
        <family val="2"/>
        <charset val="204"/>
      </rPr>
      <t xml:space="preserve">, 
где  k=0,05, если герой имеет Базовое Волшебство;
       k=0,1 для Продвинутого Волшебства;
       k=0,15 для Экспертного Волшебства;
       N - уровень героя;
       Сф - модификатор, который равен 1, если герой не 
            имеет Сферу небесного свода и 1,5 - если имеет. 
Если принять во внимание, что максимальный уровень героя считается равным 108, то в случае, если герой имеет Сферу небесного свода, то урон будет равен 1764 единиц. </t>
    </r>
    <r>
      <rPr>
        <i/>
        <sz val="10"/>
        <rFont val="Arial"/>
        <family val="2"/>
        <charset val="204"/>
      </rPr>
      <t xml:space="preserve">(Предоставил </t>
    </r>
    <r>
      <rPr>
        <b/>
        <i/>
        <sz val="10"/>
        <rFont val="Arial"/>
        <family val="2"/>
        <charset val="204"/>
      </rPr>
      <t>Wight</t>
    </r>
    <r>
      <rPr>
        <i/>
        <sz val="10"/>
        <rFont val="Arial"/>
        <family val="2"/>
        <charset val="204"/>
      </rPr>
      <t xml:space="preserve">, </t>
    </r>
    <r>
      <rPr>
        <i/>
        <u/>
        <sz val="10"/>
        <color rgb="FF0033CC"/>
        <rFont val="Arial"/>
        <family val="2"/>
        <charset val="204"/>
      </rPr>
      <t>heroesportal.net</t>
    </r>
    <r>
      <rPr>
        <i/>
        <sz val="10"/>
        <rFont val="Arial"/>
        <family val="2"/>
        <charset val="204"/>
      </rPr>
      <t>)</t>
    </r>
  </si>
  <si>
    <r>
      <rPr>
        <b/>
        <sz val="9"/>
        <rFont val="Arial Cyr"/>
        <charset val="204"/>
      </rPr>
      <t>AI Value</t>
    </r>
    <r>
      <rPr>
        <sz val="9"/>
        <rFont val="Arial Cyr"/>
        <charset val="204"/>
      </rPr>
      <t xml:space="preserve"> - Ценность существа с точки зрения ИИ </t>
    </r>
    <r>
      <rPr>
        <i/>
        <sz val="9"/>
        <rFont val="Arial Cyr"/>
        <charset val="204"/>
      </rPr>
      <t xml:space="preserve">(Добавил </t>
    </r>
    <r>
      <rPr>
        <b/>
        <i/>
        <sz val="9"/>
        <rFont val="Arial Cyr"/>
        <charset val="204"/>
      </rPr>
      <t>Zoog,</t>
    </r>
    <r>
      <rPr>
        <i/>
        <sz val="9"/>
        <rFont val="Arial Cyr"/>
        <charset val="204"/>
      </rPr>
      <t xml:space="preserve"> </t>
    </r>
    <r>
      <rPr>
        <i/>
        <u/>
        <sz val="9"/>
        <color rgb="FF0033CC"/>
        <rFont val="Arial Cyr"/>
        <charset val="204"/>
      </rPr>
      <t>forum.heroesworld.ru</t>
    </r>
    <r>
      <rPr>
        <i/>
        <sz val="9"/>
        <rFont val="Arial Cyr"/>
        <charset val="204"/>
      </rPr>
      <t>).</t>
    </r>
  </si>
  <si>
    <t>Уровень нейтральных драконов проверен действием заклинания Благословление, которое у Адели зависит от уровня существа - все драконы в игре считываются как существа 7-го уровня.</t>
  </si>
  <si>
    <t>Единорог /               Боевой единорог</t>
  </si>
  <si>
    <t>Медуза /             Королева медуз</t>
  </si>
  <si>
    <t>Змий /                               Стрекоза</t>
  </si>
  <si>
    <t>Василиск /              Великий василиск</t>
  </si>
  <si>
    <t>Ангел /                         Архангел</t>
  </si>
  <si>
    <t>Дьявол /              Архидьявол</t>
  </si>
  <si>
    <t>Далее приведена таблица условных групп существ и их особенностей по версии FizMiG.</t>
  </si>
  <si>
    <t>Рог бездны</t>
  </si>
  <si>
    <t>Количество существ                   в отряде</t>
  </si>
  <si>
    <t>минимум</t>
  </si>
  <si>
    <t>максимум</t>
  </si>
  <si>
    <t>среднее</t>
  </si>
  <si>
    <t>Грааль *</t>
  </si>
  <si>
    <t>* Грааль в игре можно обменять на одну единицу любого ресурса или на один золотой.</t>
  </si>
  <si>
    <r>
      <rPr>
        <i/>
        <sz val="8"/>
        <rFont val="Arial Cyr"/>
        <charset val="204"/>
      </rPr>
      <t xml:space="preserve">(Составлено совместно с </t>
    </r>
    <r>
      <rPr>
        <b/>
        <i/>
        <sz val="8"/>
        <rFont val="Arial Cyr"/>
        <charset val="204"/>
      </rPr>
      <t>Александр Ивко</t>
    </r>
    <r>
      <rPr>
        <i/>
        <sz val="8"/>
        <rFont val="Arial Cyr"/>
        <charset val="204"/>
      </rPr>
      <t xml:space="preserve">, </t>
    </r>
    <r>
      <rPr>
        <i/>
        <u/>
        <sz val="8"/>
        <color rgb="FF0033CC"/>
        <rFont val="Arial Cyr"/>
        <charset val="204"/>
      </rPr>
      <t>vk.com</t>
    </r>
    <r>
      <rPr>
        <i/>
        <sz val="8"/>
        <rFont val="Arial Cyr"/>
        <charset val="204"/>
      </rPr>
      <t>).</t>
    </r>
  </si>
  <si>
    <r>
      <rPr>
        <i/>
        <sz val="8"/>
        <rFont val="Arial Cyr"/>
        <charset val="204"/>
      </rPr>
      <t xml:space="preserve">(Составлено на основе материалов </t>
    </r>
    <r>
      <rPr>
        <b/>
        <i/>
        <sz val="8"/>
        <rFont val="Arial Cyr"/>
        <charset val="204"/>
      </rPr>
      <t>Sav</t>
    </r>
    <r>
      <rPr>
        <i/>
        <sz val="8"/>
        <rFont val="Arial Cyr"/>
        <charset val="204"/>
      </rPr>
      <t xml:space="preserve">, </t>
    </r>
    <r>
      <rPr>
        <i/>
        <u/>
        <sz val="8"/>
        <color rgb="FF0033CC"/>
        <rFont val="Arial Cyr"/>
        <charset val="204"/>
      </rPr>
      <t>forum.df2.ru</t>
    </r>
    <r>
      <rPr>
        <i/>
        <sz val="8"/>
        <rFont val="Arial Cyr"/>
        <charset val="204"/>
      </rPr>
      <t>).</t>
    </r>
  </si>
  <si>
    <t>*Модификатора базового урона (если защита превышает атаку);</t>
  </si>
  <si>
    <t>Таблица Гипноза (продолжение).</t>
  </si>
  <si>
    <t>Таблица Гипноза (завершение).</t>
  </si>
  <si>
    <t>Таблица Гипноза (начало).</t>
  </si>
  <si>
    <r>
      <t xml:space="preserve">Сторожевой пост </t>
    </r>
    <r>
      <rPr>
        <sz val="8"/>
        <rFont val="Arial"/>
        <family val="2"/>
        <charset val="204"/>
      </rPr>
      <t>(Караульное помещение)</t>
    </r>
  </si>
  <si>
    <r>
      <t xml:space="preserve">Ипподром </t>
    </r>
    <r>
      <rPr>
        <sz val="8"/>
        <rFont val="Arial"/>
        <family val="2"/>
        <charset val="204"/>
      </rPr>
      <t>(Тренировочная площадка)</t>
    </r>
  </si>
  <si>
    <r>
      <t xml:space="preserve">Часовня безмолвия </t>
    </r>
    <r>
      <rPr>
        <sz val="8"/>
        <rFont val="Arial"/>
        <family val="2"/>
        <charset val="204"/>
      </rPr>
      <t>(Капелла мёртвых голосов)</t>
    </r>
  </si>
  <si>
    <r>
      <t xml:space="preserve">(Поиск экстремумов, а также расчет повышения первичных навыков произвел и предоставил </t>
    </r>
    <r>
      <rPr>
        <b/>
        <i/>
        <sz val="9"/>
        <color indexed="8"/>
        <rFont val="Arial"/>
        <family val="2"/>
        <charset val="204"/>
      </rPr>
      <t>Demyan</t>
    </r>
    <r>
      <rPr>
        <i/>
        <sz val="9"/>
        <color indexed="8"/>
        <rFont val="Arial"/>
        <family val="2"/>
        <charset val="204"/>
      </rPr>
      <t xml:space="preserve">, </t>
    </r>
    <r>
      <rPr>
        <i/>
        <u/>
        <sz val="9"/>
        <color indexed="12"/>
        <rFont val="Arial"/>
        <family val="2"/>
        <charset val="204"/>
      </rPr>
      <t>heroesportal.net</t>
    </r>
    <r>
      <rPr>
        <i/>
        <sz val="9"/>
        <rFont val="Arial"/>
        <family val="2"/>
        <charset val="204"/>
      </rPr>
      <t>).</t>
    </r>
  </si>
  <si>
    <t>Лич /                       Могущественный лич</t>
  </si>
  <si>
    <t>Цифрами обозначен "приоритет взаимодействия" нейтралов.</t>
  </si>
  <si>
    <t>- Ночные передвижения            запрещены</t>
  </si>
  <si>
    <t>Посещение разграбленной Могилы воина: Боевой дух героя -3 на ближайшую битву.</t>
  </si>
  <si>
    <r>
      <t>Элементаль. Окружающий удар - При атаке элементаль наносит урон цели и всем вражеским существам вокруг себя в радиусе 1 клетки. Безответность - цель атаки не отвечает на удар. Урон против Магических элементалей и Чёрных драконов -50% (</t>
    </r>
    <r>
      <rPr>
        <i/>
        <sz val="10"/>
        <rFont val="Arial"/>
        <family val="2"/>
        <charset val="204"/>
      </rPr>
      <t xml:space="preserve">Добавил </t>
    </r>
    <r>
      <rPr>
        <b/>
        <i/>
        <sz val="10"/>
        <rFont val="Arial"/>
        <family val="2"/>
        <charset val="204"/>
      </rPr>
      <t>SAG19330184</t>
    </r>
    <r>
      <rPr>
        <i/>
        <sz val="10"/>
        <rFont val="Arial"/>
        <family val="2"/>
        <charset val="204"/>
      </rPr>
      <t xml:space="preserve">, </t>
    </r>
    <r>
      <rPr>
        <i/>
        <u/>
        <sz val="10"/>
        <color rgb="FF0033CC"/>
        <rFont val="Arial"/>
        <family val="2"/>
        <charset val="204"/>
      </rPr>
      <t>forum.df2.ru</t>
    </r>
    <r>
      <rPr>
        <sz val="10"/>
        <rFont val="Arial"/>
        <family val="2"/>
        <charset val="204"/>
      </rPr>
      <t>). Защита от любой магии, кроме Огненного щита Султана-ифрита и Смертельного взгляда Могучей горгоны.</t>
    </r>
  </si>
  <si>
    <t>Рейтинги всех существ.</t>
  </si>
  <si>
    <t>УРОВЕНЬ 1</t>
  </si>
  <si>
    <t>Мин.урон</t>
  </si>
  <si>
    <t>%</t>
  </si>
  <si>
    <t>Макс.урон</t>
  </si>
  <si>
    <t>Рейтинг</t>
  </si>
  <si>
    <t>СРЕДНЕЕ:</t>
  </si>
  <si>
    <t>УРОВЕНЬ 1+</t>
  </si>
  <si>
    <t>УРОВЕНЬ 2</t>
  </si>
  <si>
    <t>УРОВЕНЬ 2+</t>
  </si>
  <si>
    <t>УРОВЕНЬ 3</t>
  </si>
  <si>
    <t>УРОВЕНЬ 3+</t>
  </si>
  <si>
    <t>УРОВЕНЬ 4</t>
  </si>
  <si>
    <t>УРОВЕНЬ 4+</t>
  </si>
  <si>
    <t>УРОВЕНЬ 5</t>
  </si>
  <si>
    <t>УРОВЕНЬ 5+</t>
  </si>
  <si>
    <t>УРОВЕНЬ 6</t>
  </si>
  <si>
    <t>УРОВЕНЬ 6+</t>
  </si>
  <si>
    <t>УРОВЕНЬ 7</t>
  </si>
  <si>
    <t>УРОВЕНЬ 7+</t>
  </si>
  <si>
    <t>СРЕДНИЙ РЕЙТИНГ ГОРОДОВ</t>
  </si>
  <si>
    <t>Примечания</t>
  </si>
  <si>
    <t>При наличии Чародейства ценность - 4</t>
  </si>
  <si>
    <t>При наличии Чародейства ценность - 6</t>
  </si>
  <si>
    <t>При наличии Чародейства ценность - 3</t>
  </si>
  <si>
    <r>
      <t xml:space="preserve">Специализация усиливает свойства Первой помощи на 5% за каждый уровень героя. Формула расчёта силы лечения Палатки первой помощи: </t>
    </r>
    <r>
      <rPr>
        <b/>
        <sz val="10"/>
        <rFont val="Arial Cyr"/>
        <charset val="204"/>
      </rPr>
      <t>k*(1+0,05*N)</t>
    </r>
    <r>
      <rPr>
        <sz val="10"/>
        <rFont val="Arial Cyr"/>
        <charset val="204"/>
      </rPr>
      <t xml:space="preserve">,
где N - уровень героя, k=1...50 ед.здоровья (выбирается случайное число из диапазона) для базового уровня Первой помощи;
      k=1...75 для продвинутого уровня Первой помощи;
      k=1...100 для экспертного уровня Первой помощи.
Максимальное количество очков здоровья, которые может восстановить Палатка первой помощи за один раз составляет 640 единиц.                                                                                                                                                   </t>
    </r>
    <r>
      <rPr>
        <b/>
        <sz val="10"/>
        <rFont val="Arial Cyr"/>
        <charset val="204"/>
      </rPr>
      <t>Внимание!</t>
    </r>
    <r>
      <rPr>
        <sz val="10"/>
        <rFont val="Arial Cyr"/>
        <charset val="204"/>
      </rPr>
      <t xml:space="preserve"> Специализация не работает без навыка Первая помощь, даже если герой имеет Палатку.</t>
    </r>
  </si>
  <si>
    <r>
      <t>Телескоп</t>
    </r>
    <r>
      <rPr>
        <sz val="10"/>
        <color indexed="8"/>
        <rFont val="Arial"/>
        <family val="2"/>
        <charset val="204"/>
      </rPr>
      <t xml:space="preserve"> и </t>
    </r>
    <r>
      <rPr>
        <b/>
        <sz val="10"/>
        <color indexed="8"/>
        <rFont val="Arial"/>
        <family val="2"/>
        <charset val="204"/>
      </rPr>
      <t>Подзорная труба</t>
    </r>
    <r>
      <rPr>
        <sz val="10"/>
        <color indexed="8"/>
        <rFont val="Arial"/>
        <family val="2"/>
        <charset val="204"/>
      </rPr>
      <t xml:space="preserve"> открывают дополнительную территорию при движении героя.</t>
    </r>
  </si>
  <si>
    <r>
      <t>Амулет гробовщика</t>
    </r>
    <r>
      <rPr>
        <sz val="10"/>
        <color indexed="8"/>
        <rFont val="Arial"/>
        <family val="2"/>
        <charset val="204"/>
      </rPr>
      <t xml:space="preserve">, </t>
    </r>
    <r>
      <rPr>
        <b/>
        <sz val="10"/>
        <color indexed="8"/>
        <rFont val="Arial"/>
        <family val="2"/>
        <charset val="204"/>
      </rPr>
      <t>Мантия вампира</t>
    </r>
    <r>
      <rPr>
        <sz val="10"/>
        <color indexed="8"/>
        <rFont val="Arial"/>
        <family val="2"/>
        <charset val="204"/>
      </rPr>
      <t>,</t>
    </r>
    <r>
      <rPr>
        <b/>
        <sz val="10"/>
        <color indexed="8"/>
        <rFont val="Arial"/>
        <family val="2"/>
        <charset val="204"/>
      </rPr>
      <t xml:space="preserve"> Сапоги мертвеца</t>
    </r>
    <r>
      <rPr>
        <sz val="10"/>
        <color indexed="8"/>
        <rFont val="Arial"/>
        <family val="2"/>
        <charset val="204"/>
      </rPr>
      <t xml:space="preserve"> и </t>
    </r>
    <r>
      <rPr>
        <b/>
        <sz val="10"/>
        <color indexed="8"/>
        <rFont val="Arial"/>
        <family val="2"/>
        <charset val="204"/>
      </rPr>
      <t>Плащ короля нечисти</t>
    </r>
    <r>
      <rPr>
        <sz val="10"/>
        <color indexed="8"/>
        <rFont val="Arial"/>
        <family val="2"/>
        <charset val="204"/>
      </rPr>
      <t xml:space="preserve"> действуют по окончанию битвы, если у героя имеется навык Чародейство и место в армии для поднимаемых существ.</t>
    </r>
  </si>
  <si>
    <t xml:space="preserve">     На игровой карте приключений существует множество объектов. Чтобы запомнить свойства каждого из них необходимо провести не один час в игре. Но помимо свойств, некоторые объекты имеют свои особенности посещения:</t>
  </si>
  <si>
    <t>Сторожевой пост, Башня грифонов, Казармы, Монастырь, Ипподром, Портал славы, Конюшни кентавров, Зачарованный ручей, Арка дендроидов, Драконьи скалы, Мастерская, Парапет, Фабрика големов, Башня магов, Алтарь желаний, Золотой павильон, Заоблачный храм, Котёл бесов, Псарни, Врата демонов, Провал, Покинутый дворец, Проклятый храм, Кладбище, Мавзолей, Дворец тьмы, Загон, Чердак гарпий, Часовня безмолвия, Логово мантикор, Казармы гоблинов, Волчий загон, Башня орков, Форт огров, Гнездо на скале, Пещера циклопов, Утёс чудищ, Хижина гноллов, Логово ящеров, Улей змиев, Яма василиска, Логово горгон, Волшебный фонарь, Алтарь мыслей, Погребальный костёр, Серная берлога, Ложбина чародеев, Башня на дереве, Алтарь воздуха.</t>
  </si>
  <si>
    <t>Алтарь земли, Алтарь огня, Алтарь воды, Лужайка единорогов (малая), Замороженный утёс, Кристаллическая пещера, Волшебный лес, Тростниковая лачуга, Сарай, Кабанья лощина, Палатка кочевников, Убежище воров, Мост троллей.</t>
  </si>
  <si>
    <r>
      <t xml:space="preserve">Внимание! </t>
    </r>
    <r>
      <rPr>
        <sz val="9"/>
        <rFont val="Arial"/>
        <family val="2"/>
        <charset val="204"/>
      </rPr>
      <t xml:space="preserve">Волшебное зеркало отражает только заклинания, колдуемые героями под управлением человека. Заклинания ИИ-героев не подлежат перенаправлению. Однако ИИ при расчёте ценности колдовства героем учитывает Волшебное зеркало на цели, и желание колдовать на отряд, защищённый Волшебным зеркалом, у него значительно падает (в частности, если шанс отражения заклинания равен 50%, то ценность колдовства на такой отряд ИИ приравнивает к 0), несмотря на то, что при колдовстве героя ИИ зеркало никогда не сработает </t>
    </r>
    <r>
      <rPr>
        <i/>
        <sz val="9"/>
        <rFont val="Arial"/>
        <family val="2"/>
        <charset val="204"/>
      </rPr>
      <t xml:space="preserve">(Информация </t>
    </r>
    <r>
      <rPr>
        <b/>
        <i/>
        <sz val="9"/>
        <rFont val="Arial"/>
        <family val="2"/>
        <charset val="204"/>
      </rPr>
      <t>Sav</t>
    </r>
    <r>
      <rPr>
        <i/>
        <sz val="9"/>
        <rFont val="Arial"/>
        <family val="2"/>
        <charset val="204"/>
      </rPr>
      <t xml:space="preserve">, </t>
    </r>
    <r>
      <rPr>
        <i/>
        <u/>
        <sz val="9"/>
        <color rgb="FF0033CC"/>
        <rFont val="Arial"/>
        <family val="2"/>
        <charset val="204"/>
      </rPr>
      <t>forum.df2.ru</t>
    </r>
    <r>
      <rPr>
        <i/>
        <sz val="9"/>
        <rFont val="Arial"/>
        <family val="2"/>
        <charset val="204"/>
      </rPr>
      <t>)</t>
    </r>
    <r>
      <rPr>
        <sz val="9"/>
        <rFont val="Arial"/>
        <family val="2"/>
        <charset val="204"/>
      </rPr>
      <t>.</t>
    </r>
  </si>
  <si>
    <r>
      <t>Медаль дипломата</t>
    </r>
    <r>
      <rPr>
        <sz val="10"/>
        <color indexed="8"/>
        <rFont val="Arial"/>
        <family val="2"/>
        <charset val="204"/>
      </rPr>
      <t xml:space="preserve">, </t>
    </r>
    <r>
      <rPr>
        <b/>
        <sz val="10"/>
        <color indexed="8"/>
        <rFont val="Arial"/>
        <family val="2"/>
        <charset val="204"/>
      </rPr>
      <t xml:space="preserve">Кольцо дипломата </t>
    </r>
    <r>
      <rPr>
        <sz val="10"/>
        <color indexed="8"/>
        <rFont val="Arial"/>
        <family val="2"/>
        <charset val="204"/>
      </rPr>
      <t>и</t>
    </r>
    <r>
      <rPr>
        <b/>
        <sz val="10"/>
        <color indexed="8"/>
        <rFont val="Arial"/>
        <family val="2"/>
        <charset val="204"/>
      </rPr>
      <t xml:space="preserve"> Лента посла</t>
    </r>
    <r>
      <rPr>
        <sz val="10"/>
        <color indexed="8"/>
        <rFont val="Arial"/>
        <family val="2"/>
        <charset val="204"/>
      </rPr>
      <t xml:space="preserve"> могут пригодится только в битве против вражеского героя, если есть вероятность, что вам придётся отступать с поля боя. При этом ни у вас, ни у противника не должно быть Оков войны.</t>
    </r>
  </si>
  <si>
    <r>
      <t>Шляпа морского капитана</t>
    </r>
    <r>
      <rPr>
        <sz val="10"/>
        <color indexed="8"/>
        <rFont val="Arial"/>
        <family val="2"/>
        <charset val="204"/>
      </rPr>
      <t xml:space="preserve"> и </t>
    </r>
    <r>
      <rPr>
        <b/>
        <sz val="10"/>
        <color indexed="8"/>
        <rFont val="Arial"/>
        <family val="2"/>
        <charset val="204"/>
      </rPr>
      <t>Шляпа адмирала</t>
    </r>
    <r>
      <rPr>
        <sz val="10"/>
        <color indexed="8"/>
        <rFont val="Arial"/>
        <family val="2"/>
        <charset val="204"/>
      </rPr>
      <t xml:space="preserve"> частично относятся в эту категорию, так как дают герою заклинания Вызова и Затопления корабля, а также защищают от потерь войск (если их больше 1) при прохождении через Водоворот. Шляпа адмирала также позволяет не тратить ход при посадке и высадке с корабля.</t>
    </r>
  </si>
  <si>
    <r>
      <t xml:space="preserve">Крылья ангела </t>
    </r>
    <r>
      <rPr>
        <sz val="10"/>
        <color indexed="8"/>
        <rFont val="Arial"/>
        <family val="2"/>
        <charset val="204"/>
      </rPr>
      <t xml:space="preserve">и </t>
    </r>
    <r>
      <rPr>
        <b/>
        <sz val="10"/>
        <color indexed="8"/>
        <rFont val="Arial"/>
        <family val="2"/>
        <charset val="204"/>
      </rPr>
      <t xml:space="preserve">Сапоги левитации </t>
    </r>
    <r>
      <rPr>
        <sz val="10"/>
        <color indexed="8"/>
        <rFont val="Arial"/>
        <family val="2"/>
        <charset val="204"/>
      </rPr>
      <t>позволяют герою ходить через преграды и воду. Крылья ангела также убирают штраф за движение по "медленной" территории.</t>
    </r>
  </si>
  <si>
    <t>!!! Герой не встаёт на точку входа (на ней появляется нанимаемый герой).</t>
  </si>
  <si>
    <t>!!! Объект исчезает после посеще-ния, если посещена Палатка ключника или выполнено задание.</t>
  </si>
  <si>
    <t>Нет разницы как направлять героя при атаке нейтральных существ. В любом случае контакт произойдёт на ближней к герою клетке карты и потратится соответствующее количество очков движения. Если бой окончился в пользу героя, то он останется на той же клетке, а отряд нейтралов исчезнет.</t>
  </si>
  <si>
    <t>Запрещает использовать в бою заклинания выше 2 уровня. В бою защищает всех существ на поле боя от мин Башни.</t>
  </si>
  <si>
    <t xml:space="preserve">   FizMiG © 2006-2016, vk.com/fizmig</t>
  </si>
  <si>
    <r>
      <t xml:space="preserve">Физика Мира Героев v.2.3                               </t>
    </r>
    <r>
      <rPr>
        <b/>
        <sz val="10"/>
        <color indexed="12"/>
        <rFont val="Arial"/>
        <family val="2"/>
        <charset val="204"/>
      </rPr>
      <t xml:space="preserve"> </t>
    </r>
    <r>
      <rPr>
        <b/>
        <sz val="14"/>
        <color indexed="12"/>
        <rFont val="Arial"/>
        <family val="2"/>
        <charset val="204"/>
      </rPr>
      <t xml:space="preserve"> </t>
    </r>
    <r>
      <rPr>
        <b/>
        <sz val="8"/>
        <color indexed="22"/>
        <rFont val="Arial"/>
        <family val="2"/>
        <charset val="204"/>
      </rPr>
      <t>FizMiG</t>
    </r>
    <r>
      <rPr>
        <sz val="8"/>
        <color indexed="22"/>
        <rFont val="Arial"/>
        <family val="2"/>
        <charset val="204"/>
      </rPr>
      <t xml:space="preserve"> © AmberSoler</t>
    </r>
  </si>
  <si>
    <r>
      <t xml:space="preserve">Содержание                                                                            </t>
    </r>
    <r>
      <rPr>
        <sz val="8"/>
        <color theme="0" tint="-0.249977111117893"/>
        <rFont val="Arial"/>
        <family val="2"/>
        <charset val="204"/>
      </rPr>
      <t xml:space="preserve">2006-2016, </t>
    </r>
    <r>
      <rPr>
        <b/>
        <sz val="8"/>
        <color theme="0" tint="-0.249977111117893"/>
        <rFont val="Arial"/>
        <family val="2"/>
        <charset val="204"/>
      </rPr>
      <t>vk.com/fizmig</t>
    </r>
  </si>
  <si>
    <r>
      <t xml:space="preserve">Специализация усиливает свойства Мистицизма на 5% за каждый уровень героя. Формула расчёта количества восстанавливаемой маны в день: </t>
    </r>
    <r>
      <rPr>
        <b/>
        <sz val="10"/>
        <rFont val="Arial Cyr"/>
        <charset val="204"/>
      </rPr>
      <t>1+k*(1+0,05*N)</t>
    </r>
    <r>
      <rPr>
        <sz val="10"/>
        <rFont val="Arial Cyr"/>
        <charset val="204"/>
      </rPr>
      <t>,
где N - уровень героя, k=2 для базового уровня Мистицизма;
      k=3 для продвинутого уровня Мистицизма;
      k=4 для экспертного уровня Мистицизма. Округление вниз.
Максимальное количество восстанавливаемой маны в день может составлять 26 единиц, а при наличии Амулета, Талисмана и Магической медали маны - 32 единицы.</t>
    </r>
  </si>
  <si>
    <t>Жёлтые - войска героя (задняя часть, если существа двуклеточные); Красная - Скелеты/ Ж.мертвецы/Вампиры/Вампиры; Чёрная - Скелеты; Синяя - Скелеты/Скелеты/Никого/ Никого; Фиолетовая - Ж.мертвецы; Оранжевая - Ж.мертвецы/Стражи/Стражи/Стражи.</t>
  </si>
  <si>
    <t>new</t>
  </si>
  <si>
    <t>Калькулятор демонологии.</t>
  </si>
  <si>
    <t>Кол-во существ в жертвуемом отряде:</t>
  </si>
  <si>
    <t>Количество Демонов, которых призовут Адские отродья из данного отряда:</t>
  </si>
  <si>
    <t>Количество Демонов, которых может призвать данный отряд Адских отродий:</t>
  </si>
  <si>
    <t>Количество Демонов, которых можно призвать из данного отряда-жертвы:</t>
  </si>
  <si>
    <t>Количество существ в жертвуемом отряде, необходимое для максимального призыва:</t>
  </si>
  <si>
    <t>Количество Адских отродий, необходимое для максимального призыва из данного отряда-жертвы:</t>
  </si>
  <si>
    <t>Кольцо жизненной силы:</t>
  </si>
  <si>
    <t>Кольцо жизни:</t>
  </si>
  <si>
    <t>Склянка жизненной силы:</t>
  </si>
  <si>
    <t>Эликсир жизни:</t>
  </si>
  <si>
    <t>да</t>
  </si>
  <si>
    <t>Снижение здоровья жертвуемого отряда:</t>
  </si>
  <si>
    <t>Дополнительное здоровье для существ из жертвуемого отряда от артефактов:</t>
  </si>
  <si>
    <t>Количество Адских отродий в отряде:</t>
  </si>
  <si>
    <r>
      <t xml:space="preserve">Здесь будут отображены результаты расчёта по </t>
    </r>
    <r>
      <rPr>
        <b/>
        <i/>
        <sz val="10"/>
        <rFont val="Arial"/>
        <family val="2"/>
        <charset val="204"/>
      </rPr>
      <t>увеличению эффективности</t>
    </r>
    <r>
      <rPr>
        <i/>
        <sz val="10"/>
        <rFont val="Arial"/>
        <family val="2"/>
        <charset val="204"/>
      </rPr>
      <t xml:space="preserve"> демонологии:</t>
    </r>
  </si>
  <si>
    <r>
      <t xml:space="preserve">Выберите существо-жертву </t>
    </r>
    <r>
      <rPr>
        <b/>
        <sz val="10"/>
        <rFont val="Arial"/>
        <family val="2"/>
        <charset val="204"/>
      </rPr>
      <t>из списка</t>
    </r>
    <r>
      <rPr>
        <sz val="10"/>
        <rFont val="Arial"/>
        <family val="2"/>
        <charset val="204"/>
      </rPr>
      <t>:</t>
    </r>
  </si>
  <si>
    <t>Выберите % снижения здоровья:</t>
  </si>
  <si>
    <t>VII</t>
  </si>
  <si>
    <t>VIII</t>
  </si>
  <si>
    <t>1.1</t>
  </si>
  <si>
    <t>1.5</t>
  </si>
  <si>
    <t>1.9</t>
  </si>
  <si>
    <t>2.2</t>
  </si>
  <si>
    <t>3.3.1</t>
  </si>
  <si>
    <t>3.3.2</t>
  </si>
  <si>
    <t>4.3</t>
  </si>
  <si>
    <t>4.5</t>
  </si>
  <si>
    <t>4.6</t>
  </si>
  <si>
    <t>4.7</t>
  </si>
  <si>
    <t>Основы сражений, захвата сокровищниц и городов. Порядок ходов.</t>
  </si>
  <si>
    <t>5.1</t>
  </si>
  <si>
    <t>5.3</t>
  </si>
  <si>
    <t>7.2</t>
  </si>
  <si>
    <t>7.8</t>
  </si>
  <si>
    <t>7.9</t>
  </si>
  <si>
    <t>7.10</t>
  </si>
  <si>
    <t>8.3</t>
  </si>
  <si>
    <t>8.4</t>
  </si>
  <si>
    <t>8.5</t>
  </si>
  <si>
    <t>Генератор случайных карт. Шаблоны.</t>
  </si>
  <si>
    <t>1. Первым делом надо раздобыть оригинальный файл Rmg.txt. Его можно извлечь из файла h3bitmap.lod с помощью утилиты Magic Extractor или просто скачать отсюда: http://heroes.ag.ru/h3/rmg/Rmg.txt</t>
  </si>
  <si>
    <t>2. Теперь файл Rmg.txt надо отредактировать в любом текстовом редакторе (хоть в стандартном "блокноте", хоть с помощью более удобной утилиты TextEdit). Проще всего удалять шаблоны: для этого удалите строчку с названием шаблона и все лежащие ниже строчки с переменными этого шаблона. Таким образом можно, например, удалить все шаблоны, кроме одного, "любимого": тогда всякий раз вы будете играть как бы на знакомой, но все же "новой" карте (топология все время одна, а "наполнение" разное). Второй пример: именно так и создают подходящие для турниров наборы шаблонов, устраняя "плохие" или "неудобные" шаблоны.</t>
  </si>
  <si>
    <t>3. Осталось только скопировать модифицированный файл Rmg.txt в папку /data/ установленных "Героев".</t>
  </si>
  <si>
    <t>Примеры и описание некоторых шаблонов:</t>
  </si>
  <si>
    <t>УСЛОВНЫЕ ОБОЗНАЧЕНИЯ:</t>
  </si>
  <si>
    <t>Зона без города</t>
  </si>
  <si>
    <t>Зона с городом без Форта</t>
  </si>
  <si>
    <t>Зона с городом с Фортом</t>
  </si>
  <si>
    <t>Лучшая по наполнению объектами зона</t>
  </si>
  <si>
    <t>Слабая охрана объектов в данной зоне</t>
  </si>
  <si>
    <t>Средняя охрана объектов в данной зоне</t>
  </si>
  <si>
    <t>Сильная охрана объектов в данной зоне</t>
  </si>
  <si>
    <t>Проход между зонами. Сильная охрана (Сила=45000)</t>
  </si>
  <si>
    <t>Проход между зонами.        Сила охраны = 1000 * X</t>
  </si>
  <si>
    <t>2 прохода между зонами. Охрана одинаковая по силе</t>
  </si>
  <si>
    <t>Проход между зонами. Средняя охрана (Сила=6000)</t>
  </si>
  <si>
    <t>Проход между зонами.  Слабая охрана (Сила=3000)</t>
  </si>
  <si>
    <t>ШАБЛОН 2SM4d</t>
  </si>
  <si>
    <r>
      <t xml:space="preserve">(Основано на информации </t>
    </r>
    <r>
      <rPr>
        <b/>
        <i/>
        <sz val="8"/>
        <rFont val="Arial Cyr"/>
        <charset val="204"/>
      </rPr>
      <t>MaximusX</t>
    </r>
    <r>
      <rPr>
        <i/>
        <sz val="8"/>
        <rFont val="Arial Cyr"/>
        <charset val="204"/>
      </rPr>
      <t xml:space="preserve">, </t>
    </r>
    <r>
      <rPr>
        <i/>
        <u/>
        <sz val="8"/>
        <color rgb="FF362CFC"/>
        <rFont val="Arial Cyr"/>
        <charset val="204"/>
      </rPr>
      <t>heroes.ag.ru</t>
    </r>
    <r>
      <rPr>
        <i/>
        <sz val="8"/>
        <rFont val="Arial Cyr"/>
        <charset val="204"/>
      </rPr>
      <t>)</t>
    </r>
  </si>
  <si>
    <t>1,2,4,6,7,8 - много [500-3000], средне [3000-6000], мало [10000-15000]</t>
  </si>
  <si>
    <t>3,5,9,10 - много [3000-6000], средне [10000-15000], мало [15000-20000]</t>
  </si>
  <si>
    <t xml:space="preserve">1, 2 - определяется типом города в этой зоне </t>
  </si>
  <si>
    <t>3-10 - случайный</t>
  </si>
  <si>
    <t xml:space="preserve">     Симметричный, а значит и справедливый шаблон! Хорошо подходит для игры 1х1. Всего 2 города с фортом и оба стартовые, остальные - деревни. Отстройка деревень затруднительна, ввиду наличия на карте всего двух пар шахт дерева и руды.</t>
  </si>
  <si>
    <t xml:space="preserve">     Здесь стартовые зоны красного (1) и синего (2) игроков соединены проходом, сильно охраняемым нейтральными монстрами (толстая линия). На территорию противника можно также опасть через буферные зоны 8 и 4, проход к которым охраняется слабыми отрядами монстром (тонкая соединительная линия).   Ресурсы возле зоны указывают, шахты какого типа имеются в данной зоне и т.д.</t>
  </si>
  <si>
    <t xml:space="preserve">     Начинка зон:</t>
  </si>
  <si>
    <r>
      <rPr>
        <b/>
        <sz val="10"/>
        <color theme="1"/>
        <rFont val="Arial"/>
        <family val="2"/>
        <charset val="204"/>
      </rPr>
      <t xml:space="preserve">     Оптимальный размер карты:</t>
    </r>
    <r>
      <rPr>
        <sz val="10"/>
        <color theme="1"/>
        <rFont val="Arial"/>
        <family val="2"/>
        <charset val="204"/>
      </rPr>
      <t xml:space="preserve"> L или L+U</t>
    </r>
  </si>
  <si>
    <t xml:space="preserve">     Ландшафт зон: </t>
  </si>
  <si>
    <r>
      <rPr>
        <b/>
        <sz val="10"/>
        <color theme="1"/>
        <rFont val="Arial"/>
        <family val="2"/>
        <charset val="204"/>
      </rPr>
      <t xml:space="preserve">     Города:</t>
    </r>
    <r>
      <rPr>
        <sz val="10"/>
        <color theme="1"/>
        <rFont val="Arial"/>
        <family val="2"/>
        <charset val="204"/>
      </rPr>
      <t xml:space="preserve"> Любые</t>
    </r>
  </si>
  <si>
    <r>
      <rPr>
        <b/>
        <sz val="10"/>
        <color theme="1"/>
        <rFont val="Arial"/>
        <family val="2"/>
        <charset val="204"/>
      </rPr>
      <t xml:space="preserve">     Нейтральные монстры:</t>
    </r>
    <r>
      <rPr>
        <sz val="10"/>
        <color theme="1"/>
        <rFont val="Arial"/>
        <family val="2"/>
        <charset val="204"/>
      </rPr>
      <t xml:space="preserve"> Любые</t>
    </r>
  </si>
  <si>
    <t>ШАБЛОН 2SM4d(2)</t>
  </si>
  <si>
    <t>ШАБЛОН 2SM4d(3)</t>
  </si>
  <si>
    <t xml:space="preserve">1,2,4,6,7,8 - много [500-3000], средне [3000-6000], мало [10000-15000] </t>
  </si>
  <si>
    <t>3,5,9,10 - много [10000-15000], средне [15000-20000], мало [20000-30000]</t>
  </si>
  <si>
    <t>ШАБЛОН 8MM6</t>
  </si>
  <si>
    <t>[1-8],15,16,[19-22],25,26 - много [500-3000], средне [3000-6000], мало [10000-15000]</t>
  </si>
  <si>
    <t>[9-14],17,18,23,24 - много [3000-6000], средне [10000-15000], мало [15000-20000]</t>
  </si>
  <si>
    <r>
      <rPr>
        <b/>
        <sz val="10"/>
        <color theme="1"/>
        <rFont val="Arial"/>
        <family val="2"/>
        <charset val="204"/>
      </rPr>
      <t xml:space="preserve">     Оптимальный размер карты:</t>
    </r>
    <r>
      <rPr>
        <sz val="10"/>
        <color theme="1"/>
        <rFont val="Arial"/>
        <family val="2"/>
        <charset val="204"/>
      </rPr>
      <t xml:space="preserve"> XL или XL+U</t>
    </r>
  </si>
  <si>
    <t>1-8 - определяется типом города в этой зоне</t>
  </si>
  <si>
    <t xml:space="preserve">     Недостатки шаблона:</t>
  </si>
  <si>
    <t>2. Шахты разбросаны по зонам неравномерно. В миниквадрате первого игрока заметно обилие шахт серы и ртути, но до кристаллов/самоцветов далеко, да и то нужно угадать правильно направление (19 -&gt; 11 или 19 -&gt;12, которые ничем не отличаются). Игра красным за города, где основной ресурс кристаллы/самоцветы усложняется, поэтому надеяться остается только на сокровищницы. Для синего игрока аналогичная ситуация, только наоборот.</t>
  </si>
  <si>
    <t>1. Красный в отличие от 7-ми остальных стартует с шахтой ртути.</t>
  </si>
  <si>
    <t>3. Непонятно зачем было так выделять зоны 17, 18, 23, 24, когда наполняются они также как и зоны [9-14], да и проход в них в 2 раза сильнее охраняется. Возможно значимость последних нужно было занизить, чтобы вкусности (утопии в частности) можно было найти только в зонах 17, 18, 23, 24</t>
  </si>
  <si>
    <t>ШАБЛОН 8XM12</t>
  </si>
  <si>
    <t>[1-8] и [21-32] - много [500-3000], средне [3000-6000], мало [10000-15000]</t>
  </si>
  <si>
    <t xml:space="preserve">9-20 - много [3000-6000], средне [10000-15000], мало [15000-20000] </t>
  </si>
  <si>
    <t>33 - много [10000-15000], средне [15000-20000], мало [20000-30000]</t>
  </si>
  <si>
    <r>
      <rPr>
        <b/>
        <sz val="10"/>
        <color theme="1"/>
        <rFont val="Arial"/>
        <family val="2"/>
        <charset val="204"/>
      </rPr>
      <t xml:space="preserve">     Оптимальный размер карты:</t>
    </r>
    <r>
      <rPr>
        <sz val="10"/>
        <color theme="1"/>
        <rFont val="Arial"/>
        <family val="2"/>
        <charset val="204"/>
      </rPr>
      <t xml:space="preserve"> XL+U</t>
    </r>
  </si>
  <si>
    <t xml:space="preserve">1-20 - определяется типом города в этой зоне </t>
  </si>
  <si>
    <t>21-33 - случайный</t>
  </si>
  <si>
    <t>9-26 - случайный</t>
  </si>
  <si>
    <t>1. Не удачный шаблон для игры без воды. Размера ХL c подземельем для него маловато, т.к. много зон (всего 33), очень много связей между ними (всего 68!). Из-за этого нередки ошибки генерации: некоторые зоны могут быть в "каменных мешках", т.е. не иметь связей с другими зонами.</t>
  </si>
  <si>
    <t>2. Вероятно шаблон задумывался как островной. Если генерировать карту с нормальным количеством воды, генератор в качестве некоторых связей использует Верфи.</t>
  </si>
  <si>
    <t>ШАБЛОН 4SM0d</t>
  </si>
  <si>
    <t>1-4 - много [500-3000], средне [3000-6000], мало [10000-15000]</t>
  </si>
  <si>
    <t>5-9 - много [10000-15000], средне [15000-20000], мало [20000-30000]</t>
  </si>
  <si>
    <t>1-4 - определяется типом города в этой зоне</t>
  </si>
  <si>
    <t>5-9 - случайный</t>
  </si>
  <si>
    <t>250+</t>
  </si>
  <si>
    <t>500+</t>
  </si>
  <si>
    <t>750+</t>
  </si>
  <si>
    <t>1000+</t>
  </si>
  <si>
    <t>100-450, 750-950, 1125-1150</t>
  </si>
  <si>
    <t>1400+</t>
  </si>
  <si>
    <t>1500+</t>
  </si>
  <si>
    <t>2000+</t>
  </si>
  <si>
    <t>2500+</t>
  </si>
  <si>
    <t>3000+</t>
  </si>
  <si>
    <t>3500+</t>
  </si>
  <si>
    <t>4000+</t>
  </si>
  <si>
    <t>5000+</t>
  </si>
  <si>
    <t>5500+</t>
  </si>
  <si>
    <t>6500+</t>
  </si>
  <si>
    <t>7500+</t>
  </si>
  <si>
    <t>9000+</t>
  </si>
  <si>
    <t>10000+</t>
  </si>
  <si>
    <t>11000+</t>
  </si>
  <si>
    <t>12000+</t>
  </si>
  <si>
    <t>13000+</t>
  </si>
  <si>
    <t>Генератор случайных карт. Основы генерации карт.</t>
  </si>
  <si>
    <t xml:space="preserve">     Базовое понятия для всех шаблонов – это зона. Под зоной понимается территория карты с одинаковой местностью (трава, снег, болото и т.д.). Размер каждой зоны ограничен. Для каждой зоны в rmg.txt указывается, какие шахты будут находиться в ней, диапазон и плотность различных объектов игровой карты.</t>
  </si>
  <si>
    <t xml:space="preserve">     Основные понятия ГСК.</t>
  </si>
  <si>
    <t xml:space="preserve">     При создании случайной карты генератор случайных карт (ГСК или RMG – Random Map Generator) основывается на информации из файла rmg.txt, который находится в одном из ресурсных файлов игры. В этом файле содержатся описания всех шаблонов. Один шаблон представляет собой набор правил для генерации карты (кол-во городов, связи между городами, сила монстров, виды и кол-во объектов на карте и т.п.). По одному шаблону генерируются карты одного типа, по другому, соответственно, другие. Каждый раз при генерации карты условно произвольным образом выбирается шаблон из этого файла. «Условно», означает, что учитываются только те шаблоны, которые удовлетворяют стартовым настройкам, устанавливаемым в игре перед генерацией произвольной карты (кол-во игроков, размер карты).</t>
  </si>
  <si>
    <t xml:space="preserve">     Для каждой зоны в файле rmg.txt прописываются не конкретные объекты, а группа объектов, которые могут появиться на этой зоне.</t>
  </si>
  <si>
    <t xml:space="preserve">     Все объекты различаются своей значимостью (параметр Value), чем больше это значение, тем лучше считается объект. Диапазон объектов зоны как раз задается этим значением. Параметр Value у объекта прямо пропорционально влияет на силу монстров охраняющих его. Соответственно, если нейтральные монстры охраняют не один объект, то на их силу будет влиять уже суммарная значимость охраняемых объектов.</t>
  </si>
  <si>
    <t xml:space="preserve">     Для каждой зоны можно указать тип местности (задать конкретные или привязать ее к типу замка), а также какие нейтральны города и монстры могут появиться в этой зоне (по тому же принципу). Каждая зона имеет связи с другими зонами, обычно проход между двумя зонами охраняется нейтральными монстрами, сила которых зависит от важности данного прохода.</t>
  </si>
  <si>
    <t xml:space="preserve">     Нейтральные существа на карте.</t>
  </si>
  <si>
    <t xml:space="preserve">     Для каждой зоны указывается сила монстров ее населяющих:</t>
  </si>
  <si>
    <t xml:space="preserve">     Не путать с силой монстров, которая выбирается при генерации карты!</t>
  </si>
  <si>
    <t xml:space="preserve">     Разницу между сильными и средними монстрами можно объяснить на примере. Допустим в зоне А стоят сильные монстры, а в зоне Б – средние. Это означает, что один и тот же объект в этих зонах будут охранять разные по силе монстры (в зоне А в 1.5 раза сильнее).</t>
  </si>
  <si>
    <r>
      <rPr>
        <b/>
        <sz val="10"/>
        <rFont val="Arial"/>
        <family val="2"/>
        <charset val="204"/>
      </rPr>
      <t>Армия:</t>
    </r>
    <r>
      <rPr>
        <sz val="10"/>
        <rFont val="Arial"/>
        <family val="2"/>
        <charset val="204"/>
      </rPr>
      <t xml:space="preserve"> 4 Копейщика, 18 Стрелков</t>
    </r>
  </si>
  <si>
    <r>
      <rPr>
        <b/>
        <sz val="10"/>
        <rFont val="Arial"/>
        <family val="2"/>
        <charset val="204"/>
      </rPr>
      <t>Герой:</t>
    </r>
    <r>
      <rPr>
        <sz val="10"/>
        <rFont val="Arial"/>
        <family val="2"/>
        <charset val="204"/>
      </rPr>
      <t xml:space="preserve"> Каитлин 1 уровня</t>
    </r>
  </si>
  <si>
    <r>
      <rPr>
        <b/>
        <sz val="10"/>
        <rFont val="Arial"/>
        <family val="2"/>
        <charset val="204"/>
      </rPr>
      <t>Потери:</t>
    </r>
    <r>
      <rPr>
        <sz val="10"/>
        <rFont val="Arial"/>
        <family val="2"/>
        <charset val="204"/>
      </rPr>
      <t xml:space="preserve"> 4 Копейщика</t>
    </r>
  </si>
  <si>
    <t xml:space="preserve">     ЗАМОК</t>
  </si>
  <si>
    <r>
      <rPr>
        <b/>
        <sz val="10"/>
        <rFont val="Arial Cyr"/>
        <charset val="204"/>
      </rPr>
      <t>Ссылка на видео (YouTube):</t>
    </r>
    <r>
      <rPr>
        <sz val="10"/>
        <color indexed="12"/>
        <rFont val="Arial Cyr"/>
        <charset val="204"/>
      </rPr>
      <t xml:space="preserve"> </t>
    </r>
    <r>
      <rPr>
        <u/>
        <sz val="10"/>
        <color indexed="12"/>
        <rFont val="Arial Cyr"/>
        <charset val="204"/>
      </rPr>
      <t>тут</t>
    </r>
  </si>
  <si>
    <r>
      <t xml:space="preserve">Расстановка: </t>
    </r>
    <r>
      <rPr>
        <sz val="10"/>
        <rFont val="Arial"/>
        <family val="2"/>
        <charset val="204"/>
      </rPr>
      <t>1 Коп. / 10 Стр. / 1 Коп. / 1 Коп. / 1 Коп. / - / -</t>
    </r>
  </si>
  <si>
    <t>Первый раунд:</t>
  </si>
  <si>
    <t>Второй раунд:</t>
  </si>
  <si>
    <t>Третий раунд:</t>
  </si>
  <si>
    <r>
      <rPr>
        <b/>
        <sz val="10"/>
        <rFont val="Arial"/>
        <family val="2"/>
        <charset val="204"/>
      </rPr>
      <t>День:</t>
    </r>
    <r>
      <rPr>
        <sz val="10"/>
        <rFont val="Arial"/>
        <family val="2"/>
        <charset val="204"/>
      </rPr>
      <t xml:space="preserve"> 1-2 день 1 недели.</t>
    </r>
  </si>
  <si>
    <t>ОПЛОТ</t>
  </si>
  <si>
    <r>
      <rPr>
        <b/>
        <sz val="10"/>
        <rFont val="Arial"/>
        <family val="2"/>
        <charset val="204"/>
      </rPr>
      <t>Герой:</t>
    </r>
    <r>
      <rPr>
        <sz val="10"/>
        <rFont val="Arial"/>
        <family val="2"/>
        <charset val="204"/>
      </rPr>
      <t xml:space="preserve"> Киррь 1 уровня</t>
    </r>
  </si>
  <si>
    <r>
      <rPr>
        <b/>
        <sz val="10"/>
        <rFont val="Arial"/>
        <family val="2"/>
        <charset val="204"/>
      </rPr>
      <t>Армия:</t>
    </r>
    <r>
      <rPr>
        <sz val="10"/>
        <rFont val="Arial"/>
        <family val="2"/>
        <charset val="204"/>
      </rPr>
      <t xml:space="preserve"> 50 Кентавров, 7 Лесных эльфов</t>
    </r>
  </si>
  <si>
    <r>
      <rPr>
        <b/>
        <sz val="10"/>
        <rFont val="Arial"/>
        <family val="2"/>
        <charset val="204"/>
      </rPr>
      <t>Потери:</t>
    </r>
    <r>
      <rPr>
        <sz val="10"/>
        <rFont val="Arial"/>
        <family val="2"/>
        <charset val="204"/>
      </rPr>
      <t xml:space="preserve"> 4-5 Кентавров</t>
    </r>
  </si>
  <si>
    <r>
      <t xml:space="preserve">Расстановка: </t>
    </r>
    <r>
      <rPr>
        <sz val="10"/>
        <rFont val="Arial"/>
        <family val="2"/>
        <charset val="204"/>
      </rPr>
      <t>1 К. / 7 Л.эльф / 1 К. / 45 Кен. / 1 К. / 1 К. / 1 К.</t>
    </r>
  </si>
  <si>
    <t>Эльфами атакуем Стражей (2 убито). Ударным стеком Кентавров добиваем Вампиров. Нижнего Кентавра уводим влево или вверх, если Стражи не достанут. Стражи убивают Кентавра или подлетают, если тот уведён вверх. Мертвецы подходят.</t>
  </si>
  <si>
    <t>БАШНЯ</t>
  </si>
  <si>
    <r>
      <rPr>
        <b/>
        <sz val="10"/>
        <rFont val="Arial"/>
        <family val="2"/>
        <charset val="204"/>
      </rPr>
      <t>Герой:</t>
    </r>
    <r>
      <rPr>
        <sz val="10"/>
        <rFont val="Arial"/>
        <family val="2"/>
        <charset val="204"/>
      </rPr>
      <t xml:space="preserve"> Нелла 1 уровня</t>
    </r>
  </si>
  <si>
    <r>
      <rPr>
        <b/>
        <sz val="10"/>
        <rFont val="Arial"/>
        <family val="2"/>
        <charset val="204"/>
      </rPr>
      <t>Армия:</t>
    </r>
    <r>
      <rPr>
        <sz val="10"/>
        <rFont val="Arial"/>
        <family val="2"/>
        <charset val="204"/>
      </rPr>
      <t xml:space="preserve"> 85 Мастер-гремлинов, 3 Каменные горгульи</t>
    </r>
  </si>
  <si>
    <r>
      <rPr>
        <b/>
        <sz val="10"/>
        <rFont val="Arial"/>
        <family val="2"/>
        <charset val="204"/>
      </rPr>
      <t>Потери:</t>
    </r>
    <r>
      <rPr>
        <sz val="10"/>
        <rFont val="Arial"/>
        <family val="2"/>
        <charset val="204"/>
      </rPr>
      <t xml:space="preserve"> 3 Каменные горгульи</t>
    </r>
  </si>
  <si>
    <r>
      <t xml:space="preserve">Расстановка: </t>
    </r>
    <r>
      <rPr>
        <sz val="10"/>
        <rFont val="Arial"/>
        <family val="2"/>
        <charset val="204"/>
      </rPr>
      <t>1 Горг. / 85 М-гр. / 1 Горг. / 1 Горг. / - / - / -</t>
    </r>
  </si>
  <si>
    <t>Четвёртый раунд:</t>
  </si>
  <si>
    <t>Горгульей отлетаем на 3 клетки влево. В этой точке до неё не достанут ни мертвецы, ни Вампиры. Вампиры подлетают. Гремлинами добиваем Стражей. Мертвецы подходят.</t>
  </si>
  <si>
    <t>НЕКРОПОЛИС</t>
  </si>
  <si>
    <r>
      <rPr>
        <b/>
        <sz val="10"/>
        <rFont val="Arial"/>
        <family val="2"/>
        <charset val="204"/>
      </rPr>
      <t>Герой:</t>
    </r>
    <r>
      <rPr>
        <sz val="10"/>
        <rFont val="Arial"/>
        <family val="2"/>
        <charset val="204"/>
      </rPr>
      <t xml:space="preserve"> Клавиус 1 уровня</t>
    </r>
  </si>
  <si>
    <r>
      <rPr>
        <b/>
        <sz val="10"/>
        <rFont val="Arial"/>
        <family val="2"/>
        <charset val="204"/>
      </rPr>
      <t>Армия:</t>
    </r>
    <r>
      <rPr>
        <sz val="10"/>
        <rFont val="Arial"/>
        <family val="2"/>
        <charset val="204"/>
      </rPr>
      <t xml:space="preserve"> 90 Скелетов</t>
    </r>
  </si>
  <si>
    <r>
      <rPr>
        <b/>
        <sz val="10"/>
        <rFont val="Arial Cyr"/>
        <charset val="204"/>
      </rPr>
      <t xml:space="preserve">Ссылка на видео (YouTube): </t>
    </r>
    <r>
      <rPr>
        <u/>
        <sz val="10"/>
        <color indexed="12"/>
        <rFont val="Arial Cyr"/>
        <charset val="204"/>
      </rPr>
      <t>тут</t>
    </r>
  </si>
  <si>
    <r>
      <rPr>
        <b/>
        <sz val="10"/>
        <rFont val="Arial"/>
        <family val="2"/>
        <charset val="204"/>
      </rPr>
      <t>Потери:</t>
    </r>
    <r>
      <rPr>
        <sz val="10"/>
        <rFont val="Arial"/>
        <family val="2"/>
        <charset val="204"/>
      </rPr>
      <t xml:space="preserve"> 10-16 Скелетов, 10 маны</t>
    </r>
  </si>
  <si>
    <t>ТЕМНИЦА</t>
  </si>
  <si>
    <r>
      <rPr>
        <b/>
        <sz val="10"/>
        <rFont val="Arial"/>
        <family val="2"/>
        <charset val="204"/>
      </rPr>
      <t>Герой:</t>
    </r>
    <r>
      <rPr>
        <sz val="10"/>
        <rFont val="Arial"/>
        <family val="2"/>
        <charset val="204"/>
      </rPr>
      <t xml:space="preserve"> Шакти 1 уровня</t>
    </r>
  </si>
  <si>
    <r>
      <rPr>
        <b/>
        <sz val="10"/>
        <rFont val="Arial"/>
        <family val="2"/>
        <charset val="204"/>
      </rPr>
      <t>Армия:</t>
    </r>
    <r>
      <rPr>
        <sz val="10"/>
        <rFont val="Arial"/>
        <family val="2"/>
        <charset val="204"/>
      </rPr>
      <t xml:space="preserve"> 100 Скелетов</t>
    </r>
  </si>
  <si>
    <r>
      <rPr>
        <b/>
        <sz val="10"/>
        <rFont val="Arial"/>
        <family val="2"/>
        <charset val="204"/>
      </rPr>
      <t>Потери:</t>
    </r>
    <r>
      <rPr>
        <sz val="10"/>
        <rFont val="Arial"/>
        <family val="2"/>
        <charset val="204"/>
      </rPr>
      <t xml:space="preserve"> ~10 Троглодитов</t>
    </r>
  </si>
  <si>
    <t>КРЕПОСТЬ</t>
  </si>
  <si>
    <r>
      <rPr>
        <b/>
        <sz val="10"/>
        <rFont val="Arial"/>
        <family val="2"/>
        <charset val="204"/>
      </rPr>
      <t>Герой:</t>
    </r>
    <r>
      <rPr>
        <sz val="10"/>
        <rFont val="Arial"/>
        <family val="2"/>
        <charset val="204"/>
      </rPr>
      <t xml:space="preserve"> Тазар 1 уровня</t>
    </r>
  </si>
  <si>
    <r>
      <rPr>
        <b/>
        <sz val="10"/>
        <rFont val="Arial"/>
        <family val="2"/>
        <charset val="204"/>
      </rPr>
      <t>Армия:</t>
    </r>
    <r>
      <rPr>
        <sz val="10"/>
        <rFont val="Arial"/>
        <family val="2"/>
        <charset val="204"/>
      </rPr>
      <t xml:space="preserve"> 42 Гнолла, 20 Ящеров, 1 Змий</t>
    </r>
  </si>
  <si>
    <r>
      <rPr>
        <b/>
        <sz val="10"/>
        <rFont val="Arial"/>
        <family val="2"/>
        <charset val="204"/>
      </rPr>
      <t>Потери:</t>
    </r>
    <r>
      <rPr>
        <sz val="10"/>
        <rFont val="Arial"/>
        <family val="2"/>
        <charset val="204"/>
      </rPr>
      <t xml:space="preserve"> 2-5 Гноллов</t>
    </r>
  </si>
  <si>
    <r>
      <t xml:space="preserve">Расстановка: </t>
    </r>
    <r>
      <rPr>
        <sz val="10"/>
        <rFont val="Arial"/>
        <family val="2"/>
        <charset val="204"/>
      </rPr>
      <t>1 Гн. / 20 Ящеров / 1 Змий. / 1 Гн. / 40 Гн. / - / -</t>
    </r>
  </si>
  <si>
    <r>
      <t xml:space="preserve">Расстановка: </t>
    </r>
    <r>
      <rPr>
        <sz val="10"/>
        <rFont val="Arial"/>
        <family val="2"/>
        <charset val="204"/>
      </rPr>
      <t>1 Тр. / 1 Тр. / 1 Тр. / 1 Тр. / 1 Тр. / 1 Тр. / 94 Тр.</t>
    </r>
  </si>
  <si>
    <r>
      <t xml:space="preserve">Расстановка: </t>
    </r>
    <r>
      <rPr>
        <sz val="10"/>
        <rFont val="Arial"/>
        <family val="2"/>
        <charset val="204"/>
      </rPr>
      <t>1 Ск. / 1 Ск. / 1 Ск. / 1 Ск. / 1 Ск. / 1 Ск. / 84 Ск.</t>
    </r>
  </si>
  <si>
    <t>Змия перемещаем вниз, но чтобы ни мертвецы, ни Вампиры не достали. Вампиры убивают нижнего Гнолла. Ящерами уходим в правый верхний угол. Ударным стеком Гноллов добиваем Скелетов. Стражи подлетают к Змию. Мертвецы подходят.</t>
  </si>
  <si>
    <t>Десятый раунд:</t>
  </si>
  <si>
    <t>Одиннадцатый раунд:</t>
  </si>
  <si>
    <t>Змием улетаем в левый нижний угол, чтобы Вампиры не достали. Вампиры и Стражи подлетают. Ящерами и Гноллами ждём. Мертвецы подходят. Ящерами перемещаемся на 4 клетки влево, а Гноллами на 2 клетки влево.</t>
  </si>
  <si>
    <t>Двенадцатый раунд:</t>
  </si>
  <si>
    <t>Тринадцатый раунд:</t>
  </si>
  <si>
    <t>Змием улетаем наверх к Ящерам, но чтобы Вампиры достали. Вампиры атакуют Змия (даже 2 Вампира не смогут убить Змия). Стрелы у Ящеров закончились, поэтому ждём. Гноллами ждём.  Стражи и мертвецы подходят. Гноллами атакуем Стражей (4-5 убито). Ящерами атакуем врукопашную Вампиров со спины (1 убит).</t>
  </si>
  <si>
    <t>СОПРЯЖЕНИЕ</t>
  </si>
  <si>
    <r>
      <rPr>
        <b/>
        <sz val="10"/>
        <rFont val="Arial"/>
        <family val="2"/>
        <charset val="204"/>
      </rPr>
      <t>Герой:</t>
    </r>
    <r>
      <rPr>
        <sz val="10"/>
        <rFont val="Arial"/>
        <family val="2"/>
        <charset val="204"/>
      </rPr>
      <t xml:space="preserve"> Монер 1 уровня</t>
    </r>
  </si>
  <si>
    <r>
      <rPr>
        <b/>
        <sz val="10"/>
        <rFont val="Arial"/>
        <family val="2"/>
        <charset val="204"/>
      </rPr>
      <t>Армия:</t>
    </r>
    <r>
      <rPr>
        <sz val="10"/>
        <rFont val="Arial"/>
        <family val="2"/>
        <charset val="204"/>
      </rPr>
      <t xml:space="preserve"> 60 Маленьких фей, 11 Элементалей воздуха</t>
    </r>
  </si>
  <si>
    <r>
      <rPr>
        <b/>
        <sz val="10"/>
        <rFont val="Arial"/>
        <family val="2"/>
        <charset val="204"/>
      </rPr>
      <t>Потери:</t>
    </r>
    <r>
      <rPr>
        <sz val="10"/>
        <rFont val="Arial"/>
        <family val="2"/>
        <charset val="204"/>
      </rPr>
      <t xml:space="preserve"> 5 Маленьких фей, 0-5 маны</t>
    </r>
  </si>
  <si>
    <r>
      <t xml:space="preserve">Расстановка: </t>
    </r>
    <r>
      <rPr>
        <sz val="10"/>
        <rFont val="Arial"/>
        <family val="2"/>
        <charset val="204"/>
      </rPr>
      <t>1 Ф. / 11 Элем. / 1 Ф. / 55 Ф. / 1 Ф. / 1 Ф. / 1 Ф.</t>
    </r>
  </si>
  <si>
    <t>Двумя нижними феями улетаем вправо вверх, чтобы мертвецы не достали. Элементалями атакуем Скелетов сверху справа (14 убито. Так Вампиры до них не достанут). Ударным стеком фей добиваем Скелетов со спины. Верхней феей улетаем в правый верхний угол. Вампиры и Стражи подлетают. Мертвецы подходят.</t>
  </si>
  <si>
    <t>Стрелками убегаем в правый верхний угол. Вампиры убивают левого Копейщика. Нижним Копейщиком ждём. Стражи подлетают. Верхним Копейщиком ждём (не подходим к Стрелкам, иначе Скелеты атакуют его, а не Стрелков). Скелеты атакуют Стрелков и умирают от ответного удара. Мертвецы подходят. Нижним Копейщиком отходим на 3 клетки влево, чтобы Вампиры и мертвецы не достали. Верхнего Копейщика ставим вплотную к Стрелкам.</t>
  </si>
  <si>
    <t>Стрелками добиваем Стражей (если 1 выживет, то Стрелки убьют его ответным ударом). Вампиры убивают нижнего Копейщика. Верхним Копейщиком убегаем влево. Мертвецы подходят.</t>
  </si>
  <si>
    <t>Эльфами убегаем в правый верхний угол. Нижними Кентаврами отходим на 2-3 клетки влево, чтобы мертвецы не достали. Ударным стеком Кентавров убиваем Скелетов со спины. Верхним Кентавром убегаем влево, чтобы отвести Вампиров. Вторым верхним Кентавром убегаем вниз влево (он пригодится для снятия ответного удара с Вампиров в следующем раунде). Вампиры убивают левого Кентавра. Стражи убивают одного из нижних Кентавров (итоговые потери боя зависят от того, какого Кентавра убьют Стражи. Если правого, то потери будут 5, т.к. через один ход они убьют ещё одного. А если левого, то через один ход они не достанут до ещё одного Кентавра и потери будут всего 4). Живые мертвецы подходят.</t>
  </si>
  <si>
    <t>Взятие Склепов за разные города.</t>
  </si>
  <si>
    <r>
      <t>(Составлено на основе информации</t>
    </r>
    <r>
      <rPr>
        <b/>
        <i/>
        <sz val="8"/>
        <rFont val="Arial"/>
        <family val="2"/>
        <charset val="204"/>
      </rPr>
      <t xml:space="preserve"> Ihtiandr,</t>
    </r>
    <r>
      <rPr>
        <i/>
        <sz val="8"/>
        <rFont val="Arial"/>
        <family val="2"/>
        <charset val="204"/>
      </rPr>
      <t xml:space="preserve"> </t>
    </r>
    <r>
      <rPr>
        <i/>
        <u/>
        <sz val="8"/>
        <color rgb="FF0033CC"/>
        <rFont val="Arial"/>
        <family val="2"/>
        <charset val="204"/>
      </rPr>
      <t>forum.heroesworld.ru</t>
    </r>
    <r>
      <rPr>
        <i/>
        <sz val="8"/>
        <rFont val="Arial"/>
        <family val="2"/>
        <charset val="204"/>
      </rPr>
      <t xml:space="preserve">). (Авторы тактик: </t>
    </r>
    <r>
      <rPr>
        <b/>
        <i/>
        <sz val="8"/>
        <rFont val="Arial"/>
        <family val="2"/>
        <charset val="204"/>
      </rPr>
      <t>Ihtiandr</t>
    </r>
    <r>
      <rPr>
        <i/>
        <sz val="8"/>
        <rFont val="Arial"/>
        <family val="2"/>
        <charset val="204"/>
      </rPr>
      <t xml:space="preserve">, </t>
    </r>
    <r>
      <rPr>
        <b/>
        <i/>
        <sz val="8"/>
        <rFont val="Arial"/>
        <family val="2"/>
        <charset val="204"/>
      </rPr>
      <t>nub_hmm</t>
    </r>
    <r>
      <rPr>
        <i/>
        <sz val="8"/>
        <rFont val="Arial"/>
        <family val="2"/>
        <charset val="204"/>
      </rPr>
      <t xml:space="preserve"> и китайцы:)).</t>
    </r>
  </si>
  <si>
    <t>ЦИТАДЕЛЬ и ИНФЕРНО</t>
  </si>
  <si>
    <t>Увеличивает длительность всех заклинаний героя на 1 раунд. Не влияет на заклинания существ.</t>
  </si>
  <si>
    <t>Увеличивает длительность всех заклинаний героя на 2 раунда. Не влияет на заклинания существ.</t>
  </si>
  <si>
    <t>Увеличивает длительность всех заклинаний героя на 3 раунда. Не влияет на заклинания существ.</t>
  </si>
  <si>
    <t>Защищает существ героя от заклинания Слепота, включая способность единорогов.</t>
  </si>
  <si>
    <t>Защищает существ героя от заклинания Проклятие, включая способности Мумий, Чёрных рыцарей и Рыцарей смерти.</t>
  </si>
  <si>
    <t>Защищает существ героя от заклинаний Удар молнии и Цепная молния, включая способность Птиц грома, но не от Грома титана.</t>
  </si>
  <si>
    <t>Способности существ и защита от них (Таблица).</t>
  </si>
  <si>
    <t>Способность</t>
  </si>
  <si>
    <t>Запрет на магию        2-5 уровня (Проклятая земля)</t>
  </si>
  <si>
    <t>Запрет на магию 3-5 уровня            (Плащ отречения)</t>
  </si>
  <si>
    <t>Запрет на магию (Сфера запрещения, Гарнизон антимагии)</t>
  </si>
  <si>
    <t>Элементали</t>
  </si>
  <si>
    <t>Воскрешение (Архангел)</t>
  </si>
  <si>
    <t>не работает</t>
  </si>
  <si>
    <t>не действует</t>
  </si>
  <si>
    <t>действует</t>
  </si>
  <si>
    <t>только на Зелёных и Лазурных</t>
  </si>
  <si>
    <t>работает в соответствии с уровнем магии</t>
  </si>
  <si>
    <t>только магия 1-2 уровня</t>
  </si>
  <si>
    <t>только от магии огня</t>
  </si>
  <si>
    <t>только от магии разума</t>
  </si>
  <si>
    <t>*действует</t>
  </si>
  <si>
    <t>только на Зелёных, Золотых, Красных и Лазурных</t>
  </si>
  <si>
    <t>Защита от магии (драконы, Мощь отца драконов, Маг.элементали)</t>
  </si>
  <si>
    <t>*работает</t>
  </si>
  <si>
    <t>*только Магическая стрела</t>
  </si>
  <si>
    <t>*только Магическая стрела, Ледяная стрела и Удар молнии</t>
  </si>
  <si>
    <t>Боевой дух всех дружественных существ +1.</t>
  </si>
  <si>
    <t>Немагическая способность. Работает всегда. Не действует на нежить, элементалей, горгулий и боевые машины. Не перестаёт работать после гибели отряда.</t>
  </si>
  <si>
    <t>Воскрешает и лечит дружественное существо с силой в 100 единиц здоровья за каждого Архангела в отряде.</t>
  </si>
  <si>
    <t>Особенности и ограничения</t>
  </si>
  <si>
    <t>Магическая способность 2 уровня Магии огня. 20% шанс срабатывания при ударе.</t>
  </si>
  <si>
    <r>
      <t xml:space="preserve">Магическая способность.  Можно использовать только 3 раза вместо очередного хода. Не колдуют заклинания, которые уже лежат на цели.
</t>
    </r>
    <r>
      <rPr>
        <b/>
        <sz val="8"/>
        <rFont val="Arial"/>
        <family val="2"/>
        <charset val="204"/>
      </rPr>
      <t>(1)</t>
    </r>
    <r>
      <rPr>
        <sz val="8"/>
        <rFont val="Arial"/>
        <family val="2"/>
        <charset val="204"/>
      </rPr>
      <t xml:space="preserve"> Колдует только в битве против героя, имеющего Книгу магии.
</t>
    </r>
    <r>
      <rPr>
        <b/>
        <sz val="8"/>
        <rFont val="Arial"/>
        <family val="2"/>
        <charset val="204"/>
      </rPr>
      <t>(2)</t>
    </r>
    <r>
      <rPr>
        <sz val="8"/>
        <rFont val="Arial"/>
        <family val="2"/>
        <charset val="204"/>
      </rPr>
      <t xml:space="preserve"> Колдует только если есть вражеские стрелки, способные стрелять, т.е.имеющие запас выстрелов и не ослеплённые, окаменённые и не парализованные.
</t>
    </r>
    <r>
      <rPr>
        <b/>
        <sz val="8"/>
        <rFont val="Arial"/>
        <family val="2"/>
        <charset val="204"/>
      </rPr>
      <t>(3)</t>
    </r>
    <r>
      <rPr>
        <sz val="8"/>
        <rFont val="Arial"/>
        <family val="2"/>
        <charset val="204"/>
      </rPr>
      <t xml:space="preserve"> Колдует только на раненое существо.
</t>
    </r>
    <r>
      <rPr>
        <b/>
        <sz val="8"/>
        <rFont val="Arial"/>
        <family val="2"/>
        <charset val="204"/>
      </rPr>
      <t xml:space="preserve">(4) </t>
    </r>
    <r>
      <rPr>
        <sz val="8"/>
        <rFont val="Arial"/>
        <family val="2"/>
        <charset val="204"/>
      </rPr>
      <t xml:space="preserve">Колдует только если во вражеской армии есть Огненные птицы, Гидры, Чудища, Красные/Зелёные драконы или их улучшения, даже если эти существа уже уничтожены.
</t>
    </r>
    <r>
      <rPr>
        <b/>
        <sz val="8"/>
        <rFont val="Arial"/>
        <family val="2"/>
        <charset val="204"/>
      </rPr>
      <t>(5)</t>
    </r>
    <r>
      <rPr>
        <sz val="8"/>
        <rFont val="Arial"/>
        <family val="2"/>
        <charset val="204"/>
      </rPr>
      <t xml:space="preserve"> Колдует только на дружественных стрелков, способных стрелять.                                                                   </t>
    </r>
    <r>
      <rPr>
        <b/>
        <sz val="8"/>
        <rFont val="Arial"/>
        <family val="2"/>
        <charset val="204"/>
      </rPr>
      <t>(6)</t>
    </r>
    <r>
      <rPr>
        <sz val="8"/>
        <rFont val="Arial"/>
        <family val="2"/>
        <charset val="204"/>
      </rPr>
      <t xml:space="preserve"> Колдует только если цель ещё не действовала в этом раунде (ожидание не считается действием).                                                                                                        </t>
    </r>
    <r>
      <rPr>
        <b/>
        <sz val="8"/>
        <rFont val="Arial"/>
        <family val="2"/>
        <charset val="204"/>
      </rPr>
      <t>(7)</t>
    </r>
    <r>
      <rPr>
        <sz val="8"/>
        <rFont val="Arial"/>
        <family val="2"/>
        <charset val="204"/>
      </rPr>
      <t xml:space="preserve"> Колдует только если у врага есть отряды, которые не убиты, не ослеплены, не окаменены, не парализованы и сейчас не могут стрелять (заблокированные стрелки тоже считаются).                                                                                                       </t>
    </r>
    <r>
      <rPr>
        <b/>
        <sz val="8"/>
        <rFont val="Arial"/>
        <family val="2"/>
        <charset val="204"/>
      </rPr>
      <t>(8)</t>
    </r>
    <r>
      <rPr>
        <sz val="8"/>
        <rFont val="Arial"/>
        <family val="2"/>
        <charset val="204"/>
      </rPr>
      <t xml:space="preserve"> Колдует только если целевой отряд сейчас не может стрелять (заблокированный стрелок тоже считается) </t>
    </r>
    <r>
      <rPr>
        <i/>
        <sz val="8"/>
        <rFont val="Arial"/>
        <family val="2"/>
        <charset val="204"/>
      </rPr>
      <t xml:space="preserve">(Информация </t>
    </r>
    <r>
      <rPr>
        <b/>
        <i/>
        <sz val="8"/>
        <rFont val="Arial"/>
        <family val="2"/>
        <charset val="204"/>
      </rPr>
      <t>Sav</t>
    </r>
    <r>
      <rPr>
        <i/>
        <sz val="8"/>
        <rFont val="Arial"/>
        <family val="2"/>
        <charset val="204"/>
      </rPr>
      <t xml:space="preserve">, </t>
    </r>
    <r>
      <rPr>
        <i/>
        <u/>
        <sz val="8"/>
        <color rgb="FF0033CC"/>
        <rFont val="Arial"/>
        <family val="2"/>
        <charset val="204"/>
      </rPr>
      <t>forum.df2.ru</t>
    </r>
    <r>
      <rPr>
        <i/>
        <sz val="8"/>
        <rFont val="Arial"/>
        <family val="2"/>
        <charset val="204"/>
      </rPr>
      <t>).</t>
    </r>
  </si>
  <si>
    <r>
      <t xml:space="preserve">Накладывает на дружественное существо одно из заклинаний. Последовательность выпадения заклинаний случайна. Эффекты заклинаний аналогичны обычным заклинаниям героя на Продвинутом уровне магии. Эффект Палача имеет </t>
    </r>
    <r>
      <rPr>
        <b/>
        <sz val="9"/>
        <rFont val="Arial"/>
        <family val="2"/>
        <charset val="204"/>
      </rPr>
      <t>баг</t>
    </r>
    <r>
      <rPr>
        <sz val="9"/>
        <rFont val="Arial"/>
        <family val="2"/>
        <charset val="204"/>
      </rPr>
      <t xml:space="preserve">: возможность колдовства проверяется по условиям Базового эффекта, однако сам эффект действует и против Ангелов, Дьяволов и их улучшений, т.е. тут эффект Продвинутый </t>
    </r>
    <r>
      <rPr>
        <i/>
        <sz val="9"/>
        <rFont val="Arial"/>
        <family val="2"/>
        <charset val="204"/>
      </rPr>
      <t xml:space="preserve">(добавил </t>
    </r>
    <r>
      <rPr>
        <b/>
        <i/>
        <sz val="9"/>
        <rFont val="Arial"/>
        <family val="2"/>
        <charset val="204"/>
      </rPr>
      <t>Серж Хао</t>
    </r>
    <r>
      <rPr>
        <i/>
        <sz val="9"/>
        <rFont val="Arial"/>
        <family val="2"/>
        <charset val="204"/>
      </rPr>
      <t xml:space="preserve">, </t>
    </r>
    <r>
      <rPr>
        <i/>
        <u/>
        <sz val="9"/>
        <color rgb="FF0033CC"/>
        <rFont val="Arial"/>
        <family val="2"/>
        <charset val="204"/>
      </rPr>
      <t>vk.com</t>
    </r>
    <r>
      <rPr>
        <i/>
        <sz val="9"/>
        <rFont val="Arial"/>
        <family val="2"/>
        <charset val="204"/>
      </rPr>
      <t>)</t>
    </r>
    <r>
      <rPr>
        <sz val="9"/>
        <rFont val="Arial"/>
        <family val="2"/>
        <charset val="204"/>
      </rPr>
      <t>.</t>
    </r>
  </si>
  <si>
    <t>Атака и защита цели -2.</t>
  </si>
  <si>
    <t>Магическая способность 2 уровня. 20% шанс срабатывания при ударе. Действует только на живых.</t>
  </si>
  <si>
    <t>Магическая способность 4 уровня Магии земли. Можно использовать только 1 раз вместо очередного хода. Не подействует на цель, если силы не хватит на воскрешение хотя бы 1 существа. Действует только на живых.</t>
  </si>
  <si>
    <t>Нежить. 12 выстрелов. Облако смерти - При стрельбе по цели, лич также наносит урон всем существам вокруг неё в радиусе 1 клетки. Действует только на живых.</t>
  </si>
  <si>
    <t>При стрельбе по цели, также наносит урон её окружению. Действует только на живых.</t>
  </si>
  <si>
    <t>Немагическая способность. Работает всегда. Действует только на живых.</t>
  </si>
  <si>
    <t>Урон цели становится равен минимальному. Снимает Благословление при наложении.</t>
  </si>
  <si>
    <t>Магическая способность 1 уровня Магии огня. 25% шанс срабатывания при ударе.</t>
  </si>
  <si>
    <t>Итоговый урон по цели удваивается.</t>
  </si>
  <si>
    <t>Немагическая способность. 20% шанс срабатывания при ударе.</t>
  </si>
  <si>
    <t>Боевой дух всех вражеских существ -1.</t>
  </si>
  <si>
    <t>Особенности магических и немагических способностей.</t>
  </si>
  <si>
    <t>Магическая способность 5 уровня. 20% шанс срабатывания при ударе. Действует только на живых.</t>
  </si>
  <si>
    <t>Магическая способность 4 уровня. 20% шанс срабатывания при ударе.</t>
  </si>
  <si>
    <t>Цель пропускает очередные ходы. Снимается при получении любого урона, при этом ответный удар будет нанесён с 25% силой.</t>
  </si>
  <si>
    <t>Магическая способность 3 уровня. 20% шанс срабатывания при ударе (только ближний бой).</t>
  </si>
  <si>
    <t>Цель пропускает очередные ходы и получает 50% урона от атак вражеских существ. Снимается при получении любого урона.</t>
  </si>
  <si>
    <t>Поднимает из трупа дружественного существа Демонов с силой в 50 единиц здоровья за каждое Адское отродье. Количество поднятых Демонов не может превышать количество существ погибшего отряда.</t>
  </si>
  <si>
    <t>При получении урона в ближнем бою, Огненный щит наносит атакующему 20% от нанесённого им урона. % урона берётся после расчёта всех бонусов к атаке, но до расчёта всех штрафов.</t>
  </si>
  <si>
    <t>Полу-магическая способность. Действует на существ с защитой от магии, но не работает на Проклятой земле, в Гарнизоне антимагии и при наличии Сферы запрещения. Действует только на трупы живых существ.</t>
  </si>
  <si>
    <t>Полу-магическая способность. Действует на существ с защитой от магии, но не действует на существ с защитой от огня.</t>
  </si>
  <si>
    <t>Удача всех вражеских существ -1, но не ниже 0.</t>
  </si>
  <si>
    <t>Немагическая способность. Работает всегда. Не перестаёт работать после гибели отряда.</t>
  </si>
  <si>
    <t>Снимает все положительные заклинания с цели.</t>
  </si>
  <si>
    <t>Немагическая способность. Работает всегда при ударе.</t>
  </si>
  <si>
    <t>Магическая способность 2 уровня Магии воды. Работает всегда при ударе.</t>
  </si>
  <si>
    <t>Магическая способность 3 уровня. 20% шанс срабатывания при ударе.</t>
  </si>
  <si>
    <t>Мгновенно убивает от 1 до N/10 (округление вверх) существ в целевом отряде, где N – число Могучих горгон.</t>
  </si>
  <si>
    <t>Немагическая способность. 10% шанс срабатывания у каждой Могучей горгоны в отряде. Действует только на живых.</t>
  </si>
  <si>
    <t>Магическая способность 1 уровня магии огня. Можно использовать только 3 раза вместо очередного хода.</t>
  </si>
  <si>
    <t>Магическая способность 2 уровня Магии воздуха. 20% шанс срабатывания при ударе. Штормовые элементали и Элементали воздуха получают двойной урон.</t>
  </si>
  <si>
    <t>Наносит 10*N урона цели, где N - количество Птиц Грома в атакующем отряде.</t>
  </si>
  <si>
    <t>Получаемый целью урон от магии земли -50%.</t>
  </si>
  <si>
    <t>Магическая способность 3 уровня Магии земли. Можно использовать только 3 раза вместо очередного хода.</t>
  </si>
  <si>
    <t>Получаемый целью урон от магии воздуха -50%.</t>
  </si>
  <si>
    <t>Получаемый целью урон от магии воды -50%.</t>
  </si>
  <si>
    <t>Получаемый целью урон от магии огня -50%.</t>
  </si>
  <si>
    <t>Показывает количество и агрессивность существ на расстоянии СМ клеток (минимум 3 клетки, включая те, на которых стоят герой и существа).</t>
  </si>
  <si>
    <t>Показывает количество и агрессивность существ; Параметры и армию вражеских героев; Армию в гарнизонах и вражеских городах.</t>
  </si>
  <si>
    <t>Полу-магическая способность 1 уровня. Действует постоянно для героя и в радиусе 3 клеток, включая диагональные направление. Клетки, на которых стоят герой и цель тоже считаются.</t>
  </si>
  <si>
    <t>Магическая способность. Можно использовать только 5 раз вместо очередного хода. На урон влияет Волшебство, наличие у героя Сфер магии и ландшафт. Последовательность выпадения заклинаний случайна. Если Сказочный дракон ждёт, то у него поменяется заклинание.</t>
  </si>
  <si>
    <t>Отражает вражеское заклинание на случайное вражеское существо или боевую машину. Если выбранное существо невосприимчиво к этому заклинанию, то эффекта не будет (блок).</t>
  </si>
  <si>
    <t>Немагическая способность. Работает всегда. 20% шанс срабатывания. При этом Сказочные драконы должны быть основной целью.</t>
  </si>
  <si>
    <t>Защита цели -3 и 25*N урона (20%), где N - количество драконов в отряде. Эффекты снижения защиты могут суммироваться, но защита цели не может стать ниже 0.</t>
  </si>
  <si>
    <t>Немагическая способность. Работает всегда при ударе. Действует только на основную цель. 20% шанс срабатывания дополнительного урона. На Проклятой земле отсутствует анимация при нанесении урона.</t>
  </si>
  <si>
    <t>Цель пропускает свой ход.</t>
  </si>
  <si>
    <t>Немагическая способность. 10% шанс срабатывания на каждом вражеском отряде перед его ходом. Действует только на живых. Действует вперёд колдовства Чародеев, но после Регенерации Троллей.</t>
  </si>
  <si>
    <t>10% шанс Страха (перед ходом каждого вражеского существа) - Цель пропускает свой очередной ход. Страх перестаёт действовать после гибели Лазурного дракона. Действует вперёд колдовства Чародеев, но после Регенерации Троллей. Защита от Страха. Защита от магии 1, 2 и 3 уровней. Атака на 2 клетки по направлению удара.</t>
  </si>
  <si>
    <t>Боевой дух +1 (Архангел, Радость)</t>
  </si>
  <si>
    <t>Оплетение (дендроиды)</t>
  </si>
  <si>
    <t>Слепота (единороги)</t>
  </si>
  <si>
    <t>Случайная магия Мастер-джиннов</t>
  </si>
  <si>
    <t>Болезнь (Зомби)</t>
  </si>
  <si>
    <t>Вампиризм (Вампир-лорд)</t>
  </si>
  <si>
    <t>Облако смерти (личи)</t>
  </si>
  <si>
    <t>Проклятие (Мумия, Чёрный рыцарь, Рыцарь смерти)</t>
  </si>
  <si>
    <t>Боевой дух -1 (Дракон-призрак)</t>
  </si>
  <si>
    <t>Старость (Дракон-призрак)</t>
  </si>
  <si>
    <t>Окаменение (медузы, василиски)</t>
  </si>
  <si>
    <t>Паралич (Скорпикора)</t>
  </si>
  <si>
    <t>Кража маны (Чёрт)</t>
  </si>
  <si>
    <t>Огненный шар (Магог)</t>
  </si>
  <si>
    <t>Поднятие демонов (Адское отродье)</t>
  </si>
  <si>
    <t>Огненный щит (Султан-ифрит)</t>
  </si>
  <si>
    <t>Удача -1 (Архидьявол)</t>
  </si>
  <si>
    <t>Снятие заклинаний (Змий, Стрекоза)</t>
  </si>
  <si>
    <t>Слабость (Стрекоза)</t>
  </si>
  <si>
    <t>Смертельный взгляд (Могучая горгона)</t>
  </si>
  <si>
    <t>Яд (Виверна-монарх)</t>
  </si>
  <si>
    <t>Жажда крови (Огр-маг)</t>
  </si>
  <si>
    <t>Удар молнии (Птица грома)</t>
  </si>
  <si>
    <t>Защита от воздуха (Шторм.элементаль)</t>
  </si>
  <si>
    <t>Защита от воды (Ледян.элементаль)</t>
  </si>
  <si>
    <t>Защита от огня (Энерг.элементаль)</t>
  </si>
  <si>
    <t>Защита от земли (Магм.элементаль)</t>
  </si>
  <si>
    <t>Видение (Вор)</t>
  </si>
  <si>
    <t>Случайная магия Чародеев</t>
  </si>
  <si>
    <t>Случайная магия Сказочных драконов</t>
  </si>
  <si>
    <t>Волшебное зеркало (Сказочный дракон)</t>
  </si>
  <si>
    <t>Кислотное дыхание (Ржавый дракон)</t>
  </si>
  <si>
    <t>Страх (Лазурный дракон)</t>
  </si>
  <si>
    <t>Восстание из пепла (Феникс)</t>
  </si>
  <si>
    <t>Смертельный удар (Рыцарь смерти)</t>
  </si>
  <si>
    <t>Сжигание маны (Призрак)</t>
  </si>
  <si>
    <r>
      <t xml:space="preserve">Гремлин </t>
    </r>
    <r>
      <rPr>
        <b/>
        <sz val="8"/>
        <rFont val="Arial"/>
        <family val="2"/>
        <charset val="204"/>
      </rPr>
      <t>Бес/Чёрт</t>
    </r>
    <r>
      <rPr>
        <sz val="8"/>
        <rFont val="Arial"/>
        <family val="2"/>
        <charset val="204"/>
      </rPr>
      <t xml:space="preserve"> Хоббит</t>
    </r>
  </si>
  <si>
    <t>Троглодит Гоблин</t>
  </si>
  <si>
    <t>Адский троглодит Гнолл</t>
  </si>
  <si>
    <t>Копейщик Арбалетчик Вор</t>
  </si>
  <si>
    <t>Гном   Змий            Орк-вождь</t>
  </si>
  <si>
    <t>Адская гончая Цербер</t>
  </si>
  <si>
    <r>
      <rPr>
        <b/>
        <sz val="10"/>
        <rFont val="Arial"/>
        <family val="2"/>
        <charset val="204"/>
      </rPr>
      <t xml:space="preserve">▲тут можно выбрать любое </t>
    </r>
    <r>
      <rPr>
        <sz val="10"/>
        <rFont val="Arial"/>
        <family val="2"/>
        <charset val="204"/>
      </rPr>
      <t>здоровье из списка</t>
    </r>
  </si>
  <si>
    <t>Маленькая фея/Фея</t>
  </si>
  <si>
    <t>Гог/Магог</t>
  </si>
  <si>
    <r>
      <t>▲</t>
    </r>
    <r>
      <rPr>
        <b/>
        <sz val="10"/>
        <rFont val="Arial"/>
        <family val="2"/>
        <charset val="204"/>
      </rPr>
      <t>тут можно выбрать</t>
    </r>
    <r>
      <rPr>
        <sz val="10"/>
        <rFont val="Arial"/>
        <family val="2"/>
        <charset val="204"/>
      </rPr>
      <t xml:space="preserve"> любое количество Адских отродий из списка (до 70).</t>
    </r>
  </si>
  <si>
    <t xml:space="preserve">Лесной эльф, Орк     </t>
  </si>
  <si>
    <t>Выберите героя из списка:</t>
  </si>
  <si>
    <t>Специализация:</t>
  </si>
  <si>
    <t>Калькулятор эффективности заклинаний.</t>
  </si>
  <si>
    <t>Дракон (Крепость)</t>
  </si>
  <si>
    <t>Дракон (Башня)</t>
  </si>
  <si>
    <t>Выберите уровень героя из списка:</t>
  </si>
  <si>
    <t>Выберите силу магии героя из списка:</t>
  </si>
  <si>
    <t>Стихия:</t>
  </si>
  <si>
    <t>Выберите заклинание:</t>
  </si>
  <si>
    <t>Любая</t>
  </si>
  <si>
    <t>Мгновенно наносит урон цели:</t>
  </si>
  <si>
    <t>Тип заклинания:</t>
  </si>
  <si>
    <t>Уровень заклинания:</t>
  </si>
  <si>
    <t>Показывает количество и агрессивность существ на расстоянии:</t>
  </si>
  <si>
    <t>Количество маны:</t>
  </si>
  <si>
    <t xml:space="preserve"> </t>
  </si>
  <si>
    <t xml:space="preserve"> Мгновенно наносит урон цели:</t>
  </si>
  <si>
    <t>Показывает количество и агрессивность существ, а также параметры и армию вражеских героев на расстоянии:</t>
  </si>
  <si>
    <t>Показывает количество и агрессивность существ, параметры и армию вражеских героев, а также армию в гарнизонах и вражеских городах на расстоянии:</t>
  </si>
  <si>
    <t>Расстояние измеряется в клетках на карте приключений. Клетки, на которых стоят герой и цель тоже учитываются.</t>
  </si>
  <si>
    <t>Походное</t>
  </si>
  <si>
    <t>Ударное</t>
  </si>
  <si>
    <t>Повышает атаку цели в ближнем бою на:</t>
  </si>
  <si>
    <t>Повышает атаку всех дружественных существ в ближнем бою на:</t>
  </si>
  <si>
    <t>Урон цели становится равен минимальному-1, но не ниже 1.</t>
  </si>
  <si>
    <t>Урон цели становится равен минимальному.</t>
  </si>
  <si>
    <t>Урон всех вражеских существ становится равен минимальному-1, но не ниже 1.</t>
  </si>
  <si>
    <t>Снимает Благословление при наложении.</t>
  </si>
  <si>
    <t>Снижает получаемый целью урон от Магии огня на:</t>
  </si>
  <si>
    <t>Снижает получаемый всеми дружественными существами урон от Магии огня на:</t>
  </si>
  <si>
    <t>Действует совместно с защитой от магии големов. Сперва рассчитывается урон ударного заклинания с учётом защиты от магии голема. Полученное значение пересчитывается с учётом защиты от огня.</t>
  </si>
  <si>
    <t>Цель пропускает ходы. Снимается при получении любого урона. Первый ответ на атаку, снявшую Слепоту наносит урон, сниженный на:</t>
  </si>
  <si>
    <t>75%</t>
  </si>
  <si>
    <t>Цель пропускает ходы. Снимается при получении любого урона. Ответ на атаку, снявшую Слепоту, не происходит.</t>
  </si>
  <si>
    <t>Вызов</t>
  </si>
  <si>
    <t>2 раунда</t>
  </si>
  <si>
    <t>На 2 клетках поля боя появляется огонь. Всем вражеским существам прошедшим через него или остановившимся на нём, наносится урон:</t>
  </si>
  <si>
    <t>На 3 клетках поля боя появляется огонь. Всем вражеским существам прошедшим через него или остановившимся на нём, наносится урон:</t>
  </si>
  <si>
    <t>Мгновенно наносит урон цели и её окружению:</t>
  </si>
  <si>
    <t>до конца боя</t>
  </si>
  <si>
    <t>На 4 случайных клетках поля боя появляются мины, не видимые противнику. Всем вражеским существам прошедшим через них или остановившимся на них, наносится урон:</t>
  </si>
  <si>
    <t>После нанесения урона мина исчезает. Мины видны только колдующему игроку и существам на родной земле. Существа игрока, который видит мины не получают урон при прохождении через них (мины не взрываются).</t>
  </si>
  <si>
    <t>На 6 случайных клетках поля боя появляются мины, не видимые противнику. Всем вражеским существам прошедшим через них или остановившимся на них, наносится урон:</t>
  </si>
  <si>
    <t>На 8 случайных клетках поля боя появляются мины, не видимые противнику. Всем вражеским существам прошедшим через них или остановившимся на них, наносится урон:</t>
  </si>
  <si>
    <t>Снижает удачу цели на:</t>
  </si>
  <si>
    <t>Снижает удачу всех вражеских существ на:</t>
  </si>
  <si>
    <t>Уровень удачи не может снизится ниже -3. Отрицательная удача не проявляет никакого эффекта в игре (баг).</t>
  </si>
  <si>
    <t>Мгновенно наносит урон всем существам и боевым машинам на поле боя:</t>
  </si>
  <si>
    <t>на ближайшую атаку</t>
  </si>
  <si>
    <t>1) Снимает Гипноз при наложении. 2) Компьютерные герои не используют Берсерк. 3) Определить подействует Берсерк на существо или нет можно активацией заклинания и наведением курсора на желаемую цель. Если на цели появляется обводка, то Берсерк на неё подействует. 4) Если вы попробуете применить Берсерк против существа, имеющего иммунитет к огню, к разуму или к магии в целом, то эффекта не будет, а колдовство и мана героя будут потрачены (баг).</t>
  </si>
  <si>
    <t>Колдуется на область 7 клеток (цель и её окружение). Все существа, попавшие под Берсерк, во время своего очередного хода 1 раз автоматически атакуют ближайшее к ним существо или боевую машину.</t>
  </si>
  <si>
    <t>Колдуется на область 19 клеток (цель и её окружение в радиусе 2 клеток). Все существа, попавшие под Берсерк, во время своего очередного хода 1 раз автоматически атакуют ближайшее к ним существо или боевую машину.</t>
  </si>
  <si>
    <t>При получении целью урона в ближнем бою, Огненный щит наносит атакующему урон:</t>
  </si>
  <si>
    <t>Защита цели становится равной 0, а атака увеличивается на отнятое количество очков защиты.</t>
  </si>
  <si>
    <t>Защита цели становится равной 0, а атака увеличивается на отнятое количество очков защиты, повышенное ещё на:</t>
  </si>
  <si>
    <t>100%</t>
  </si>
  <si>
    <t>Колдуется на область 19 клеток (цель и её окружение в радиусе 2 клеток). Все существа, попавшие под Инферно мгновенно получают урон:</t>
  </si>
  <si>
    <t>1) Сама Жертва (уничтожение жертвуемого отряда), является магическим эффектом 5 уровня, а воскрешение дружественного отряда является эффектом 4 уровня, т.е. им нельзя воскресить Золотых драконов. 2) Фениксы могут восстать из пепла, даже если их принесут в Жертву (баг). Для этого требуется Медаль уязвимости. Воскрешение произойдёт не сразу, а тогда, когда к ним мог бы перейти ход.</t>
  </si>
  <si>
    <t>Вызывает на поле боя Элементалей огня в количестве:</t>
  </si>
  <si>
    <t>Вызов происходит на случайную клетку в ряде начальной расстановки. Если мест нет, то вызывается во 2-ой вертикальный ряд. После боя элементали не сохраняются в армии. Нельзя вызывать элементалей другого типа, пока уже вызванные остаются на поле боя.</t>
  </si>
  <si>
    <t>Снимает все отрицательные заклинания с цели. Мгновенно восстанавливает здоровье цели на:</t>
  </si>
  <si>
    <t>Рассеивание</t>
  </si>
  <si>
    <t>Снимает с дружественного существа все заклинания.</t>
  </si>
  <si>
    <t>Снимает с цели (дружественной или вражеской) все заклинания.</t>
  </si>
  <si>
    <t>Снимает со всех существ на поле боя и боевых машин все заклинания. Удаляет все Зыбучие пески, Стены огня, Силовые и Минные поля.</t>
  </si>
  <si>
    <t>Снижает получаемый целью урон от Магии воды на:</t>
  </si>
  <si>
    <t>Снижает получаемый всеми дружественными существами урон от Магии воды на:</t>
  </si>
  <si>
    <t>Действует совместно с защитой от магии големов. Сперва рассчитывается урон ударного заклинания с учётом защиты от магии голема. Полученное значение пересчитывается с учётом защиты от воды.</t>
  </si>
  <si>
    <t>Герой призывает к себе одну из дружественных лодок с вероятностью:</t>
  </si>
  <si>
    <t>Герой призывает к себе одну из дружественных лодок (если нет свободной, то создаётся новая) с вероятностью:</t>
  </si>
  <si>
    <t>Уничтожает одно целевое препятствие с поля боя.</t>
  </si>
  <si>
    <t>Уничтожает одно целевое препятствие или Стену огня с поля боя.</t>
  </si>
  <si>
    <t>Уничтожает одно целевое препятствие, Стену огня, Силовое поле, Зыбучие пески или Мины с поля боя. Позволяет искать Мины и Зыбучие пески без использования заклинания. Для этого нужно водить курсором над полем боя при активированном заклинании.</t>
  </si>
  <si>
    <t>Герой может уничтожить незанятую лодку с вероятностью:</t>
  </si>
  <si>
    <t>Снижает атаку цели (не ниже 0) на:</t>
  </si>
  <si>
    <t>Снижает атаку всех вражеских существ (не ниже 0) на:</t>
  </si>
  <si>
    <t>Урон цели при стрельбе снижается на:</t>
  </si>
  <si>
    <t>Все вражеские существа не могут использовать стрельбу (баг, т.к. в описании сказано, что только целевое существо не может стрелять).</t>
  </si>
  <si>
    <t>Все вражеские существа не могут использовать стрельбу.</t>
  </si>
  <si>
    <t>Мгновенно наносит урон окружению цели:</t>
  </si>
  <si>
    <t>Окружением считаются все смежные клетки от цели. Сама цель не получает урон от Кольца холода. Целью может являться пустая клетка.</t>
  </si>
  <si>
    <t>Повышает боевой дух цели на:</t>
  </si>
  <si>
    <t>Повышает боевой дух всех дружественных существ на:</t>
  </si>
  <si>
    <t>Уровень боевого духа не может стать выше +3.</t>
  </si>
  <si>
    <t>Перемещение</t>
  </si>
  <si>
    <t xml:space="preserve">Мгновенно перемещает дружественную цель в указанную точку поля боя, но не через городской ров и стены. </t>
  </si>
  <si>
    <t xml:space="preserve">Мгновенно перемещает дружественную цель в указанную точку поля боя, но не через городские стены при отстроенном замке (максимальная фортификация). </t>
  </si>
  <si>
    <t>Мгновенно перемещает дружественную цель в указанную точку поля боя, через городские стены и ров.</t>
  </si>
  <si>
    <t>1-5</t>
  </si>
  <si>
    <t>1-6</t>
  </si>
  <si>
    <t>1-7</t>
  </si>
  <si>
    <t>Клон имеет все способности цели, кроме Огненного щита Султана-ифрита. Клон исчезает при получении любого урона или при уничтожении цели.</t>
  </si>
  <si>
    <t>Рядом с целью создаётся её копия. Целью может быть дружественное существо следующих уровней:</t>
  </si>
  <si>
    <t>Повышает атаку, защиту и скорость цели на:</t>
  </si>
  <si>
    <t>Если на цель с Молитвой наложить Медлительность, то % снижения скорости будет браться уже от базовой скорости + Молитвы. Округление вниз.</t>
  </si>
  <si>
    <t>Герой может перемещаться через воду, но не останавливаться на ней. Штраф по воде составляет:</t>
  </si>
  <si>
    <t>Герой может перемещаться через воду с обычной скоростью, но не останавливаться на ней.</t>
  </si>
  <si>
    <t>Вызывает на поле боя Элементалей воды в количестве:</t>
  </si>
  <si>
    <t>Снижает получаемый целью урон на:</t>
  </si>
  <si>
    <t>Снижает получаемый всеми дружественными существами урон на:</t>
  </si>
  <si>
    <t>Снижает скорость цели на:</t>
  </si>
  <si>
    <t>Снижает скорость всех вражеских существ на:</t>
  </si>
  <si>
    <t>Снимает Ускорение при наложении.</t>
  </si>
  <si>
    <t>Повышает защиту цели на:</t>
  </si>
  <si>
    <t>Повышает защиту всех дружественных существ на:</t>
  </si>
  <si>
    <t>Показывает игроку расположение всех кучек ресурсов сквозь терру инкогнито на особой уменьшенной карте.</t>
  </si>
  <si>
    <t>Показывает игроку расположение всех кучек ресурсов и шахт сквозь терру инкогнито на особой уменьшенной карте.</t>
  </si>
  <si>
    <t>Показывает игроку расположение всех кучек ресурсов и шахт, открывая терру инкогнито на особой уменьшенной карте и показывая тип поверхности.</t>
  </si>
  <si>
    <t>На 4 случайных клетках поля боя появляются пески, не видимые противнику. При попадании в песок, движение или атака существа мгновенно прерываются.</t>
  </si>
  <si>
    <t>На 6 случайных клетках поля боя появляются пески, не видимые противнику. При попадании в песок, движение или атака существа мгновенно прерываются.</t>
  </si>
  <si>
    <t>На 8 случайных клетках поля боя появляются пески, не видимые противнику. При попадании в песок, движение или атака существа мгновенно прерываются.</t>
  </si>
  <si>
    <t>Снижает получаемый целью урон от Магии земли на:</t>
  </si>
  <si>
    <t>Снижает получаемый всеми дружественными существами урон от Магии земли на:</t>
  </si>
  <si>
    <t>Действует совместно с защитой от магии големов. Сперва рассчитывается урон ударного заклинания с учётом защиты от магии голема. Полученное значение пересчитывается с учётом защиты от земли.</t>
  </si>
  <si>
    <t>Воскрешает и излечивает дружественную цель (только нежить) на количество здоровья равное:</t>
  </si>
  <si>
    <t>Не подействует на цель, если силы не хватит на воскрешение хотя бы одного существа.</t>
  </si>
  <si>
    <t>1-3</t>
  </si>
  <si>
    <t>Цель получает защиту от магии следующих уровней:</t>
  </si>
  <si>
    <t>Мгновенно наносит одинарный урон фортификационным укреплениям при осаде города. Урон получает следующее количество объектов:</t>
  </si>
  <si>
    <t>К фортификационным укреплениям относятся фрагменты стены (4 шт.), стрелковые башни (3 шт.) и ворота.</t>
  </si>
  <si>
    <t>На 2 клетках поля боя появляется Силовое поле - преграда для дружественных и вражеских существ, кроме летающих.</t>
  </si>
  <si>
    <t>На 3 клетках поля боя появляется Силовое поле - преграда для дружественных и вражеских существ, кроме летающих.</t>
  </si>
  <si>
    <t>Если убрать Силовое поле при помощи Снятия заклинаний или Устранения преград, то после того, как закончилась бы длительность действия этого Силового поля, произойдёт аварийное завершение игры.</t>
  </si>
  <si>
    <t>Снижает боевой дух цели на:</t>
  </si>
  <si>
    <t>Снижает боевой дух всех вражеских существ на:</t>
  </si>
  <si>
    <t>Уровень боевого духа не может снизится ниже -3.</t>
  </si>
  <si>
    <t>Мгновенно перемещает героя в любой свой город (предлагается выбор из списка). Отнимает 300 очков движения (MP). Врата города должны быть свободны.</t>
  </si>
  <si>
    <t>Мгновенно перемещает героя в любой свой город (предлагается выбор из списка). Отнимает 200 очков движения (MP). Врата города должны быть свободны.</t>
  </si>
  <si>
    <t>Вызывает на поле боя Элементалей земли в количестве:</t>
  </si>
  <si>
    <t>Обязательные данные:</t>
  </si>
  <si>
    <t>Необязательные данные</t>
  </si>
  <si>
    <t>Тут будут отображены результаты анализа данных:</t>
  </si>
  <si>
    <t>Повышает скорость цели на:</t>
  </si>
  <si>
    <t>Повышает скорость всех дружественных существ на:</t>
  </si>
  <si>
    <t>Снимает Медлительность при наложении.</t>
  </si>
  <si>
    <t>Показывает игроку расположение всех артефактов на особой уменьшенной карте, при этом открывая терру инкогнито и показывая тип поверхности.</t>
  </si>
  <si>
    <t>Показывает игроку расположение всех артефактов и героев на особой уменьшенной карте, при этом открывая терру инкогнито и показывая тип поверхности.</t>
  </si>
  <si>
    <t>Показывает игроку расположение всех артефактов, героев и городов на особой уменьшенной карте, при этом открывая терру инкогнито и показывая тип поверхности.</t>
  </si>
  <si>
    <t>1 просмотр</t>
  </si>
  <si>
    <t>Скрывает армию героя от противников. Вместо этого они видят будто армия состоит из отрядов наиболее сильных существ героя. При этом количество существ в отрядах противник видит как 0.</t>
  </si>
  <si>
    <t>Скрывает армию героя от противников. Вместо этого они видят будто армия состоит из отрядов наиболее сильных существ наиболее давнего города игрока. При этом количество существ в отрядах противник видит как 0.</t>
  </si>
  <si>
    <t>Снижает защиту цели (не ниже 0) на:</t>
  </si>
  <si>
    <t>Разрушающий луч может накладываться на одну цель несколько раз. При этом эффекты суммируются. Не снимается Снятием заклинаний и Лечением. После воскрешения отряда эффект Разрушающего луча, наложенного до смерти сохраняется.</t>
  </si>
  <si>
    <t>Повышает удачу цели на:</t>
  </si>
  <si>
    <t>Уровень удачи не может стать выше +3.</t>
  </si>
  <si>
    <t>Повышает удачу всех дружественных существ на:</t>
  </si>
  <si>
    <t>Повышает атаку цели при стрельбе на:</t>
  </si>
  <si>
    <t>Повышает атаку всех дружественных существ при стрельбе на:</t>
  </si>
  <si>
    <t>Снижает получаемый целью урон от Магии воздуха на:</t>
  </si>
  <si>
    <t>Снижает получаемый всеми дружественными существами урон от Магии воздуха на:</t>
  </si>
  <si>
    <t>Действует совместно с защитой от магии големов. Сперва рассчитывается урон ударного заклинания с учётом защиты от магии голема. Полученное значение пересчитывается с учётом защиты от воздуха.</t>
  </si>
  <si>
    <t>Снижает получаемый целью урон от стрельбы на:</t>
  </si>
  <si>
    <t>Снижает получаемый всеми дружественными существами урон от стрельбы на:</t>
  </si>
  <si>
    <t>При осаде города, существа под действием Воздушного щита получают ~ на 40-100% больше урона от Стрелковых башен (баг). Урон зависит от развития вторичного навыка Магия воздуха у героя - наблюдается увеличение урона примерно на 40% при отсутствии или Базовом уровне, на 100% - при Продвинутом или Экспертном.</t>
  </si>
  <si>
    <t>Мгновенно наносит урон всей нежити на поле боя:</t>
  </si>
  <si>
    <t>Игрок получает контроль над вражеским существом имеющим здоровье не более:</t>
  </si>
  <si>
    <t>Мгновенно наносит урон цели, затем наносит 50% урона ближайшему существу или боевой машине, затем 25% урона ближайшему ко второй цели, затем 12,5% урона ближайшему к третьей цели. Урон по первой цели составляет:</t>
  </si>
  <si>
    <t>Мгновенно наносит урон цели, затем наносит 50% урона ближайшему существу или боевой машине, затем 25% урона ближайшему ко второй цели, затем 12,5% урона ближайшему к третьей цели, затем 6,25% урона ближайшему к четвёртой цели. Урон по первой цели составляет:</t>
  </si>
  <si>
    <t>Если срабатывает Сопротивление на первой цели, то молния сразу прерывается. Если срабатывает Сопротивление на 2 и последующих целях, то молния пропускает их и продолжает путь по другим существам. Цепная молния не может ударить один отряд дважды. Если больше некого бить, то молния прерывается.</t>
  </si>
  <si>
    <t>Цель получает возможность отвечать на несколько атак за один раунд:</t>
  </si>
  <si>
    <t>Если снять Контрудар с цели, то он всё равно будет работать до конца текущего раунда.</t>
  </si>
  <si>
    <t>Все дружественные существа получают возможность отвечать на несколько атак за один раунд:</t>
  </si>
  <si>
    <t>Мгновенно перемещает героя в любую незанятую точку на карте в пределах экрана, центрированного на герое. Отнимает 300 очков движения (МР). Можно использовать в день:</t>
  </si>
  <si>
    <t>Мгновенно перемещает героя в любую незанятую точку на карте в пределах экрана, центрированного на герое. Отнимает 200 очков движения (МР). Можно использовать в день:</t>
  </si>
  <si>
    <t>Если герой находится на суше, то он может телепортироваться только на свободный участок суши. При попытке телепортации на воду, Дверь измерений не сработает, очки маны и попытка будут потрачены. Аналогично, герой в лодке может телепортироваться на воде.</t>
  </si>
  <si>
    <t>Герой может перемещаться через воду и любые объекты на карте приключений, но не останавливаться на них. Штраф за перемещение через воду и объекты составляет:</t>
  </si>
  <si>
    <t>Герой может перемещаться через воду и любые объекты на карте приключений с обычной скоростью, но не останавливаться на них.</t>
  </si>
  <si>
    <t>Вызывает на поле боя Элементалей воздуха в количестве:</t>
  </si>
  <si>
    <t>Цель получает шанс отразить вражеское заклинание на случайное вражеское существо или боевую машину, являясь его целью. Если выбранное существо невосприимчиво к этому заклинанию, то эффекта не будет (блок). Шанс отражения составляет:</t>
  </si>
  <si>
    <t>Волшебное зеркало отражает только заклинания, колдуемые героями под управлением человека. Заклинания ИИ-героев не подлежат перенаправлению. Однако ИИ при расчёте ценности колдовства героем учитывает Волшебное зеркало на цели, и желание колдовать на отряд, защищённый Волшебным зеркалом, у него значительно падает (в частности, если шанс отражения заклинания равен 50%, то ценность колдовства на такой отряд ИИ приравнивает к 0), несмотря на то, что при колдовстве героя ИИ зеркало никогда не сработает.</t>
  </si>
  <si>
    <t xml:space="preserve"> Для получения заклинания в Книгу магии героя требуется Грохот титана. СМ героя и Магия воздуха никак не влияют. Сфера небесного свода повышает урон на 50%. Волшебство повышает урон на 5, 10 или 15%.</t>
  </si>
  <si>
    <t>Повышает атака цели против Чудищ, Огненных птиц, Гидр, Зелёных и Красных драконов (включая их улучшения) на:</t>
  </si>
  <si>
    <t>Повышает атака цели против Ангелов, Дьяволов, Чудищ, Огненных птиц, Гидр, Зелёных и Красных драконов (включая их улучшения) на:</t>
  </si>
  <si>
    <t>Повышает атака цели против Гигантов, Ангелов, Дьяволов, Чудищ, Огненных птиц, Гидр, Зелёных и Красных драконов (включая их улучшения) на:</t>
  </si>
  <si>
    <t>Герой:</t>
  </si>
  <si>
    <t>Уровень:</t>
  </si>
  <si>
    <t>СМ:</t>
  </si>
  <si>
    <t>Заклинание:</t>
  </si>
  <si>
    <t>Баз.значение:</t>
  </si>
  <si>
    <t>Прод.значение:</t>
  </si>
  <si>
    <t>Э.з.:</t>
  </si>
  <si>
    <t>У</t>
  </si>
  <si>
    <t>Тип:</t>
  </si>
  <si>
    <t>Дл.</t>
  </si>
  <si>
    <t>Б.эф.</t>
  </si>
  <si>
    <t>Пр.эф.</t>
  </si>
  <si>
    <t>Экс.эф.</t>
  </si>
  <si>
    <t>Прим.</t>
  </si>
  <si>
    <t>Прочие данные:</t>
  </si>
  <si>
    <r>
      <rPr>
        <sz val="10"/>
        <rFont val="Arial"/>
        <family val="2"/>
        <charset val="204"/>
      </rPr>
      <t xml:space="preserve">Выберите уровень развития </t>
    </r>
    <r>
      <rPr>
        <b/>
        <sz val="10"/>
        <rFont val="Arial"/>
        <family val="2"/>
        <charset val="204"/>
      </rPr>
      <t>Волшебства:</t>
    </r>
  </si>
  <si>
    <t>Калькулятор силы Гипноза.</t>
  </si>
  <si>
    <t>Выберите целевое существо из списка:</t>
  </si>
  <si>
    <t>Выберите уровень развития Магии воздуха:</t>
  </si>
  <si>
    <t>Выберите силу магии героя:</t>
  </si>
  <si>
    <t>таких существ.</t>
  </si>
  <si>
    <t>Для взятия этих существ под контроль требуется Медаль уязвимости.</t>
  </si>
  <si>
    <t>Калькулятор количества очков за игру.</t>
  </si>
  <si>
    <t>Месяц</t>
  </si>
  <si>
    <t>Неделя</t>
  </si>
  <si>
    <t>День</t>
  </si>
  <si>
    <t>Выберите дату, когда Вы выиграли сценарий:</t>
  </si>
  <si>
    <t>Выберите количество захваченных городов:</t>
  </si>
  <si>
    <t>Вы победили всех врагов?</t>
  </si>
  <si>
    <t>Было другое условие победы</t>
  </si>
  <si>
    <t>Вы выкопали Грааль?</t>
  </si>
  <si>
    <t>Выберите уровень сложности:</t>
  </si>
  <si>
    <t>Пешка (80%)</t>
  </si>
  <si>
    <t>Конь (100%)</t>
  </si>
  <si>
    <t>Ладья (130%)</t>
  </si>
  <si>
    <t>Ферзь (160%)</t>
  </si>
  <si>
    <t>Король (200%)</t>
  </si>
  <si>
    <t>За эту игру Вы получите</t>
  </si>
  <si>
    <t>очков</t>
  </si>
  <si>
    <t>Ваш ранг:</t>
  </si>
  <si>
    <t>Введите кол-во существ:</t>
  </si>
  <si>
    <t>Выберите тип существ из списка:</t>
  </si>
  <si>
    <t>Прочие параметры:</t>
  </si>
  <si>
    <t>АТАКУЮЩИЙ ОТРЯД</t>
  </si>
  <si>
    <t>ЗАЩИЩАЮЩИЙСЯ ОТРЯД</t>
  </si>
  <si>
    <t>Базовый урон:</t>
  </si>
  <si>
    <t>Атака:</t>
  </si>
  <si>
    <t>Защита:</t>
  </si>
  <si>
    <t>Благословление:</t>
  </si>
  <si>
    <t>Модификатор базового урона:</t>
  </si>
  <si>
    <t>MD(bas) = (Атака - Защита) * 0,025 * D(bas)</t>
  </si>
  <si>
    <t>Жажда крови:</t>
  </si>
  <si>
    <t>Бешенство:</t>
  </si>
  <si>
    <t>Палач:</t>
  </si>
  <si>
    <t>Молитва:</t>
  </si>
  <si>
    <t>Точность:</t>
  </si>
  <si>
    <t>Слабость:</t>
  </si>
  <si>
    <t>Каменная кожа:</t>
  </si>
  <si>
    <t>Стрельба?</t>
  </si>
  <si>
    <t>Навык Нападения:</t>
  </si>
  <si>
    <t>Навык Доспехов:</t>
  </si>
  <si>
    <t>Базовые</t>
  </si>
  <si>
    <t>Продвинутые</t>
  </si>
  <si>
    <t>Экспертные</t>
  </si>
  <si>
    <t>Модиф-р Доспехов:</t>
  </si>
  <si>
    <t>Щит:</t>
  </si>
  <si>
    <t>Воздушный щит:</t>
  </si>
  <si>
    <t>Забывчивость:</t>
  </si>
  <si>
    <t>Старость:</t>
  </si>
  <si>
    <t>Яд:</t>
  </si>
  <si>
    <t>Огненный щит:</t>
  </si>
  <si>
    <r>
      <t xml:space="preserve">Правила пользования калькулятором:                                             </t>
    </r>
    <r>
      <rPr>
        <b/>
        <sz val="9"/>
        <color theme="9" tint="0.39997558519241921"/>
        <rFont val="Arial"/>
        <family val="2"/>
        <charset val="204"/>
      </rPr>
      <t>.</t>
    </r>
    <r>
      <rPr>
        <b/>
        <sz val="9"/>
        <rFont val="Arial"/>
        <family val="2"/>
        <charset val="204"/>
      </rPr>
      <t xml:space="preserve">                                                                                                                             - заполняются только </t>
    </r>
    <r>
      <rPr>
        <b/>
        <sz val="9"/>
        <color rgb="FFFF0000"/>
        <rFont val="Arial"/>
        <family val="2"/>
        <charset val="204"/>
      </rPr>
      <t xml:space="preserve">КРАСНЫЕ ЯЧЕЙКИ                                                          </t>
    </r>
    <r>
      <rPr>
        <b/>
        <sz val="9"/>
        <color theme="9" tint="0.39997558519241921"/>
        <rFont val="Arial"/>
        <family val="2"/>
        <charset val="204"/>
      </rPr>
      <t xml:space="preserve">. </t>
    </r>
    <r>
      <rPr>
        <b/>
        <sz val="9"/>
        <color rgb="FFFF0000"/>
        <rFont val="Arial"/>
        <family val="2"/>
        <charset val="204"/>
      </rPr>
      <t xml:space="preserve">                                                                                                                                                                                             </t>
    </r>
    <r>
      <rPr>
        <b/>
        <sz val="9"/>
        <rFont val="Arial"/>
        <family val="2"/>
        <charset val="204"/>
      </rPr>
      <t xml:space="preserve">- в </t>
    </r>
    <r>
      <rPr>
        <b/>
        <sz val="9"/>
        <color theme="4"/>
        <rFont val="Arial"/>
        <family val="2"/>
        <charset val="204"/>
      </rPr>
      <t>СИНИХ ЯЧЕЙКАХ</t>
    </r>
    <r>
      <rPr>
        <b/>
        <sz val="9"/>
        <rFont val="Arial"/>
        <family val="2"/>
        <charset val="204"/>
      </rPr>
      <t xml:space="preserve"> необходимо выбрать из предлагаемого списка                                                                  </t>
    </r>
    <r>
      <rPr>
        <b/>
        <sz val="9"/>
        <color theme="9" tint="0.39997558519241921"/>
        <rFont val="Arial"/>
        <family val="2"/>
        <charset val="204"/>
      </rPr>
      <t>.</t>
    </r>
    <r>
      <rPr>
        <b/>
        <sz val="9"/>
        <rFont val="Arial"/>
        <family val="2"/>
        <charset val="204"/>
      </rPr>
      <t xml:space="preserve">                                                                                                                                               - в </t>
    </r>
    <r>
      <rPr>
        <b/>
        <sz val="9"/>
        <color theme="6" tint="-0.249977111117893"/>
        <rFont val="Arial"/>
        <family val="2"/>
        <charset val="204"/>
      </rPr>
      <t>ЗЕЛЁНЫХ ЯЧЕЙКАХ</t>
    </r>
    <r>
      <rPr>
        <b/>
        <sz val="9"/>
        <rFont val="Arial"/>
        <family val="2"/>
        <charset val="204"/>
      </rPr>
      <t xml:space="preserve"> отображаются результаты расчёта                                                                                                                                                  </t>
    </r>
    <r>
      <rPr>
        <b/>
        <sz val="9"/>
        <color theme="9" tint="0.39997558519241921"/>
        <rFont val="Arial"/>
        <family val="2"/>
        <charset val="204"/>
      </rPr>
      <t>.</t>
    </r>
    <r>
      <rPr>
        <b/>
        <sz val="9"/>
        <rFont val="Arial"/>
        <family val="2"/>
        <charset val="204"/>
      </rPr>
      <t xml:space="preserve">                                                                                                                                                - не забудьте отказаться от сохранения при закрытии файла </t>
    </r>
  </si>
  <si>
    <t>Здоровье существа-жертвы:</t>
  </si>
  <si>
    <t>Навык Стрельбы:</t>
  </si>
  <si>
    <t>Наложенные заклинания:</t>
  </si>
  <si>
    <t>Проклятие:</t>
  </si>
  <si>
    <t>Разрушающий луч (+количество):</t>
  </si>
  <si>
    <t>Подействовала удача?</t>
  </si>
  <si>
    <t>Болезнь:</t>
  </si>
  <si>
    <t>Окаменение:</t>
  </si>
  <si>
    <t>Кислотное дыхание (+количество):</t>
  </si>
  <si>
    <t>Элемен.</t>
  </si>
  <si>
    <t>Безотв.</t>
  </si>
  <si>
    <t>2 атаки</t>
  </si>
  <si>
    <t>Здоровье:</t>
  </si>
  <si>
    <t>Урон:</t>
  </si>
  <si>
    <t>Модификатор Удачи:</t>
  </si>
  <si>
    <t>СУММАРНЫЙ УРОН:</t>
  </si>
  <si>
    <t>От Чёрного рыцаря</t>
  </si>
  <si>
    <t>От Рыцаря смерти</t>
  </si>
  <si>
    <t>От Мумии</t>
  </si>
  <si>
    <t>От Огра-мага</t>
  </si>
  <si>
    <t>От Мастер-джинна</t>
  </si>
  <si>
    <t>От Чародея</t>
  </si>
  <si>
    <t>От Доспехов проклятого</t>
  </si>
  <si>
    <t>От Альянса ангелов</t>
  </si>
  <si>
    <t>От Стрекозы</t>
  </si>
  <si>
    <t>От единорога</t>
  </si>
  <si>
    <t>М(нап) = 0,1…0,3 * D(баз)</t>
  </si>
  <si>
    <t xml:space="preserve"> (если Атака &gt; Защиты)</t>
  </si>
  <si>
    <t xml:space="preserve"> (если Атака &lt; Защиты)</t>
  </si>
  <si>
    <t>М(нап) = 0,1…0,3 * ( D(баз) + MD(баз) )</t>
  </si>
  <si>
    <t>M(нап) = 0,3*(1+0,05*Уровень) * (D(баз)+MD(баз))</t>
  </si>
  <si>
    <t>M(уд) = D(баз)</t>
  </si>
  <si>
    <t>M(уд) = D(баз) + MD(баз)</t>
  </si>
  <si>
    <t>Штраф в б.б.:</t>
  </si>
  <si>
    <t>Штраф за расстояние:</t>
  </si>
  <si>
    <t>Штраф за стены:</t>
  </si>
  <si>
    <t>Атака героя:</t>
  </si>
  <si>
    <t>Защита героя:</t>
  </si>
  <si>
    <t>Урон для Огн.щита:</t>
  </si>
  <si>
    <r>
      <t>D</t>
    </r>
    <r>
      <rPr>
        <b/>
        <sz val="10"/>
        <rFont val="Arial"/>
        <family val="2"/>
        <charset val="204"/>
      </rPr>
      <t>(сум)</t>
    </r>
    <r>
      <rPr>
        <b/>
        <sz val="14"/>
        <rFont val="Arial"/>
        <family val="2"/>
        <charset val="204"/>
      </rPr>
      <t xml:space="preserve"> = [D</t>
    </r>
    <r>
      <rPr>
        <b/>
        <sz val="10"/>
        <rFont val="Arial"/>
        <family val="2"/>
        <charset val="204"/>
      </rPr>
      <t xml:space="preserve">(баз) </t>
    </r>
    <r>
      <rPr>
        <b/>
        <sz val="14"/>
        <rFont val="Arial"/>
        <family val="2"/>
        <charset val="204"/>
      </rPr>
      <t>+ MD</t>
    </r>
    <r>
      <rPr>
        <b/>
        <sz val="10"/>
        <rFont val="Arial"/>
        <family val="2"/>
        <charset val="204"/>
      </rPr>
      <t xml:space="preserve">(баз) </t>
    </r>
    <r>
      <rPr>
        <b/>
        <sz val="14"/>
        <rFont val="Arial"/>
        <family val="2"/>
        <charset val="204"/>
      </rPr>
      <t>+ M</t>
    </r>
    <r>
      <rPr>
        <b/>
        <sz val="10"/>
        <rFont val="Arial"/>
        <family val="2"/>
        <charset val="204"/>
      </rPr>
      <t xml:space="preserve">(нап) </t>
    </r>
    <r>
      <rPr>
        <b/>
        <sz val="14"/>
        <rFont val="Arial"/>
        <family val="2"/>
        <charset val="204"/>
      </rPr>
      <t>+ M</t>
    </r>
    <r>
      <rPr>
        <b/>
        <sz val="10"/>
        <rFont val="Arial"/>
        <family val="2"/>
        <charset val="204"/>
      </rPr>
      <t>(уд)</t>
    </r>
    <r>
      <rPr>
        <b/>
        <sz val="14"/>
        <rFont val="Arial"/>
        <family val="2"/>
        <charset val="204"/>
      </rPr>
      <t>] * [1 - M</t>
    </r>
    <r>
      <rPr>
        <b/>
        <sz val="10"/>
        <rFont val="Arial"/>
        <family val="2"/>
        <charset val="204"/>
      </rPr>
      <t>(защ)</t>
    </r>
    <r>
      <rPr>
        <b/>
        <sz val="14"/>
        <rFont val="Arial"/>
        <family val="2"/>
        <charset val="204"/>
      </rPr>
      <t>]</t>
    </r>
  </si>
  <si>
    <t>Кавалерийский бонус - итоговый урон увеличивается на 5% от базового за каждую клетку, пройденную перед атакой. Если Атака&lt;Защиты, то этот бонус влияет и на модификатор базового урона.</t>
  </si>
  <si>
    <t>Ненависть:</t>
  </si>
  <si>
    <t>Слабый удар:</t>
  </si>
  <si>
    <t>Снижение защиты:</t>
  </si>
  <si>
    <t>Защита при снижении:</t>
  </si>
  <si>
    <r>
      <t>При атаке снижает защиту цели на момент удара на 80%*Защита-</t>
    </r>
    <r>
      <rPr>
        <b/>
        <sz val="10"/>
        <rFont val="Arial"/>
        <family val="2"/>
        <charset val="204"/>
      </rPr>
      <t>1</t>
    </r>
    <r>
      <rPr>
        <sz val="10"/>
        <rFont val="Arial"/>
        <family val="2"/>
        <charset val="204"/>
      </rPr>
      <t>. Округление вверх.</t>
    </r>
  </si>
  <si>
    <r>
      <t>При атаке снижает защиту цели на момент удара на 40%*Защита</t>
    </r>
    <r>
      <rPr>
        <b/>
        <sz val="10"/>
        <rFont val="Arial"/>
        <family val="2"/>
        <charset val="204"/>
      </rPr>
      <t>-1</t>
    </r>
    <r>
      <rPr>
        <sz val="10"/>
        <rFont val="Arial"/>
        <family val="2"/>
        <charset val="204"/>
      </rPr>
      <t>. Округление вверх.</t>
    </r>
  </si>
  <si>
    <t>Выберите тип существа из списка:</t>
  </si>
  <si>
    <t>Стрелок делает 2 выстрела за ход, если цель осталась жива после первого.</t>
  </si>
  <si>
    <t>Фанатик не имеет штрафа в ближнем бою.</t>
  </si>
  <si>
    <t>Кавалерийский разбег добавит к итоговому урону Кавалериста 5% от базового за каждую клетку разбега.</t>
  </si>
  <si>
    <t>Кавалерийский разбег добавит к итоговому урону Чемпиона 5% от базового за каждую клетку разбега.</t>
  </si>
  <si>
    <t>Ангелы наносят на 50% урона больше Дьяволам и Архидьяволам.</t>
  </si>
  <si>
    <t>Архангелы наносят на 50% урона больше Дьяволам и Архидьяволам.</t>
  </si>
  <si>
    <t>Великий эльф делает 2 выстрела за ход, если цель осталась жива после первого.</t>
  </si>
  <si>
    <t>С вероятностью 20% Единорог может наложить на цель Базовую Слепоту. В результате ответного удара на такую атаку не будет.</t>
  </si>
  <si>
    <t>С вероятностью 20% Боевой единорог может наложить на цель Базовую Слепоту. В результате ответного удара на такую атаку не будет.</t>
  </si>
  <si>
    <t>Золотой дракон защищён от Яда, Болезни, Окаменения, Паралича и магических способностей 1-4 уровня.</t>
  </si>
  <si>
    <t>Зелёный дракон защищён от Яда, Болезни, Окаменения и магических способностей 1-3 уровня.</t>
  </si>
  <si>
    <t>Каменные горгульи защищены от Воскрешения, Болезни, Облака смерти, Старости, Поднятия демонов, Смертельного взгляда, Яда, Вампиризма и Страха.</t>
  </si>
  <si>
    <t>Обсидиановые горгульи защищены от Воскрешения, Болезни, Облака смерти, Старости, Поднятия демонов, Смертельного взгляда, Яда, Вампиризма и Страха.</t>
  </si>
  <si>
    <t>Маг не имеет штрафов в ближнем бою и при стрельбе через стены.</t>
  </si>
  <si>
    <t>Архимаг не имеет штрафов в ближнем бою и при стрельбе через стены.</t>
  </si>
  <si>
    <t>Джинны наносят на 50% урона больше Ифритам и Султанам-ифритам.</t>
  </si>
  <si>
    <t>Мастер-джинны наносят на 50% урона больше Ифритам и Султанам-ифритам.</t>
  </si>
  <si>
    <t>Цель не отвечает на атаку Наги.</t>
  </si>
  <si>
    <t>Цель не отвечает на атаку Королевской наги.</t>
  </si>
  <si>
    <t>Гиганты защищены от Слепоты и Бешенства.</t>
  </si>
  <si>
    <t>Каменные големы защищены от Бешенства, Слепоты, Воскрешения, Болезни, Облака смерти, Старости, Поднятия демонов, Смертельного взгляда, Яда, Вампиризма и Страха.</t>
  </si>
  <si>
    <t>Стальные големы защищены от Бешенства, Слепоты, Воскрешения, Болезни, Облака смерти, Старости, Поднятия демонов, Смертельного взгляда, Яда, Вампиризма и Страха.</t>
  </si>
  <si>
    <t>Титаны защищены от Слепоты и Бешенства. Титан не имеет штрафа в ближнем бою. Титаны наносят на 50% урона больше Чёрным драконам.</t>
  </si>
  <si>
    <t>Скелеты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t>
  </si>
  <si>
    <t>Скелеты-воины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t>
  </si>
  <si>
    <t>Живые мертвецы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t>
  </si>
  <si>
    <t>Стражи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t>
  </si>
  <si>
    <t>Привидения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t>
  </si>
  <si>
    <t>Вампиры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t>
  </si>
  <si>
    <t>Вампиры-лорды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 Цель не отвечает на атаку Вампира-лорда.</t>
  </si>
  <si>
    <t>Личи защищены от Забывчивости, Проклятия, Благословления, Слепоты, Бешенства, Воскрешения, Болезни, Облака смерти, Старости, Поднятия демонов, Смертельного взгляда, Яда, Вампиризма и Страха. При стрельбе Лич наносит урон цели и всем живым существам вокруг неё.</t>
  </si>
  <si>
    <t>Могущественные личи защищены от Забывчивости, Проклятия, Благословления, Слепоты, Бешенства, Воскрешения, Болезни, Облака смерти, Старости, Поднятия демонов, Смертельного взгляда, Яда, Вампиризма и Страха. При стрельбе Могущественный лич наносит урон цели и всем живым существам вокруг неё.</t>
  </si>
  <si>
    <t>Чёрные рыцари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 С вероятностью 25% Чёрный рыцарь может наложить на цель Базовое Проклятие. Урон цели снизится до минимума, т.е. ответный удар в этом случае будет минимальным.</t>
  </si>
  <si>
    <t>Рыцари смерти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 С вероятностью 25% Рыцарь смерти может наложить на цель Базовое Проклятие. Урон цели снизится до минимума, т.е. ответный удар в этом случае будет минимальным. С 20% вероятностью Рыцарь смерти может нанести Смертельный удар - урон в этом случае удвоится.</t>
  </si>
  <si>
    <t xml:space="preserve">Костяные драконы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 </t>
  </si>
  <si>
    <t>Драконы-привидения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 С вероятностью 20% Дракон-привидение может наложить на цель Старость. Здоровье цели снизится вдвое.</t>
  </si>
  <si>
    <t>Троглодиты защищены от Слепоты и Окаменения.</t>
  </si>
  <si>
    <t>Адские троглодиты защищены от Слепоты и Окаменения.</t>
  </si>
  <si>
    <t>Цель не отвечает на атаку Гарпии-ведьмы.</t>
  </si>
  <si>
    <t>Бехолдер не имеет штрафа в ближнем бою.</t>
  </si>
  <si>
    <t>Созерцатель не имеет штрафа в ближнем бою.</t>
  </si>
  <si>
    <t>Медуза не имеет штрафа в ближнем бою. С вероятностью 20% при ударе в ближнем бою Медуза может наложить на цель Окаменение. В результате ответного удара на такую атаку не будет.</t>
  </si>
  <si>
    <t>Королева медуз не имеет штрафа в ближнем бою. С вероятностью 20% при ударе в ближнем бою Королева медуз может наложить на цель Окаменение. В результате ответного удара на такую атаку не будет.</t>
  </si>
  <si>
    <t>С вероятностью 20% при ударе в ближнем бою Скорпикора может наложить на цель Паралич. В результате ответного удара на такую атаку не будет.</t>
  </si>
  <si>
    <t>Красный дракон защищён от Яда, Болезни, Окаменения и магических способностей 1-3 уровня.</t>
  </si>
  <si>
    <t>Чёрный дракон защищён от Яда, Болезни, Окаменения, Паралича, Старости и всех магических способностей. Чёрные драконы наносят на 50% урона больше Титанам.</t>
  </si>
  <si>
    <t>При стрельбе Магог наносит урон цели и всем существам вокруг неё.</t>
  </si>
  <si>
    <t>Цель не отвечает на атаку Цербера.</t>
  </si>
  <si>
    <t>Архидьяволы наносят на 50% урона больше Ангелам и Архангелам. Цель не отвечает на атаки Архидьявола.</t>
  </si>
  <si>
    <t>Дьяволы наносят на 50% урона больше Ангелам и Архангелам. Цель не отвечает на атаки Дьявола.</t>
  </si>
  <si>
    <t>Ифриты защищены от магических способностей школы огня. Ифриты наносят на 50% урона больше Джиннам и Мастер-джиннам.</t>
  </si>
  <si>
    <t>Султаны-ифриты защищены от магических способностей школы огня. Султаны-ифриты наносят на 50% урона больше Джиннам и Мастер-джиннам. Султаны-ифриты имеют Огненный щит, который наносит атакующему 20% от наносимого им урона в ближнем бою.</t>
  </si>
  <si>
    <t>Змий снимает с цели все положительные заклинания при атаке.</t>
  </si>
  <si>
    <t>Стрекоза снимает с цели все положительные заклинания при атаке и накладывает на цель Продвинутую Слабость. Атака цели при этом снижается на 6, т.е. ответный удар будет слабее.</t>
  </si>
  <si>
    <t>С вероятностью 20% при ударе Василиск может наложить на цель Окаменение. В результате ответного удара на такую атаку не будет.</t>
  </si>
  <si>
    <t>С вероятностью 20% при ударе Великий василиск может наложить на цель Окаменение. В результате ответного удара на такую атаку не будет.</t>
  </si>
  <si>
    <t>С вероятностью 10% на каждую Могучую горгону, Смертельный взгляд убивает 1 существо в целевом отряде.</t>
  </si>
  <si>
    <t>Цель не отвечает на атаку Гидры. При атаке Гидра наносит урон цели и всем вражеским существам вокруг себя.</t>
  </si>
  <si>
    <t>Цель не отвечает на атаку Гидры хаоса. При атаке Гидра хаоса наносит урон цели и всем вражеским существам вокруг себя.</t>
  </si>
  <si>
    <t>Налётчик делает 2 удара за ход, если цель осталась жива после первого удара, а Налётчики остались живы после ответа на атаку.</t>
  </si>
  <si>
    <t>Крестоносец делает 2 удара за ход, если цель осталась жива после первого удара, а Крестоносцы остались живы после ответа на атаку.</t>
  </si>
  <si>
    <t>При атаке Чудище игнорирует 40% защиты цели.</t>
  </si>
  <si>
    <t>При атаке Древнее чудище игнорирует 80% защиты цели.</t>
  </si>
  <si>
    <t>Цель не отвечает на атаки Феи.</t>
  </si>
  <si>
    <t>Элементали защищены от Слепоты, Бешенства, Воскрешения, Болезни, Облака смерти, Старости, Поднятия демонов, Смертельного взгляда, Яда, Вампиризма и Страха. Элементали воздуха наносят на 100% урона больше Элементалям земли и магмы.</t>
  </si>
  <si>
    <t>Элементали защищены от Забывчивости, Слепоты, Бешенства, Воскрешения, Болезни, Облака смерти, Старости, Поднятия демонов, Смертельного взгляда, Яда, Вампиризма и Страха. Штормовые элементали наносят на 100% урона больше Элементалям земли и магмы.</t>
  </si>
  <si>
    <t>Элементали защищены от Слепоты, Бешенства, Воскрешения, Болезни, Облака смерти, Старости, Поднятия демонов, Смертельного взгляда, Яда, Вампиризма и Страха. Элементали воды наносят на 100% урона больше Элементалям огня и энергии.</t>
  </si>
  <si>
    <t>Элементали защищены от Забывчивости, Слепоты, Бешенства, Воскрешения, Болезни, Облака смерти, Старости, Поднятия демонов, Смертельного взгляда, Яда, Вампиризма и Страха. Ледяные элементали наносят на 100% урона больше Элементалям огня и энергии.</t>
  </si>
  <si>
    <t>Элементали защищены от Слепоты, Бешенства, Воскрешения, Болезни, Облака смерти, Старости, Поднятия демонов, Смертельного взгляда, Яда, Вампиризма и Страха. Элементали огня наносят на 100% урона больше Элементалям воды и льда. Элементали огня защищены от магических способностей школы огня.</t>
  </si>
  <si>
    <t>Элементали защищены от Слепоты, Бешенства, Воскрешения, Болезни, Облака смерти, Старости, Поднятия демонов, Смертельного взгляда, Яда, Вампиризма и Страха. Энергетические элементали наносят на 100% урона больше Элементалям воды и льда. Энергетические элементали защищены от магических способностей школы огня.</t>
  </si>
  <si>
    <t>Элементали защищены от Слепоты, Бешенства, Воскрешения, Болезни, Облака смерти, Старости, Поднятия демонов, Смертельного взгляда, Яда, Вампиризма и Страха. Элементали земли наносят на 100% урона больше Элементалям воздуха и шторма.</t>
  </si>
  <si>
    <t>Элементали защищены от Слепоты, Бешенства, Воскрешения, Болезни, Облака смерти, Старости, Поднятия демонов, Смертельного взгляда, Яда, Вампиризма и Страха. Магмовые элементали наносят на 100% урона больше Элементалям воздуха и шторма.</t>
  </si>
  <si>
    <t>Элементали защищены от Слепоты, Бешенства, Воскрешения, Болезни, Облака смерти, Старости, Поднятия демонов, Смертельного взгляда, Яда, Вампиризма и Страха. При атаке Психический элементаль наносит урон цели и всем вражеским существам вокруг себя. Психические элементали наносят на 50% урона меньше нежити, големам, Гигантам, Титанам, элементалям и Чёрным драконам.</t>
  </si>
  <si>
    <t>Магические элементали защищены от Яда, Болезни, Окаменения, Паралича, Старости и всех магических способностей. При атаке магический элементаль наносит урон цели и всем вражеским существам вокруг себя. Магические элементали наносят на 50% урона меньше Магическим элементалям и Чёрным драконам.</t>
  </si>
  <si>
    <t>Огненные птицы защищены от магических способностей школы огня.</t>
  </si>
  <si>
    <t>Фениксы защищены от магических способностей школы огня.</t>
  </si>
  <si>
    <t>Мумии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 С вероятностью 25% Мумия может наложить на цель Базовое Проклятие. Урон цели снизится до минимума, т.е. ответный удар в этом случае будет минимальным.</t>
  </si>
  <si>
    <t>Снайпер не имеет штрафов за расстояние и при стрельбе через стены</t>
  </si>
  <si>
    <t>Золотые големы защищены от Бешенства, Слепоты, Воскрешения, Болезни, Облака смерти, Старости, Поднятия демонов, Смертельного взгляда, Яда, Вампиризма и Страха.</t>
  </si>
  <si>
    <t>Алмазные големы защищены от Бешенства, Слепоты, Воскрешения, Болезни, Облака смерти, Старости, Поднятия демонов, Смертельного взгляда, Яда, Вампиризма и Страха.</t>
  </si>
  <si>
    <t>Чародей не имеет штрафа при стрельбе через стены.</t>
  </si>
  <si>
    <t>При атаке Ржавые дракон снижает защиту цели на 3 Кислотным дыханием и с вероятностью 20% наносит дополнительно 25 урона за каждого дракона.</t>
  </si>
  <si>
    <t>Лазурные драконы защищены от Яда, Болезни, Окаменения и магических способностей 1-3 уровня.</t>
  </si>
  <si>
    <t>Полёт, Страх, Защита от магии 1-3 уровня, Дыхание дракона</t>
  </si>
  <si>
    <t>На Копейщиков не действует Кавалерийский бонус.</t>
  </si>
  <si>
    <t>На Алебардщиков не действует Кавалерийский бонус.</t>
  </si>
  <si>
    <t>ШАБЛОН Mini-Nostalgia</t>
  </si>
  <si>
    <t>32 выстрела. Нет штрафа при стрельбе через стены. Нет штрафа в ближнем бою. Случайная магия (каждые 3 раунда, начиная с первого, перед ходом) - автоматически может наколдовать следующие заклинания: Слабость (шанс 4/84), Медлительность (шанс 10/84), Ускорение (шанс 15/84), Каменная кожа (шанс 15/84), Благословление (шанс 15/84), Воздушный щит (шанс 10/84, если есть вражеские стрелки), Жажда крови (шанс 5/84), Лечение (шанс 10/84, если есть раненые существа). Все заклинания действуют на Экспертном уровне магии. Все заклинания накладываются на 3 раунда. Все отряды Чародеев колдуют одно заклинание одновременно.</t>
  </si>
  <si>
    <t>Стрельба, Нет штрафа за стены, Нет штрафа в б.б., Случайная магия</t>
  </si>
  <si>
    <r>
      <t xml:space="preserve">     </t>
    </r>
    <r>
      <rPr>
        <b/>
        <sz val="10"/>
        <rFont val="Arial Cyr"/>
        <charset val="204"/>
      </rPr>
      <t>3. ЦИТАДЕЛЬ.</t>
    </r>
    <r>
      <rPr>
        <sz val="10"/>
        <rFont val="Arial Cyr"/>
        <charset val="204"/>
      </rPr>
      <t xml:space="preserve"> Основной проблема при игре против Цитадели - Птицы рух. ИИ часто строит их первым ходом и выкупает. А они очень стойкие и наносят большой урон. Да и Налётчики с Гоблинами под управлением варвара с Нападением и 4+ атакой бьют ощутимо. Самый опасный для Вас герой - Гурниссон с Птицами рух, Орками и Баллистой. При наличии Орков, Наездники на волках с Гоблинами могут обступить их, а не идти вперёд, вот и выкуривай их оттуда, пока тебя обстреливают. Отсидеться в городе против Птиц рух сложновато, одних Огров часто не хватает. К счастью, ИИ регулярно забывает построить Башню орков. А 8 Орков и 4 Огра при поддержке стрелковых башен Цитадели вполне держатся. Только строить всё это долго, поэтому героев Цитадели лучше разбивать сразу.</t>
    </r>
  </si>
  <si>
    <r>
      <t xml:space="preserve">     </t>
    </r>
    <r>
      <rPr>
        <b/>
        <sz val="10"/>
        <rFont val="Arial Cyr"/>
        <charset val="204"/>
      </rPr>
      <t>4. ТЕМНИЦА.</t>
    </r>
    <r>
      <rPr>
        <sz val="10"/>
        <rFont val="Arial Cyr"/>
        <charset val="204"/>
      </rPr>
      <t xml:space="preserve"> Основная проблема тут - чернокнижники со стартовой ударной магией. Хотя и без них может быть неприятно - войска достаточно сильные, а Бехолдеры с Медузами еще и без штрафа в ближнем бою. Единственная радость - ИИ редко ставит на первой неделе Гильдию магов.</t>
    </r>
  </si>
  <si>
    <r>
      <t xml:space="preserve">     </t>
    </r>
    <r>
      <rPr>
        <b/>
        <sz val="10"/>
        <rFont val="Arial Cyr"/>
        <charset val="204"/>
      </rPr>
      <t>6-8. ЗАМОК, ОПЛОТ, ИНФЕРНО.</t>
    </r>
    <r>
      <rPr>
        <sz val="10"/>
        <rFont val="Arial Cyr"/>
        <charset val="204"/>
      </rPr>
      <t xml:space="preserve"> Похожие по набору войск города, опасность тоже примерно равная. Стрелки слабоваты, войска ближнего боя тоже, стартовая ударная магия - редкость, да и магические параметры у героев-магов слабенькие. Замок и Инферно Гильдию магов иногда ставят, но обычно не раньше 3-5 дня. Оплот Гильдию магов на первой неделе обычно не ставит. За Замок обычно отбиваемся Грифонами, за Оплот - дендроидами или Пегасами (ИИ их почти не ставит), за Инферно - Порождениями зла или Адскими гончими (кого ИИ не построил). Большой плюс, что у этих рас особо нет летающих войск в начале, а стрелки быстро погибают при обороне от стрелковых башен и Магической стрелы.</t>
    </r>
  </si>
  <si>
    <r>
      <t xml:space="preserve">     </t>
    </r>
    <r>
      <rPr>
        <b/>
        <sz val="10"/>
        <rFont val="Arial Cyr"/>
        <charset val="204"/>
      </rPr>
      <t>1-2. КРЕПОСТЬ.</t>
    </r>
    <r>
      <rPr>
        <sz val="10"/>
        <rFont val="Arial Cyr"/>
        <charset val="204"/>
      </rPr>
      <t xml:space="preserve"> Самая опасная для Вас армия. ИИ почти всегда ставит первым делом Гнездо виверн и тут же скупает их. Поэтому Вас могут встретить 2 летучих отряда (Змии и Виверны) и достаточно мощный стрелковый отряд Ящеров. От такой напасти не всегда удается отбиться даже в Цитадели. Если же у ИИ появляется Розик, то к нему лучше вообще не соваться, ибо к убойной мощи болотных войск добавится еще 120 урона от Магической стрелы. ИИ, играющий за Крепость, особенно плох тем, что если не удалось подманить его сразу после захвата города, то потом будут неприятности с обороной. Обычно отбиваются Василисками при отстроенной Цитадели и героем-магом с Магической стрелой, но всё равно тяжело. Иногда имеет смысл оставить часть своих войск, которые пожирнее (големы, гномы, огры).</t>
    </r>
  </si>
  <si>
    <r>
      <t xml:space="preserve">     </t>
    </r>
    <r>
      <rPr>
        <b/>
        <sz val="10"/>
        <rFont val="Arial Cyr"/>
        <charset val="204"/>
      </rPr>
      <t>9. НЕКРОПОЛИС.</t>
    </r>
    <r>
      <rPr>
        <sz val="10"/>
        <rFont val="Arial Cyr"/>
        <charset val="204"/>
      </rPr>
      <t xml:space="preserve"> Самый слабый город в рассматриваемом контексте. В начале игры все 4 первых уровня существ - воины ближнего боя (Личей ИИ рано не строит), медленные, поэтому проблем может доставить только ударная магия (Айслин, Сандро и т.д.).</t>
    </r>
  </si>
  <si>
    <t>ШАБЛОН Nostalgia</t>
  </si>
  <si>
    <r>
      <rPr>
        <b/>
        <sz val="10"/>
        <color theme="1"/>
        <rFont val="Arial"/>
        <family val="2"/>
        <charset val="204"/>
      </rPr>
      <t xml:space="preserve">     Оптимальный размер карты:</t>
    </r>
    <r>
      <rPr>
        <sz val="10"/>
        <color theme="1"/>
        <rFont val="Arial"/>
        <family val="2"/>
        <charset val="204"/>
      </rPr>
      <t xml:space="preserve"> L или L+U. На 8 игроков.</t>
    </r>
  </si>
  <si>
    <r>
      <rPr>
        <b/>
        <sz val="10"/>
        <color theme="1"/>
        <rFont val="Arial"/>
        <family val="2"/>
        <charset val="204"/>
      </rPr>
      <t xml:space="preserve">     Оптимальный размер карты:</t>
    </r>
    <r>
      <rPr>
        <sz val="10"/>
        <color theme="1"/>
        <rFont val="Arial"/>
        <family val="2"/>
        <charset val="204"/>
      </rPr>
      <t xml:space="preserve"> L+U. На 8 игроков (6 ИИ-игроков).</t>
    </r>
  </si>
  <si>
    <t>1-2, 4-9 - много [0-3000], средне [3000-6000], мало [10000-15000]. Все зоны без городов.</t>
  </si>
  <si>
    <t>16-24 - много [6000-9000], много [10000-17000], мало [17000-20000]. В этих зонах есть города без Форта.</t>
  </si>
  <si>
    <t>3 - много [10000-15000], средне [15000-20000], мало [20000-30000]. В этой зоне нет городов.</t>
  </si>
  <si>
    <t>ШАБЛОН Jebus Cross</t>
  </si>
  <si>
    <r>
      <t xml:space="preserve">(Основано на информации </t>
    </r>
    <r>
      <rPr>
        <b/>
        <i/>
        <sz val="8"/>
        <rFont val="Arial Cyr"/>
        <charset val="204"/>
      </rPr>
      <t xml:space="preserve">MaximusX </t>
    </r>
    <r>
      <rPr>
        <i/>
        <sz val="8"/>
        <rFont val="Arial Cyr"/>
        <charset val="204"/>
      </rPr>
      <t>и</t>
    </r>
    <r>
      <rPr>
        <b/>
        <i/>
        <sz val="8"/>
        <rFont val="Arial Cyr"/>
        <charset val="204"/>
      </rPr>
      <t xml:space="preserve"> Typucm</t>
    </r>
    <r>
      <rPr>
        <i/>
        <sz val="8"/>
        <rFont val="Arial Cyr"/>
        <charset val="204"/>
      </rPr>
      <t xml:space="preserve">, </t>
    </r>
    <r>
      <rPr>
        <i/>
        <u/>
        <sz val="8"/>
        <color rgb="FF362CFC"/>
        <rFont val="Arial Cyr"/>
        <charset val="204"/>
      </rPr>
      <t>heroes.ag.ru</t>
    </r>
    <r>
      <rPr>
        <i/>
        <sz val="8"/>
        <rFont val="Arial Cyr"/>
        <charset val="204"/>
      </rPr>
      <t xml:space="preserve">, </t>
    </r>
    <r>
      <rPr>
        <b/>
        <i/>
        <sz val="8"/>
        <rFont val="Arial Cyr"/>
        <charset val="204"/>
      </rPr>
      <t>Neoandy</t>
    </r>
    <r>
      <rPr>
        <i/>
        <sz val="8"/>
        <rFont val="Arial Cyr"/>
        <charset val="204"/>
      </rPr>
      <t xml:space="preserve">, </t>
    </r>
    <r>
      <rPr>
        <i/>
        <u/>
        <sz val="8"/>
        <color rgb="FF0066FF"/>
        <rFont val="Arial Cyr"/>
        <charset val="204"/>
      </rPr>
      <t>heroesportal.net</t>
    </r>
    <r>
      <rPr>
        <i/>
        <sz val="8"/>
        <rFont val="Arial Cyr"/>
        <charset val="204"/>
      </rPr>
      <t>)</t>
    </r>
  </si>
  <si>
    <r>
      <rPr>
        <b/>
        <sz val="10"/>
        <color theme="1"/>
        <rFont val="Arial"/>
        <family val="2"/>
        <charset val="204"/>
      </rPr>
      <t xml:space="preserve">     Стандартные настройки:</t>
    </r>
    <r>
      <rPr>
        <sz val="10"/>
        <color theme="1"/>
        <rFont val="Arial"/>
        <family val="2"/>
        <charset val="204"/>
      </rPr>
      <t xml:space="preserve"> XL-U, 2 игрока, без воды, монстры - сильные, сложность 160 %. </t>
    </r>
  </si>
  <si>
    <t>1-4 - много [300-3000], средне [5000-16000], мало [12000-22000].</t>
  </si>
  <si>
    <t>5 - много [10000-25000], много [25000-35000], средне [35000-55000].</t>
  </si>
  <si>
    <t xml:space="preserve">     Зоны 1-4 - одинаковы, две из них являются стартовыми для игроков. В двух других может стартовать компьютер (если в настройках карты указано 3-4 игрока) или третий-четвертый игроки-люди. Ландшафт этих зон соответствует стартовому городу. В них расположено по 2 деревни случайного типа (кроме Некрополя и Сопряжения), по 4 шахты дерева/руды, по 1 шахте кристаллов, ртути, самоцветов и серы, по 2 шахты золота. Монстры - слабые, размер - 30. Единственный выход из зон - в центральную зону 5. Проход охраняется сильно - 45000. Центральная зона чуть больше по размеру (40). В ней расположено 2 города с Фортом случайного типа (но не Некрополь или Сопряжение) и 4 золотые шахты. Ландшафт - всегда песок. Монстры - сильные. Охраны нигде не могут состоять из элементалей. </t>
  </si>
  <si>
    <t xml:space="preserve">     Рекомендуемые поправки к правилам для игры на данном шаблоне: </t>
  </si>
  <si>
    <t xml:space="preserve">     - Рестарт по желанию игрока, у которого единственная дорога ведет в ГО. Берется в день обнаружения этого факта. </t>
  </si>
  <si>
    <t xml:space="preserve">     - Рестарт по желанию игрока, у которого отсутствует дорога в центральную трежу. Берется в день обнаружения этого факта.</t>
  </si>
  <si>
    <t xml:space="preserve">     - Рестарт по медленным дорогам. Берется при желании хотя бы одного из соперников сразу после генерации карты.</t>
  </si>
  <si>
    <t xml:space="preserve">     - Использовать «Крылья ангела» и заклинания "Полёт" и "Дверь измерений" при переходе с одной зоны на другую разрешено только, если пробита охрана между ними.</t>
  </si>
  <si>
    <t xml:space="preserve">     - В случае возникновения багнутых проходов между зонами проходить на соседнюю зону можно только, если с обеих зон пробита ГО в центр.</t>
  </si>
  <si>
    <t>HD-мод для игры в Героев Меча и Магии III.</t>
  </si>
  <si>
    <r>
      <t xml:space="preserve">     </t>
    </r>
    <r>
      <rPr>
        <b/>
        <sz val="10"/>
        <rFont val="Arial"/>
        <family val="2"/>
        <charset val="204"/>
      </rPr>
      <t>HoMM 3 HD</t>
    </r>
    <r>
      <rPr>
        <sz val="10"/>
        <rFont val="Arial"/>
        <family val="2"/>
        <charset val="204"/>
      </rPr>
      <t xml:space="preserve"> - это неофициальное дополнение (глобальный функциональный патч) к игре Heroes of Might and Magic 3 (Герои Меча и Магии 3). Изначально HoMM 3 HD создавался для изменения оригинального разрешения игры 800x600 на большее, но сейчас его функциональность гораздо шире. HoMM 3 HD не затрагивает оригинальный геймплей, а улучшает функциональную часть интерфейса, делает игру гораздо более удобной, исправляет ряд багов оригинальной игры и добавляет незаменимый для онлайн игры функционал. Все расширения и исправления опциональны, каждый игрок сможет настроить игру согласно своим потребностям. Все имеющиеся незначительные изменения графики сделаны с сохранением оригинального стиля. HoMM 3 HD абсолютно не затрагивает файлы оригинальной игры, на которую устанавливается (то есть абсолютно не измененный оригинал можно запускать из той же папки, в которую установлен HoMM 3 HD). </t>
    </r>
  </si>
  <si>
    <t xml:space="preserve">     ПОДРОБНОЕ ОПИСАНИЕ:</t>
  </si>
  <si>
    <r>
      <rPr>
        <sz val="10"/>
        <rFont val="Arial Cyr"/>
        <charset val="204"/>
      </rPr>
      <t xml:space="preserve">     Официальный сайт HD-мода: </t>
    </r>
    <r>
      <rPr>
        <b/>
        <u/>
        <sz val="10"/>
        <color indexed="12"/>
        <rFont val="Arial Cyr"/>
        <charset val="204"/>
      </rPr>
      <t>www.sites.google.com/site/heroes3hd/rus/description</t>
    </r>
  </si>
  <si>
    <t xml:space="preserve">     HoMM3 HD позволяет изменять разрешение игры на любое от 800x600 до 4000x4000.  </t>
  </si>
  <si>
    <t xml:space="preserve">     При изменении разрешения в игре, меняется размер видимой области карты в окне приключений и при просмотре мира/земли/воздуха. Главное меню, вступительные видеоролики, видеоролики победы и поражения, экран загрузки, экран рекордов, меню оригинальных кампаний, выводятся без изменения размеров по центру в рамке. Остальные экраны (города, битвы, обзора королевства, гильдии воров, и пр.) отображаются без изменения  размеров в виде окон.</t>
  </si>
  <si>
    <t xml:space="preserve">     Расширенная функциональность интерфейса (см.п.2) доступна в полном объеме, если вертикальное разрешение не меньше 664 пикселя.</t>
  </si>
  <si>
    <r>
      <t xml:space="preserve">    </t>
    </r>
    <r>
      <rPr>
        <b/>
        <sz val="10"/>
        <rFont val="Arial"/>
        <family val="2"/>
        <charset val="204"/>
      </rPr>
      <t xml:space="preserve"> 1. ГРАФИКА.</t>
    </r>
  </si>
  <si>
    <t xml:space="preserve">     Разрешение (исходный размер):</t>
  </si>
  <si>
    <r>
      <t xml:space="preserve">    </t>
    </r>
    <r>
      <rPr>
        <b/>
        <sz val="10"/>
        <rFont val="Arial"/>
        <family val="2"/>
        <charset val="204"/>
      </rPr>
      <t xml:space="preserve"> 2. РАСШИРЕННАЯ ФУНКЦИОНАЛЬНОСТЬ ИНТЕРФЕЙСА И НАСТРОЕК ИГРЫ.</t>
    </r>
  </si>
  <si>
    <t xml:space="preserve">     * список героев в менеджере приключений увеличен до 8, а список городов до 7 (вертикальное разрешение должно быть &gt;= 664);</t>
  </si>
  <si>
    <t xml:space="preserve">     * [Alt]+click на героя/замок в окне приключений перемещает их в самый верх списка;</t>
  </si>
  <si>
    <t xml:space="preserve">     * можно управлять армией в информационной панели героя/города в правом нижнем углу окна (работает быстрое управление армией);</t>
  </si>
  <si>
    <t xml:space="preserve">     * колесо мыши прокручивает список городов;</t>
  </si>
  <si>
    <t xml:space="preserve">     * клавиша [B] вызывает окно Рынка (если он построен);</t>
  </si>
  <si>
    <t xml:space="preserve">     * можно быстро переодеть героя (см.Костюмы);</t>
  </si>
  <si>
    <t xml:space="preserve">     * клавиша [G] вызывает Гильдию воров (если построена Таверна);</t>
  </si>
  <si>
    <t xml:space="preserve">     * средняя кнопка мыши (клавиша [F5]) вызывает быстрое меню с пунктами: рынок, гильдия воров, быстрая битва, границы двери измерений, посмотреть свой ход, сетка на карте.</t>
  </si>
  <si>
    <t xml:space="preserve">     * доступно числовое значение очков перемещения героя (наведение мыши на портрет героя в списке или щелчок правой кнопкой мыши на зеленый столбик рядом с портретом).</t>
  </si>
  <si>
    <t xml:space="preserve">     * при посещении/поднятии ряда объектов на карте не выводится стандартное окно сообщения, однако информация выводится в информационной панели окна приключений (как при подборе ресурсов)</t>
  </si>
  <si>
    <t xml:space="preserve">     * время отображения информации в инфо-панели равно 7 сек. (оригинальная инфа о подборе ресурса - 5 сек.)</t>
  </si>
  <si>
    <t xml:space="preserve">     Объекты/события, подвергшиеся нововведению:</t>
  </si>
  <si>
    <t xml:space="preserve">     Шахты ресурсов, Мельницы, Мистический сад, Сарай, Тюрьма, Вуаль тьмы, Маяк, Палатка ключника, Буй, Обелиск, Логово воров, Русалка, Водоем, Обломки, Святилище, Камень знаний, Оазис, Бивачный костер, Конюшня, Огненный столп, Обсерватория, Заброшенная шахта, Магические святыни, Свитки с заклинаниями, Повозка, Морской сундук (если не артефакт), Цветной страж (если палатка не посещена), Магический колодец (если восстановил ману, в инфо-панели рисуется не стандартный текст, а иконка очков заклинаний с количеством), Магический источник (если удвоил ману, в инфо-панели рисуется не стандартный текст, а иконка очков заклинаний с количеством), Сирены, Библиотека просвещения, Картограф (если карта уже куплена), Скелет, Пирамида, Хижина провидца, Банки существ, Склеп, Улей, Консерватория, Утопия драконов, Могила воина, Покинутый корабль, Место кораблекрушения (если пустые), Все объекты, изменяющие боевой дух/удачу, Все объекты бесплатно повышающие на +1 первичные навыки, Артефакты, Древо знаний (если повышает бесплатно или уже повышало), Поднятие существ Некромантией после битвы.</t>
  </si>
  <si>
    <r>
      <t xml:space="preserve">    </t>
    </r>
    <r>
      <rPr>
        <b/>
        <sz val="10"/>
        <rFont val="Arial"/>
        <family val="2"/>
        <charset val="204"/>
      </rPr>
      <t xml:space="preserve"> 2.3.</t>
    </r>
    <r>
      <rPr>
        <sz val="10"/>
        <rFont val="Arial"/>
        <family val="2"/>
        <charset val="204"/>
      </rPr>
      <t xml:space="preserve"> Таймер.</t>
    </r>
  </si>
  <si>
    <r>
      <t xml:space="preserve">    </t>
    </r>
    <r>
      <rPr>
        <b/>
        <sz val="10"/>
        <rFont val="Arial"/>
        <family val="2"/>
        <charset val="204"/>
      </rPr>
      <t xml:space="preserve"> 2.2. </t>
    </r>
    <r>
      <rPr>
        <sz val="10"/>
        <rFont val="Arial"/>
        <family val="2"/>
        <charset val="204"/>
      </rPr>
      <t>Глобальное ускорение взаимодействия с картой.</t>
    </r>
  </si>
  <si>
    <r>
      <t xml:space="preserve">     </t>
    </r>
    <r>
      <rPr>
        <b/>
        <sz val="10"/>
        <rFont val="Arial"/>
        <family val="2"/>
        <charset val="204"/>
      </rPr>
      <t>2.1.</t>
    </r>
    <r>
      <rPr>
        <sz val="10"/>
        <rFont val="Arial"/>
        <family val="2"/>
        <charset val="204"/>
      </rPr>
      <t xml:space="preserve"> Окно приключений.</t>
    </r>
  </si>
  <si>
    <t xml:space="preserve">     * Добавлено непрерывное отображение оставшегося времени на ход в формате мм:сс (при игре с таймером), независимо от того, какое окно активно.</t>
  </si>
  <si>
    <r>
      <t xml:space="preserve">    </t>
    </r>
    <r>
      <rPr>
        <b/>
        <sz val="10"/>
        <rFont val="Arial"/>
        <family val="2"/>
        <charset val="204"/>
      </rPr>
      <t xml:space="preserve"> 2.4.</t>
    </r>
    <r>
      <rPr>
        <sz val="10"/>
        <rFont val="Arial"/>
        <family val="2"/>
        <charset val="204"/>
      </rPr>
      <t xml:space="preserve"> Окно обмена между героями.</t>
    </r>
  </si>
  <si>
    <t xml:space="preserve">     * добавлены 7+7 кнопок односторонней передачи стека существ от героя к герою. При зажатой [ALT] или [CTRL] или [SHIFT] эти кнопки меняют функциональность (и иконки):</t>
  </si>
  <si>
    <t xml:space="preserve">        [ALT] - передается вся армия, кроме единички из стека над нажатой кнопкой.</t>
  </si>
  <si>
    <t xml:space="preserve">        [CTRL] - передает единичку другому герою в свободный слот</t>
  </si>
  <si>
    <t xml:space="preserve">     * добавлена кнопка обмена армиями (хоткей: [F10]); </t>
  </si>
  <si>
    <t xml:space="preserve">     * добавлены 1+1 кнопки односторонней  передачи всей армии: если при нажатии такой кнопки выделен стек существ, то остается единичка этого стека, иначе - единичка самого низкоуровневого медленного существа;</t>
  </si>
  <si>
    <t xml:space="preserve">     * работает быстрое управление армией;</t>
  </si>
  <si>
    <t xml:space="preserve">        [SHIFT] - добавляет единичку другому герою в слот с таким же типом существ или в пустой;</t>
  </si>
  <si>
    <t xml:space="preserve">     * быстрое управление артефактами: [CTRL]+клик передает артефакт другому герою и одевает на куклу, [SHIFT]+клик передает артефакт другому герою в рюкзак, [ALT]+клик одевает артефакт из рюкзака или снимает с куклы в рюкзак. Работает и в новом окне рюкзака.</t>
  </si>
  <si>
    <t>(Информация взята с оф.сайта HD-мода)</t>
  </si>
  <si>
    <t xml:space="preserve">     * добавлены 1+1 кнопки односторонней передачи артефактов:  предают все артефакты героев. С зажатым [CTRL] (меняются иконки)  - только артефакты куклы. С зажатым [SHIFT]  (меняются иконки)  - только артефакты рюкзака.   - добавлена кнопка обмена артефактами (хоткей: [F11]) : меняет все артефакты героев. С зажатым [CTRL] меняет только артефакты куклы. С зажатым [SHIFT] меняет только артефакты рюкзака;</t>
  </si>
  <si>
    <t xml:space="preserve">     * добавлена кнопка передачи фокуса правому герою (хоткей: [-&gt;]): закрывает окно, как и кнопка 'Ok', но активным становится правый герой;</t>
  </si>
  <si>
    <t xml:space="preserve">     * колесо мыши прокручивает артефакты в рюкзаках;</t>
  </si>
  <si>
    <t xml:space="preserve">     * добавленная панель статуса отображает подсказки по наведению мыши, а лог показывает только историю битвы (вертикальное разрешение должно быть &gt;= 664); - клавиша [L] позволяет загрузить сохраненную игру;</t>
  </si>
  <si>
    <t xml:space="preserve">     * битву можно быстро завершить, нажав [Q] . Битва завершится так, как если бы мы нажали кнопку "автобитва" без магии, но мгновенно, без анимации (игра спросит подтверждение);</t>
  </si>
  <si>
    <r>
      <t xml:space="preserve">    </t>
    </r>
    <r>
      <rPr>
        <b/>
        <sz val="10"/>
        <rFont val="Arial"/>
        <family val="2"/>
        <charset val="204"/>
      </rPr>
      <t xml:space="preserve"> 2.5.</t>
    </r>
    <r>
      <rPr>
        <sz val="10"/>
        <rFont val="Arial"/>
        <family val="2"/>
        <charset val="204"/>
      </rPr>
      <t xml:space="preserve"> Окно битвы.</t>
    </r>
  </si>
  <si>
    <t xml:space="preserve">     * тень курсора показывает именно те клетки, куда встанет существо после перемещения (особенно актуально для двухклеточных существ);</t>
  </si>
  <si>
    <t xml:space="preserve">     * наведение курсора с зажатой клавишей [Shift] или [Ctrl] на отряд покажет дальность хода существа:</t>
  </si>
  <si>
    <t xml:space="preserve">        [Shift] - ход с учетом стоящих на поле существ.</t>
  </si>
  <si>
    <t xml:space="preserve">     * в тактическом режиме существо можно выбирать щелчком мыши.</t>
  </si>
  <si>
    <t xml:space="preserve">        [Ctrl] - ход без учета стоящих на поле существ;</t>
  </si>
  <si>
    <r>
      <t xml:space="preserve">     </t>
    </r>
    <r>
      <rPr>
        <b/>
        <sz val="10"/>
        <rFont val="Arial"/>
        <family val="2"/>
        <charset val="204"/>
      </rPr>
      <t>2.6.</t>
    </r>
    <r>
      <rPr>
        <sz val="10"/>
        <rFont val="Arial"/>
        <family val="2"/>
        <charset val="204"/>
      </rPr>
      <t xml:space="preserve"> Окно опций битвы.</t>
    </r>
  </si>
  <si>
    <t xml:space="preserve">     * добавлены кнопки 'Загрузить игру', 'Переиграть сценарий', 'Главное Меню'.</t>
  </si>
  <si>
    <r>
      <t xml:space="preserve">     </t>
    </r>
    <r>
      <rPr>
        <b/>
        <sz val="10"/>
        <rFont val="Arial"/>
        <family val="2"/>
        <charset val="204"/>
      </rPr>
      <t>2.7.</t>
    </r>
    <r>
      <rPr>
        <sz val="10"/>
        <rFont val="Arial"/>
        <family val="2"/>
        <charset val="204"/>
      </rPr>
      <t xml:space="preserve"> Окно героя.</t>
    </r>
  </si>
  <si>
    <t xml:space="preserve">     * колесо мыши прокручивает артефакты в рюкзаке;</t>
  </si>
  <si>
    <t xml:space="preserve">     * добавлена кнопка, открывающая рюкзак;</t>
  </si>
  <si>
    <t xml:space="preserve">     * работает быстрое управление артефактами:</t>
  </si>
  <si>
    <t xml:space="preserve">        [ALT]+клик одевает артефакт из рюкзака или снимает с куклы в рюкзак. Работает и в новом окне рюкзака;</t>
  </si>
  <si>
    <t xml:space="preserve">     * можно быстро переодевать героя (см. Костюмы).</t>
  </si>
  <si>
    <r>
      <t xml:space="preserve">     </t>
    </r>
    <r>
      <rPr>
        <b/>
        <sz val="10"/>
        <rFont val="Arial"/>
        <family val="2"/>
        <charset val="204"/>
      </rPr>
      <t>2.8.</t>
    </r>
    <r>
      <rPr>
        <sz val="10"/>
        <rFont val="Arial"/>
        <family val="2"/>
        <charset val="204"/>
      </rPr>
      <t xml:space="preserve"> Книга заклинаний.</t>
    </r>
  </si>
  <si>
    <t xml:space="preserve">     * увеличена: на странице помещается в два раза больше заклинаний.</t>
  </si>
  <si>
    <r>
      <t xml:space="preserve">     </t>
    </r>
    <r>
      <rPr>
        <b/>
        <sz val="10"/>
        <rFont val="Arial"/>
        <family val="2"/>
        <charset val="204"/>
      </rPr>
      <t>2.9.</t>
    </r>
    <r>
      <rPr>
        <sz val="10"/>
        <rFont val="Arial"/>
        <family val="2"/>
        <charset val="204"/>
      </rPr>
      <t xml:space="preserve"> Окно городского портала.</t>
    </r>
  </si>
  <si>
    <t xml:space="preserve">     * города в списке в том же порядке, что и в списке игрока, за ними следуют города союзников, если есть;</t>
  </si>
  <si>
    <t xml:space="preserve">     * отображаются иконки городов;</t>
  </si>
  <si>
    <t xml:space="preserve">     * в списке отображаются занятые города (название другим цветом);</t>
  </si>
  <si>
    <t xml:space="preserve">     * при клике на город, он отмечается прямоугольником выделения на миникарте;</t>
  </si>
  <si>
    <t xml:space="preserve">     * город в котором стоит герой, произнесший заклинание отмечается как занятый.</t>
  </si>
  <si>
    <r>
      <t xml:space="preserve">     </t>
    </r>
    <r>
      <rPr>
        <b/>
        <sz val="10"/>
        <rFont val="Arial"/>
        <family val="2"/>
        <charset val="204"/>
      </rPr>
      <t>2.10.</t>
    </r>
    <r>
      <rPr>
        <sz val="10"/>
        <rFont val="Arial"/>
        <family val="2"/>
        <charset val="204"/>
      </rPr>
      <t xml:space="preserve"> Окно города.</t>
    </r>
  </si>
  <si>
    <t xml:space="preserve">     * клавиша [B] вызывает окно рынка (если он построен хотя бы в одном из городов) - клавиша [G] вызывает гильдию воров (если построена таверна хотя бы в одном из городов);</t>
  </si>
  <si>
    <t xml:space="preserve">        С зажатой [CTRL] - без подтверждения. С зажатой [ALT] - не апгрейды, без подтверждения;</t>
  </si>
  <si>
    <t xml:space="preserve">        С зажатой [CTRL] - без подтверждения. С зажатой [ALT] - не апгрейд, без подтверждения;</t>
  </si>
  <si>
    <t xml:space="preserve">     * вместо прироста существ показывается их количество;</t>
  </si>
  <si>
    <t xml:space="preserve">     * добавлен чат (как в окне приключений).</t>
  </si>
  <si>
    <t xml:space="preserve">     * клавиша [F10] меняет армии у посещающего героя и гарнизона города. - клавиша [пробел] не только меняет посещающего героя с гарнизонным местами, но и перемещает одного героя вверх-вниз;</t>
  </si>
  <si>
    <r>
      <t xml:space="preserve">     </t>
    </r>
    <r>
      <rPr>
        <b/>
        <sz val="10"/>
        <rFont val="Arial"/>
        <family val="2"/>
        <charset val="204"/>
      </rPr>
      <t>2.11.</t>
    </r>
    <r>
      <rPr>
        <sz val="10"/>
        <rFont val="Arial"/>
        <family val="2"/>
        <charset val="204"/>
      </rPr>
      <t xml:space="preserve"> Менеджер сценариев.</t>
    </r>
  </si>
  <si>
    <t xml:space="preserve">     * доступна навигация по папкам при выборе сценария;</t>
  </si>
  <si>
    <t xml:space="preserve">     * игры сохраняются в отдельную папку с именем сценария, если включена опция "сохранять все дни (для турниров)";</t>
  </si>
  <si>
    <t xml:space="preserve">     *расширена информация о стартовом герое.</t>
  </si>
  <si>
    <r>
      <t xml:space="preserve">     </t>
    </r>
    <r>
      <rPr>
        <b/>
        <sz val="10"/>
        <rFont val="Arial"/>
        <family val="2"/>
        <charset val="204"/>
      </rPr>
      <t>2.12.</t>
    </r>
    <r>
      <rPr>
        <sz val="10"/>
        <rFont val="Arial"/>
        <family val="2"/>
        <charset val="204"/>
      </rPr>
      <t xml:space="preserve"> Генератор случайных карт (RMG).</t>
    </r>
  </si>
  <si>
    <t xml:space="preserve">        ** к названию шаблона в списке добавляется информация о количестве игроков-людей и диапазоне размеров карты (информация берется из самого шаблона)</t>
  </si>
  <si>
    <t xml:space="preserve">        ** при выборе шаблона из списка автоматически корректируются настройки RMG, если они недопустимы для данного шаблона</t>
  </si>
  <si>
    <t xml:space="preserve">        ** шаблоны можно редактировать или добавлять свои: \_HD3_Data\Templates\название шаблона\rmg.txt ;</t>
  </si>
  <si>
    <t xml:space="preserve">     * можно выбрать шаблон:</t>
  </si>
  <si>
    <t xml:space="preserve">     * можно удобно и точно настроить союзы между игроками;</t>
  </si>
  <si>
    <t xml:space="preserve">     * можно выбрать тип дорог:</t>
  </si>
  <si>
    <t xml:space="preserve">        тип дорог может генерироваться рандомно из трех, двух, может быть задан точно, можно играть вообще без дорог.</t>
  </si>
  <si>
    <t xml:space="preserve">     * настройки RMG и уровень сложности в игре, выбранные в последний раз, запоминаются и автоматически выставляются перед следующей игрой.</t>
  </si>
  <si>
    <r>
      <t xml:space="preserve">     </t>
    </r>
    <r>
      <rPr>
        <b/>
        <sz val="10"/>
        <rFont val="Arial"/>
        <family val="2"/>
        <charset val="204"/>
      </rPr>
      <t>2.13.</t>
    </r>
    <r>
      <rPr>
        <sz val="10"/>
        <rFont val="Arial"/>
        <family val="2"/>
        <charset val="204"/>
      </rPr>
      <t xml:space="preserve"> Прочее.</t>
    </r>
  </si>
  <si>
    <t xml:space="preserve">     * Все полосы прокрутки в игре управляются колесом мыши.</t>
  </si>
  <si>
    <t xml:space="preserve">     * В таверне можно пригласить героя:</t>
  </si>
  <si>
    <t xml:space="preserve">        ** приглашенный герой появляется на месте нанятого.</t>
  </si>
  <si>
    <t xml:space="preserve">        ** только для одиночной игры</t>
  </si>
  <si>
    <t xml:space="preserve">        ** эта функция не является читом, или изменением оригинальных правил игры, так как абсолютно того же эффекта можно добиться в оригинале с помощью неопределенного количества загрузок сохраненной игры - покупок героя, с той лишь разницей что в HD это будет сделать быстрее, удобнее и приятнее;</t>
  </si>
  <si>
    <t xml:space="preserve">     * В главном меню средняя кнопка мыши (клавиша [F5]) вызывает системное меню.</t>
  </si>
  <si>
    <t xml:space="preserve">     * Миникарта в игре работает корректно с нестандартными размерами карт;</t>
  </si>
  <si>
    <t xml:space="preserve">     * При посещении жилищ существ (кроме 1го уровня) на карте приключений игра не спрашивает хотите ли вы их нанять, а сразу открывает диалог найма;</t>
  </si>
  <si>
    <t xml:space="preserve">     * В окне повышения уровня героя а так же в стандартных окнах выбора (золото-опыт, атака-защита и пр.) выбор можно быстро сделать двойным щелчком мыши;</t>
  </si>
  <si>
    <t xml:space="preserve">     * Во всех полях ввода текста работают стандартные сочетания [CTRL]+[C], [CTRL]+[V], [SHIFT]+[INS], [CTRL]+[INS] для работы с буфером обмена;</t>
  </si>
  <si>
    <t xml:space="preserve">     * В окнах города, гарнизона и обмена при попытке передать последний стек существ - одно существо остается у героя, остальные передаются;</t>
  </si>
  <si>
    <t xml:space="preserve">     * В окне гарнизона работает быстрое управление армией, клавиша [F10] меняет армии у посещающего героя и гарнизона;</t>
  </si>
  <si>
    <r>
      <t xml:space="preserve">    </t>
    </r>
    <r>
      <rPr>
        <b/>
        <sz val="10"/>
        <rFont val="Arial"/>
        <family val="2"/>
        <charset val="204"/>
      </rPr>
      <t xml:space="preserve"> 3. БЫСТРОЕ УПРАВЛЕНИЕ АРМИЕЙ.</t>
    </r>
  </si>
  <si>
    <t xml:space="preserve">     Работает  в окнах приключений, обмена, героя, города, гарнизонов:</t>
  </si>
  <si>
    <t xml:space="preserve">        * [SHIFT] + Щелчок - “умное” поэтапное пропорциональное разделение. Игнорирует единички, при необходимости выравнивает количество и пропорционально делит стеки. С помощью этой операции можно быстро выровнять по количеству стеки одного типа, поделить стек пополам за 1 клик, поделить на 3 за 2 клика. Эта операция не отменяет стандартное разделение стека с использованием [SHIFT]. (чтобы использовать обычное разделение нужно сначала выделить стек, а потом уже нажимать [SHIFT])</t>
  </si>
  <si>
    <t xml:space="preserve">        * [ALT] + [SHIFT] + Щелчок - распускает отряд (последний отряд героя не может быть уволен)</t>
  </si>
  <si>
    <t xml:space="preserve">        * [CTRL] + Щелчок - отделяет от отряда в свободный слот одну «единичку»</t>
  </si>
  <si>
    <t xml:space="preserve">        * [CTRL] + [SHIFT] + Щелчок - отделяет от отряда во все пустые слоты героя/гарнизона по одному существу</t>
  </si>
  <si>
    <t xml:space="preserve">        * [CTRL] + [ALT] + Щелчок – в окне встречи героев и в окне города перемещает стек другому герою. Оставить героя без армии нельзя, остается хотя бы 1 существо. Так же эта комбинация работает в гарнизоне, и кроме того, работает при щелчке на портрет героя и прямоугольник с флагом в гарнизоне в окнах города и гарнизона, при этом передаются все стеки</t>
  </si>
  <si>
    <t xml:space="preserve">        * [CTRL] + [ALT] + [SHIFT] + Щелчок - передает всю армию. Если передается армия от героя, то остается единичка от стека по которому был сделан щелчок</t>
  </si>
  <si>
    <r>
      <t xml:space="preserve">    </t>
    </r>
    <r>
      <rPr>
        <b/>
        <sz val="10"/>
        <rFont val="Arial"/>
        <family val="2"/>
        <charset val="204"/>
      </rPr>
      <t xml:space="preserve"> 4. КОСТЮМЫ.</t>
    </r>
  </si>
  <si>
    <t xml:space="preserve">     Клавиша [1], [2], ..., [9] с зажатым Левым [CTRL] – запоминает  “костюм”. Работает только в окне героя. Операция сопровождается звуковым оповещением (щелчок).</t>
  </si>
  <si>
    <t xml:space="preserve">     Если при простом нажатии [1], [2], ..., [0] прежде чем одеть новый костюм с героя снимаются все старые артефакты, то с зажатой клавишей Левый [SHIFT] новый костюм одевается поверх старого.</t>
  </si>
  <si>
    <t xml:space="preserve">     Костюмы запоминаются не для каждого героя в отдельности, а для игрока (для всех его героев) в целом, но переодевается именно активный герой.</t>
  </si>
  <si>
    <r>
      <t xml:space="preserve">    </t>
    </r>
    <r>
      <rPr>
        <b/>
        <sz val="10"/>
        <rFont val="Arial"/>
        <family val="2"/>
        <charset val="204"/>
      </rPr>
      <t xml:space="preserve"> Также HD-мод содержит опцию HD+, вносящую дополнительные функции в сетевую игру, таймеры, возможность переигровки битв и прочее. Мод исправляет множество багов оригинальной игры, позволяет проигрывать все игровые звуки в параллельном потоке, что ускоряет и улучшает игровой процесс.</t>
    </r>
  </si>
  <si>
    <r>
      <t xml:space="preserve">    </t>
    </r>
    <r>
      <rPr>
        <b/>
        <sz val="10"/>
        <rFont val="Arial"/>
        <family val="2"/>
        <charset val="204"/>
      </rPr>
      <t xml:space="preserve"> Совместимость:</t>
    </r>
  </si>
  <si>
    <t xml:space="preserve">     HotA 1.3.8 и 1.4.2 - 100%</t>
  </si>
  <si>
    <t xml:space="preserve">     SoD, Complete - 100% (не доступен одновременный ход)</t>
  </si>
  <si>
    <t xml:space="preserve">     WoG 3.58, TE, WT, ERA - не весь функционал доступен, требуются тонкие настройки!</t>
  </si>
  <si>
    <t xml:space="preserve">     с RoE, AB, Heroes Chronicles НЕ СОВМЕСТИМ!</t>
  </si>
  <si>
    <t>Автор мода: Баринов Александр Сергеевич (aka baratorch, Bara, Баря)</t>
  </si>
  <si>
    <t>e-mail: baratorch(at)yandex.ru</t>
  </si>
  <si>
    <t>Обсуждение проекта на форуме DF2</t>
  </si>
  <si>
    <t>Обсуждение проекта на форуме HeroesWorld</t>
  </si>
  <si>
    <t>Скачать HD-мод</t>
  </si>
  <si>
    <t xml:space="preserve">     Минимальный набор приемов, который дает значительный перевес против ИИ-противника:</t>
  </si>
  <si>
    <r>
      <t xml:space="preserve">     </t>
    </r>
    <r>
      <rPr>
        <b/>
        <sz val="10"/>
        <rFont val="Arial Cyr"/>
        <charset val="204"/>
      </rPr>
      <t>Стратегические</t>
    </r>
    <r>
      <rPr>
        <sz val="10"/>
        <rFont val="Arial Cyr"/>
        <charset val="204"/>
      </rPr>
      <t xml:space="preserve"> (на карте):</t>
    </r>
  </si>
  <si>
    <t xml:space="preserve">     1. Главный наш чит – технология save/load. Перед битвой сохраниться, в случае неудачного исхода – загрузить игру заново. Полезно вообще делать сэйвы каждое утро. Если компьютерный герой сделал что-то нас не устраивающее (украл ресурсы или город и т.п.) полезно также загрузить автосэйв – часто помогает.</t>
  </si>
  <si>
    <t xml:space="preserve">     2. Объединение всех наличных войск в один ударный кулак и передача их между героями (так называемая цепочка героев) позволяет за день выполнить гораздо больше действий, чем один герой с могучей армией или тем более два-три с более слабыми армиями (чем комп и грешит).</t>
  </si>
  <si>
    <t xml:space="preserve">     3. Основные стратегические приемы для минимизации потерь в битвах: использование высокоуровневых существ с большим здоровьем, накопление больших отрядов низкоуровневых существ, использование магии (Воскрешение, Вызов элементалей, Медлительность/Ускорение, ударная магия).</t>
  </si>
  <si>
    <t xml:space="preserve">     4. Заманивание противника в невыгодные битвы. Два наиболее обычных приема – если враг не решается напасть на город с сильным гарнизоном, выставить в ворота героя со слабым отрядом (тогда враг считает, что главный герой сидит в гарнизоне и нападает, оказываясь лицом к лицу со всей армией) и отправить мощного мага, умеющего вызывать элементалей, в рейд со слабыми скоростными отрядами.</t>
  </si>
  <si>
    <r>
      <t xml:space="preserve">     </t>
    </r>
    <r>
      <rPr>
        <b/>
        <sz val="10"/>
        <rFont val="Arial Cyr"/>
        <charset val="204"/>
      </rPr>
      <t>Тактические</t>
    </r>
    <r>
      <rPr>
        <sz val="10"/>
        <rFont val="Arial Cyr"/>
        <charset val="204"/>
      </rPr>
      <t xml:space="preserve"> (в битвах):</t>
    </r>
  </si>
  <si>
    <t xml:space="preserve">     1. Максимальное использование безответных ударов (удар, полностью уничтожающий стек, стрелковые атаки, существа с безответной атакой).</t>
  </si>
  <si>
    <t xml:space="preserve">     2. Для максимального использования силы стрелков – ограждение их со всех сторон пехотой, проще всего делается с навыком Тактика, иначе – выставление стрелков в угол (первая и/или седьмая позиция) и обступание их пехотой. Если ваша пехота не успевает обступить стрелков на первом ходу из-за низкой скорости, можно сделать пять отрядов со стрелками в третьей позиции и выбрать плотное построение, тогда стрелки зажаты вторым и четвертым стеками и даже самый медленный пятый отряд успевает встать перед ними.</t>
  </si>
  <si>
    <t xml:space="preserve">     3. Если уничтожить вражеский отряд одним ударом не удается, его ответный удар тратится атакой одиночного воина, после чего все остальные бьют уже безответно (работает со всеми кроме грифонов). Естественно, для этого одиночка должен быть выделен перед битвой. К сожалению, четких критериев когда его надо выделять, а когда нет, дать почти невозможно (получится здоровенная и трудночитаемая статья). Но общая рекомендация – иметь максимум одиночек на всякой случай (если, конечно, противник не имеет оружия массового поражения, как, например, магоги с личами, или герой Септиенна). Чтобы при одинаковой скорости одиночки ходили раньше основного отряда, они ставятся левее (на поле боя – выше).</t>
  </si>
  <si>
    <t xml:space="preserve">     4. Если ваши войска превосходят противника в скорости (изначально или после применения магии) – по максимуму используются возможности ожидания (Wait).</t>
  </si>
  <si>
    <t xml:space="preserve">     7. Техника битвы против ИИ-героя не сильно отличается от битвы с нейтралами. Но есть свои нюансы. Например, ИИ-герой умеет сбегать, если видит, что следующим ходом он понесёт значительные потери или проиграет. Но просчитывает он это слишком прямолинейно, не учитывая ожидание. Поэтому чтобы гарантированно убить его рекомендуется вовремя подождать (w), а потом двумя ударами подряд добить - у него могут быть артефакты, да и 500 опыта не лишние.</t>
  </si>
  <si>
    <t xml:space="preserve">     8. В битвах ИИ-герой любит перекрывать ваших стрелков. Поэтому будьте внимательны, если те стоят в углу (когда у противника 4 и более отрядов в армии).
</t>
  </si>
  <si>
    <t xml:space="preserve">     5. Также ИИ-герои не видят вашего героя, если тот стоит на карте за нейтралами, мимо которых нет прохода, но которых можно убить. Поэтому не чувствует опасности и не прячется в городе. Этим можно пользоваться, например, ночуя в телепорте без сбивания внешней охраны.</t>
  </si>
  <si>
    <r>
      <t xml:space="preserve">     </t>
    </r>
    <r>
      <rPr>
        <b/>
        <sz val="10"/>
        <rFont val="Arial Cyr"/>
        <charset val="204"/>
      </rPr>
      <t xml:space="preserve">Далее </t>
    </r>
    <r>
      <rPr>
        <sz val="10"/>
        <rFont val="Arial Cyr"/>
        <charset val="204"/>
      </rPr>
      <t>приведены нюансы игры, при различной фракционной принадлежности ИИ-противника. Советы актуальны при эффективной игре с максимально быстрым обнаружением противника и нападением на него на начальной стадии игры, а также при обороне захваченного недавно города. Замки рассмотрены в порядке уменьшения опасности для игрока:</t>
    </r>
  </si>
  <si>
    <r>
      <t xml:space="preserve">(Основано на информации </t>
    </r>
    <r>
      <rPr>
        <b/>
        <i/>
        <sz val="8"/>
        <rFont val="Arial"/>
        <family val="2"/>
        <charset val="204"/>
      </rPr>
      <t>Neoandy,</t>
    </r>
    <r>
      <rPr>
        <i/>
        <sz val="8"/>
        <rFont val="Arial"/>
        <family val="2"/>
        <charset val="204"/>
      </rPr>
      <t xml:space="preserve"> </t>
    </r>
    <r>
      <rPr>
        <i/>
        <u/>
        <sz val="8"/>
        <color indexed="12"/>
        <rFont val="Arial"/>
        <family val="2"/>
        <charset val="204"/>
      </rPr>
      <t>heroesportal.net</t>
    </r>
    <r>
      <rPr>
        <i/>
        <sz val="8"/>
        <rFont val="Arial"/>
        <family val="2"/>
        <charset val="204"/>
      </rPr>
      <t xml:space="preserve"> и </t>
    </r>
    <r>
      <rPr>
        <b/>
        <i/>
        <sz val="8"/>
        <rFont val="Arial"/>
        <family val="2"/>
        <charset val="204"/>
      </rPr>
      <t>ThatOne</t>
    </r>
    <r>
      <rPr>
        <i/>
        <sz val="8"/>
        <rFont val="Arial"/>
        <family val="2"/>
        <charset val="204"/>
      </rPr>
      <t xml:space="preserve">, </t>
    </r>
    <r>
      <rPr>
        <i/>
        <u/>
        <sz val="8"/>
        <color rgb="FF0033CC"/>
        <rFont val="Arial"/>
        <family val="2"/>
        <charset val="204"/>
      </rPr>
      <t>heroes.ag.ru</t>
    </r>
    <r>
      <rPr>
        <i/>
        <sz val="8"/>
        <rFont val="Arial"/>
        <family val="2"/>
        <charset val="204"/>
      </rPr>
      <t>).</t>
    </r>
  </si>
  <si>
    <t>Важные мелочи. Хитрости и приёмы в игре.</t>
  </si>
  <si>
    <t>Тактические советы по ходу игры против ИИ.</t>
  </si>
  <si>
    <r>
      <rPr>
        <b/>
        <sz val="10"/>
        <rFont val="Arial"/>
        <family val="2"/>
        <charset val="204"/>
      </rPr>
      <t xml:space="preserve">     Общие наблюдения</t>
    </r>
    <r>
      <rPr>
        <sz val="10"/>
        <rFont val="Arial"/>
        <family val="2"/>
        <charset val="204"/>
      </rPr>
      <t xml:space="preserve"> за приоритетностью выбора цели атаки существами ИИ </t>
    </r>
    <r>
      <rPr>
        <i/>
        <sz val="10"/>
        <rFont val="Arial"/>
        <family val="2"/>
        <charset val="204"/>
      </rPr>
      <t xml:space="preserve">(основано на информации </t>
    </r>
    <r>
      <rPr>
        <b/>
        <i/>
        <sz val="10"/>
        <rFont val="Arial"/>
        <family val="2"/>
        <charset val="204"/>
      </rPr>
      <t>2Coolant</t>
    </r>
    <r>
      <rPr>
        <i/>
        <sz val="10"/>
        <rFont val="Arial"/>
        <family val="2"/>
        <charset val="204"/>
      </rPr>
      <t xml:space="preserve">, </t>
    </r>
    <r>
      <rPr>
        <i/>
        <u/>
        <sz val="10"/>
        <color rgb="FF0033CC"/>
        <rFont val="Arial"/>
        <family val="2"/>
        <charset val="204"/>
      </rPr>
      <t>heroes.ag.ru</t>
    </r>
    <r>
      <rPr>
        <i/>
        <sz val="10"/>
        <rFont val="Arial"/>
        <family val="2"/>
        <charset val="204"/>
      </rPr>
      <t>)</t>
    </r>
    <r>
      <rPr>
        <sz val="10"/>
        <rFont val="Arial"/>
        <family val="2"/>
        <charset val="204"/>
      </rPr>
      <t>:</t>
    </r>
  </si>
  <si>
    <t>+10% к базовому урону существ героя при стрельбе. Действует на Баллисту.</t>
  </si>
  <si>
    <t>+25% к базовому урону существ героя при стрельбе. Действует на Баллисту.</t>
  </si>
  <si>
    <t>+50% к базовому урону существ героя при стрельбе. Действует на Баллисту.</t>
  </si>
  <si>
    <t>1) расстояние до цели;</t>
  </si>
  <si>
    <t>3) принадлежность к сражающейся стороне;</t>
  </si>
  <si>
    <t>4) "ширина" существа (2 гекса или 1).</t>
  </si>
  <si>
    <t>2) расположение относительно цели;</t>
  </si>
  <si>
    <t>Вражеские существа вокруг основной цели:</t>
  </si>
  <si>
    <t>Свои существа вокруг основной цели:</t>
  </si>
  <si>
    <t>1 - наивысший приоритет.</t>
  </si>
  <si>
    <t>Одногексовые существа</t>
  </si>
  <si>
    <t>Двухгексовые существа</t>
  </si>
  <si>
    <t>а) Одногексовые существа: Если дружественное существо находится в позиции 5, а вражеское - в позиции 4, то второй удар Цепной молнии попадёт в дружественное существо, не смотря на более низкий приоритет.</t>
  </si>
  <si>
    <t>б) Двухгексовые существа: Если дружественное существо находится в позиции 2, а вражеское - в позиции 1, то второй удар Цепной молнии попадёт в дружественное существо, не смотря на более низкий приоритет.</t>
  </si>
  <si>
    <t>Расстояние 1:</t>
  </si>
  <si>
    <t>Расстояние 2:</t>
  </si>
  <si>
    <t>Все данные получены опытным путём и требуют уточнения.</t>
  </si>
  <si>
    <t>Объекты на карте приключений и ландшафты.</t>
  </si>
  <si>
    <t>6.5</t>
  </si>
  <si>
    <t>Заклинания и их особенности.</t>
  </si>
  <si>
    <t>Существа, их способности и прирост.</t>
  </si>
  <si>
    <t>1.6.1</t>
  </si>
  <si>
    <t>1.6.2</t>
  </si>
  <si>
    <t>2.3</t>
  </si>
  <si>
    <t>3.2.1</t>
  </si>
  <si>
    <t>3.2.2</t>
  </si>
  <si>
    <t>3.2.3</t>
  </si>
  <si>
    <t>3.3.3</t>
  </si>
  <si>
    <t>3.5.1</t>
  </si>
  <si>
    <t>3.5.2</t>
  </si>
  <si>
    <t>3.8.1</t>
  </si>
  <si>
    <t>3.8.2</t>
  </si>
  <si>
    <t>3.9</t>
  </si>
  <si>
    <t>3.11.1</t>
  </si>
  <si>
    <t>3.11.2</t>
  </si>
  <si>
    <t>4.8</t>
  </si>
  <si>
    <t>4.9</t>
  </si>
  <si>
    <t>4.10</t>
  </si>
  <si>
    <t>5.7</t>
  </si>
  <si>
    <t>5.9</t>
  </si>
  <si>
    <t>5.11</t>
  </si>
  <si>
    <t>6.3.1</t>
  </si>
  <si>
    <t>6.3.2</t>
  </si>
  <si>
    <t>6.3.3</t>
  </si>
  <si>
    <t>6.3.4</t>
  </si>
  <si>
    <t>6.3.5</t>
  </si>
  <si>
    <t>6.3.6</t>
  </si>
  <si>
    <t>6.3.7</t>
  </si>
  <si>
    <t>6.3.8</t>
  </si>
  <si>
    <t>6.3.9</t>
  </si>
  <si>
    <t>7.1.1</t>
  </si>
  <si>
    <t>7.1.2</t>
  </si>
  <si>
    <t>7.1.3</t>
  </si>
  <si>
    <t>7.1.4</t>
  </si>
  <si>
    <t>7.1.5</t>
  </si>
  <si>
    <t>7.1.6</t>
  </si>
  <si>
    <t>7.1.7</t>
  </si>
  <si>
    <t>7.1.8</t>
  </si>
  <si>
    <t>7.1.9</t>
  </si>
  <si>
    <t>7.6.1</t>
  </si>
  <si>
    <t>7.6.2</t>
  </si>
  <si>
    <t>8.1.1</t>
  </si>
  <si>
    <t>8.1.2</t>
  </si>
  <si>
    <t>8.2</t>
  </si>
  <si>
    <t>8.6</t>
  </si>
  <si>
    <t>8.7</t>
  </si>
  <si>
    <t>8.8</t>
  </si>
  <si>
    <t>8.9</t>
  </si>
  <si>
    <t>8.10</t>
  </si>
  <si>
    <r>
      <t xml:space="preserve">                   </t>
    </r>
    <r>
      <rPr>
        <b/>
        <sz val="12"/>
        <rFont val="Arial"/>
        <family val="2"/>
        <charset val="204"/>
      </rPr>
      <t>Сергей Drake</t>
    </r>
    <r>
      <rPr>
        <i/>
        <sz val="10"/>
        <rFont val="Arial"/>
        <family val="2"/>
        <charset val="204"/>
      </rPr>
      <t xml:space="preserve">: </t>
    </r>
    <r>
      <rPr>
        <u/>
        <sz val="10"/>
        <color rgb="FF0033CC"/>
        <rFont val="Arial"/>
        <family val="2"/>
        <charset val="204"/>
      </rPr>
      <t>vk.com/s.drake</t>
    </r>
    <r>
      <rPr>
        <u/>
        <sz val="10"/>
        <rFont val="Arial"/>
        <family val="2"/>
        <charset val="204"/>
      </rPr>
      <t xml:space="preserve">, </t>
    </r>
    <r>
      <rPr>
        <u/>
        <sz val="10"/>
        <color rgb="FF0033CC"/>
        <rFont val="Arial"/>
        <family val="2"/>
        <charset val="204"/>
      </rPr>
      <t>geroimm@ngs.ru</t>
    </r>
  </si>
  <si>
    <t>Артефакты и боевые машины.</t>
  </si>
  <si>
    <t>Здоровье цели снижается на 50%. Если в целевом отряде осталось 1 существо и его текущее здоровье уже меньше половины от максимума, то при наложении Старости, текущее здоровье станет равно 1.</t>
  </si>
  <si>
    <t>Каждый раунд, включая момент наложения, здоровье цели будет снижаться на 10%, но оно не может снизиться более, чем на 50%. Округление вверх. Если в целевом отряде осталось 1 существо и его текущее здоровье уже меньше 10% от максимума, то при наложении Яда, текущее здоровье станет равно 1.</t>
  </si>
  <si>
    <t>FizMiG © 2006-2016, vk.com/fizmig</t>
  </si>
  <si>
    <t>Артефакты "пижамы" и "дневные".</t>
  </si>
  <si>
    <t>7.3</t>
  </si>
  <si>
    <t>7.4.1</t>
  </si>
  <si>
    <t>7.4.2</t>
  </si>
  <si>
    <t>7.4.3</t>
  </si>
  <si>
    <t>7.4.4</t>
  </si>
  <si>
    <t>7.5</t>
  </si>
  <si>
    <t>7.7.1</t>
  </si>
  <si>
    <t>7.7.2</t>
  </si>
  <si>
    <t>7.11</t>
  </si>
  <si>
    <t>ЗАМОК</t>
  </si>
  <si>
    <t>Скорость:</t>
  </si>
  <si>
    <t>Прирост:</t>
  </si>
  <si>
    <t>Стоимость:</t>
  </si>
  <si>
    <t>Копейщик / Алебардщик</t>
  </si>
  <si>
    <t>Арбалетчик / Стрелок</t>
  </si>
  <si>
    <t>1 (2)</t>
  </si>
  <si>
    <t>4 (6)</t>
  </si>
  <si>
    <t>4 (5)</t>
  </si>
  <si>
    <t>60 (75)</t>
  </si>
  <si>
    <t>100 (150)</t>
  </si>
  <si>
    <r>
      <t xml:space="preserve">     </t>
    </r>
    <r>
      <rPr>
        <b/>
        <sz val="10"/>
        <rFont val="Arial"/>
        <family val="2"/>
        <charset val="204"/>
      </rPr>
      <t xml:space="preserve">Способности: </t>
    </r>
    <r>
      <rPr>
        <sz val="10"/>
        <rFont val="Arial"/>
        <family val="2"/>
        <charset val="204"/>
      </rPr>
      <t>Копейщики и Алебардщики защищены от Кавалерийского бонуса Кавалеристов и Чемпионов.</t>
    </r>
  </si>
  <si>
    <r>
      <t xml:space="preserve">    </t>
    </r>
    <r>
      <rPr>
        <b/>
        <sz val="10"/>
        <rFont val="Arial"/>
        <family val="2"/>
        <charset val="204"/>
      </rPr>
      <t xml:space="preserve"> Способности:</t>
    </r>
    <r>
      <rPr>
        <sz val="10"/>
        <rFont val="Arial"/>
        <family val="2"/>
        <charset val="204"/>
      </rPr>
      <t xml:space="preserve"> Стрельба; Стрелки имеют Двойной выстрел.</t>
    </r>
  </si>
  <si>
    <t xml:space="preserve">     Рядовые бойцы армии людей. В целом Копейщики и Алебардщики считаются одними из лучших существ 1 уровня, с хорошими боевыми характеристиками, но небольшой скоростью. Они универсальны, хорошо подходят для обороны замка, прикрытия стрелков и для единичек, которые часто приманивают сильные вражеские отряды. Также их способность позволяет эффективно воевать против Кавалеристов и Чемпионов. Становятся очень эффективны в большом количестве под действием Благословления и Ускорения. Вполне годятся для поддержки основной армии.</t>
  </si>
  <si>
    <t>Грифон / Королевский грифон</t>
  </si>
  <si>
    <t>8 (9)</t>
  </si>
  <si>
    <t>6 (9)</t>
  </si>
  <si>
    <t>200 (240)</t>
  </si>
  <si>
    <t>Рыцарь / Крестоносец</t>
  </si>
  <si>
    <t xml:space="preserve">     Рядовые стрелки в армии Замка. Основное преимущество Стрелков - двойной выстрел. Поэтому важно как можно скорее улучшить Арбалетчиков. Благодаря двойному выстрелы эти существа наносят хороший урон и довольно ценны. Хотя под атаками практически любого врага они быстро умирают. Их необходимо защищать другими существами - Копейщиками или Рыцарями. Грифоны и Кавалеристы также подойдут для прикрытия при оборонной тактике. Не заменимы на начальных стадиях игры. Ещё большей эффективности Стрелки достигают под командованием Валески.</t>
  </si>
  <si>
    <t>6 (7)</t>
  </si>
  <si>
    <t>7 (10)</t>
  </si>
  <si>
    <t>10 (12)</t>
  </si>
  <si>
    <t>5 (6)</t>
  </si>
  <si>
    <t>300 (400)</t>
  </si>
  <si>
    <r>
      <t xml:space="preserve">    </t>
    </r>
    <r>
      <rPr>
        <b/>
        <sz val="10"/>
        <rFont val="Arial"/>
        <family val="2"/>
        <charset val="204"/>
      </rPr>
      <t xml:space="preserve"> Способности:</t>
    </r>
    <r>
      <rPr>
        <sz val="10"/>
        <rFont val="Arial"/>
        <family val="2"/>
        <charset val="204"/>
      </rPr>
      <t xml:space="preserve"> Полёт; Может отвечать на 2 (все) атаки за раунд, кроме безответных.</t>
    </r>
  </si>
  <si>
    <r>
      <t xml:space="preserve">    </t>
    </r>
    <r>
      <rPr>
        <b/>
        <sz val="10"/>
        <rFont val="Arial"/>
        <family val="2"/>
        <charset val="204"/>
      </rPr>
      <t xml:space="preserve"> Способности:</t>
    </r>
    <r>
      <rPr>
        <sz val="10"/>
        <rFont val="Arial"/>
        <family val="2"/>
        <charset val="204"/>
      </rPr>
      <t xml:space="preserve"> Крестоносцы наносят 2 удара за одну атаку (до и после ответа).</t>
    </r>
  </si>
  <si>
    <t>Монах / Фанатик</t>
  </si>
  <si>
    <t>5 (7)</t>
  </si>
  <si>
    <t>400 (500)</t>
  </si>
  <si>
    <r>
      <t xml:space="preserve">    </t>
    </r>
    <r>
      <rPr>
        <b/>
        <sz val="10"/>
        <rFont val="Arial"/>
        <family val="2"/>
        <charset val="204"/>
      </rPr>
      <t xml:space="preserve"> Способности:</t>
    </r>
    <r>
      <rPr>
        <sz val="10"/>
        <rFont val="Arial"/>
        <family val="2"/>
        <charset val="204"/>
      </rPr>
      <t xml:space="preserve"> Стрельба; Фанатики не имеют штрафа в ближнем бою.</t>
    </r>
  </si>
  <si>
    <t>Кавалерист / Чемпион</t>
  </si>
  <si>
    <t>15 (20)</t>
  </si>
  <si>
    <t>15 (16)</t>
  </si>
  <si>
    <t>7 (9)</t>
  </si>
  <si>
    <t>1000 (1200)</t>
  </si>
  <si>
    <r>
      <t xml:space="preserve">    </t>
    </r>
    <r>
      <rPr>
        <b/>
        <sz val="10"/>
        <rFont val="Arial"/>
        <family val="2"/>
        <charset val="204"/>
      </rPr>
      <t xml:space="preserve"> Способности:</t>
    </r>
    <r>
      <rPr>
        <sz val="10"/>
        <rFont val="Arial"/>
        <family val="2"/>
        <charset val="204"/>
      </rPr>
      <t xml:space="preserve"> Кавалерийский бонус (+5% от базового урона за каждую клетку разбега перед атакой).</t>
    </r>
  </si>
  <si>
    <t>Ангел / Архангел</t>
  </si>
  <si>
    <t>20 (30)</t>
  </si>
  <si>
    <t>200 (250)</t>
  </si>
  <si>
    <t>12 (18)</t>
  </si>
  <si>
    <t>3000 (5000)</t>
  </si>
  <si>
    <t>+1 (+3) самоцвета</t>
  </si>
  <si>
    <r>
      <t xml:space="preserve">    </t>
    </r>
    <r>
      <rPr>
        <b/>
        <sz val="10"/>
        <rFont val="Arial"/>
        <family val="2"/>
        <charset val="204"/>
      </rPr>
      <t xml:space="preserve"> Способности:</t>
    </r>
    <r>
      <rPr>
        <sz val="10"/>
        <rFont val="Arial"/>
        <family val="2"/>
        <charset val="204"/>
      </rPr>
      <t xml:space="preserve"> Полёт; Ненависть к Дьяволам и Архидьяволам (+50% от базового урона против них); Боевой дух всех дружественных существ +1; Архангелы могут использовать Воскрешение дружественных существ вместо хода на 50 единиц здоровья за каждого.</t>
    </r>
  </si>
  <si>
    <t xml:space="preserve">     В целом параметры Кавалеристов и Чемпионов хороши, но не самые высокие. Основное преимущество - Кавалерийский бонус, который в совокупности с хорошей скоростью может сильно увеличить наносимый урон. Ускорение помогает ещё больше увеличить их разбег, а значит и урон. Важно как можно чаще использовать разбег. Например, не бить вражеское существо с места, а обойти его и ударить сзади - 3-4 клетки пути и урон уже значительно увеличится. Благословление тоже будет полезно всадникам, т.к. они имеют большой разброс урона. Единственные, на кого не действует Кавалерийский бонус - Копейщики и Алебардщики. Герой-специалист по Кавалеристам - Турис. Ещё одной фишкой Кавалеристов является бесплатное их улучшение в Конюшнях на карте приключений. Стоит всегда этим пользоваться, особенное если неподалёку от Замка обнаружилась подходящая Конюшня.</t>
  </si>
  <si>
    <t xml:space="preserve">     Пожалуй, Ангелы и Архангелы - лучшие существа 7 уровня, не считая нейтральных драконов. В бою 1 на 1 может проиграть только Древнему чудищу. Постоянный урон и максимальная атака делают их лидерами в нападении. А высокая скорость практически всегда даст Архангелам преимущество первого хода. Полезно иногда разделять Архангелов на 2 отряда, чтобы у каждого из них была возможность воскрешать.</t>
  </si>
  <si>
    <t>Кентавр / Капитан кентавров</t>
  </si>
  <si>
    <t>8 (10)</t>
  </si>
  <si>
    <t>6 (8)</t>
  </si>
  <si>
    <t>70 (90)</t>
  </si>
  <si>
    <r>
      <t xml:space="preserve">    </t>
    </r>
    <r>
      <rPr>
        <b/>
        <sz val="10"/>
        <rFont val="Arial"/>
        <family val="2"/>
        <charset val="204"/>
      </rPr>
      <t xml:space="preserve"> Способности:</t>
    </r>
    <r>
      <rPr>
        <sz val="10"/>
        <rFont val="Arial"/>
        <family val="2"/>
        <charset val="204"/>
      </rPr>
      <t xml:space="preserve"> нет.</t>
    </r>
  </si>
  <si>
    <t xml:space="preserve">     Кентавры и Капитаны кентавров считаются одними из лучших существ 1 уровня. В сравнение их часто ставят с Алебардщиками, где кентавры сильно выигрывают в скорости, проигрывая лишь в защите. Эта же скорость позволяет легко использовать их в качестве единичек или быстро перекрыть вражеских стрелков, а "ширина" позволяет прикрывать своих ценных эльфов. Конечно, кентаврами лучше атаковать первым, чем защищаться.</t>
  </si>
  <si>
    <t>Гном / Боевой гном</t>
  </si>
  <si>
    <t>3 (5)</t>
  </si>
  <si>
    <t>120 (150)</t>
  </si>
  <si>
    <r>
      <t xml:space="preserve">     </t>
    </r>
    <r>
      <rPr>
        <b/>
        <sz val="10"/>
        <rFont val="Arial"/>
        <family val="2"/>
        <charset val="204"/>
      </rPr>
      <t xml:space="preserve">Способности: </t>
    </r>
    <r>
      <rPr>
        <sz val="10"/>
        <rFont val="Arial"/>
        <family val="2"/>
        <charset val="204"/>
      </rPr>
      <t>20% (40%) шанс блокировать заклинание, являясь его целью.</t>
    </r>
  </si>
  <si>
    <t xml:space="preserve">     Конечно, гномы могли легко бы побороться за звание лучшего существа на уровне, если бы не их скорость, которая позволяет им быть существами чисто оборонительного плана. Они хорошо держат удар, подходят для защиты стрелков и при осаде города. Против магов они тоже годятся, так как иногда защищаются от магии. Полезно брать гномов, например, в финальную битву в большом количестве, или использовать Ускорение/Телепорт. Уфретин также повышает скорость и параметры гномов.</t>
  </si>
  <si>
    <t>Лесной эльф / Великий эльф</t>
  </si>
  <si>
    <t>200 (225)</t>
  </si>
  <si>
    <t xml:space="preserve">     Арбалетчики имеют низкие показатели урона, атаки и скорости. Стрелки чуть побыстрее. Они худшие в защите и по уровню здоровья. Однако они имеют хороший прирост и не самую высокую стоимость.</t>
  </si>
  <si>
    <t xml:space="preserve">     Практически все показатели грифонов средние. Защита и уровень здоровья хорошие (лучше только у Каменных горгулий и Элементалей воды). Улучшенный вариант подтягивает к хорошей планке атаку и скорость, уступая по последнему параметру лишь Стрекозам.</t>
  </si>
  <si>
    <t xml:space="preserve">     Рыцари имеют не самые высокие параметры в атаке, но они хороши в защите. А вот Крестоносцы уже также имеют отменный урон, хорошую атаку, уступающую только Ограм-магам, но по скорости всё ещё не в лидерах.</t>
  </si>
  <si>
    <t xml:space="preserve">     Копейщики и Алебардщики обладают хорошим уроном, атакой и защитой. По защите их превосходят Скелеты-воины и Гноллы-мародёры. Лучшие по показателю здоровья. Однако они имеют довольно низкую скорость и высокую стоимость. Дороже их только Капитаны кентавров.</t>
  </si>
  <si>
    <t xml:space="preserve">     Монахи имеют очень низкие характеристики урона (ниже только у Элементалей земли и Золотых големов), а также неприлично низкий уровень здоровья и защиты для 5 уровня. Единственными преимуществом является низкая стоимость найма.</t>
  </si>
  <si>
    <t xml:space="preserve">     Кавалеристы и Чемпионы имеют хороший урон, защиту и скорость, уступающую лишь летающим существам. Остальные параметры в целом средние.</t>
  </si>
  <si>
    <t xml:space="preserve">     Ангелы и Архангелы очень сильны в атаке и защите. Имеют хороший урон, высокое здоровье и скорость. По скорости их превосходят лишь Фениксы, а по урону могут сравниться лишь Титаны. Однако и стоимость Архангелов высока и требует рекордных 3 единицы редкого ресурса (самоцветов).</t>
  </si>
  <si>
    <t xml:space="preserve">     Кентавры и Капитаны кентавров лучшие в атаке и по количеству урона. Имеют хорошее здоровье и приличную скорость, проигрывающую лишь феям. Уровень защиты довольно низок. А вот стоимость их найма самая высокая.</t>
  </si>
  <si>
    <t xml:space="preserve">     Практически все параметры Гномов и Боевых гномов довольно хороши, как в атаке, так и в обороне. По здоровью гномы держатся в лидерах, если не считать Элементалей воздуха. А вот скорость сильно слаба - 3-5 единиц, против, например, 9 единиц у гарпий и горгулий. Зато гномы имеют хороший прирост за счёт возводимой в Оплоте Гильдии горняков.</t>
  </si>
  <si>
    <t xml:space="preserve">     Лесные и великие эльфы имеют довольно низкий урон, показатель защиты (уступая лишь оркам) и самое низкое здоровье на уровне. Единственное преимущество - хорошая атака, на уровне грифонов и големов.</t>
  </si>
  <si>
    <r>
      <t xml:space="preserve">     </t>
    </r>
    <r>
      <rPr>
        <b/>
        <sz val="10"/>
        <rFont val="Arial"/>
        <family val="2"/>
        <charset val="204"/>
      </rPr>
      <t xml:space="preserve">Способности: </t>
    </r>
    <r>
      <rPr>
        <sz val="10"/>
        <rFont val="Arial"/>
        <family val="2"/>
        <charset val="204"/>
      </rPr>
      <t>Стрельба; Великие эльфы имеют Двойной выстрел.</t>
    </r>
  </si>
  <si>
    <t>Пегас / Серебряный пегас</t>
  </si>
  <si>
    <t>8 (12)</t>
  </si>
  <si>
    <t>250 (275)</t>
  </si>
  <si>
    <t xml:space="preserve">     В целом Пегасы довольно слабы. Они имеют низкий урон, плохое здоровье, худшую атаку на уровне. Однако эти недостатки компенсируются самой высокой скоростью (ближайший конкурент - Вампир-лорд со скоростью 9), повышенным на 1 приростом и дешёвым наймом (дешевле лишь Рогатые демоны).</t>
  </si>
  <si>
    <t>Стоимость вражеских заклинания +2 (кроме Грома титанов; не перестаёт действовать после гибели существа).</t>
  </si>
  <si>
    <t xml:space="preserve">     В бою пегасы далеко не самые полезные существа, но это не мешает пользоваться основными их преимуществами. Хорошая скорость на ранних стадиях игры помогает часто получить первый ход. Ими можно приманивать медленных нейтралов, а также бороться с вражеской магией, благодаря способности, вместе с гномами и единорогами. При осаде ими можно быстро попасть за стену, хоть они там долго и не выстоят, но принесут врагу не мало хлопот.</t>
  </si>
  <si>
    <t xml:space="preserve">     Великие эльфы - один из лучших стрелковых отрядов в игре на начальных уровнях. Хорошая атака и Двойной выстрел наносят огромный урон. В связи с этим на эльфов полезно накладывать всевозможные благословления, атакующего плана. Однако, как и большинство стрелков, эльфы не очень живучи, поэтому их стоит прикрывать и защищать. Для этой цели идеально подходят "широкие" кентавры и крепкие гномы. Также Двойной выстрел тратит боезапас в 2 раза быстрее, поэтому в эльфийскую армию может пригодится Тележка с боеприпасами. Ивор - специалист по эльфам, несколько улучшает их параметры.</t>
  </si>
  <si>
    <t>55 (65)</t>
  </si>
  <si>
    <t>3 (4)</t>
  </si>
  <si>
    <t>350 (425)</t>
  </si>
  <si>
    <t xml:space="preserve">     Дендроиды - самые дешёвые воины 5 уровня. И вот почему: очень низкий урон, худшая атака на уровне и самая медленная скорость. Однако есть и преимущество - хорошее здоровье (выше только у горгон).</t>
  </si>
  <si>
    <r>
      <t xml:space="preserve">     </t>
    </r>
    <r>
      <rPr>
        <b/>
        <sz val="10"/>
        <rFont val="Arial"/>
        <family val="2"/>
        <charset val="204"/>
      </rPr>
      <t xml:space="preserve">Способности: </t>
    </r>
    <r>
      <rPr>
        <sz val="10"/>
        <rFont val="Arial"/>
        <family val="2"/>
        <charset val="204"/>
      </rPr>
      <t>Оплетение (цель не сможет двигаться, пока дендроид жив и находится на месте).</t>
    </r>
  </si>
  <si>
    <t>Единорог / Боевой единорог</t>
  </si>
  <si>
    <t>90 (110)</t>
  </si>
  <si>
    <t>850 (950)</t>
  </si>
  <si>
    <t xml:space="preserve">     Единорог и Боевые единороги обладают довольно слабыми показателями в атаке и защите. Урон не высок, но здоровье и скорость неплохие.</t>
  </si>
  <si>
    <r>
      <t xml:space="preserve">     </t>
    </r>
    <r>
      <rPr>
        <b/>
        <sz val="10"/>
        <rFont val="Arial"/>
        <family val="2"/>
        <charset val="204"/>
      </rPr>
      <t xml:space="preserve">Способности: </t>
    </r>
    <r>
      <rPr>
        <sz val="10"/>
        <rFont val="Arial"/>
        <family val="2"/>
        <charset val="204"/>
      </rPr>
      <t>Слепота (20% шанс. Эффект Базовой Слепоты на 3 хода - цель пропускает ходы, а ответ на атаку, снявшую ослепление, происходит с 50%-ной силой); Аура сопротивления снижает на 20% шанс срабатывания вражеского заклинания, когда единороги или дружественнее существо рядом являются его целью.</t>
    </r>
  </si>
  <si>
    <t xml:space="preserve">     В совокупности параметры единорогов являются не высокими, если не учитывать хорошее здоровье. Основное достоинство единорогов - их способности. Довольно часто в сложных ситуациях может помочь Слепота, а аура защищает дружественных существ от вражеских заклинаний, так что остальными существам следует держаться как можно ближе к единорогам. Иногда полезно разделить единорогов на 2 отряда, чтобы увеличить суммарную площадь действия аур. Специалист по единорогам - Кланси.</t>
  </si>
  <si>
    <t>Зелёный дракон / Золотой дракон</t>
  </si>
  <si>
    <t>18 (27)</t>
  </si>
  <si>
    <t>180 (250)</t>
  </si>
  <si>
    <t>10 (16)</t>
  </si>
  <si>
    <t>2400 (4000)</t>
  </si>
  <si>
    <t>+1 (+2) кристалла</t>
  </si>
  <si>
    <t xml:space="preserve">     Эти драконы, в отличие от большинства существ Оплота, имеют хорошие параметры нападения - урон и атаку. Неплохие показатели и по здоровью, скорости.</t>
  </si>
  <si>
    <r>
      <t xml:space="preserve">     </t>
    </r>
    <r>
      <rPr>
        <b/>
        <sz val="10"/>
        <rFont val="Arial"/>
        <family val="2"/>
        <charset val="204"/>
      </rPr>
      <t xml:space="preserve">Способности: </t>
    </r>
    <r>
      <rPr>
        <sz val="10"/>
        <rFont val="Arial"/>
        <family val="2"/>
        <charset val="204"/>
      </rPr>
      <t>Полёт; Стоимость вражеских заклинаний +2 маны (кроме Грома титанов).</t>
    </r>
  </si>
  <si>
    <r>
      <t xml:space="preserve">     </t>
    </r>
    <r>
      <rPr>
        <b/>
        <sz val="10"/>
        <rFont val="Arial"/>
        <family val="2"/>
        <charset val="204"/>
      </rPr>
      <t xml:space="preserve">Способности: </t>
    </r>
    <r>
      <rPr>
        <sz val="10"/>
        <rFont val="Arial"/>
        <family val="2"/>
        <charset val="204"/>
      </rPr>
      <t>Полёт; Дыхание дракона на 2 клетки; Защита от магии 1-3 уровня (Золотые драконы защищены и от 4 уровня).</t>
    </r>
  </si>
  <si>
    <t>Гремлин / Мастер-гремлин</t>
  </si>
  <si>
    <t>30 (40)</t>
  </si>
  <si>
    <t xml:space="preserve">     Гремлины - довольно слабые существа 1 уровня. Имеют низкие атаку, защиту, здоровье и скорость. Но у них хороший прирост и стоимость.</t>
  </si>
  <si>
    <r>
      <t xml:space="preserve">     </t>
    </r>
    <r>
      <rPr>
        <b/>
        <sz val="10"/>
        <rFont val="Arial"/>
        <family val="2"/>
        <charset val="204"/>
      </rPr>
      <t xml:space="preserve">Способности: </t>
    </r>
    <r>
      <rPr>
        <sz val="10"/>
        <rFont val="Arial"/>
        <family val="2"/>
        <charset val="204"/>
      </rPr>
      <t>Мастер-гремлины умеют стрелять.</t>
    </r>
  </si>
  <si>
    <t xml:space="preserve">     Гремлины слабы, но их улучшенная версия получает Стрельбу. Это единственные стрелки 1 уровня, не считая нейтральных Хоббитов. Именно этим они ценны на начальных стадиях игры. До появления в армии Магов, следует максимально охранять гремлинов, иначе они легко мрут. Для их защиты идеально подходят прочные горгульи и големы Башни. Хороший прирост делает гремлинов опасным для противника отрядом. Также они имеют не большой боезапас и на них часто приманиваются нейтралы (можно использовать в качестве единичек).</t>
  </si>
  <si>
    <t>Каменная горгулья / Обсидиановая горгулья</t>
  </si>
  <si>
    <t>130 (160)</t>
  </si>
  <si>
    <t xml:space="preserve">     Горгульи не слишком сильны в нападении, но хороши в защите. Неплохое здоровье и большой прирост, да ещё и с Крыльями ваятеля, делают их отряды очень живучими. Скорость - самая лучшая на уровне.</t>
  </si>
  <si>
    <t>Каменный голем / Стальной голем</t>
  </si>
  <si>
    <t>30 (35)</t>
  </si>
  <si>
    <t>150 (200)</t>
  </si>
  <si>
    <t xml:space="preserve">     Големы имеют хороший удар. Хоть урон и не высокий, но он имеет малый разброс (всего 4-5). Неплохая атака. А вот в обороне големы лучшие - защита и уровень здоровья на высоте. Все эти плюсы огорчает лишь самая низкая скорость на уровне и не высокий прирост. Стоимость найма низкая.</t>
  </si>
  <si>
    <r>
      <t xml:space="preserve">     </t>
    </r>
    <r>
      <rPr>
        <b/>
        <sz val="10"/>
        <rFont val="Arial"/>
        <family val="2"/>
        <charset val="204"/>
      </rPr>
      <t xml:space="preserve">Способности: </t>
    </r>
    <r>
      <rPr>
        <sz val="10"/>
        <rFont val="Arial"/>
        <family val="2"/>
        <charset val="204"/>
      </rPr>
      <t>Снижают получаемый урон от заклинаний на 50% (75%). Големы защищены от магии разума, не подвержены боевому духу, воскрешениям и негативным способностям, действующими на живых.</t>
    </r>
  </si>
  <si>
    <t>Маг / Архимаг</t>
  </si>
  <si>
    <t xml:space="preserve">     Големы очень хороши в обороне. Они легко выдерживают сильные атаки врагов, существенно нанося им урон даже ответными ударами. Скорость не позволяет использовать их в атаке часто, но и там они могли бы побороться за лидерство. Лучшее применение големов - оборона города, финальная затяжная битва, взятие сокровищниц, защита гремлинов. Кроме того, големы практически защищены от вражеской ударной магии и магических способностей существ, так что сразить их огромные отряд - сложная задача для противника.</t>
  </si>
  <si>
    <t>11 (12)</t>
  </si>
  <si>
    <t>25 (30)</t>
  </si>
  <si>
    <t>350 (450)</t>
  </si>
  <si>
    <t xml:space="preserve">     Как и у голема, у магов хороший урон с малым разбросом. Хорошая атака, но слабое здоровье. Также они довольно дороги при найме.</t>
  </si>
  <si>
    <r>
      <t xml:space="preserve">     </t>
    </r>
    <r>
      <rPr>
        <b/>
        <sz val="10"/>
        <rFont val="Arial"/>
        <family val="2"/>
        <charset val="204"/>
      </rPr>
      <t xml:space="preserve">Способности: </t>
    </r>
    <r>
      <rPr>
        <sz val="10"/>
        <rFont val="Arial"/>
        <family val="2"/>
        <charset val="204"/>
      </rPr>
      <t>Стрельба; Нет штрафов в ближнем бою и при стрельбе через стены; Стоимость дружественных заклинаний -2 маны (не ниже 1).</t>
    </r>
  </si>
  <si>
    <t>7 (11)</t>
  </si>
  <si>
    <t>550 (600)</t>
  </si>
  <si>
    <r>
      <t xml:space="preserve">     </t>
    </r>
    <r>
      <rPr>
        <b/>
        <sz val="10"/>
        <rFont val="Arial"/>
        <family val="2"/>
        <charset val="204"/>
      </rPr>
      <t xml:space="preserve">Способности: </t>
    </r>
    <r>
      <rPr>
        <sz val="10"/>
        <rFont val="Arial"/>
        <family val="2"/>
        <charset val="204"/>
      </rPr>
      <t>Полёт; Ненависть к Ифритам и Ифритам-султанам (+50% от базового урона против них); Мастер-джинны вместо своего хода могут наложить на дружественное существо одно из заклинаний Продвинутого уровня: Антимагия, Бешенство, Благословление, Воздушный щит, Жажда крови, Защита от воды, Защита от воздуха, Защита от земли, Защита от огня, Каменная кожа, Контрудар, Лечение, Волшебное зеркало, Молитва, Огненный щит, Палач, Радость, Точность, Удача, Ускорение, Щит.</t>
    </r>
  </si>
  <si>
    <t xml:space="preserve">     Мало того, что Джинны хороши в любой битве (они легко обороняются и участвуют в нападении, не в первых рядах конечно), но улучшенными они могут колдовать кучу полезных заклинаний на своих. Полезно отделять единички Мастер-джиннов, так как каждая из них сможет колдовать. Отличная скорость часто даёт первый ход. Против ифритов воевать джиннами опасно, т.к. те значительно сильнее и имеют ответную ненависть. Скорость можно использовать при осадах и для перекрытия вражеских стрелков.</t>
  </si>
  <si>
    <t>Нага / Королевская нага</t>
  </si>
  <si>
    <r>
      <t xml:space="preserve">     </t>
    </r>
    <r>
      <rPr>
        <b/>
        <sz val="10"/>
        <rFont val="Arial"/>
        <family val="2"/>
        <charset val="204"/>
      </rPr>
      <t xml:space="preserve">Способности: </t>
    </r>
    <r>
      <rPr>
        <sz val="10"/>
        <rFont val="Arial"/>
        <family val="2"/>
        <charset val="204"/>
      </rPr>
      <t>Безответность.</t>
    </r>
  </si>
  <si>
    <t>Гигант / Титан</t>
  </si>
  <si>
    <t xml:space="preserve">     Королевские наги имеют невероятный урон в 30 единиц для 6 уровня, да ещё и без разброса. Ближайший конкурент - Короли минотавров с 15-30 урона. Хорошая атака, но слабая защита. Почти максимальное здоровье. А вот скорость передвижения - худшая на уровне. Самые дорогие существа 6 уровня.</t>
  </si>
  <si>
    <t>1100 (1600)</t>
  </si>
  <si>
    <t>19 (24)</t>
  </si>
  <si>
    <t>16 (24)</t>
  </si>
  <si>
    <t>150 (300)</t>
  </si>
  <si>
    <t>2000 (5000)</t>
  </si>
  <si>
    <t>+1 (+2) самоцвета</t>
  </si>
  <si>
    <t xml:space="preserve">     Гиганты и Титаны имеют наивысший максимальный урон на уровне, не считая нейтральных драконов. Наилучшее здоровье и самая высокая стоимость найма - 5000 золота за 1 Титана.</t>
  </si>
  <si>
    <r>
      <t xml:space="preserve">     </t>
    </r>
    <r>
      <rPr>
        <b/>
        <sz val="10"/>
        <rFont val="Arial"/>
        <family val="2"/>
        <charset val="204"/>
      </rPr>
      <t xml:space="preserve">Способности: </t>
    </r>
    <r>
      <rPr>
        <sz val="10"/>
        <rFont val="Arial"/>
        <family val="2"/>
        <charset val="204"/>
      </rPr>
      <t>Защита от магии разума; Титаны умеют стрелять и не имеют штрафа в ближнем бою; Титаны имеют Ненависть к Чёрным драконам (+50% от базового урона против них).</t>
    </r>
  </si>
  <si>
    <t xml:space="preserve">     Гиганты - ничем не примечательные воины ближнего боя, неплохие параметры нападения, но низкое здоровье и малая скорость. Поэтому необходимо как можно быстрее улучшить их до Титанов, хоть сделать это очень непросто. После улучшения, Титаны в 2 раза повышают своё здоровья и получают Стрельбу. Это единственные стрелки 7 уровня. В ближнем бою они сражаются без штрафа и, кроме того, защищены от магии разума. Всё это делает Титанов одними из лучших существ в игре, как и одними из самых дорогих.</t>
  </si>
  <si>
    <t>Накладывает на все дружественные существа одно из заклинаний. Последовательность выпадения заклинаний случайна. Эффекты заклинаний аналогичны обычным заклинаниям героя на Экспертном уровне магии. Шансы выпадения заклинаний: Ускорение, Каменная кожа, благословление ~18%; Воздушный щит, Медлительность, Лечение ~12%; Жажда крови ~6%; Слабость ~5%.</t>
  </si>
  <si>
    <t>Скелет / Скелет-воин</t>
  </si>
  <si>
    <t>60 (70)</t>
  </si>
  <si>
    <t xml:space="preserve">     Скелеты хороши в уроне и защите. Они имеют лучшие показатели атаки и защиты на уровне, а также наименьшие скорость и городской прирост.</t>
  </si>
  <si>
    <r>
      <t xml:space="preserve">     </t>
    </r>
    <r>
      <rPr>
        <b/>
        <sz val="10"/>
        <rFont val="Arial"/>
        <family val="2"/>
        <charset val="204"/>
      </rPr>
      <t xml:space="preserve">Способности: </t>
    </r>
    <r>
      <rPr>
        <sz val="10"/>
        <rFont val="Arial"/>
        <family val="2"/>
        <charset val="204"/>
      </rPr>
      <t>Нежить имеет нейтральный боевой дух и защищена от Проклятия, Благословления, магии разума, Волны смерти, Жертвы, Воскрешения, Болезни, Облака смерти, Старости, Поднятия демонов, Смертельного взгляда, Яда, Вампиризма и Страха.</t>
    </r>
  </si>
  <si>
    <t>Живой мертвец / Зомби</t>
  </si>
  <si>
    <t>100 (125)</t>
  </si>
  <si>
    <t xml:space="preserve">     Мертвецы имеют небольшой урон, низкую атаку и самую медленную скорость - 3-4 единицы. Единственный плюс - это здоровье Зомби. Оно лучшее на уровне. В следствие таких параметров, стоимость найма мертвецов самая дешёвая.</t>
  </si>
  <si>
    <t xml:space="preserve">     Даже с учётом способности, мертвецы являются одними из худших существ на 2 уровне. Они ничем не примечательны, медлительны. Большую толпу их не накопишь. А лишь высокое здоровье не поможет использовать их в нападении или защите. Единственное их применение (и то редко) - начальная стадия игры, взятие сокровищниц, финальная затяжная битва большой армией и прикрытие личей.</t>
  </si>
  <si>
    <r>
      <t xml:space="preserve">     </t>
    </r>
    <r>
      <rPr>
        <b/>
        <sz val="10"/>
        <rFont val="Arial"/>
        <family val="2"/>
        <charset val="204"/>
      </rPr>
      <t xml:space="preserve">Способности: </t>
    </r>
    <r>
      <rPr>
        <sz val="10"/>
        <rFont val="Arial"/>
        <family val="2"/>
        <charset val="204"/>
      </rPr>
      <t>Нежить; Зомби имеют 20% шанс наложить Болезнь на цель при ударе. Действует только на живых и снижает атаку и защиту цели на 2 единицы на 3 хода.</t>
    </r>
  </si>
  <si>
    <t>Страж / Привидение</t>
  </si>
  <si>
    <t>200 (230)</t>
  </si>
  <si>
    <t xml:space="preserve">     Стражи довольно слабы по урону и атаке. Они имеют низкое здоровье и среднюю скорость. Улучшение почти бесполезно для параметров - повышается лишь скорость.</t>
  </si>
  <si>
    <r>
      <t xml:space="preserve">     </t>
    </r>
    <r>
      <rPr>
        <b/>
        <sz val="10"/>
        <rFont val="Arial"/>
        <family val="2"/>
        <charset val="204"/>
      </rPr>
      <t xml:space="preserve">Способности: </t>
    </r>
    <r>
      <rPr>
        <sz val="10"/>
        <rFont val="Arial"/>
        <family val="2"/>
        <charset val="204"/>
      </rPr>
      <t>Нежить; Полёт; Регенерация в начале хода до полного здоровья; Привидения в добавок сжигают по 2 маны вражеского героя перед своим ходом.</t>
    </r>
  </si>
  <si>
    <t xml:space="preserve">     Как и Зомби, Стражи и Привидения почти бесполезны в нападении и слабы в защите. Однако способность регенерации может быть полезна в битве со слабыми нейтралами. Также полезна и способность сжигания маны в долгих битвах с вражескими героями. В таких боях полезно разделить Привидений, т.к. каждый отряд будет сжигать ману перед своим ходом. Эта же способность является проблемой в сражениях против нейтральных Привидений на карте. Улучшение до Привидений дёшево и полезно. Специалист по Страдам - Чарна.</t>
  </si>
  <si>
    <t>Вампир / Вампир-лорд</t>
  </si>
  <si>
    <t>9 (10)</t>
  </si>
  <si>
    <t>360 (500)</t>
  </si>
  <si>
    <r>
      <t xml:space="preserve">     </t>
    </r>
    <r>
      <rPr>
        <b/>
        <sz val="10"/>
        <rFont val="Arial"/>
        <family val="2"/>
        <charset val="204"/>
      </rPr>
      <t xml:space="preserve">Способности: </t>
    </r>
    <r>
      <rPr>
        <sz val="10"/>
        <rFont val="Arial"/>
        <family val="2"/>
        <charset val="204"/>
      </rPr>
      <t>Нежить; Полёт; Безответность; Вампиры-лорды имеют Вампиризм, восстанавливающий 1 здоровье за каждую единицу нанесённого им урона живому существу (с воскрешением павших).</t>
    </r>
  </si>
  <si>
    <t xml:space="preserve">     Довольно низкие параметры нападения и рекордная дороговизна? Да. Всё дело в безответных атаках с Вампиризмом. Эта способность делает вампиров в большинстве битв неубиваемыми. В битвах с живыми нейтралами, вампиры способны в одиночку уничтожать огромные толпы без единой потери. Именно поэтому улучшение Вампиров часто запрещают на турнирах, а Некрополис считается одним из самых сильных городов (в купе с Чародейством и толпами Скелетов). Полезно всячески усиливать вампиров заклинаниями, а также использовать Контрудар, врываясь в гущу битвы.</t>
  </si>
  <si>
    <t>Лич / Могущественный лич</t>
  </si>
  <si>
    <t>13 (15)</t>
  </si>
  <si>
    <t xml:space="preserve">     Урон личей небольшой. Хорошие атака и скорость для стрелка. Но очень низкие защита и здоровье, что впрочем нормально для дальнобойных существ. Стоимость высокая.</t>
  </si>
  <si>
    <r>
      <t xml:space="preserve">     </t>
    </r>
    <r>
      <rPr>
        <b/>
        <sz val="10"/>
        <rFont val="Arial"/>
        <family val="2"/>
        <charset val="204"/>
      </rPr>
      <t xml:space="preserve">Способности: </t>
    </r>
    <r>
      <rPr>
        <sz val="10"/>
        <rFont val="Arial"/>
        <family val="2"/>
        <charset val="204"/>
      </rPr>
      <t>Нежить; Стрельба; Облако смерти при стрельбе наносит урон цели и всем живым существам вокруг неё.</t>
    </r>
  </si>
  <si>
    <t>Чёрный рыцарь / Рыцарь смерти</t>
  </si>
  <si>
    <t>16 (18)</t>
  </si>
  <si>
    <t>1200 (1500)</t>
  </si>
  <si>
    <t xml:space="preserve">     Разброс урона большой, но максимальный урон высок. Чёрные рыцари и Рыцари смерти лучшие воины 6 уровня в атаке, защите и по показателю здоровья. Стоимость чуть ниже наг.</t>
  </si>
  <si>
    <r>
      <t xml:space="preserve">     </t>
    </r>
    <r>
      <rPr>
        <b/>
        <sz val="10"/>
        <rFont val="Arial"/>
        <family val="2"/>
        <charset val="204"/>
      </rPr>
      <t xml:space="preserve">Способности: </t>
    </r>
    <r>
      <rPr>
        <sz val="10"/>
        <rFont val="Arial"/>
        <family val="2"/>
        <charset val="204"/>
      </rPr>
      <t>Нежить; 25% шанс Проклятия цели при ударе (урон снизится до минимального); Рыцари смерти имеют 20% шанс нанести Смертельный удар с двойным уроном.</t>
    </r>
  </si>
  <si>
    <t xml:space="preserve">     Пожалуй, Рыцари смерти - лучшие существа 6 уровня. Потягаться с ними могут лишь Королевские наги. Параметры нападения и обороны рекордны, поэтому эти рыцари универсальны. Стоимость приемлема. А способности срабатывают достаточно часто (одна да сработает). Защищены от кучи вражеских проклятий, как и от своего Благословления, что является минусом с таким разбросом урона. Рыцари смерти и Вампиры-лорды являются основной атакующей силой Некрополиса. Тамика - специалист по мёртвым всадникам, она усиливает их ещё лучше.</t>
  </si>
  <si>
    <t xml:space="preserve">     Костяные драконы и Драконы-привидения слабы практически по всем параметрам. Имеют худшую защиту и здоровье на 7 уровне. Стоимость по золоту не самая дешёвая, но зато по ценным ресурсам 1 Дракон-привидение требует всего 1 ртуть.</t>
  </si>
  <si>
    <t xml:space="preserve">     Мёртвые драконы практически не пригодны для эффективного использования ни в нападении, ни в защите. Возможно своей слабостью они компенсируют сильных Рыцарей смерти, Вампиров-лордов и скелетов на предыдущих уровнях города. Улучшение Костяного дракона не приносит ощутимой прибавки к параметрам, но даёт невероятно крутую способность, хоть и с малым шансом. Можно использовать улучшенных драконов против высокоуровневых существ, в надежде на срабатывание Старости. Ещё спорным плюсом является возможность трансформации всех живых драконов и гидра через Преобразователь скелетов в Костяных драконов, тем самым увеличивая численность этого отряда.</t>
  </si>
  <si>
    <t>Определение цели при большем расстоянии от основной цели.</t>
  </si>
  <si>
    <t>Бес / Чёрт</t>
  </si>
  <si>
    <t>17 (19)</t>
  </si>
  <si>
    <t>15 (17)</t>
  </si>
  <si>
    <t>9 (14)</t>
  </si>
  <si>
    <t>1800 (3000)</t>
  </si>
  <si>
    <t>+0 (+1) ртуть</t>
  </si>
  <si>
    <t>2 (4)</t>
  </si>
  <si>
    <t>50 (60)</t>
  </si>
  <si>
    <t xml:space="preserve">     Бес имеет худшую атаку, слабые защиту и здоровье, но неплохой прирост, повышающийся Инкубатором. Улучшение добавляет 2 единицы в атаке и защите, но эти характеристики всё ещё остаются на низком уровне.</t>
  </si>
  <si>
    <t>Кража маны - После использования заклинания вражеским героем, Черти добавляют 20% маны от потраченной им маны своему герою. Количество отрядов и количество существ никак не влияют. Округление вниз, поэтому заклинания дешевле 5 маны не вызывают никакого эффекта.</t>
  </si>
  <si>
    <r>
      <t xml:space="preserve">     </t>
    </r>
    <r>
      <rPr>
        <b/>
        <sz val="10"/>
        <rFont val="Arial"/>
        <family val="2"/>
        <charset val="204"/>
      </rPr>
      <t>Способности:</t>
    </r>
    <r>
      <rPr>
        <sz val="10"/>
        <rFont val="Arial"/>
        <family val="2"/>
        <charset val="204"/>
      </rPr>
      <t xml:space="preserve"> Черти при каждом колдовстве вражеского героя, добавляют 20% от использованной маны своему герою. Заклинание должно быть дороже 4 единиц маны.</t>
    </r>
  </si>
  <si>
    <t xml:space="preserve">     Бесы и Черти - одни из самых слабых существ 1 уровня. Невероятно низкое здоровье (4), против, например, 10 у Копейщиков, делает их практически бесполезными в сражениях. Однако они имеют хороший прирост и в большом количестве всё  же могут нанести один хороший удар. Одним из назначений использования Чертей является Демонология Адских отродий. Бесы и Черти быстро умирают, а потому позволяют Адским отродиям поднимать из них Демонов, которые остаются в армии. Такая тактика является наиболее эффективной при игре за Инферно.</t>
  </si>
  <si>
    <t>ИНФЕРНО</t>
  </si>
  <si>
    <t>Гог / Магог</t>
  </si>
  <si>
    <t>125 (175)</t>
  </si>
  <si>
    <t xml:space="preserve">     Параметры Гогов и Магогов вполне типичны для стрелков. Неплохая атаки, слабые защита и здоровье. А вот стоимость найма всего 175 золота.</t>
  </si>
  <si>
    <r>
      <t xml:space="preserve">     </t>
    </r>
    <r>
      <rPr>
        <b/>
        <sz val="10"/>
        <rFont val="Arial"/>
        <family val="2"/>
        <charset val="204"/>
      </rPr>
      <t xml:space="preserve">Способности: </t>
    </r>
    <r>
      <rPr>
        <sz val="10"/>
        <rFont val="Arial"/>
        <family val="2"/>
        <charset val="204"/>
      </rPr>
      <t>Стрельба; Магоги стреляют Облаком огня, поражающим цель и всех существ вокруг неё.</t>
    </r>
  </si>
  <si>
    <t xml:space="preserve">     В целом Гоги и Магоги не самые сильные существа. Но являясь единственными стрелками Инферно они довольно ценны. Тем более, что стоят они дёшево. Основной ценности им добавляет способность Магогов стрелять огненными шарами. При должной сноровке и тактике, эту способность применять очень эффективно. Однако не следует забывать об осторожности, ведь огненный шар легко наносит урон и своим. Гоги имеют низкую для стрелка скорость, поэтому есть необходимость как можно скорее их улучшить.</t>
  </si>
  <si>
    <t>Адская гончая / Цербер</t>
  </si>
  <si>
    <t>7 (8)</t>
  </si>
  <si>
    <r>
      <t xml:space="preserve">  </t>
    </r>
    <r>
      <rPr>
        <b/>
        <sz val="10"/>
        <rFont val="Arial"/>
        <family val="2"/>
        <charset val="204"/>
      </rPr>
      <t xml:space="preserve">   Способности:</t>
    </r>
    <r>
      <rPr>
        <sz val="10"/>
        <rFont val="Arial"/>
        <family val="2"/>
        <charset val="204"/>
      </rPr>
      <t xml:space="preserve"> Церберы имеют Безответность и могут атаковать до 3 смежных целей за раз (основную и 2 цели по бокам от неё).</t>
    </r>
  </si>
  <si>
    <t xml:space="preserve">     Адские гончие и Церберы довольно сильные бойцы атакующего плана. Большой разброс урона полезно компенсировать Благословлением. В обороне они тоже не плохи - могут постоять за себя. Очень полезны способности улучшенных Адских гончих. Безответность и атака тремя головами крайне полезны в тяжёлых и тесных битвах.</t>
  </si>
  <si>
    <t>Демон / Рогатый демон</t>
  </si>
  <si>
    <t>35 (40)</t>
  </si>
  <si>
    <t>250 (270)</t>
  </si>
  <si>
    <t xml:space="preserve">     Демоны имеют неплохой урон с небольшим разбросом, хотя уровень атаки низковат. В обороне демоны очень неплохи - хорошие защита и здоровье. Скорость низкая. Зато они самые дешёвые существа 4 уровня.</t>
  </si>
  <si>
    <t xml:space="preserve">     Демоны и Рогатые демоны имеют неплохой урон, но всё же в нападении не очень эффективны - атака и скорость не позволяют. А вот в обороне они достаточно сильны. Однако всё же сила демонов не в их параметрах, а в их количестве. Ведь Адские отродия могут поднимать Демонов практически из любого павшего дружественного отряда. В результате, при хорошем навыке Демонологии и ловкости, игрок легко сможет накопить большой отряд этих воинов, который может посоперничать со скелетами от Некромантии. Таким образом, демоны становятся основным ударным отрядом Инферно на низких уровнях.</t>
  </si>
  <si>
    <t>Порождение зла / Адское отродье</t>
  </si>
  <si>
    <t>500 (700)</t>
  </si>
  <si>
    <t xml:space="preserve">     Порождения зла - отличные воины. Хороший урон, атака, да и защита не подводит. Скорость средняя. Улучшение, помимо скорости, не добавляет никаких параметров, однако стоимость возрастает до рекордной - 700 золота.</t>
  </si>
  <si>
    <r>
      <t xml:space="preserve">   </t>
    </r>
    <r>
      <rPr>
        <b/>
        <sz val="10"/>
        <rFont val="Arial"/>
        <family val="2"/>
        <charset val="204"/>
      </rPr>
      <t xml:space="preserve">  Способности: </t>
    </r>
    <r>
      <rPr>
        <sz val="10"/>
        <rFont val="Arial"/>
        <family val="2"/>
        <charset val="204"/>
      </rPr>
      <t>Адские отродья могут поднимать Демонов из любого павшего дружественного отряда с силой в 50 единиц здоровья. Демоны поднимаются только из живых, а их количество не может превысить количество существ, которое было в павшем отряде.</t>
    </r>
  </si>
  <si>
    <t xml:space="preserve">     Адские отродья довольно сильны и универсальны. Они годятся и для нападения и для обороны. Однако в первые ряды их всё же не стоит вести, т.к. важно сохранить их количество. Ведь основная фишка Адских отродий - Демонология. Именно из-за неё они стоят так дорого. Они могут поднимать демонов, которые сохраняются после битвы. Крайне полезно использовать Клон, ведь копия Адских отродий тоже сможет поднять Демонов.</t>
  </si>
  <si>
    <t>Ифрит / Султан-ифрит</t>
  </si>
  <si>
    <t>12 (14)</t>
  </si>
  <si>
    <t>9 (13)</t>
  </si>
  <si>
    <t>900 (1100)</t>
  </si>
  <si>
    <t xml:space="preserve">     Ифриты имеют достаточно средние параметры в нападении. Защита низкая, но при улучшении добавляется 2 единицы. Основное преимущество - скорость, лучшая на 6 уровне.</t>
  </si>
  <si>
    <r>
      <t xml:space="preserve">   </t>
    </r>
    <r>
      <rPr>
        <b/>
        <sz val="10"/>
        <rFont val="Arial"/>
        <family val="2"/>
        <charset val="204"/>
      </rPr>
      <t xml:space="preserve">  Способности: </t>
    </r>
    <r>
      <rPr>
        <sz val="10"/>
        <rFont val="Arial"/>
        <family val="2"/>
        <charset val="204"/>
      </rPr>
      <t>Полёт; Защита от Магии огня; Ненависть к Джиннам и Мастер-джиннам (+50% от базового урона против них); Султаны-ифритов имеют Огненный щит, который возвращает атакующему 20% от нанесённого по ним урона в ближнем бою.</t>
    </r>
  </si>
  <si>
    <t>19 (26)</t>
  </si>
  <si>
    <t>21 (28)</t>
  </si>
  <si>
    <t>160 (200)</t>
  </si>
  <si>
    <t>11 (17)</t>
  </si>
  <si>
    <t>2700 (4500)</t>
  </si>
  <si>
    <t>+1 (+2) ртути</t>
  </si>
  <si>
    <r>
      <t xml:space="preserve">   </t>
    </r>
    <r>
      <rPr>
        <b/>
        <sz val="10"/>
        <rFont val="Arial"/>
        <family val="2"/>
        <charset val="204"/>
      </rPr>
      <t xml:space="preserve">  Способности: </t>
    </r>
    <r>
      <rPr>
        <sz val="10"/>
        <rFont val="Arial"/>
        <family val="2"/>
        <charset val="204"/>
      </rPr>
      <t>Полёт; Безответность; Ненависть к Ангелам и Архангелам (+50% от базового урона против них); Удача всех вражеских существ -1</t>
    </r>
  </si>
  <si>
    <t xml:space="preserve">     Хоть по параметрам нападения дьяволы и не очень сильны, их способности всё же позволяют использовать их эффективно в качестве атакующего ударного отряда. Скорость и телепортация позволяют их легко проникать за стены города или врываться в плотные ряды вражеских войск, нанося безответный урон. Эта же скорость позволяет часто применять тактику с ожиданием и двойным ходом против нейтралов на карте или вражеских героев без столь же быстрых существ. Способность снижения удачи редко проявляется, т.к. отрицательная удача в игре отсутствует (баг), а повышенная у противников встречается довольно редко.</t>
  </si>
  <si>
    <t>Троглодит / Адский троглодит</t>
  </si>
  <si>
    <t>50 (65)</t>
  </si>
  <si>
    <r>
      <t xml:space="preserve">     </t>
    </r>
    <r>
      <rPr>
        <b/>
        <sz val="10"/>
        <rFont val="Arial"/>
        <family val="2"/>
        <charset val="204"/>
      </rPr>
      <t xml:space="preserve">Способности: </t>
    </r>
    <r>
      <rPr>
        <sz val="10"/>
        <rFont val="Arial"/>
        <family val="2"/>
        <charset val="204"/>
      </rPr>
      <t>Защищены от Слепоты и Окаменения.</t>
    </r>
  </si>
  <si>
    <t>Гарпия / Гарпия-ведьма</t>
  </si>
  <si>
    <t>130 (170)</t>
  </si>
  <si>
    <t xml:space="preserve">     Гарпии имеют очень низкий минимальный урон - 1 единицу, а также слабую атаку. Здоровье также не высоко, а вот скорость улучшенных Гарпий-ведьм лучшая на 2 уровне. Цена найма довольно высокая.</t>
  </si>
  <si>
    <r>
      <t xml:space="preserve">    </t>
    </r>
    <r>
      <rPr>
        <b/>
        <sz val="10"/>
        <rFont val="Arial"/>
        <family val="2"/>
        <charset val="204"/>
      </rPr>
      <t xml:space="preserve"> Способности:</t>
    </r>
    <r>
      <rPr>
        <sz val="10"/>
        <rFont val="Arial"/>
        <family val="2"/>
        <charset val="204"/>
      </rPr>
      <t xml:space="preserve"> Полёт; Удар и возврат; Гарпии-ведьмы имеют безответность.</t>
    </r>
  </si>
  <si>
    <t xml:space="preserve">     Не смотря на слабые навыки нападения, Гарпии и Гарпии-ведьмы очень ценны в армии Темницы, особенно последние. Полёт и возврат на исходную позицию после удара, позволяют эффективно использовать их при обороне города, атаки из-за преград или других существ. А безответность Гарпий-ведьм вместе с возвратом, делают их способности сродни стрельбе. Позволяя безответно атаковать противника на расстоянии в 9 гексов, оставаясь на месте. Однако способности гарпий способны сказаться и негативно, ведь ими нельзя атаковать, например, вражеского стрелка и перекрыть его, оставшись рядом с ним.</t>
  </si>
  <si>
    <t>Бехолдер / Созерцатель</t>
  </si>
  <si>
    <t>250 (280)</t>
  </si>
  <si>
    <r>
      <t xml:space="preserve">     </t>
    </r>
    <r>
      <rPr>
        <b/>
        <sz val="10"/>
        <rFont val="Arial"/>
        <family val="2"/>
        <charset val="204"/>
      </rPr>
      <t xml:space="preserve">Способности: </t>
    </r>
    <r>
      <rPr>
        <sz val="10"/>
        <rFont val="Arial"/>
        <family val="2"/>
        <charset val="204"/>
      </rPr>
      <t>Стрельба; Нет штрафа в ближнем бою.</t>
    </r>
  </si>
  <si>
    <t xml:space="preserve">     Бехолдеры и Созерцатели - очень хорошие стрелки. Неплохой урон на расстоянии, но и в ближнем бою они смогут за себя постоять. У них нет 50%-ного штрафа стрелков в ближнем бою и, кроме того, хорошие характеристики в защите. Видимо поэтому они так дорого стоят. В общем плане армия Темницы атакующая и прикрывать бехолдеров приходится редко, поэтому они вступают в ближний бой не часто. Могут побороться за звание лучшего существа 3 уровня.</t>
  </si>
  <si>
    <t xml:space="preserve">     Урон Бехолдеров и Созерцателей не плох для 3 уровня, а атака - лучшая. Остальные параметры в целом средние и хорошие для стрелка. Цена найма самая высокая - 280 золота за Созерцателя.</t>
  </si>
  <si>
    <t>Медуза / Королева медуз</t>
  </si>
  <si>
    <t>300 (330)</t>
  </si>
  <si>
    <r>
      <t xml:space="preserve">    </t>
    </r>
    <r>
      <rPr>
        <b/>
        <sz val="10"/>
        <rFont val="Arial"/>
        <family val="2"/>
        <charset val="204"/>
      </rPr>
      <t xml:space="preserve"> Способности:</t>
    </r>
    <r>
      <rPr>
        <sz val="10"/>
        <rFont val="Arial"/>
        <family val="2"/>
        <charset val="204"/>
      </rPr>
      <t xml:space="preserve"> Стрельба; Нет штрафа в ближнем бою; 20% шанс Окаменения в ближнем бою (цель будет пропускать ходы. Действует 3 раунда, снимается при получении любого урона. Урон атаки, снявшей Окаменение слабее на 50%).</t>
    </r>
  </si>
  <si>
    <t xml:space="preserve">     Медузы и Королевы медуз слабы по урону и атаке, но умеют стрелять. Хорошая защита 10 единиц, но очень низкое здоровье - всего 30.</t>
  </si>
  <si>
    <t xml:space="preserve">     Не самый сильный воин 4 уровне и не самый лучший стрелок. Здоровье совсем слабое, но по другим свойствам медузы вполне способны постоять за себя в ближнем бою, как и Созерцатели. Они не имеют штрафа в ближнем бою и имеют хорошую защиту. Кроме того, они могут окаменить цель своего удара с 20%-ным шансом. Основным недостатком медуз, как стрелков, является низкий боезапас - всего 4 (8) стрел. Поэтому им часто приходится воевать в ближнем бою в долгих сражениях, где они живут не долго.</t>
  </si>
  <si>
    <t>Минотавр / Король минотавров</t>
  </si>
  <si>
    <t>14 (15)</t>
  </si>
  <si>
    <t>12 (15)</t>
  </si>
  <si>
    <t>500 (575)</t>
  </si>
  <si>
    <t xml:space="preserve">     Минотавры и Короли минотавров очень сильны, обладают отличным уроном и лучшей атакой на уровне. Защита после улучшения уверенно дотягивает до "хорошо". Хороша и скорость для пеших воинов.</t>
  </si>
  <si>
    <r>
      <t xml:space="preserve">    </t>
    </r>
    <r>
      <rPr>
        <b/>
        <sz val="10"/>
        <rFont val="Arial"/>
        <family val="2"/>
        <charset val="204"/>
      </rPr>
      <t xml:space="preserve"> Способности: </t>
    </r>
    <r>
      <rPr>
        <sz val="10"/>
        <rFont val="Arial"/>
        <family val="2"/>
        <charset val="204"/>
      </rPr>
      <t>Боевой дух не может быть ниже +1.</t>
    </r>
  </si>
  <si>
    <t xml:space="preserve">     Хоть минотавры и не имеют особых способностей, характеристики делают их одними из лучших существ на уровне 5. Невероятный урон, в совокупности с атакой, хоть и с большим разбросом, делает их удары не очень приятными для соперника. Скорость позволяет им быть очень эффективным ударным отрядом, особенно если их атаки проходят безответно. Для снятия ответов полезно использовать единички. Также полезно для минотавров Благословление и Ускорение. При всём при этом стоимость найма не высока. В обороне, конечно, минотавры чуть слабее.</t>
  </si>
  <si>
    <t>Мантикора / Скорпикора</t>
  </si>
  <si>
    <t>13 (14)</t>
  </si>
  <si>
    <t>850 (1050)</t>
  </si>
  <si>
    <r>
      <t xml:space="preserve">     </t>
    </r>
    <r>
      <rPr>
        <b/>
        <sz val="10"/>
        <rFont val="Arial"/>
        <family val="2"/>
        <charset val="204"/>
      </rPr>
      <t xml:space="preserve">Способности: </t>
    </r>
    <r>
      <rPr>
        <sz val="10"/>
        <rFont val="Arial"/>
        <family val="2"/>
        <charset val="204"/>
      </rPr>
      <t>Полёт; Скорпикоры могут с 20%-ной вероятностью наложить на цель Паралич (цель будет пропускать ходы. Действует 3 раунда. Снимается при получении любого урона. Ответ на атаку, снявшую Паралич, происходит с 25%-ной силой).</t>
    </r>
  </si>
  <si>
    <t xml:space="preserve">     Мантикоры и Скорпикоры имеют очень низкие показатели урона, атаки и защиты, едва ли не ниже параметров минотавров на предыдущем уровне. У них хорошая скорость, но низкое здоровье.</t>
  </si>
  <si>
    <t xml:space="preserve">     Мантикоры и Скорпикоры уравновешивают сильных существ Темницы на предыдущих и следующем уровне. Они слабы как в нападении, так и в атаке. Единственными полезными свойствами являются скорость с полётом, позволяющая легко маневрировать и осаждать города, а также иногда срабатывающая способность, парализующая цель.</t>
  </si>
  <si>
    <t>Красный дракон / Чёрный дракон</t>
  </si>
  <si>
    <t>19 (25)</t>
  </si>
  <si>
    <t>180 (300)</t>
  </si>
  <si>
    <t>11 (15)</t>
  </si>
  <si>
    <t>2500 (4000)</t>
  </si>
  <si>
    <t>+1 (+2) серы</t>
  </si>
  <si>
    <t xml:space="preserve">     Эти драконы имеют хороший урон и равнозначные параметры атаки и защиты. Скорость хорошая, а здоровье Чёрного дракона самое высокое - целых 300 единиц.</t>
  </si>
  <si>
    <r>
      <t xml:space="preserve">     </t>
    </r>
    <r>
      <rPr>
        <b/>
        <sz val="10"/>
        <rFont val="Arial"/>
        <family val="2"/>
        <charset val="204"/>
      </rPr>
      <t xml:space="preserve">Способности: </t>
    </r>
    <r>
      <rPr>
        <sz val="10"/>
        <rFont val="Arial"/>
        <family val="2"/>
        <charset val="204"/>
      </rPr>
      <t>Полёт; Дыхание дракона на 2 клетки; Защита от магии 1-3 уровня (Чёрные драконы защищены от магии полностью); Чёрные драконы имеют Ненависть к Титанам (+50% от базового урона против них).</t>
    </r>
  </si>
  <si>
    <t xml:space="preserve">     Безусловно хороший воин для 7 уровня. Параметры равномерно выше среднего, а здоровье вообще самое высокое, не считая нейтральных драконов. Всё это делает драконов отличными бойцами Темницы в нападении и в обороне. Драконы манёвренны и защищены от вражеских заклинаний (Чёрные защищены полностью). С дыханием дракона следует быть осторожным, т.к. оно легко наносит урон и по своим, а противник этим пользоваться однозначно будет. В общем пользы от этих драконов много.</t>
  </si>
  <si>
    <t>Гнолл / Гнолл-мародёр</t>
  </si>
  <si>
    <t>50 (70)</t>
  </si>
  <si>
    <r>
      <t xml:space="preserve">     </t>
    </r>
    <r>
      <rPr>
        <b/>
        <sz val="10"/>
        <rFont val="Arial"/>
        <family val="2"/>
        <charset val="204"/>
      </rPr>
      <t>Способности:</t>
    </r>
    <r>
      <rPr>
        <sz val="10"/>
        <rFont val="Arial"/>
        <family val="2"/>
        <charset val="204"/>
      </rPr>
      <t xml:space="preserve"> нет.</t>
    </r>
  </si>
  <si>
    <t xml:space="preserve">     Как и вся армия Крепости, гноллы имеют хорошую защиту. Однако помимо неё они хороши и в нападении, т.к. урон для 1 уровня существ у них хороший. Правда скорость не всегда позволяет ими нападать. В связи с этим, основным применением гноллов является оборона, защита Ящеров. На начальных стадиях могут сойти за единички или основной ударный отряд. В поздней игре гноллы практически не участвуют, т.к. являются очень медлительными.</t>
  </si>
  <si>
    <t>Ящер / Ящер-воин</t>
  </si>
  <si>
    <t>110 (140)</t>
  </si>
  <si>
    <t xml:space="preserve">     Неулучшенные ящеры не особо примечательны. А вот Ящеры-воины довольно дёшевы для своих параметров. Лучшие на уровне по максимальному урону, защите и приросту. Хороши по уровню здоровья, но слабы по скорости и атаке, впрочем не сильно.</t>
  </si>
  <si>
    <r>
      <t xml:space="preserve">     </t>
    </r>
    <r>
      <rPr>
        <b/>
        <sz val="10"/>
        <rFont val="Arial"/>
        <family val="2"/>
        <charset val="204"/>
      </rPr>
      <t>Способности:</t>
    </r>
    <r>
      <rPr>
        <sz val="10"/>
        <rFont val="Arial"/>
        <family val="2"/>
        <charset val="204"/>
      </rPr>
      <t xml:space="preserve"> Стрельба.</t>
    </r>
  </si>
  <si>
    <t xml:space="preserve">     Единственный стрелок Крепости и отличный воин для своего уровня. Из недостатков лишь большой разброс урона (полезно Благословление), низкая атака и малая скорость, которая не позволяет ему рано сделать выстрел. Именно поэтому ящеров полезно защищать. Благо почти все существа Крепости отменны в обороне, благодаря высокому уровню защиты и "ширины". Двухгексовые василиски, горгоны, виверны и гидры могут хорошо прикрыть стрелков. Вистан - специалист по Ящерам.</t>
  </si>
  <si>
    <t>Змий / Стрекоза</t>
  </si>
  <si>
    <t>220 (240)</t>
  </si>
  <si>
    <t xml:space="preserve">     Змии и Стрекозы абсолютные лидеры в скорости, приросте и защите. Но урон наоборот самый слабый. Не высока и атака.</t>
  </si>
  <si>
    <r>
      <t xml:space="preserve">     </t>
    </r>
    <r>
      <rPr>
        <b/>
        <sz val="10"/>
        <rFont val="Arial"/>
        <family val="2"/>
        <charset val="204"/>
      </rPr>
      <t>Способности:</t>
    </r>
    <r>
      <rPr>
        <sz val="10"/>
        <rFont val="Arial"/>
        <family val="2"/>
        <charset val="204"/>
      </rPr>
      <t xml:space="preserve"> Полёт; Снимает все положительные заклинания с цели при атаке; Стрекозы при атаке накладывают на цель Слабость на 3 раунда (атака цели снижается на 6 единиц).</t>
    </r>
  </si>
  <si>
    <t>Василиск / Великий василиск</t>
  </si>
  <si>
    <t>325 (400)</t>
  </si>
  <si>
    <t xml:space="preserve">     Василиски имеют не высокий урон, но неплохие атаку и равнозначную защиту. Здоровье достаточно высоко, а скорость и стоимость средние.</t>
  </si>
  <si>
    <r>
      <t xml:space="preserve">     </t>
    </r>
    <r>
      <rPr>
        <b/>
        <sz val="10"/>
        <rFont val="Arial"/>
        <family val="2"/>
        <charset val="204"/>
      </rPr>
      <t xml:space="preserve">Способности: </t>
    </r>
    <r>
      <rPr>
        <sz val="10"/>
        <rFont val="Arial"/>
        <family val="2"/>
        <charset val="204"/>
      </rPr>
      <t>20% шанс Окаменения при ударе (цель будет пропускать ходы. Действует 3 раунда, снимается при получении любого урона. Урон атаки, снявшей Окаменение слабее на 50%).</t>
    </r>
  </si>
  <si>
    <t>Горгона / Могучая горгона</t>
  </si>
  <si>
    <t>10 (11)</t>
  </si>
  <si>
    <t>14 (16)</t>
  </si>
  <si>
    <t>525 (600)</t>
  </si>
  <si>
    <r>
      <t xml:space="preserve">     </t>
    </r>
    <r>
      <rPr>
        <b/>
        <sz val="10"/>
        <rFont val="Arial"/>
        <family val="2"/>
        <charset val="204"/>
      </rPr>
      <t xml:space="preserve">Способности: </t>
    </r>
    <r>
      <rPr>
        <sz val="10"/>
        <rFont val="Arial"/>
        <family val="2"/>
        <charset val="204"/>
      </rPr>
      <t>Каждая</t>
    </r>
    <r>
      <rPr>
        <b/>
        <sz val="10"/>
        <rFont val="Arial"/>
        <family val="2"/>
        <charset val="204"/>
      </rPr>
      <t xml:space="preserve"> </t>
    </r>
    <r>
      <rPr>
        <sz val="10"/>
        <rFont val="Arial"/>
        <family val="2"/>
        <charset val="204"/>
      </rPr>
      <t>Могучая горгона при ударе с 10%-ным шансом может мгновенно убить в целевом отряде 1 существо при помощи Смертельного взгляда. Действует только на живых.</t>
    </r>
  </si>
  <si>
    <t>Виверна / Виверна-монарх</t>
  </si>
  <si>
    <t>14 (18)</t>
  </si>
  <si>
    <t>18 (22)</t>
  </si>
  <si>
    <t>800 (1100)</t>
  </si>
  <si>
    <r>
      <t xml:space="preserve">     </t>
    </r>
    <r>
      <rPr>
        <b/>
        <sz val="10"/>
        <rFont val="Arial"/>
        <family val="2"/>
        <charset val="204"/>
      </rPr>
      <t xml:space="preserve">Способности: </t>
    </r>
    <r>
      <rPr>
        <sz val="10"/>
        <rFont val="Arial"/>
        <family val="2"/>
        <charset val="204"/>
      </rPr>
      <t>Виверны-монархи при ударе с 25%-ным шансом могут наложить Яд на цель (действует 3 раунда, включая текущий. Максимальное здоровье цели снижается на 10% каждый раунд). Действует только на живых. Здоровье цели не может упасть ниже 50% от Яда.</t>
    </r>
  </si>
  <si>
    <t>Гидра / Гидра хаоса</t>
  </si>
  <si>
    <t>18 (20)</t>
  </si>
  <si>
    <t>175 (250)</t>
  </si>
  <si>
    <t>2200 (3500)</t>
  </si>
  <si>
    <t>+0 (+1) сера</t>
  </si>
  <si>
    <t xml:space="preserve">     Если судить по параметрам, то у гидр нет особых преимуществ среди существ 7 уровня. Низкий урон, самая низкая атака, самая медленная скорость. Хотя здоровье не плохое.</t>
  </si>
  <si>
    <r>
      <t xml:space="preserve">     </t>
    </r>
    <r>
      <rPr>
        <b/>
        <sz val="10"/>
        <rFont val="Arial"/>
        <family val="2"/>
        <charset val="204"/>
      </rPr>
      <t xml:space="preserve">Способности: </t>
    </r>
    <r>
      <rPr>
        <sz val="10"/>
        <rFont val="Arial"/>
        <family val="2"/>
        <charset val="204"/>
      </rPr>
      <t>Безответность; Окружающий удар - атака по всем вражеским существам вокруг.</t>
    </r>
  </si>
  <si>
    <t xml:space="preserve">     Гидры и Гидры хаоса очень сильные воины, не смотря на их слабые характеристики. Низкий урон и атака компенсируются безответным окружающим ударом. Так что крайне полезно запускать гидр в гущу битвы, в бои с нейтралами. Большим минусом является очень низкая скорость, ограничивающая применение их способности. Пригодится в Книге магии Ускорение, Молитва или Телепорт для заброса гидр за стены города при осаде. Там они смогут раздать кучу урона обороняющимся. Разброс урона можно компенсировать Благословлением, а Контрудар сделает гидр практически непобедимыми.</t>
  </si>
  <si>
    <t>ЦИТАДЕЛЬ</t>
  </si>
  <si>
    <t>Гоблин / Хобгоблин</t>
  </si>
  <si>
    <t>2 (3)</t>
  </si>
  <si>
    <t>40 (50)</t>
  </si>
  <si>
    <t xml:space="preserve">     Гоблины и Хобгоблины отличаются хорошей атакой, неплохой скоростью, дешёвым наймом и большим приростов. А вот защита низкая, как и урон.</t>
  </si>
  <si>
    <r>
      <t xml:space="preserve">     </t>
    </r>
    <r>
      <rPr>
        <b/>
        <sz val="10"/>
        <rFont val="Arial"/>
        <family val="2"/>
        <charset val="204"/>
      </rPr>
      <t xml:space="preserve">Способности: </t>
    </r>
    <r>
      <rPr>
        <sz val="10"/>
        <rFont val="Arial"/>
        <family val="2"/>
        <charset val="204"/>
      </rPr>
      <t>нет.</t>
    </r>
  </si>
  <si>
    <t xml:space="preserve">     Рядовые ничем не примечательные бойцы Цитадели. Как и большинство существ этого города, гоблины отличаются высоким уровнем нападения, но слабой защитой. Тактика Цитадели направлена на быструю атаку, и гоблины вполне под неё подходят. Их численность компенсирует не большой урона, что в совокупности может принести врагу серьёзный урон. А вот обороняться и выжидать гоблинами не стоит. Погибают они очень быстро и для защиты, даже орков, слабо годятся. Скорость Хобгоблинов вполне позволяет брать их в основную армию без снижения скорости перемещения героя. В крайнем случае их всегда можно обменять на ресурсы в Гильдии наёмников.</t>
  </si>
  <si>
    <t>Наездник на волке / Налётчик</t>
  </si>
  <si>
    <t>100 (140)</t>
  </si>
  <si>
    <t xml:space="preserve">      Волчьи всадники очень неплохи. Улучшенный их вариант имеет хороший урон, лучшую атаку на уровне, хорошую стоимость, высокие скорость и прирост. Но количество здоровье очень низкое для воина ближнего боя.</t>
  </si>
  <si>
    <r>
      <t xml:space="preserve">     </t>
    </r>
    <r>
      <rPr>
        <b/>
        <sz val="10"/>
        <rFont val="Arial"/>
        <family val="2"/>
        <charset val="204"/>
      </rPr>
      <t xml:space="preserve">Способности: </t>
    </r>
    <r>
      <rPr>
        <sz val="10"/>
        <rFont val="Arial"/>
        <family val="2"/>
        <charset val="204"/>
      </rPr>
      <t>Налётчики имеют Двойной удар.</t>
    </r>
  </si>
  <si>
    <t>Орк / Орк-вождь</t>
  </si>
  <si>
    <t>150 (165)</t>
  </si>
  <si>
    <r>
      <t xml:space="preserve">     </t>
    </r>
    <r>
      <rPr>
        <b/>
        <sz val="10"/>
        <rFont val="Arial"/>
        <family val="2"/>
        <charset val="204"/>
      </rPr>
      <t xml:space="preserve">Способности: </t>
    </r>
    <r>
      <rPr>
        <sz val="10"/>
        <rFont val="Arial"/>
        <family val="2"/>
        <charset val="204"/>
      </rPr>
      <t>Стрельба.</t>
    </r>
  </si>
  <si>
    <t xml:space="preserve">     Орки и Орки-вожди являются, пожалуй, худшими существами 3 уровня с очень низкими характеристиками. Высокая атака, свойственная существам Цитадели, тоже отсутствует (она меньше лишь у Привидений). Способность стрелять - плюс, но даже он их не особо спасает. Хотя на начальной стадии орки - единственные стрелки, при том, что Наездниками на волках лучше не рваться на передовую, а гоблины достаточно слабы. Полезен герой Жабаркас, специализирующийся на орках. Под его командованием они способны представлять угрозу для врагов.</t>
  </si>
  <si>
    <t>Огр / Огр-маг</t>
  </si>
  <si>
    <t>40 (60)</t>
  </si>
  <si>
    <t xml:space="preserve">     Огры очень сильны. Они имеют большой урон с большим разбросом, лучшую атаку и невероятные 60 единиц здоровья у улучшенного Огра-мага. Однако огры слабы в защите и медлительны.</t>
  </si>
  <si>
    <r>
      <t xml:space="preserve">     </t>
    </r>
    <r>
      <rPr>
        <b/>
        <sz val="10"/>
        <rFont val="Arial"/>
        <family val="2"/>
        <charset val="204"/>
      </rPr>
      <t xml:space="preserve">Способности: </t>
    </r>
    <r>
      <rPr>
        <sz val="10"/>
        <rFont val="Arial"/>
        <family val="2"/>
        <charset val="204"/>
      </rPr>
      <t>Огры-маги вместо своего хода могут колдовать Продвинутую Жажду крови, которая повышает атаку дружественного существа в ближнем бою на 6 единиц.</t>
    </r>
  </si>
  <si>
    <t xml:space="preserve">     Первые серьёзные бойцы Цитадели. Огры невероятно сильны и здоровы, не смотря на низкую защиту. Таким здоровьем (60 единиц) не может похвастаться даже Король минотавров 5 уровня. Очень полезно усиливать низкую защиту заклинаниями, чтобы сделать огров ещё более стойкими и непобедимыми. Недостатком огров является их медлительность. Улучшенные огры могут колдовать Жажду крови, поэтому полезно отделять единички от основного отряда, т.к. каждая из них сможет колдовать, не тратя ход основного отряда. По итогу Огры-маги могут побороться за звание лучшего существа на уровне 4.</t>
  </si>
  <si>
    <t>Птица рух / Птица грома</t>
  </si>
  <si>
    <t>600 (700)</t>
  </si>
  <si>
    <r>
      <t xml:space="preserve">     </t>
    </r>
    <r>
      <rPr>
        <b/>
        <sz val="10"/>
        <rFont val="Arial"/>
        <family val="2"/>
        <charset val="204"/>
      </rPr>
      <t xml:space="preserve">Способности: </t>
    </r>
    <r>
      <rPr>
        <sz val="10"/>
        <rFont val="Arial"/>
        <family val="2"/>
        <charset val="204"/>
      </rPr>
      <t>Полёт; Птицы грома с 20%-ным шансом при ударе могут нанести цели дополнительный урон от Удара молнии с силой 10 единиц за каждую птицу.</t>
    </r>
  </si>
  <si>
    <t>Циклоп / Король циклопов</t>
  </si>
  <si>
    <t>12 (13)</t>
  </si>
  <si>
    <t>750 (1100)</t>
  </si>
  <si>
    <t xml:space="preserve">     Циклопы сильно проигрываю одноуровневым существам в уроне, защите и здоровье. Имеют плохую скорость, но хорошую атаку. Стоимость найма достаточно не высока.</t>
  </si>
  <si>
    <r>
      <t xml:space="preserve">     </t>
    </r>
    <r>
      <rPr>
        <b/>
        <sz val="10"/>
        <rFont val="Arial"/>
        <family val="2"/>
        <charset val="204"/>
      </rPr>
      <t xml:space="preserve">Способности: </t>
    </r>
    <r>
      <rPr>
        <sz val="10"/>
        <rFont val="Arial"/>
        <family val="2"/>
        <charset val="204"/>
      </rPr>
      <t>Стрельба; Атака стен - вместо своего хода, циклопы могут выстрелить по городским укреплениям на уровне Базовой (Продвинутой) Баллистики.</t>
    </r>
  </si>
  <si>
    <t>Чудище / Древнее чудище</t>
  </si>
  <si>
    <t xml:space="preserve">     Птицы рух и Птицы грома очень быстры среди существ 5 уровня. Они летают и являются единственными летающими существами Цитадели, от того и очень ценны. Потеряв отряд птиц, герой Цитадели в большинстве случаев не сможет успешно осадить город. Птицы имеют хороший удар, с шансом дополнительного урона от Удара молнии, но не слишком живучи. 60 здоровья на уровне Огров-магов. Зато этих птиц можно построить очень быстро и уже в начале первой недели бегать с ними по карте, уничтожая мелких нейтралов. В дальнейших боях, тактикой их использования является ожидание и последующие 2 хода (в этом и следующем раунда). А в перерыве можно пострелять в противников орками и циклопами.</t>
  </si>
  <si>
    <t>160 (300)</t>
  </si>
  <si>
    <t>1500 (3000)</t>
  </si>
  <si>
    <t>+0 (+1) кристалл</t>
  </si>
  <si>
    <t xml:space="preserve">     Чудища имеют равнозначные и не высокие параметры в атаке и защите. Урон не плохой, но разброс большой. Здоровье Древних чудищ (300 единиц) лучшее на 7 уровне. Стоимость найма очень привлекательна.</t>
  </si>
  <si>
    <t xml:space="preserve">     Параметры Чудищ и Древних чудищ не совсем характерны для существа Цитадели. Атака низкая, а вот здоровье улучшенного чудища очень высокое, что делает его невероятно живучим. Урон хороший, но скорость не позволяет быстро атаковать противника. Здание чудищ можно легко и быстро построить, поэтому не редкость встретить варвара или боевого мага с Чудищами уже на первой-второй неделе игры. Способность чудищ игнорировать часть защиты цели является одной из самых лучших и эффективных против высокоуровневых существ. Она позволяет Древним чудищам легко посоперничать даже с Архангелами или драконами, и легко одолеть их в дуэли.</t>
  </si>
  <si>
    <t>Маленькая фея / Фея</t>
  </si>
  <si>
    <r>
      <t xml:space="preserve">     </t>
    </r>
    <r>
      <rPr>
        <b/>
        <sz val="10"/>
        <rFont val="Arial"/>
        <family val="2"/>
        <charset val="204"/>
      </rPr>
      <t xml:space="preserve">Способности: </t>
    </r>
    <r>
      <rPr>
        <sz val="10"/>
        <rFont val="Arial"/>
        <family val="2"/>
        <charset val="204"/>
      </rPr>
      <t>Полёт; Феи имеют Безответность.</t>
    </r>
  </si>
  <si>
    <t xml:space="preserve">     Феи считаются одними из самых полезных и лучших существ 1 уровня, не смотря на их низкие показатели в атаке, защите и здоровье. А всё благодаря их огромному приросту, скорости и безответности. Небольшой кучкой Фей можно легко и без потерь побеждать почти любые толпы медленных нейтралов, используя тактику ожидания и последующего двойного хода. Также их легко использовать в качестве единичек. Однако здоровье в 3 единицы не долго позволяет использовать их в качестве основного ударного отряда. Лучше как можно скорее отстроить стрелков и Огненных птиц.</t>
  </si>
  <si>
    <t>Элементаль воздуха / Штормовой элементаль</t>
  </si>
  <si>
    <t xml:space="preserve">     Феи имеют средний урон и самые низкие (даже смешные) показатели атаки, защиты и здоровья (всего 3). Однако их скорость на высоте - 7-9 единиц. Стоят они дешевле всех, а прирост в неделю составляет рекордные 20 единиц, без учёта Сада жизни, который добавляет ещё 10.</t>
  </si>
  <si>
    <t xml:space="preserve">     Эти элементали имеют гигантские боевые характеристики - большой урон, высокую атаку, защиту, высокий запас здоровья и хорошую скорость. Из минусов лишь не высокий прирост и самая дорогая стоимость найма.</t>
  </si>
  <si>
    <r>
      <t xml:space="preserve">     </t>
    </r>
    <r>
      <rPr>
        <b/>
        <sz val="10"/>
        <rFont val="Arial"/>
        <family val="2"/>
        <charset val="204"/>
      </rPr>
      <t xml:space="preserve">Способности: </t>
    </r>
    <r>
      <rPr>
        <sz val="10"/>
        <rFont val="Arial"/>
        <family val="2"/>
        <charset val="204"/>
      </rPr>
      <t>Элементали имеют нейтральную мораль, защищены от магии разума, Жертвы, Воскрешения, Оживления мертвецов, Уничтожение нежити, Болезни, Облака смерти, Старости, Поднятия демонов, Смертельного взгляда, Яда, Вампиризма и Страха; Защита от Метеоритного дождя; Уязвимость к магии молнии и Армагеддону; Ненависть к Элементалям земли и Магмовым элементалям (+100% от базового урона против них); Штормовые элементали могут стрелять и колдовать Защиту от воздуха на Продвинутом уровне.</t>
    </r>
  </si>
  <si>
    <t>Элементаль воды / Ледяной элементаль</t>
  </si>
  <si>
    <r>
      <t xml:space="preserve">     </t>
    </r>
    <r>
      <rPr>
        <b/>
        <sz val="10"/>
        <rFont val="Arial"/>
        <family val="2"/>
        <charset val="204"/>
      </rPr>
      <t xml:space="preserve">Способности: </t>
    </r>
    <r>
      <rPr>
        <sz val="10"/>
        <rFont val="Arial"/>
        <family val="2"/>
        <charset val="204"/>
      </rPr>
      <t>Элементаль; Защита от Ледяной молнии и Кольца холода; Уязвимость к ударной магии огня; Ненависть к Элементалям огня и Энергетическим элементалям (+100% от базового урона против них); Ледяные элементали могут стрелять и колдовать Защиту от воды на Продвинутом уровне.</t>
    </r>
  </si>
  <si>
    <t>300 (375)</t>
  </si>
  <si>
    <t xml:space="preserve">     Все элементали стихий практически не сбалансированы под Сопряжение и имеют примерно равные характеристики. Первый из них - Элементаль воздуха на 2 уровне. Для этого уровня он невероятно силён. Имеет большой урон и все боевые параметры. В связи с этим является самым дорогим и обладает низким приростом. Важно как можно быстрее улучшить этих элементалей и получить стрельбу, т.к. среди неулучшенных существ Сопряжения нет стрелков. Следует опасаться вражеских Ударов молнии. Полезно уменьшать разброс урона Благословлением.</t>
  </si>
  <si>
    <t xml:space="preserve">     Отрыв Элементалей воды и льда от других одноуровневых существ уже меньше, чем в случае с Элементалями воздуха и шторма. Но и эти элементаль всё ещё сильны. Хороший урон и отличные оборонительные параметры - защита и атака. Способность стрелять делает Ледяных элементалей вторыми стрелками Сопряжения, хотя их выстрел часто слабее, чем у Штормовых элементалей. Для повышения урона также полезно Благословление и использование героев-специалистов (их целых 2).</t>
  </si>
  <si>
    <t>Элементаль огня / Энергетический элементаль</t>
  </si>
  <si>
    <t>350 (400)</t>
  </si>
  <si>
    <r>
      <t xml:space="preserve">     </t>
    </r>
    <r>
      <rPr>
        <b/>
        <sz val="10"/>
        <rFont val="Arial"/>
        <family val="2"/>
        <charset val="204"/>
      </rPr>
      <t xml:space="preserve">Способности: </t>
    </r>
    <r>
      <rPr>
        <sz val="10"/>
        <rFont val="Arial"/>
        <family val="2"/>
        <charset val="204"/>
      </rPr>
      <t>Элементаль; Защита от магии огня и Магической стрелы; Уязвимость к ударной магии воды; Ненависть к Элементалям воды и Ледяным элементалям (+100% от базового урона против них); Энергетические элементали могут колдовать Защиту от огня на Продвинутом уровне.</t>
    </r>
  </si>
  <si>
    <t>Элементаль земли / Магмовый элементаль</t>
  </si>
  <si>
    <t xml:space="preserve">     Все характеристики Элементалей земли и магмы имеют низкие показатели. Очень слабый урон, низкие атака, защита, здоровье и скорость (хотя не худшие). Прирост на 1 больше, чем у других существ 5 уровня.</t>
  </si>
  <si>
    <r>
      <t xml:space="preserve">     </t>
    </r>
    <r>
      <rPr>
        <b/>
        <sz val="10"/>
        <rFont val="Arial"/>
        <family val="2"/>
        <charset val="204"/>
      </rPr>
      <t xml:space="preserve">Способности: </t>
    </r>
    <r>
      <rPr>
        <sz val="10"/>
        <rFont val="Arial"/>
        <family val="2"/>
        <charset val="204"/>
      </rPr>
      <t>Элементаль; Защита от магии молнии и Армагеддона; Уязвимость к Метеоритному дождю; Ненависть к Элементалям воздуха и Штормовым элементалям (+100% от базового урона против них); Магмовые элементали могут колдовать Защиту от земли на Продвинутом уровне.</t>
    </r>
  </si>
  <si>
    <t xml:space="preserve">     Элементали земли очень слабы для своего уровня и медлительны. Следует как можно скорее улучшать их до Магмовых, т.к. почти все характеристики немного подрастут. Но всё равно Магмовые элементали не дотягивают до хороших воинов. Единственное, что они защищены от Армагеддона и, в связке с Элементалями огня, Магическими элементалями и Фениксами, их можно использовать для применения Армагеддона. В остальных случаях эти элементали редко появляются в основной армии Сопряжения.</t>
  </si>
  <si>
    <t>Психический элементаль / Магический элементаль</t>
  </si>
  <si>
    <t>10 (15)</t>
  </si>
  <si>
    <t>20 (25)</t>
  </si>
  <si>
    <t>75 (80)</t>
  </si>
  <si>
    <t>750 (800)</t>
  </si>
  <si>
    <t xml:space="preserve">     Психические элементали очень слабы по показателям, однако их улучшение доводит урон до среднего положения. Защита и здоровье не высоки, но зато не плохая скорость и самая низкая стоимость найма.</t>
  </si>
  <si>
    <r>
      <t xml:space="preserve">     </t>
    </r>
    <r>
      <rPr>
        <b/>
        <sz val="10"/>
        <rFont val="Arial"/>
        <family val="2"/>
        <charset val="204"/>
      </rPr>
      <t xml:space="preserve">Способности: </t>
    </r>
    <r>
      <rPr>
        <sz val="10"/>
        <rFont val="Arial"/>
        <family val="2"/>
        <charset val="204"/>
      </rPr>
      <t>Элементаль; Безответность; Окружающий удар; Психические элементали имеют Слабый удар по нежити, големам, Гигантам, Титанам, элеменалям и Чёрным драконам (-50% от базового урона по ним); Магические элементали имеют Слабый удар по Чёрным драконам и Магическим элементалям (-50% от базового урона по ним); Магические элементали полностью защищены от магии.</t>
    </r>
  </si>
  <si>
    <t>Огненная птица / Феникс</t>
  </si>
  <si>
    <t>18 (21)</t>
  </si>
  <si>
    <t>15 (21)</t>
  </si>
  <si>
    <t>1500 (2000)</t>
  </si>
  <si>
    <r>
      <t xml:space="preserve">     </t>
    </r>
    <r>
      <rPr>
        <b/>
        <sz val="10"/>
        <rFont val="Arial"/>
        <family val="2"/>
        <charset val="204"/>
      </rPr>
      <t xml:space="preserve">Способности: </t>
    </r>
    <r>
      <rPr>
        <sz val="10"/>
        <rFont val="Arial"/>
        <family val="2"/>
        <charset val="204"/>
      </rPr>
      <t>Полёт; Защита от магии огня и Магической стрелы; Фениксы имеют Дыхание дракона на 2 клетки и способность Восстания из пепла -  после гибели отряда, воскрешается не менее 20% Фениксов.</t>
    </r>
  </si>
  <si>
    <t>НЕЙТРАЛЫ</t>
  </si>
  <si>
    <t xml:space="preserve">     Все параметры Крестьянина максимально низки - 1 единица. Кроме скорости - 3 (это минимум). Зато Крестьяне имеют максимальный прирост на 1 уровне и самую дешёвую стоимость - всего 10 золота.</t>
  </si>
  <si>
    <t xml:space="preserve">     Самый слабый, даже можно сказать шутливый воин 1 уровня. Имеет самые минимальные характеристики и не пригоден абсолютно ни в какой битве. Даже с таким приростом, когда их можно накопить 1000, они легко убиваются практически любым слабеньким отрядом из любого города. Их даже на Жертвенный алтарь бесполезно отправлять, т.к. за них не дают опыта. Единственное, Крестьяне могут пригодится герою Некрополиса, ведь их можно трансформировать в Преобразователе скелетов.</t>
  </si>
  <si>
    <t xml:space="preserve">     Хоббиты имеют не плохой урон и хорошую атаку, но слабы в защите и по количеству здоровья. Стоимость найма дешёвая.</t>
  </si>
  <si>
    <r>
      <t xml:space="preserve">     </t>
    </r>
    <r>
      <rPr>
        <b/>
        <sz val="10"/>
        <rFont val="Arial"/>
        <family val="2"/>
        <charset val="204"/>
      </rPr>
      <t xml:space="preserve">Способности: </t>
    </r>
    <r>
      <rPr>
        <sz val="10"/>
        <rFont val="Arial"/>
        <family val="2"/>
        <charset val="204"/>
      </rPr>
      <t>Стрельба; Удача не может быть ниже +1.</t>
    </r>
  </si>
  <si>
    <t xml:space="preserve">     Единственный стрелок на 1 уровне, не считая улучшенного Гремлина. Параметры хоббита вполне типичны для стрелковых отрядов - хорошие параметры нападения, но слабость в обороне. Можно сравнить их с Мастер-гремлинами. У Хоббитов лучше урон, атака и скорость (хоть и не на много), но хуже защите, прирост и стоимость. Из-за способности стрелять их изредка можно увидеть в армии какого-нибудь героя. Склонность к хорошей удаче очень малополезна в игре, т.к. отрицательной удачи не бывает (баг).</t>
  </si>
  <si>
    <t xml:space="preserve">     Наездники на кабанах стоят дороже всех на 2 уровне, не считая Элементалей воздуха. И не ясно почему, ведь у них низкие урон, атака и защита. Особых преимуществ в других параметрах нет.</t>
  </si>
  <si>
    <t xml:space="preserve">     Для своего уровня Воры имеют лучшую атаку и самую выгодную стоимость найма. Однако они очень слабы в обороне - самые низкие показатели защиты и здоровья.</t>
  </si>
  <si>
    <r>
      <t xml:space="preserve">     </t>
    </r>
    <r>
      <rPr>
        <b/>
        <sz val="10"/>
        <rFont val="Arial"/>
        <family val="2"/>
        <charset val="204"/>
      </rPr>
      <t xml:space="preserve">Способности: </t>
    </r>
    <r>
      <rPr>
        <sz val="10"/>
        <rFont val="Arial"/>
        <family val="2"/>
        <charset val="204"/>
      </rPr>
      <t>Видение - На карте приключений позволяет герою видеть информацию о составе и численности армии вражеского героя, а также узнавать количество и агрессивность нейтральных существ.</t>
    </r>
  </si>
  <si>
    <r>
      <t xml:space="preserve">     </t>
    </r>
    <r>
      <rPr>
        <b/>
        <sz val="10"/>
        <rFont val="Arial"/>
        <family val="2"/>
        <charset val="204"/>
      </rPr>
      <t xml:space="preserve">Способности: </t>
    </r>
    <r>
      <rPr>
        <sz val="10"/>
        <rFont val="Arial"/>
        <family val="2"/>
        <charset val="204"/>
      </rPr>
      <t>Позволяет герою игнорировать штраф при движении по песку.</t>
    </r>
  </si>
  <si>
    <r>
      <t xml:space="preserve">     </t>
    </r>
    <r>
      <rPr>
        <b/>
        <sz val="10"/>
        <rFont val="Arial"/>
        <family val="2"/>
        <charset val="204"/>
      </rPr>
      <t xml:space="preserve">Способности: </t>
    </r>
    <r>
      <rPr>
        <sz val="10"/>
        <rFont val="Arial"/>
        <family val="2"/>
        <charset val="204"/>
      </rPr>
      <t>Нежить имеет нейтральный боевой дух и защищена от Проклятия, Благословления, магии разума, Волны смерти, Жертвы, Воскрешения, Болезни, Облака смерти, Старости, Поднятия демонов, Смертельного взгляда, Яда, Вампиризма и Страха; 25% шанс Проклятия цели при ударе (урон снизится до минимального).</t>
    </r>
  </si>
  <si>
    <r>
      <t xml:space="preserve">     </t>
    </r>
    <r>
      <rPr>
        <b/>
        <sz val="10"/>
        <rFont val="Arial"/>
        <family val="2"/>
        <charset val="204"/>
      </rPr>
      <t xml:space="preserve">Способности: </t>
    </r>
    <r>
      <rPr>
        <sz val="10"/>
        <rFont val="Arial"/>
        <family val="2"/>
        <charset val="204"/>
      </rPr>
      <t>Стрельба; Нет штрафов при стрельбе через стены и за расстояние.</t>
    </r>
  </si>
  <si>
    <r>
      <t xml:space="preserve">     </t>
    </r>
    <r>
      <rPr>
        <b/>
        <sz val="10"/>
        <rFont val="Arial"/>
        <family val="2"/>
        <charset val="204"/>
      </rPr>
      <t xml:space="preserve">Способности: </t>
    </r>
    <r>
      <rPr>
        <sz val="10"/>
        <rFont val="Arial"/>
        <family val="2"/>
        <charset val="204"/>
      </rPr>
      <t>Снижают получаемый урон от заклинаний на 85%. Големы защищены от магии разума, не подвержены боевому духу, воскрешениям и негативным способностям, действующими на живых.</t>
    </r>
  </si>
  <si>
    <r>
      <t xml:space="preserve">     </t>
    </r>
    <r>
      <rPr>
        <b/>
        <sz val="10"/>
        <rFont val="Arial"/>
        <family val="2"/>
        <charset val="204"/>
      </rPr>
      <t xml:space="preserve">Способности: </t>
    </r>
    <r>
      <rPr>
        <sz val="10"/>
        <rFont val="Arial"/>
        <family val="2"/>
        <charset val="204"/>
      </rPr>
      <t>Регенерация в начале хода до полного здоровья (максимум на 50 единиц).</t>
    </r>
  </si>
  <si>
    <t xml:space="preserve">     Абсолютно все характеристики Алмазного голема находятся на минимуме. Для 6 уровня эти големы неприлично хилы. Хотя прирост составляет 2 в неделю. Стоимость найма соответственно низка.</t>
  </si>
  <si>
    <r>
      <t xml:space="preserve">     </t>
    </r>
    <r>
      <rPr>
        <b/>
        <sz val="10"/>
        <rFont val="Arial"/>
        <family val="2"/>
        <charset val="204"/>
      </rPr>
      <t xml:space="preserve">Способности: </t>
    </r>
    <r>
      <rPr>
        <sz val="10"/>
        <rFont val="Arial"/>
        <family val="2"/>
        <charset val="204"/>
      </rPr>
      <t>Снижают получаемый урон от заклинаний на 95%. Големы защищены от магии разума, не подвержены боевому духу, воскрешениям и негативным способностям, действующими на живых.</t>
    </r>
  </si>
  <si>
    <t xml:space="preserve">     Чародеи ну невероятно хилы по количеству здоровья. 30 единиц против, например, 120 у Рыцарей смерти. Имеют низкий, но постоянный (без разброса) урон, лучшую атаку и худшую защиту для своего уровня. Стоимость найма рекордно дешёвая. Скорость очень велика.</t>
  </si>
  <si>
    <r>
      <t xml:space="preserve">     </t>
    </r>
    <r>
      <rPr>
        <b/>
        <sz val="10"/>
        <rFont val="Arial"/>
        <family val="2"/>
        <charset val="204"/>
      </rPr>
      <t xml:space="preserve">Способности: </t>
    </r>
    <r>
      <rPr>
        <sz val="10"/>
        <rFont val="Arial"/>
        <family val="2"/>
        <charset val="204"/>
      </rPr>
      <t>Стрельба; Нет штрафов при стрельбе через стены и в ближнем бою; Каждые 3 раунда перед ходом все Чародеи колдуют на Экспертном уровне случайное заклинания (Слабость, Медлительность, Ускорение, Каменная кожа, Благословление, Воздушный щит, Жажда крови, Лечение).</t>
    </r>
  </si>
  <si>
    <t xml:space="preserve">     Второй и последний стоящий нейтрал, без учёта драконов. В бою не слишком полезен, хотя и имеет постоянный урон, хорошие атаку и скорость. Умеет стрелять и имеет самый большой боезапас в игре - 32 выстрела. Основной плюс Чародеев - Случайная магия, которую он колдует перед своим ходом. Любое заклинание действует на все дружественные или вражеские отряды. Именно из-за этой способности Чародеи являются крайне полезны в армии даже основного героя. Нет смысла разделять Чародеев, в отличие от остальных существ-колдунов, т.к. все их отряды сколдуют одно заклинание вместе.</t>
  </si>
  <si>
    <t>+8 самоцветов</t>
  </si>
  <si>
    <t xml:space="preserve">     Для 7 уровня Сказочные драконы имеют очень низкий урон, но вот остальные параметры на высоте. Стоимость найма соответствующая - целых 10000 и 8 самоцветов за штуку.</t>
  </si>
  <si>
    <t xml:space="preserve">     Первый и самый слабый из мегадраконов-нейтралов. Хотя на деле является чаще полезнее прочих. Обладает огромным здоровьем в 500 единиц, но и стоит невероятно дорого. Основной пункт полезности - способность колдовать ударные заклинания. Даже 1 Сказочный дракон в армии колдует на уровне героя с силой магии 5. Особенно полезны такие заклинания как Цепная молния, Метеоритный дождь или Огненный шар, способные поразить нескольких врагов. Хотя всё равно скопить большой отряд таких драконов очень дороги и мало реально.</t>
  </si>
  <si>
    <t>+14 серы</t>
  </si>
  <si>
    <r>
      <t xml:space="preserve">     </t>
    </r>
    <r>
      <rPr>
        <b/>
        <sz val="10"/>
        <rFont val="Arial"/>
        <family val="2"/>
        <charset val="204"/>
      </rPr>
      <t xml:space="preserve">Способности: </t>
    </r>
    <r>
      <rPr>
        <sz val="10"/>
        <rFont val="Arial"/>
        <family val="2"/>
        <charset val="204"/>
      </rPr>
      <t>Полёт; Дыхание дракона на 2 клетки; Кислотное дыхание при ударе - защита основной цели -3 и с шансом 20% наносит 25 урона за каждого дракона.</t>
    </r>
  </si>
  <si>
    <t>+10 кристаллов</t>
  </si>
  <si>
    <r>
      <t xml:space="preserve">    </t>
    </r>
    <r>
      <rPr>
        <b/>
        <sz val="10"/>
        <rFont val="Arial"/>
        <family val="2"/>
        <charset val="204"/>
      </rPr>
      <t xml:space="preserve"> Способности:</t>
    </r>
    <r>
      <rPr>
        <sz val="10"/>
        <rFont val="Arial"/>
        <family val="2"/>
        <charset val="204"/>
      </rPr>
      <t xml:space="preserve"> Доход кристаллов +3 в неделю. 20% шанс блокировать действие вражеского заклинания, являясь его целью.</t>
    </r>
  </si>
  <si>
    <t>+20 ртути</t>
  </si>
  <si>
    <t xml:space="preserve">     Бесспорно Лазурный дракон - самое лучшее существо игры по всем параметрам, кроме скорости (тут его превосходят лишь Фениксы). Соответственно и по стоимости эти драконы являются самыми дорогими.</t>
  </si>
  <si>
    <r>
      <t xml:space="preserve">    </t>
    </r>
    <r>
      <rPr>
        <b/>
        <sz val="10"/>
        <rFont val="Arial"/>
        <family val="2"/>
        <charset val="204"/>
      </rPr>
      <t xml:space="preserve"> Способности:</t>
    </r>
    <r>
      <rPr>
        <sz val="10"/>
        <rFont val="Arial"/>
        <family val="2"/>
        <charset val="204"/>
      </rPr>
      <t xml:space="preserve"> Полёт; Дыхание дракона на 2 клетки; Защита от магии 1-3 уровней; Страх - с 10%-ным шансом цель пропускает свой очередной ход; Защита от Страха.</t>
    </r>
  </si>
  <si>
    <t xml:space="preserve">     Самый сильный мегадракон-нейтрал и самое сильное существо в игре. Тактики его применения не нуждается в комментариях. Способности аналогичны Зелёному или Красному дракону. Плюс имеется Страх, который действует на всех живых противников. Сами Лазурные драконы от Страха защищены.</t>
  </si>
  <si>
    <t>Тактические особенности существ. Плюсы и минусы.</t>
  </si>
  <si>
    <t>Герои, их специализации и навыки.</t>
  </si>
  <si>
    <t>Начало игры, ИИ, ресурсы на старте и опция Штраф.</t>
  </si>
  <si>
    <t>Пешка (80%).</t>
  </si>
  <si>
    <t>- ИИ-игрок строит здания в городах один раз в два дня;</t>
  </si>
  <si>
    <t>- ИИ-игрок не строит жилища существ уровня выше, чем уже построенный уровень жилища у самого лучшего игрока-человека;</t>
  </si>
  <si>
    <t>- ИИ-игрок не строит жилища существ 7 уровня в своих городах;</t>
  </si>
  <si>
    <t>- ИИ-герои не присоединяют нейтралов к своей армии;</t>
  </si>
  <si>
    <t>- ИИ-герои не опасаются передвигаться на территории противника, даже вблизи вражеских героев;</t>
  </si>
  <si>
    <t>- ИИ-герои недооценивают силы вражеского героя при принятии решения о нападении;</t>
  </si>
  <si>
    <t>- ИИ-игрок не занимается поисками Грааля;</t>
  </si>
  <si>
    <t>- ИИ-герои не обмениваются между собой армиями и артефактами;</t>
  </si>
  <si>
    <t>Конь (100%).</t>
  </si>
  <si>
    <t>- ИИ-герои объединяют армии, составляя наиболее сильные варианты;</t>
  </si>
  <si>
    <t>- ИИ-игрок более агрессивно развивает города;</t>
  </si>
  <si>
    <t>- ИИ-герои начинают поиск Грааля при открытии не менее половины карты-загадки;</t>
  </si>
  <si>
    <t>- ИИ-игрок делает большой акцент на изучение карты;</t>
  </si>
  <si>
    <t>- ИИ-герои опасаются передвигаться на территории противника, особенно вблизи вражеских героев;</t>
  </si>
  <si>
    <t>- Большинство нейтралов лояльны к игрокам и могут присоединяться;</t>
  </si>
  <si>
    <t>- ИИ-игрок не нанимает новых героев, если на карте в общей сложности 9 или более героев (включая героев других игроков).</t>
  </si>
  <si>
    <t>- ИИ-игрок не нанимает новых героев, если на карте в общей сложности 12 или более героев (включая героев других игроков).</t>
  </si>
  <si>
    <t>Ладья (130%).</t>
  </si>
  <si>
    <t>- ИИ-герои всегда точно высчитывают силу вражеского героя, и, если она выше, то не нападают;</t>
  </si>
  <si>
    <t>- ИИ-игрок строит здания в городах каждый день;</t>
  </si>
  <si>
    <t>- ИИ-игрок очень агрессивно развивает города;</t>
  </si>
  <si>
    <t>- ИИ-герои начинают поиск Грааля при открытии не менее 25% карты-загадки;</t>
  </si>
  <si>
    <t>- ИИ-игрок во время боя учитывает дальность хода вражеских войск и использует эту информацию в тактическом плане (он не заходит в диапазон хода, если знает, что вражеское существо его атакует и т.д.);</t>
  </si>
  <si>
    <t>- ИИ-игрок не нанимает новых героев, если на карте в общей сложности 15 или более героев (включая героев других игроков).</t>
  </si>
  <si>
    <t>Ферзь (160%).</t>
  </si>
  <si>
    <t>- ИИ-герои очень осторожны при движении на территории противника, особенно вблизи вражеских героев;</t>
  </si>
  <si>
    <t>- ИИ-герои начинают поиск Грааля при открытии хотя бы одной части карты-загадки;</t>
  </si>
  <si>
    <t>- ИИ-игрок не нанимает новых героев, если на карте в общей сложности 18 или более героев (включая героев других игроков).</t>
  </si>
  <si>
    <t>Король (200%).</t>
  </si>
  <si>
    <t>- ИИ-игрок не нанимает более 3 героев.</t>
  </si>
  <si>
    <t>- ИИ-игрок не нанимает более 4 героев.</t>
  </si>
  <si>
    <t>- ИИ-игрок не нанимает более 5 героев.</t>
  </si>
  <si>
    <t>- ИИ-игрок не нанимает более 6 героев.</t>
  </si>
  <si>
    <t>- ИИ-игрок не нанимает новых героев, если на карте в общей сложности 21 или более героев (включая героев других игроков).</t>
  </si>
  <si>
    <t>8.11</t>
  </si>
  <si>
    <t>Книга рекордов игры.</t>
  </si>
  <si>
    <r>
      <t xml:space="preserve">     </t>
    </r>
    <r>
      <rPr>
        <b/>
        <sz val="10"/>
        <rFont val="Arial Cyr"/>
        <charset val="204"/>
      </rPr>
      <t xml:space="preserve">Монер - </t>
    </r>
    <r>
      <rPr>
        <sz val="10"/>
        <rFont val="Arial Cyr"/>
        <charset val="204"/>
      </rPr>
      <t>самый быстрый герой при найме из Таверны. Благодаря быстрой стартовой армии (Маленькие феи и Элементали воздуха) и наличию Логистики со старта, он имеет 1936 очков хода (~19 клеток пути по обычной земле по горизонтали или вертикали).</t>
    </r>
  </si>
  <si>
    <r>
      <t xml:space="preserve">     </t>
    </r>
    <r>
      <rPr>
        <b/>
        <sz val="10"/>
        <rFont val="Arial Cyr"/>
        <charset val="204"/>
      </rPr>
      <t xml:space="preserve">Шакти </t>
    </r>
    <r>
      <rPr>
        <sz val="10"/>
        <rFont val="Arial Cyr"/>
        <charset val="204"/>
      </rPr>
      <t>имеет самую дорогостоящую стартовую армию при найме из Таверны. Он специализируется на Троглодитах и может привести с собой 120 этих существ, что в денежном эквиваленте приравнивается к 6000 золота.</t>
    </r>
  </si>
  <si>
    <r>
      <t xml:space="preserve">   </t>
    </r>
    <r>
      <rPr>
        <b/>
        <sz val="10"/>
        <rFont val="Arial Cyr"/>
        <charset val="204"/>
      </rPr>
      <t xml:space="preserve">  </t>
    </r>
    <r>
      <rPr>
        <sz val="10"/>
        <rFont val="Arial Cyr"/>
        <charset val="204"/>
      </rPr>
      <t>Максимальная эффективность</t>
    </r>
    <r>
      <rPr>
        <b/>
        <sz val="10"/>
        <rFont val="Arial Cyr"/>
        <charset val="204"/>
      </rPr>
      <t xml:space="preserve"> Волшебства </t>
    </r>
    <r>
      <rPr>
        <sz val="10"/>
        <rFont val="Arial Cyr"/>
        <charset val="204"/>
      </rPr>
      <t>- +96% к урону ударного заклинания. Такую прибавку могут дать специалисты по Волшебству (Зидар, Сандро, Малекит, Гирд, Стиг), развитые до 108 уровня и имеющие Экспертное Волшебство.</t>
    </r>
  </si>
  <si>
    <r>
      <t xml:space="preserve">   </t>
    </r>
    <r>
      <rPr>
        <b/>
        <sz val="10"/>
        <rFont val="Arial Cyr"/>
        <charset val="204"/>
      </rPr>
      <t xml:space="preserve">  </t>
    </r>
    <r>
      <rPr>
        <sz val="10"/>
        <rFont val="Arial Cyr"/>
        <charset val="204"/>
      </rPr>
      <t xml:space="preserve">Максимальный </t>
    </r>
    <r>
      <rPr>
        <b/>
        <sz val="10"/>
        <rFont val="Arial Cyr"/>
        <charset val="204"/>
      </rPr>
      <t>запас хода по воде</t>
    </r>
    <r>
      <rPr>
        <sz val="10"/>
        <rFont val="Arial Cyr"/>
        <charset val="204"/>
      </rPr>
      <t xml:space="preserve"> у героя может составлять 107100 очков (~1071 клеток пути по горизонтали или вертикали, без ветра). Такой запас могут дать герои-специалисты по Навигации (Сильвия, Вой), развитые до 108 уровня, имеющие Экспертную Навигацию, при наличии у героя 144 захваченных Маяков, 48 городов типа Замок, с отстроенными Маяками, и при наличии Шляпы адмирала.</t>
    </r>
  </si>
  <si>
    <r>
      <t xml:space="preserve">     Максимальным корректным </t>
    </r>
    <r>
      <rPr>
        <b/>
        <sz val="10"/>
        <rFont val="Arial Cyr"/>
        <charset val="204"/>
      </rPr>
      <t>уровнем героя</t>
    </r>
    <r>
      <rPr>
        <sz val="10"/>
        <rFont val="Arial Cyr"/>
        <charset val="204"/>
      </rPr>
      <t xml:space="preserve"> считается 108-ой (77-ой по порядку). При дальнейшем повышении опыта происходят всевозможные цифровые скачки и сбои программы.</t>
    </r>
  </si>
  <si>
    <r>
      <t xml:space="preserve">     Максимальное </t>
    </r>
    <r>
      <rPr>
        <b/>
        <sz val="10"/>
        <rFont val="Arial Cyr"/>
        <charset val="204"/>
      </rPr>
      <t xml:space="preserve">количество существ в бою </t>
    </r>
    <r>
      <rPr>
        <sz val="10"/>
        <rFont val="Arial Cyr"/>
        <charset val="204"/>
      </rPr>
      <t>для каждой стороны составляет 20 единиц. Тут учитываются существа героя, боевые машины, поднятые Демоны, призванные элементали и Клоны. Даже погибшие существа (кроме Клонов) учитываются.</t>
    </r>
  </si>
  <si>
    <r>
      <t xml:space="preserve">     Максимальным параметром </t>
    </r>
    <r>
      <rPr>
        <b/>
        <sz val="10"/>
        <rFont val="Arial Cyr"/>
        <charset val="204"/>
      </rPr>
      <t>Атаки</t>
    </r>
    <r>
      <rPr>
        <sz val="10"/>
        <rFont val="Arial Cyr"/>
        <charset val="204"/>
      </rPr>
      <t xml:space="preserve"> на своём уровне обладают Алебардщики, Капитаны кентавров, Скелеты-воины (6, 1 уровень); Элементали воздуха, Штормовые элементали (9, 2 уровень); Созерцатели, Адские гончие, Церберы (10, 3 уровень); Огры, Огры-маги (13, 4 уровень); Короли минотавров (15, 5 уровень); Рыцари смерти (18, 6 уровень); Лазурные драконы (50, 7 уровень).</t>
    </r>
  </si>
  <si>
    <r>
      <t xml:space="preserve">     Максимальным параметром </t>
    </r>
    <r>
      <rPr>
        <b/>
        <sz val="10"/>
        <rFont val="Arial Cyr"/>
        <charset val="204"/>
      </rPr>
      <t>Защиты</t>
    </r>
    <r>
      <rPr>
        <sz val="10"/>
        <rFont val="Arial Cyr"/>
        <charset val="204"/>
      </rPr>
      <t xml:space="preserve"> на своём уровне обладают Скелеты-воины, Гноллы-мародёры (6, 1 уровень); Элементали воздуха, Штормовые элементали (9, 2 уровень); Каменные големы, Стальные големы, Стрекозы, Элементали воды, Ледяные элементали (10, 3 уровень); Рыцари, Крестоносцы, Великие василиски (12, 4 уровень); Могучие горгоны (16, 5 уровень); Рыцари смерти (18, 6 уровень); Лазурные драконы (50, 7 уровень).</t>
    </r>
  </si>
  <si>
    <r>
      <t xml:space="preserve">     Максимальным параметром </t>
    </r>
    <r>
      <rPr>
        <b/>
        <sz val="10"/>
        <rFont val="Arial Cyr"/>
        <charset val="204"/>
      </rPr>
      <t>Здоровья</t>
    </r>
    <r>
      <rPr>
        <sz val="10"/>
        <rFont val="Arial Cyr"/>
        <charset val="204"/>
      </rPr>
      <t xml:space="preserve"> на своём уровне обладают Копейщики, Алебардщики, Капитаны кентавров (10, 1 уровень); Элементали воздуха, Штормовые элементали (25, 2 уровень); Стальные големы (35, 3 уровень); Огры-маги (60, 4 уровень); Горгоны, Могучие горгоны (70, 5 уровень); Чёрные рыцари, Рыцари смерти (120, 6 уровень); Лазурные драконы (1000, 7 уровень).</t>
    </r>
  </si>
  <si>
    <r>
      <t xml:space="preserve">     Максимальным параметром </t>
    </r>
    <r>
      <rPr>
        <b/>
        <sz val="10"/>
        <rFont val="Arial Cyr"/>
        <charset val="204"/>
      </rPr>
      <t>Скорости</t>
    </r>
    <r>
      <rPr>
        <sz val="10"/>
        <rFont val="Arial Cyr"/>
        <charset val="204"/>
      </rPr>
      <t xml:space="preserve"> на своём уровне обладают Феи (9, 1 уровень); Обсидиановые горгульи, Гарпии-ведьмы (9, 2 уровень); Стрекозы (13, 3 уровень); Серебряные пегасы (12, 4 уровень); Мастер-джинны, Птицы грома (11, 5 уровень); Султаны-ифриты (13, 6 уровень); Фениксы (21, 7 уровень).</t>
    </r>
  </si>
  <si>
    <t>Генератор случайных карт. Ценность объектов на карте приключений.</t>
  </si>
  <si>
    <r>
      <t xml:space="preserve">     Самыми </t>
    </r>
    <r>
      <rPr>
        <b/>
        <sz val="10"/>
        <rFont val="Arial Cyr"/>
        <charset val="204"/>
      </rPr>
      <t>дорогими артефактами</t>
    </r>
    <r>
      <rPr>
        <sz val="10"/>
        <rFont val="Arial Cyr"/>
        <charset val="204"/>
      </rPr>
      <t xml:space="preserve"> являются Ожерелье морского проведения, Склянка жизненной силы, Неистощимый мешок золота и Накидка скорости. Их базовая стоимость составляет 10000 золота.</t>
    </r>
  </si>
  <si>
    <r>
      <t xml:space="preserve">"Дневные" </t>
    </r>
    <r>
      <rPr>
        <sz val="10"/>
        <color indexed="8"/>
        <rFont val="Arial"/>
        <family val="2"/>
        <charset val="204"/>
      </rPr>
      <t>- артефакты, которые необходимо использовать во время самого хода и передвижения.</t>
    </r>
  </si>
  <si>
    <r>
      <t xml:space="preserve">     Самыми дорогим городом для отстройки по количеству требуемых </t>
    </r>
    <r>
      <rPr>
        <b/>
        <sz val="10"/>
        <rFont val="Arial Cyr"/>
        <charset val="204"/>
      </rPr>
      <t>самоцветов</t>
    </r>
    <r>
      <rPr>
        <sz val="10"/>
        <rFont val="Arial Cyr"/>
        <charset val="204"/>
      </rPr>
      <t xml:space="preserve"> является Башня. Чтобы её отстроить полностью, потребуется 89 самоцветов. Меньше всего самоцветов требуется Крепости - всего 10 единиц.</t>
    </r>
  </si>
  <si>
    <r>
      <t xml:space="preserve">     Самыми дорогим городом для отстройки по количеству требуемых </t>
    </r>
    <r>
      <rPr>
        <b/>
        <sz val="10"/>
        <rFont val="Arial Cyr"/>
        <charset val="204"/>
      </rPr>
      <t>кристаллов</t>
    </r>
    <r>
      <rPr>
        <sz val="10"/>
        <rFont val="Arial Cyr"/>
        <charset val="204"/>
      </rPr>
      <t xml:space="preserve"> является Оплот. Чтобы его отстроить полностью, потребуется 95 кристаллов. Меньше всего кристаллов требуется Крепости - всего 10 единиц.</t>
    </r>
  </si>
  <si>
    <r>
      <t xml:space="preserve">     Самыми дорогим городом для отстройки по количеству требуемой </t>
    </r>
    <r>
      <rPr>
        <b/>
        <sz val="10"/>
        <rFont val="Arial Cyr"/>
        <charset val="204"/>
      </rPr>
      <t>ртути</t>
    </r>
    <r>
      <rPr>
        <sz val="10"/>
        <rFont val="Arial Cyr"/>
        <charset val="204"/>
      </rPr>
      <t xml:space="preserve"> является Инферно. Чтобы его отстроить полностью, потребуется 86 ртути. Меньше всего ртути требуется Цитадели - всего 10 единиц.</t>
    </r>
  </si>
  <si>
    <r>
      <t xml:space="preserve">     Самыми дорогим городом для отстройки по количеству требуемой </t>
    </r>
    <r>
      <rPr>
        <b/>
        <sz val="10"/>
        <rFont val="Arial Cyr"/>
        <charset val="204"/>
      </rPr>
      <t>серы</t>
    </r>
    <r>
      <rPr>
        <sz val="10"/>
        <rFont val="Arial Cyr"/>
        <charset val="204"/>
      </rPr>
      <t xml:space="preserve"> является Темница. Чтобы её отстроить полностью, потребуется 82 серы. Меньше всего серы требуется Цитадели - всего 10 единиц.</t>
    </r>
  </si>
  <si>
    <r>
      <t xml:space="preserve">     Самыми дорогим городом для отстройки по количеству требуемой </t>
    </r>
    <r>
      <rPr>
        <b/>
        <sz val="10"/>
        <rFont val="Arial Cyr"/>
        <charset val="204"/>
      </rPr>
      <t>древесины</t>
    </r>
    <r>
      <rPr>
        <sz val="10"/>
        <rFont val="Arial Cyr"/>
        <charset val="204"/>
      </rPr>
      <t xml:space="preserve"> является Крепость. Чтобы её отстроить полностью, потребуется 185 древесины. Меньше всего древесины требуется Инферно - всего 120 единиц.</t>
    </r>
  </si>
  <si>
    <r>
      <t xml:space="preserve">     Самыми дорогим городом для отстройки по количеству требуемой </t>
    </r>
    <r>
      <rPr>
        <b/>
        <sz val="10"/>
        <rFont val="Arial Cyr"/>
        <charset val="204"/>
      </rPr>
      <t>руды</t>
    </r>
    <r>
      <rPr>
        <sz val="10"/>
        <rFont val="Arial Cyr"/>
        <charset val="204"/>
      </rPr>
      <t xml:space="preserve"> является Цитадель. Чтобы её отстроить полностью, потребуется 155 руды. Меньше всего древесины требуется Крепости - всего 105 единиц.</t>
    </r>
  </si>
  <si>
    <r>
      <t xml:space="preserve">     Самыми дорогим городом для отстройки по количеству требуемого </t>
    </r>
    <r>
      <rPr>
        <b/>
        <sz val="10"/>
        <rFont val="Arial Cyr"/>
        <charset val="204"/>
      </rPr>
      <t xml:space="preserve">золота </t>
    </r>
    <r>
      <rPr>
        <sz val="10"/>
        <rFont val="Arial Cyr"/>
        <charset val="204"/>
      </rPr>
      <t>является Инферно. Чтобы его отстроить полностью, потребуется 115300 золота. Меньше всего золота требуется Цитадели - всего 92200 единиц.</t>
    </r>
  </si>
  <si>
    <r>
      <t xml:space="preserve">     Максимальный </t>
    </r>
    <r>
      <rPr>
        <b/>
        <sz val="10"/>
        <rFont val="Arial Cyr"/>
        <charset val="204"/>
      </rPr>
      <t xml:space="preserve">прирост существ </t>
    </r>
    <r>
      <rPr>
        <sz val="10"/>
        <rFont val="Arial Cyr"/>
        <charset val="204"/>
      </rPr>
      <t xml:space="preserve">в городе составляет 321 в неделю. Такой прирост может приносить жилище Маленьких фей и Фей. Для этого должна быть собрана Статуя легиона, построен Сад жизни, захвачены 144 внешних жилища фей и должен быть установлен Храм грааля </t>
    </r>
    <r>
      <rPr>
        <i/>
        <sz val="10"/>
        <rFont val="Arial Cyr"/>
        <charset val="204"/>
      </rPr>
      <t xml:space="preserve">(информация </t>
    </r>
    <r>
      <rPr>
        <b/>
        <i/>
        <sz val="10"/>
        <rFont val="Arial Cyr"/>
        <charset val="204"/>
      </rPr>
      <t>hippocamus</t>
    </r>
    <r>
      <rPr>
        <i/>
        <sz val="10"/>
        <rFont val="Arial Cyr"/>
        <charset val="204"/>
      </rPr>
      <t xml:space="preserve">, </t>
    </r>
    <r>
      <rPr>
        <i/>
        <u/>
        <sz val="10"/>
        <color rgb="FF0033CC"/>
        <rFont val="Arial Cyr"/>
        <charset val="204"/>
      </rPr>
      <t>forum.df2.ru</t>
    </r>
    <r>
      <rPr>
        <i/>
        <sz val="10"/>
        <rFont val="Arial Cyr"/>
        <charset val="204"/>
      </rPr>
      <t>)</t>
    </r>
    <r>
      <rPr>
        <sz val="10"/>
        <rFont val="Arial Cyr"/>
        <charset val="204"/>
      </rPr>
      <t>.</t>
    </r>
  </si>
  <si>
    <t>8.12</t>
  </si>
  <si>
    <t>Типичные правила турниров для игры на случайных картах.</t>
  </si>
  <si>
    <t>Типичные правила турниров для игры на случайных картах</t>
  </si>
  <si>
    <r>
      <t xml:space="preserve">Правила "Геройской Лиги" </t>
    </r>
    <r>
      <rPr>
        <sz val="10"/>
        <rFont val="Arial"/>
        <family val="2"/>
        <charset val="204"/>
      </rPr>
      <t>- хорошо подходят для игры через Интернет.</t>
    </r>
  </si>
  <si>
    <t xml:space="preserve">     Игра по умолчанию идет по данным правилам. Если оба игрока согласны, они могут изменить правила на свое предпочтение. Если хоть один из игроков не согласен с предлагаемыми изменениями, игра идет по данным правилам.</t>
  </si>
  <si>
    <r>
      <t xml:space="preserve">     Уровень сложности - </t>
    </r>
    <r>
      <rPr>
        <b/>
        <sz val="10"/>
        <rFont val="Arial"/>
        <family val="2"/>
        <charset val="204"/>
      </rPr>
      <t>Expert (160%)</t>
    </r>
    <r>
      <rPr>
        <sz val="10"/>
        <rFont val="Arial"/>
        <family val="2"/>
        <charset val="204"/>
      </rPr>
      <t>.</t>
    </r>
  </si>
  <si>
    <r>
      <t xml:space="preserve">     Игроков-людей </t>
    </r>
    <r>
      <rPr>
        <b/>
        <sz val="10"/>
        <rFont val="Arial"/>
        <family val="2"/>
        <charset val="204"/>
      </rPr>
      <t>2</t>
    </r>
    <r>
      <rPr>
        <sz val="10"/>
        <rFont val="Arial"/>
        <family val="2"/>
        <charset val="204"/>
      </rPr>
      <t xml:space="preserve">, ИИ-игроков </t>
    </r>
    <r>
      <rPr>
        <b/>
        <sz val="10"/>
        <rFont val="Arial"/>
        <family val="2"/>
        <charset val="204"/>
      </rPr>
      <t>нет</t>
    </r>
    <r>
      <rPr>
        <sz val="10"/>
        <rFont val="Arial"/>
        <family val="2"/>
        <charset val="204"/>
      </rPr>
      <t xml:space="preserve">, команд </t>
    </r>
    <r>
      <rPr>
        <b/>
        <sz val="10"/>
        <rFont val="Arial"/>
        <family val="2"/>
        <charset val="204"/>
      </rPr>
      <t>нет</t>
    </r>
    <r>
      <rPr>
        <sz val="10"/>
        <rFont val="Arial"/>
        <family val="2"/>
        <charset val="204"/>
      </rPr>
      <t xml:space="preserve">, воды </t>
    </r>
    <r>
      <rPr>
        <b/>
        <sz val="10"/>
        <rFont val="Arial"/>
        <family val="2"/>
        <charset val="204"/>
      </rPr>
      <t>нет</t>
    </r>
    <r>
      <rPr>
        <sz val="10"/>
        <rFont val="Arial"/>
        <family val="2"/>
        <charset val="204"/>
      </rPr>
      <t xml:space="preserve">, монстры </t>
    </r>
    <r>
      <rPr>
        <b/>
        <sz val="10"/>
        <rFont val="Arial"/>
        <family val="2"/>
        <charset val="204"/>
      </rPr>
      <t>сильные</t>
    </r>
    <r>
      <rPr>
        <sz val="10"/>
        <rFont val="Arial"/>
        <family val="2"/>
        <charset val="204"/>
      </rPr>
      <t>.</t>
    </r>
  </si>
  <si>
    <r>
      <t xml:space="preserve">     Размер:</t>
    </r>
    <r>
      <rPr>
        <b/>
        <sz val="10"/>
        <rFont val="Arial"/>
        <family val="2"/>
        <charset val="204"/>
      </rPr>
      <t xml:space="preserve"> L + Подземелье.</t>
    </r>
  </si>
  <si>
    <r>
      <t xml:space="preserve">     Время хода -</t>
    </r>
    <r>
      <rPr>
        <b/>
        <sz val="10"/>
        <rFont val="Arial"/>
        <family val="2"/>
        <charset val="204"/>
      </rPr>
      <t xml:space="preserve"> 4 минуты.</t>
    </r>
  </si>
  <si>
    <t>То же + Защита от заклинаний 4 уровня + снимает заклинания 4 уровня.</t>
  </si>
  <si>
    <t>Цель получает 20% шанс отразить вражеское заклинание на случайное вражеское существо или боевую машину, являясь его целью. Если выбранное существо невосприимчиво к этому заклинанию, то эффекта не будет. Даёт цели защиту от Гипноза.</t>
  </si>
  <si>
    <t>То же, но действует на всех дружественных существ, кроме загипнотизированных, и количество восстанавливаемого здоровья равно СМ*5+30.</t>
  </si>
  <si>
    <r>
      <t xml:space="preserve">Загипнотизированное существо не отвечает на атаки вражеских существ, на него не действуют ни чьи массовые заклинания (в т.ч. Лечение), нельзя блокировать им вражеских стрелков и открывать городские ворота. Снимает Берсерк при наложении. При расчётах урона загипнотизированного существа учитываются навыки Нападение, Стрельба и Доспехи того героя, который контролирует его, а не владельца </t>
    </r>
    <r>
      <rPr>
        <i/>
        <sz val="9"/>
        <rFont val="Arial"/>
        <family val="2"/>
        <charset val="204"/>
      </rPr>
      <t xml:space="preserve">(Информация </t>
    </r>
    <r>
      <rPr>
        <b/>
        <i/>
        <sz val="9"/>
        <rFont val="Arial"/>
        <family val="2"/>
        <charset val="204"/>
      </rPr>
      <t>Sav</t>
    </r>
    <r>
      <rPr>
        <i/>
        <sz val="9"/>
        <rFont val="Arial"/>
        <family val="2"/>
        <charset val="204"/>
      </rPr>
      <t xml:space="preserve">, </t>
    </r>
    <r>
      <rPr>
        <i/>
        <u/>
        <sz val="9"/>
        <color rgb="FF0033CC"/>
        <rFont val="Arial"/>
        <family val="2"/>
        <charset val="204"/>
      </rPr>
      <t>forum.df2.ru</t>
    </r>
    <r>
      <rPr>
        <i/>
        <sz val="9"/>
        <rFont val="Arial"/>
        <family val="2"/>
        <charset val="204"/>
      </rPr>
      <t>)</t>
    </r>
    <r>
      <rPr>
        <sz val="9"/>
        <rFont val="Arial"/>
        <family val="2"/>
        <charset val="204"/>
      </rPr>
      <t>.</t>
    </r>
  </si>
  <si>
    <t>Загипнотизированное существо не отвечает на атаки вражеских существ, на него не действуют ни чьи массовые заклинания (в т.ч.Лечение), нельзя блокировать им вражеских стрелков и открывать городские ворота. Снимает Берсерк при наложении. При расчётах урона загипнотизированного существа учитываются навыки Нападение, Стрельба и Доспехи того героя, который контролирует его, а не владельца. Волшебное зеркало даёт защиту от Гипноза.</t>
  </si>
  <si>
    <t>30% шанс Яда (при ударе) - каждый раунд, включая момент наложения, здоровье цели будет снижаться на 10%, но оно не может снизиться более, чем на 50%. Округление вверх. Действует только на живых. Яд снимается Лечением, но не Снятием заклинаний или Антимагией.</t>
  </si>
  <si>
    <t>Магическая способность 1 уровня. 30% шанс срабатывания при ударе. Действует только на живых. Сниженное здоровье не восстанавливается до конца боя (если не применить Лечение). Если на цель наложена Старость, то 10% берётся от уже сниженного здоровья.</t>
  </si>
  <si>
    <t>С вероятностью 30% при ударе Виверна-монарх может наложить на цель Яд. Мгновенно здоровье цели снизится на 10% и ещё на 10% в начале двух следующих раундов. Яд может суммироваться, но здоровье цели не может упасть ниже 50%. Яд суммируется со Старостью. Яд можно снять Лечением, но не Антимагией или Снятием заклинаний.</t>
  </si>
  <si>
    <t>Зомби защищены от Проклятия, Благословления, Слепоты, Бешенства, Воскрешения, Болезни, Облака смерти, Старости, Поднятия демонов, Смертельного взгляда, Яда, Вампиризма и Страха. С вероятностью 20% Зомби может наложить на цель Болезнь. Атака и защита цели снизится на 2, т.е. ответный удар в этом случае будет слабее. Болезнь можно снять Лечением и Снятием заклинаний, но не Антимагией.</t>
  </si>
  <si>
    <t>Снимает с дружественного существа все заклинания. Действует на любых существ, защищённых от магии, включая Чёрных драконов. Снимает Болезнь, Окаменение, Паралич и Старость.</t>
  </si>
  <si>
    <t>Мгновенно восстанавливает здоровье цели на количество здоровья равное СМ*5+10 (без воскрешения погибших существ в отряде). Снимает все отрицательные заклинания с цели. Снимает Яд, Болезнь, Окаменение, Паралич и Старость.</t>
  </si>
  <si>
    <t>Цель получает защиту от заклинаний 1, 2 и 3 уровня, кроме Снятия заклинаний. При наложении снимает с цели все отрицательные заклинания 1-3 уровня. Не снимает магические эффекты существ (Яд, Окаменение и пр.).</t>
  </si>
  <si>
    <t>Действует на любых существ, защищённых от магии, включая Чёрных драконов. Снятие заклинаний не снимает Яд, но снимает прочие магические эффекты существ - Болезнь, Окаменение и пр.</t>
  </si>
  <si>
    <t>Защита от магии не действует на Снятие заклинаний. При наложении Антимагия снимает с цели все отрицательные заклинания соответствующего уровня. Не снимает магические эффекты существ (Яд, Окаменение и пр.).</t>
  </si>
  <si>
    <r>
      <t xml:space="preserve">(Информация </t>
    </r>
    <r>
      <rPr>
        <i/>
        <u/>
        <sz val="8"/>
        <color rgb="FF0033CC"/>
        <rFont val="Arial"/>
        <family val="2"/>
        <charset val="204"/>
      </rPr>
      <t>heroes.ag.ru</t>
    </r>
    <r>
      <rPr>
        <i/>
        <sz val="8"/>
        <rFont val="Arial"/>
        <family val="2"/>
        <charset val="204"/>
      </rPr>
      <t xml:space="preserve"> и </t>
    </r>
    <r>
      <rPr>
        <i/>
        <u/>
        <sz val="8"/>
        <color rgb="FF0033CC"/>
        <rFont val="Arial"/>
        <family val="2"/>
        <charset val="204"/>
      </rPr>
      <t>heroesleague.ru</t>
    </r>
    <r>
      <rPr>
        <i/>
        <sz val="8"/>
        <rFont val="Arial"/>
        <family val="2"/>
        <charset val="204"/>
      </rPr>
      <t>)</t>
    </r>
  </si>
  <si>
    <t>Однако есть ещё один спорный момент, в случае когда двухгексовое существо атакует другое двухгексовое существо со стороны "головы", но как бы ударом назад:</t>
  </si>
  <si>
    <t>Используя эти правила, Вы никогда не ошибётесь с направлением атаки ваших драконов или Фениксов.</t>
  </si>
  <si>
    <t>2 и более</t>
  </si>
  <si>
    <r>
      <t xml:space="preserve">(Составлено на основе материалов </t>
    </r>
    <r>
      <rPr>
        <b/>
        <i/>
        <sz val="8"/>
        <rFont val="Arial"/>
        <family val="2"/>
        <charset val="204"/>
      </rPr>
      <t>Туриста</t>
    </r>
    <r>
      <rPr>
        <i/>
        <sz val="8"/>
        <rFont val="Arial"/>
        <family val="2"/>
        <charset val="204"/>
      </rPr>
      <t xml:space="preserve">, </t>
    </r>
    <r>
      <rPr>
        <b/>
        <i/>
        <sz val="8"/>
        <rFont val="Arial"/>
        <family val="2"/>
        <charset val="204"/>
      </rPr>
      <t>ThatOne</t>
    </r>
    <r>
      <rPr>
        <i/>
        <sz val="8"/>
        <rFont val="Arial"/>
        <family val="2"/>
        <charset val="204"/>
      </rPr>
      <t xml:space="preserve">, </t>
    </r>
    <r>
      <rPr>
        <b/>
        <i/>
        <sz val="8"/>
        <rFont val="Arial"/>
        <family val="2"/>
        <charset val="204"/>
      </rPr>
      <t>MaximusX</t>
    </r>
    <r>
      <rPr>
        <i/>
        <sz val="8"/>
        <rFont val="Arial"/>
        <family val="2"/>
        <charset val="204"/>
      </rPr>
      <t xml:space="preserve">, </t>
    </r>
    <r>
      <rPr>
        <i/>
        <u/>
        <sz val="8"/>
        <color indexed="12"/>
        <rFont val="Arial"/>
        <family val="2"/>
        <charset val="204"/>
      </rPr>
      <t>heroes.ag.ru</t>
    </r>
    <r>
      <rPr>
        <i/>
        <sz val="8"/>
        <rFont val="Arial"/>
        <family val="2"/>
        <charset val="204"/>
      </rPr>
      <t xml:space="preserve"> и </t>
    </r>
    <r>
      <rPr>
        <b/>
        <i/>
        <sz val="8"/>
        <rFont val="Arial"/>
        <family val="2"/>
        <charset val="204"/>
      </rPr>
      <t>AlexSpl</t>
    </r>
    <r>
      <rPr>
        <i/>
        <sz val="8"/>
        <rFont val="Arial"/>
        <family val="2"/>
        <charset val="204"/>
      </rPr>
      <t xml:space="preserve">, </t>
    </r>
    <r>
      <rPr>
        <i/>
        <u/>
        <sz val="8"/>
        <color rgb="FF0033CC"/>
        <rFont val="Arial"/>
        <family val="2"/>
        <charset val="204"/>
      </rPr>
      <t>forum.df2.ru</t>
    </r>
    <r>
      <rPr>
        <i/>
        <sz val="8"/>
        <rFont val="Arial"/>
        <family val="2"/>
        <charset val="204"/>
      </rPr>
      <t>).</t>
    </r>
  </si>
  <si>
    <t xml:space="preserve">     Если нейтралы не улучшенные и если получилось 2 или более отрядов, то с вероятностью 50% один из этих отрядов станет улучшенным.</t>
  </si>
  <si>
    <t xml:space="preserve">     При захвате Пирамиды, Алмазные големы всегда делятся на 2 отряда, а Золотые - на несколько (определяется по таблице и отнимается 2).</t>
  </si>
  <si>
    <r>
      <t>(Составлено на основе информации</t>
    </r>
    <r>
      <rPr>
        <b/>
        <i/>
        <sz val="8"/>
        <rFont val="Arial"/>
        <family val="2"/>
        <charset val="204"/>
      </rPr>
      <t xml:space="preserve"> Лидер1</t>
    </r>
    <r>
      <rPr>
        <i/>
        <sz val="8"/>
        <rFont val="Arial"/>
        <family val="2"/>
        <charset val="204"/>
      </rPr>
      <t>,</t>
    </r>
    <r>
      <rPr>
        <b/>
        <i/>
        <sz val="8"/>
        <rFont val="Arial"/>
        <family val="2"/>
        <charset val="204"/>
      </rPr>
      <t xml:space="preserve"> Sav</t>
    </r>
    <r>
      <rPr>
        <i/>
        <sz val="8"/>
        <rFont val="Arial"/>
        <family val="2"/>
        <charset val="204"/>
      </rPr>
      <t>,</t>
    </r>
    <r>
      <rPr>
        <b/>
        <i/>
        <sz val="8"/>
        <rFont val="Arial"/>
        <family val="2"/>
        <charset val="204"/>
      </rPr>
      <t xml:space="preserve"> zoog </t>
    </r>
    <r>
      <rPr>
        <i/>
        <sz val="8"/>
        <rFont val="Arial"/>
        <family val="2"/>
        <charset val="204"/>
      </rPr>
      <t>и</t>
    </r>
    <r>
      <rPr>
        <b/>
        <i/>
        <sz val="8"/>
        <rFont val="Arial"/>
        <family val="2"/>
        <charset val="204"/>
      </rPr>
      <t xml:space="preserve"> Антошка</t>
    </r>
    <r>
      <rPr>
        <i/>
        <sz val="8"/>
        <rFont val="Arial"/>
        <family val="2"/>
        <charset val="204"/>
      </rPr>
      <t xml:space="preserve">, </t>
    </r>
    <r>
      <rPr>
        <i/>
        <u/>
        <sz val="8"/>
        <color rgb="FF0033CC"/>
        <rFont val="Arial"/>
        <family val="2"/>
        <charset val="204"/>
      </rPr>
      <t>forum.heroesworld.ru</t>
    </r>
    <r>
      <rPr>
        <i/>
        <sz val="8"/>
        <rFont val="Arial"/>
        <family val="2"/>
        <charset val="204"/>
      </rPr>
      <t>).</t>
    </r>
  </si>
  <si>
    <r>
      <t xml:space="preserve">*** В колонке </t>
    </r>
    <r>
      <rPr>
        <b/>
        <sz val="10"/>
        <rFont val="Arial"/>
        <family val="2"/>
        <charset val="204"/>
      </rPr>
      <t>Класс</t>
    </r>
    <r>
      <rPr>
        <sz val="10"/>
        <rFont val="Arial"/>
        <family val="2"/>
        <charset val="204"/>
      </rPr>
      <t xml:space="preserve"> приведены обозначения типов, к которым принадлежат артефакты. Класс артефакта означает некую качественную его характеристику, от которой зависит с какой вероятностью он может встречаться в объектах или сокровищницах, таких как Могила воина, Склеп, Утопия драконов, Кораблекрушение и т.п. Чем выше класс артефакта, тем меньше вероятность его появления на карте (за исключением случаев, если он там установлен автором). Специальные и Сборные артефакты, а также Клинок Армагеддона и Пузырёк с кровью дракона не могут появиться ни на карте приключений, ни в объектах. Классы артефактов в порядке возрастания их ценности: Сокровище, Второстепенный, Основной, Реликт.</t>
    </r>
  </si>
  <si>
    <t>Приоритет артефактов для ИИ-героев.</t>
  </si>
  <si>
    <t>Цепная молния + Сопротивление</t>
  </si>
  <si>
    <r>
      <t xml:space="preserve">(информация </t>
    </r>
    <r>
      <rPr>
        <b/>
        <i/>
        <sz val="8"/>
        <rFont val="Arial"/>
        <family val="2"/>
        <charset val="204"/>
      </rPr>
      <t>Telder54</t>
    </r>
    <r>
      <rPr>
        <i/>
        <sz val="8"/>
        <rFont val="Arial"/>
        <family val="2"/>
        <charset val="204"/>
      </rPr>
      <t xml:space="preserve">, </t>
    </r>
    <r>
      <rPr>
        <i/>
        <u/>
        <sz val="8"/>
        <color rgb="FF0033CC"/>
        <rFont val="Arial"/>
        <family val="2"/>
        <charset val="204"/>
      </rPr>
      <t>heroesworld.ru</t>
    </r>
    <r>
      <rPr>
        <i/>
        <sz val="8"/>
        <rFont val="Arial"/>
        <family val="2"/>
        <charset val="204"/>
      </rPr>
      <t>)</t>
    </r>
  </si>
  <si>
    <t>Цепная молния. Приоритет выбора цели. Сопротивление Цепной молнии.</t>
  </si>
  <si>
    <t xml:space="preserve">     При переходе от одной цели к другой, сопротивление проверяется каждый раз. Т.о., если взять, например, строй существ с номерами по порядку 1, 2, 3, 4, 5, 6, 7, 8 и колдовать на №1, то:</t>
  </si>
  <si>
    <t>Полёт, Защита от огня, Дыхание дракона</t>
  </si>
  <si>
    <t>Защита от магии огня, включая Магическую стрелу. Атака на 2 клетки по направлению удара.</t>
  </si>
  <si>
    <t>2.10.</t>
  </si>
  <si>
    <t>Артефакты ИИ-героев.</t>
  </si>
  <si>
    <r>
      <t xml:space="preserve">20% шанс Слепоты (при ударе, Базового уровня Магии огня). Все дружественные существа вокруг единорога в радиусе 1 клетки имеют сопротивление магии - снижают шанс срабатывания вражеского заклинания на 20% являясь его целью. </t>
    </r>
    <r>
      <rPr>
        <b/>
        <sz val="10"/>
        <rFont val="Arial"/>
        <family val="2"/>
        <charset val="204"/>
      </rPr>
      <t>Пример 1:</t>
    </r>
    <r>
      <rPr>
        <sz val="10"/>
        <rFont val="Arial"/>
        <family val="2"/>
        <charset val="204"/>
      </rPr>
      <t xml:space="preserve"> Рядом с единорогом находится Кентавр. Шанс срабатывания на нём вражеского Проклятия 100%. Единорог снижает этот шанс на 20% - 100*0,8=80%. Т.е.сопротивление Кентавра становится равным 20%.</t>
    </r>
  </si>
  <si>
    <r>
      <t xml:space="preserve">20% шанс Слепоты (при ударе, Базового уровня Магии огня). Все дружественные существа вокруг единорога в радиусе 1 клетки имеют сопротивление магии - снижают шанс срабатывания вражеского заклинания на 20% являясь его целью. </t>
    </r>
    <r>
      <rPr>
        <b/>
        <sz val="10"/>
        <rFont val="Arial"/>
        <family val="2"/>
        <charset val="204"/>
      </rPr>
      <t>Пример 2:</t>
    </r>
    <r>
      <rPr>
        <sz val="10"/>
        <rFont val="Arial"/>
        <family val="2"/>
        <charset val="204"/>
      </rPr>
      <t xml:space="preserve"> Рядом с единорогом находится Гном. Шанс срабатывания на нём вражеского Проклятия 80%. Единорог снижает этот шанс на 20%: 80*0,8=64% Т.е.сопротивление Гнома становится равным 36%.</t>
    </r>
  </si>
  <si>
    <t>Боевой дух всех дружественных существ +1 (не перестаёт действовать после гибели существа). Урон против Дьяволов и Архидьяволов +50% от базового. Воскрешение (1 раз за бой, вместо очередного хода) - воскрешает и лечит дружественное существо с силой в 100 единиц здоровья за каждого Архангела в отряде. Не подействует на цель, если силы не хватит на воскрешение хотя бы одного существа.</t>
  </si>
  <si>
    <t>Боевой дух всех дружественных существ +1 (не перестаёт действовать после гибели существа). Урон против Дьяволов и Архидьяволов +50% от базового.</t>
  </si>
  <si>
    <t>Урон против Ифритов и Султанов-ифритов +50% от базового.</t>
  </si>
  <si>
    <t>Урон против Ифритов и Султанов-ифритов +50% от базового. Случайная магия (3 раза за бой, вместо очередного хода) - может наложить на цель следующие заклинания: Антимагия, Бешенство, Благословление, Воздушный щит, Жажда крови, Защита от воды, Защита от воздуха, Защита от земли, Защита от огня, Каменная кожа, Контрудар, Лечение, Волшебное зеркало, Молитва, Огненный щит, Палач, Радость, Точность, Удача, Ускорение, Щит. Все заклинания действуют на Продвинутом уровне магии. Все заклинания накладываются на 6 раундов, кроме Бешенства (на ближайшую атаку).</t>
  </si>
  <si>
    <t>Защита от Слепоты, Берсерка, Бешенства, Гипноза, Радости, Печали и Забывчивости. Урон против Чёрных драконов +50% от базового. Нет штрафа в ближнем бою. 24 выстрела.</t>
  </si>
  <si>
    <t>Защита от любой магии, кроме Огненного щита Султана-ифрита и Смертельного взгляда Могучей горгоны. Урон против Гигантов и Титанов +50% от базового. Атака на 2 клетки в направлении удара.</t>
  </si>
  <si>
    <t>Защита от магии огня, включая Магическую стрелу. Урон против Джиннов и Мастер-джиннов +50% от базового.</t>
  </si>
  <si>
    <t>Защита от магии огня, включая Магическую стрелу. Урон против Джиннов и Мастер-джиннов +50% от базового. Огненный щит Базового уровня Магии огня. Действует на существ, имеющих защиту от магии 4 уровня.</t>
  </si>
  <si>
    <t>Безответность - цель атаки не отвечает на удар. Удача всех вражеских существ -1 (не перестаёт действовать после гибели существа). Урон против Ангелов и Архангелов +50% от базового.</t>
  </si>
  <si>
    <t>Элементаль. Защита от Метеоритного дождя. Получаемый урон от Удара молнии, Цепной молнии, Грома титана и Армагеддона +100%. Урон против Элементалей земли и Магмовых элементалей +100% от базового.</t>
  </si>
  <si>
    <t>Элементаль. Защита от Метеоритного дождя. Получаемый урон от Удара молнии, Цепной молнии и Армагеддона +100%. Урон против Элементалей земли и Магмовых элементалей +100% от базового. 24 выстрела. Защита от воздуха (3 раза за бой, вместо очередного хода) - Действует на Продвинутом уровне Магии воздуха.</t>
  </si>
  <si>
    <t>Элементаль. Защита от Ледяной молнии и Кольца холода. Получаемый урон от Инферно, Огненного шара и Армагеддона +100%. Урон против Элементалей огня и Энергетических элементалей +100% от базового.</t>
  </si>
  <si>
    <t>Элементаль. Защита от Ледяной молнии и Кольца холода. Получаемый урон от Инферно, Огненного шара и Армагеддона +100%. Урон против Элементалей огня и Энергетических элементалей +100% от базового. 24 выстрела. Защита от воды (3 раза за бой, вместо очередного хода) - Действует на Продвинутом уровне Магии воды.</t>
  </si>
  <si>
    <t>Элементаль. Защита от магии огня, включая Магическую стрелу. Получаемый урон от Ледяной молнии и Кольца холода +100%. Урон против Элементалей воды и Ледяных элементалей +100% от базового.</t>
  </si>
  <si>
    <t>Элементаль. Защита от магии огня, включая Магическую стрелу. Получаемый урон от Ледяной молнии и Кольца холода +100% от базового. Урон против Элементалей воды и Ледяных элементалей +100%. Защита от огня (3 раза за бой, вместо очередного хода) - Действует на Продвинутом уровне Магии огня.</t>
  </si>
  <si>
    <t>Элементаль. Защита от Удара молнии, Цепной молнии, Грома титана и Армагеддона. Получаемый урон от Метеоритного дождя +100%. Урон против Элементалей воздуха и Штормовых элементалей +100% от базового.</t>
  </si>
  <si>
    <t>Элементаль. Защита от Удара молнии, Цепной молнии, Грома титана и Армагеддона. Получаемый урон от Метеоритного дождя +100%. Урон против Элементалей воздуха и Штормовых элементалей +100% от базового. Защита от земли (3 раза за бой, вместо очередного хода) - Действует на Продвинутом уровне Магии земли.</t>
  </si>
  <si>
    <t>Регенерация здоровья (перед ходом, максимум на 50 единиц).</t>
  </si>
  <si>
    <r>
      <rPr>
        <b/>
        <sz val="9"/>
        <rFont val="Arial Cyr"/>
        <charset val="204"/>
      </rPr>
      <t>Внимание!</t>
    </r>
    <r>
      <rPr>
        <sz val="9"/>
        <rFont val="Arial Cyr"/>
        <charset val="204"/>
      </rPr>
      <t xml:space="preserve"> На самом деле игра считает Ледяных элементалей существами 4 уровня, Энергетических элементалей - 5 уровня, а Магмовых - 3 уровня. Это можно заметить по многим признакам, в особенности по эффективности колдовства героев-специалистов по заклинаниям, у которых урон/эффект зависит от уровня цели.</t>
    </r>
  </si>
  <si>
    <t>Сопряжение. Тактика и стратегия игры за этот город.</t>
  </si>
  <si>
    <r>
      <t>Феи</t>
    </r>
    <r>
      <rPr>
        <sz val="10"/>
        <rFont val="Arial"/>
        <family val="2"/>
        <charset val="204"/>
      </rPr>
      <t xml:space="preserve"> - имеют безответную атаку.</t>
    </r>
  </si>
  <si>
    <r>
      <t>Элементали воздуха</t>
    </r>
    <r>
      <rPr>
        <sz val="10"/>
        <rFont val="Arial"/>
        <family val="2"/>
        <charset val="204"/>
      </rPr>
      <t xml:space="preserve"> - имеют иммунитет к Слепоте и Метеоритному дождю, Штормовые элементали в дополнение могут колдовать Защиту от воздуха. Получают двойной урон от Удара молнии, Цепной молнии, Грома титана и Армагеддона, применимых против них.</t>
    </r>
  </si>
  <si>
    <r>
      <t>Элементали воды (Ледяные элементали)</t>
    </r>
    <r>
      <rPr>
        <sz val="10"/>
        <rFont val="Arial"/>
        <family val="2"/>
        <charset val="204"/>
      </rPr>
      <t xml:space="preserve"> - иммунны к водным заклинаниям, получают двойной урон от заклинаний Магии огня. Ледяные элементали могут колдовать Защиту от воды.</t>
    </r>
  </si>
  <si>
    <r>
      <t>Элементали огня (Энергетические элементали)</t>
    </r>
    <r>
      <rPr>
        <sz val="10"/>
        <rFont val="Arial"/>
        <family val="2"/>
        <charset val="204"/>
      </rPr>
      <t xml:space="preserve"> - иммунны ко всем заклинаниям огня, включая Магическую стрелу, получают двойной урон от Ледяной молнии и Кольца холода Энергетические элементали могут колдовать Защиту от огня.</t>
    </r>
  </si>
  <si>
    <r>
      <t>Элементали земли (Магмовые элементали)</t>
    </r>
    <r>
      <rPr>
        <sz val="10"/>
        <rFont val="Arial"/>
        <family val="2"/>
        <charset val="204"/>
      </rPr>
      <t xml:space="preserve"> - иммунны к Удару молнии, Грому титана и Цепной молнии, получают двойной урон от Метеоритного дождя. Магмовые элементали могут колдовать Защиту от земли.</t>
    </r>
  </si>
  <si>
    <r>
      <t>Психические элементали (Магические элементали)</t>
    </r>
    <r>
      <rPr>
        <sz val="10"/>
        <rFont val="Arial"/>
        <family val="2"/>
        <charset val="204"/>
      </rPr>
      <t xml:space="preserve"> - атакуют безответно во все стороны. Психические элементали иммунны к Магии разума, Магические элементали - к любой магии.</t>
    </r>
  </si>
  <si>
    <r>
      <t>Огненные птицы (Фениксы)</t>
    </r>
    <r>
      <rPr>
        <sz val="10"/>
        <rFont val="Arial"/>
        <family val="2"/>
        <charset val="204"/>
      </rPr>
      <t xml:space="preserve"> - атакуют на 2 клетки, иммунны к Магии огня. После уничтожения отряда Фениксов 20% их количества сразу возрождается.</t>
    </r>
  </si>
  <si>
    <r>
      <t xml:space="preserve">(Предоставил </t>
    </r>
    <r>
      <rPr>
        <b/>
        <i/>
        <sz val="8"/>
        <rFont val="Arial"/>
        <family val="2"/>
        <charset val="204"/>
      </rPr>
      <t>Bes</t>
    </r>
    <r>
      <rPr>
        <i/>
        <sz val="8"/>
        <rFont val="Arial"/>
        <family val="2"/>
        <charset val="204"/>
      </rPr>
      <t xml:space="preserve">, </t>
    </r>
    <r>
      <rPr>
        <i/>
        <u/>
        <sz val="8"/>
        <color rgb="FF0033CC"/>
        <rFont val="Arial"/>
        <family val="2"/>
        <charset val="204"/>
      </rPr>
      <t>forum.df2.ru</t>
    </r>
    <r>
      <rPr>
        <i/>
        <sz val="8"/>
        <rFont val="Arial"/>
        <family val="2"/>
        <charset val="204"/>
      </rPr>
      <t>).</t>
    </r>
  </si>
  <si>
    <r>
      <t xml:space="preserve">(разработан совместно с </t>
    </r>
    <r>
      <rPr>
        <b/>
        <i/>
        <sz val="8"/>
        <rFont val="Arial"/>
        <family val="2"/>
        <charset val="204"/>
      </rPr>
      <t>Иван Кара</t>
    </r>
    <r>
      <rPr>
        <i/>
        <sz val="8"/>
        <rFont val="Arial"/>
        <family val="2"/>
        <charset val="204"/>
      </rPr>
      <t xml:space="preserve">, </t>
    </r>
    <r>
      <rPr>
        <i/>
        <u/>
        <sz val="8"/>
        <color rgb="FF0066FF"/>
        <rFont val="Arial"/>
        <family val="2"/>
        <charset val="204"/>
      </rPr>
      <t>vk.com</t>
    </r>
    <r>
      <rPr>
        <i/>
        <sz val="8"/>
        <rFont val="Arial"/>
        <family val="2"/>
        <charset val="204"/>
      </rPr>
      <t>)</t>
    </r>
  </si>
  <si>
    <t>1 ур.</t>
  </si>
  <si>
    <t>9 ур.</t>
  </si>
  <si>
    <t>УРОВЕНЬ:</t>
  </si>
  <si>
    <t>76</t>
  </si>
  <si>
    <t>77</t>
  </si>
  <si>
    <t>78</t>
  </si>
  <si>
    <t>79</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</si>
  <si>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</si>
  <si>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</si>
  <si>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</si>
  <si>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</si>
  <si>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</si>
  <si>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</si>
  <si>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</si>
  <si>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</si>
  <si>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</si>
  <si>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</si>
  <si>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</si>
  <si>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</si>
  <si>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</si>
  <si>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</si>
  <si>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</si>
  <si>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</si>
  <si>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</si>
  <si>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</si>
  <si>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</si>
  <si>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</si>
  <si>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</si>
  <si>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</si>
  <si>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</si>
  <si>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</si>
  <si>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</si>
  <si>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</si>
  <si>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</si>
  <si>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</si>
  <si>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r>
      <t xml:space="preserve">Уровень соответствия реальности </t>
    </r>
    <r>
      <rPr>
        <b/>
        <i/>
        <sz val="10"/>
        <rFont val="Arial"/>
        <family val="2"/>
        <charset val="204"/>
      </rPr>
      <t>примерный</t>
    </r>
    <r>
      <rPr>
        <i/>
        <sz val="10"/>
        <rFont val="Arial"/>
        <family val="2"/>
        <charset val="204"/>
      </rPr>
      <t xml:space="preserve">, но </t>
    </r>
    <r>
      <rPr>
        <i/>
        <u/>
        <sz val="10"/>
        <rFont val="Arial"/>
        <family val="2"/>
        <charset val="204"/>
      </rPr>
      <t>в среднем реальный</t>
    </r>
    <r>
      <rPr>
        <i/>
        <sz val="10"/>
        <rFont val="Arial"/>
        <family val="2"/>
        <charset val="204"/>
      </rPr>
      <t>, т.к. теория вероятностей - сложная наука :)</t>
    </r>
  </si>
  <si>
    <r>
      <rPr>
        <b/>
        <sz val="10"/>
        <rFont val="Arial"/>
        <family val="2"/>
        <charset val="204"/>
      </rPr>
      <t>Выберите данные</t>
    </r>
    <r>
      <rPr>
        <sz val="10"/>
        <rFont val="Arial"/>
        <family val="2"/>
        <charset val="204"/>
      </rPr>
      <t>, чтобы узнать примерные характеристики героя при выбранном уровне развития:</t>
    </r>
  </si>
  <si>
    <t xml:space="preserve">     Общей особенностью всех героев, имеющих специализацию по заклинаниям, является наличие этого заклинания в Книге магии в качестве стартового. Даже если у них нет Книги (по замыслу автора карты), то при её покупке стартовое заклинание всё равно появится. И даже если это заклинание запрещено на карте.</t>
  </si>
  <si>
    <r>
      <t xml:space="preserve">     Внимание! </t>
    </r>
    <r>
      <rPr>
        <sz val="10"/>
        <rFont val="Arial Cyr"/>
        <charset val="204"/>
      </rPr>
      <t>Игра считает Ледяных элементалей существами 4 уровня, Энергетических элементалей - 5 уровня, а Магмовых - 3 уровня (баг). Это следует учитывать для специализаций, где эффект зависит от уровня существа.</t>
    </r>
  </si>
  <si>
    <t xml:space="preserve">     Все специализации по существам, кроме исключений, указанных ниже, увеличивают скорость профильных существ, включая их улучшения, на 1 единицу. Кроме того специализация увеличивает их атаку и защиту на 5% за каждый уровень героя, кратный уровню профильного существа. Округление вверх. Формулы расчёта атаки и защиты существа в зависимости от уровня героя-специалиста и уровня профильного существа:</t>
  </si>
  <si>
    <t xml:space="preserve">     В таблице приведены специализации-исключения, которые иначе влияют на существ.</t>
  </si>
  <si>
    <t xml:space="preserve">     Однако дополнительный урон от удачи не может превысить итоговый, поэтому когда Атака нападающего меньше Защиты атакуемого, существо наносит дополнительно урон равный итоговому, т.е.фактически урон удваивается.</t>
  </si>
  <si>
    <t xml:space="preserve">     Существа в бою без героя не могут подвергаться эффекту удачи.</t>
  </si>
  <si>
    <t xml:space="preserve">     Отрицательная удача никак не отображается в игре (баг).</t>
  </si>
  <si>
    <t xml:space="preserve">     Значение удачи изменяется благодаря артефактам, вторичному навыку Удача, при посещении определённых объектов на карте приключений, при наличии в армии противника Дьяволов или Архидьяволов, снижающих удачу.</t>
  </si>
  <si>
    <t xml:space="preserve">     Таблица вероятностей выпадения удачи в зависимости от его значения:</t>
  </si>
  <si>
    <t xml:space="preserve">     Окружающий удар (Гидра, Гидра хаоса): Если срабатывает удача, то дополнительный урон получает только одно из атакуемых существ с высшим приоритетом, согласно схеме слева, где 1 - высший приоритет.</t>
  </si>
  <si>
    <t xml:space="preserve">     Атака на три клетки (Цербер): Аналогично, дополнительный урон получает только одно из атакуемых существ. Выбирается максимум из трёх целей.</t>
  </si>
  <si>
    <t xml:space="preserve">     Окружающий удар (Психический и Магический элементаль): Аналогично, но по второй схеме слева.</t>
  </si>
  <si>
    <t xml:space="preserve">     Стрельба облаком (Магог, Лич и Могущественный лич): Аналогично, но только при стрельбе по нескольким целям, иначе дополнительный урон получает только основная цель.</t>
  </si>
  <si>
    <t xml:space="preserve">     Атака дыханием (Драконы и Феникс): Дополнительный урон от срабатывания удачи всегда получает основная цель атаки.</t>
  </si>
  <si>
    <t xml:space="preserve">     Боевой дух существа определяет его вероятность совершить дополнительный ход после завершения очередного.</t>
  </si>
  <si>
    <t xml:space="preserve">     Отрицательный Боевой дух существа определяет его вероятность пропустить свой очередной ход перед его началом.</t>
  </si>
  <si>
    <t xml:space="preserve">     Значение боевого духа изменяется благодаря артефактам, вторичному навыку Лидерства, при посещении определённых объектов на карте приключений, при наличии Таверны (для гарнизонного героя), при наличии в армии противника существ, повышающих или снижающих боевой дух.</t>
  </si>
  <si>
    <t xml:space="preserve">     Кроме того, существуют постоянные факторы, изменяющие Боевой дух героя:</t>
  </si>
  <si>
    <t xml:space="preserve">     - Если армия героя состоит из существ одного города - +1 к Боевому духу.</t>
  </si>
  <si>
    <t xml:space="preserve">     - Если в армии героя есть Ангелы или Архангелы - +1 к Боевому духу.</t>
  </si>
  <si>
    <t xml:space="preserve">     - Если в армии противника есть Костяные или Призрачные драконы - -1 к Боевому духу.</t>
  </si>
  <si>
    <t xml:space="preserve">     - Если в армии героя есть существа Некрополиса или Мумии - -1 к Боевому духу.</t>
  </si>
  <si>
    <t xml:space="preserve">     - Если армия героя состоит из существ трёх и более разных городов - -1 к Боевому духу за каждый тип города.</t>
  </si>
  <si>
    <t xml:space="preserve">     Таблица вероятностей выпадения/падения боевого духа в зависимости от его значения:</t>
  </si>
  <si>
    <t xml:space="preserve">     На значения удачи и боевого духа могут повлиять следующие артефакты:</t>
  </si>
  <si>
    <t xml:space="preserve">     На значения удачи и боевого духа могут повлиять следующие заклинания:</t>
  </si>
  <si>
    <t xml:space="preserve">     Любое существо помимо своих основных характеристик и способностей имеет параметры удачи и боевого духа. Исключениями являются существа Некрополиса, Мумии, элементали, големы и боевые машины, которые не подвержены влиянию боевого духа.</t>
  </si>
  <si>
    <t xml:space="preserve">     Удача и боевой дух существ определяются удачей и боевым духом героя, а также временными модификаторами (заклинаниями), наложенными на них в бою.</t>
  </si>
  <si>
    <t xml:space="preserve">     Параметры удачи и боевого духа могут принимать значения от -3 до +3, включая 0 (нейтральное).</t>
  </si>
  <si>
    <r>
      <t xml:space="preserve">     Удача существа определяет его вероятность нанести дополнительный урон при любой атаке или ответе на атаку. В случае срабатывания удачи во время нанесения удара (когда Атака нападающего больше Защиты атакуемого), существо наносит дополнительно урон равный базовому урону </t>
    </r>
    <r>
      <rPr>
        <b/>
        <sz val="10"/>
        <rFont val="Arial Cyr"/>
        <charset val="204"/>
      </rPr>
      <t>D(баз)</t>
    </r>
    <r>
      <rPr>
        <sz val="10"/>
        <rFont val="Arial Cyr"/>
        <charset val="204"/>
      </rPr>
      <t>, определенному для этого раунда боя. Понятно, что если на существо, к примеру, наложено заклинание Благословление, то урон от удачи будет равен Dмакс или Dмакс+1.</t>
    </r>
  </si>
  <si>
    <r>
      <t xml:space="preserve">     Сила любого героя характеризуется его уровнем. Изначально при найме герои имеют 1 уровень и случайное количество опыта в пределах от 40 до 90 единиц </t>
    </r>
    <r>
      <rPr>
        <i/>
        <sz val="10"/>
        <color indexed="8"/>
        <rFont val="Arial"/>
        <family val="2"/>
        <charset val="204"/>
      </rPr>
      <t xml:space="preserve">(Уточнил </t>
    </r>
    <r>
      <rPr>
        <b/>
        <i/>
        <sz val="10"/>
        <color indexed="8"/>
        <rFont val="Arial"/>
        <family val="2"/>
        <charset val="204"/>
      </rPr>
      <t>Sav</t>
    </r>
    <r>
      <rPr>
        <i/>
        <sz val="10"/>
        <color indexed="8"/>
        <rFont val="Arial"/>
        <family val="2"/>
        <charset val="204"/>
      </rPr>
      <t xml:space="preserve">, </t>
    </r>
    <r>
      <rPr>
        <i/>
        <u/>
        <sz val="10"/>
        <color rgb="FF0066FF"/>
        <rFont val="Arial"/>
        <family val="2"/>
        <charset val="204"/>
      </rPr>
      <t>forum.df2.ru</t>
    </r>
    <r>
      <rPr>
        <i/>
        <sz val="10"/>
        <color indexed="8"/>
        <rFont val="Arial"/>
        <family val="2"/>
        <charset val="204"/>
      </rPr>
      <t>)</t>
    </r>
    <r>
      <rPr>
        <sz val="10"/>
        <color indexed="8"/>
        <rFont val="Arial"/>
        <family val="2"/>
        <charset val="204"/>
      </rPr>
      <t>. В процессе игры они могут повышать свой уровень, приобретая определённое количество очков опыта.</t>
    </r>
  </si>
  <si>
    <t xml:space="preserve">     Существует несколько различных способов, позволяющих повысить опыт героя:</t>
  </si>
  <si>
    <t xml:space="preserve">     1.Посещение объектов на карте приключений, предлагающих дополнительный опыт;</t>
  </si>
  <si>
    <t xml:space="preserve">     2.Проведение боёв с противниками, когда в случае победы ваш герой получает количество опыта, численно равное суммарной величине здоровья всех убитых существ плюс 500 опыта за поверженного героя, и плюс 500 опыта за взятие вражеского города. Если противник сбежал (или сдался) с поля боя, то суммарная величина здоровья оставшихся у него существ не учитывается и 500 очков опыта за победу над героем противника в этом случае также не начисляется;</t>
  </si>
  <si>
    <t xml:space="preserve">     3.Получение дополнительного опыта от вторичного навыка Обучения, добавляющего 5, 10 или 15% к величине получаемого опыта.</t>
  </si>
  <si>
    <r>
      <t xml:space="preserve">     Правила изменения очков опыта и первичных навыков:</t>
    </r>
    <r>
      <rPr>
        <sz val="10"/>
        <color indexed="8"/>
        <rFont val="Arial"/>
        <family val="2"/>
        <charset val="204"/>
      </rPr>
      <t xml:space="preserve">
1) Опыт изменяется в интервале от 0 до 2 147 483 647 и от -2 147 483 648 до -1 очков, теоретически бесконечное количество раз!
2) Значения первичных навыков изменяются от 0 до 127 и от -128 до -1 бесконечное количество раз! При этом значения силы магии и знания у героя становятся равными 1 в интервале значений от -128 до 0, атаки и защиты - 0, а все первичные навыки становятся равными 99 в интервале значений от 100 до 127. Артефакты и объекты на карте приключений продолжают исправно работать, просто графически значения более 99 не отображаются.</t>
    </r>
  </si>
  <si>
    <r>
      <t xml:space="preserve">     Правила работы Древа знаний</t>
    </r>
    <r>
      <rPr>
        <sz val="10"/>
        <color indexed="8"/>
        <rFont val="Arial"/>
        <family val="2"/>
        <charset val="204"/>
      </rPr>
      <t xml:space="preserve">:
</t>
    </r>
    <r>
      <rPr>
        <b/>
        <sz val="10"/>
        <color indexed="8"/>
        <rFont val="Arial"/>
        <family val="2"/>
        <charset val="204"/>
      </rPr>
      <t>1)</t>
    </r>
    <r>
      <rPr>
        <sz val="10"/>
        <color indexed="8"/>
        <rFont val="Arial"/>
        <family val="2"/>
        <charset val="204"/>
      </rPr>
      <t xml:space="preserve"> </t>
    </r>
    <r>
      <rPr>
        <b/>
        <sz val="10"/>
        <color indexed="8"/>
        <rFont val="Arial"/>
        <family val="2"/>
        <charset val="204"/>
      </rPr>
      <t>До 75 уровня</t>
    </r>
    <r>
      <rPr>
        <sz val="10"/>
        <color indexed="8"/>
        <rFont val="Arial"/>
        <family val="2"/>
        <charset val="204"/>
      </rPr>
      <t xml:space="preserve"> - древо дает герою опыт, равный разнице между количеством опыта для достижения следующего уровня и текущего (не путать с текущим значением опыта героя, которое находится в промежутке между уровнями).
</t>
    </r>
    <r>
      <rPr>
        <b/>
        <sz val="10"/>
        <color indexed="8"/>
        <rFont val="Arial"/>
        <family val="2"/>
        <charset val="204"/>
      </rPr>
      <t>2) После 75 уровня</t>
    </r>
    <r>
      <rPr>
        <sz val="10"/>
        <color indexed="8"/>
        <rFont val="Arial"/>
        <family val="2"/>
        <charset val="204"/>
      </rPr>
      <t xml:space="preserve"> - древо знаний работает </t>
    </r>
    <r>
      <rPr>
        <b/>
        <sz val="10"/>
        <color indexed="8"/>
        <rFont val="Arial"/>
        <family val="2"/>
        <charset val="204"/>
      </rPr>
      <t>однократно</t>
    </r>
    <r>
      <rPr>
        <sz val="10"/>
        <color indexed="8"/>
        <rFont val="Arial"/>
        <family val="2"/>
        <charset val="204"/>
      </rPr>
      <t xml:space="preserve"> увеличивая количество опыта героя на 1 777 278 601 очко и опыт уходит в отрицательные значения, при этом не имеет значение величина текущего опыта героя (она может лежать в интервале от 1 810 034 207 до 2 147 483 647). Дальнейшее посещение древ знаний </t>
    </r>
    <r>
      <rPr>
        <b/>
        <sz val="10"/>
        <color indexed="8"/>
        <rFont val="Arial"/>
        <family val="2"/>
        <charset val="204"/>
      </rPr>
      <t>неэффективно</t>
    </r>
    <r>
      <rPr>
        <sz val="10"/>
        <color indexed="8"/>
        <rFont val="Arial"/>
        <family val="2"/>
        <charset val="204"/>
      </rPr>
      <t>, т.к. прирост опыта составляет 105 очков опыта.</t>
    </r>
  </si>
  <si>
    <t xml:space="preserve">     Имеет смысл набирать уровень героя (хотя это совершенно не игровой показатель, т.к. большее значение имеют очки опыта) выше 88 не уходя сразу в отрицательные значения только в том случае, если необходимо набрать определенное значение первичного навыка.
Расчет производится следующим образом: смотрите процентную вероятность выпадения первичного навыка у героя, умножаете ее на разницу между текущим и будущим уровнем героя. Если значение получилось больше 256, то вычисляете остаток от деления на 256. Полученное число прибавляете к значению первичного навыка. Погрешность анализа составляет 1 значение первичного навыка.</t>
  </si>
  <si>
    <t xml:space="preserve">     Красным шрифтом отмечены наибольшие вероятности среди всех городов, если таковые возможно выделить, синим шрифтом - наименьшие. Значение "0" означает, что данное заклинание не может появиться в Гильдии магов города. Прочерк означает, что этого заклинания не может быть, т.к.в городе отсутствует возможность построить Гильдию магов соответствующего уровня.</t>
  </si>
  <si>
    <t xml:space="preserve">     Клон является заклинанием 4 уровня и принадлежит к группе заклинаний Магии воды.</t>
  </si>
  <si>
    <r>
      <t xml:space="preserve">     Внимание!</t>
    </r>
    <r>
      <rPr>
        <sz val="10"/>
        <rFont val="Arial Cyr"/>
        <charset val="204"/>
      </rPr>
      <t xml:space="preserve"> В игре существует ограничение на количество объектов, которые могут принимать участие в бою, причём выведенные из боя объекты (погибшие существа), а также призванные Демоны и элементали также учитываются. Когда счетчик объектов достигает своего максимума (это 20 объектов для каждой из сторон) - никакого другого объекта на поле боя появиться не может - нельзя поднять Демонов, призвать Элементалей, и сотворить Клон. Военные машины также являются объектами и подлежат учёту.</t>
    </r>
  </si>
  <si>
    <r>
      <t xml:space="preserve">     Из этого получаем полезный для игроков вывод - если думаете, что битва сведется к массовому призыву элементалей (такое случается), учтите, что каждый призванный слот Демонов и каждый изначально занятый слот отнимает у вас один отряд элементалей. Плюс еще одна причина не тащить в бой ненужную Палатку или Тележку с боеприпасами </t>
    </r>
    <r>
      <rPr>
        <i/>
        <sz val="10"/>
        <rFont val="Arial Cyr"/>
        <charset val="204"/>
      </rPr>
      <t xml:space="preserve">(Добавил </t>
    </r>
    <r>
      <rPr>
        <b/>
        <i/>
        <sz val="10"/>
        <rFont val="Arial Cyr"/>
        <charset val="204"/>
      </rPr>
      <t>Horn</t>
    </r>
    <r>
      <rPr>
        <i/>
        <sz val="10"/>
        <rFont val="Arial Cyr"/>
        <charset val="204"/>
      </rPr>
      <t xml:space="preserve">, </t>
    </r>
    <r>
      <rPr>
        <i/>
        <u/>
        <sz val="10"/>
        <color indexed="12"/>
        <rFont val="Arial Cyr"/>
        <charset val="204"/>
      </rPr>
      <t>heroesleague.ru</t>
    </r>
    <r>
      <rPr>
        <i/>
        <sz val="10"/>
        <rFont val="Arial Cyr"/>
        <charset val="204"/>
      </rPr>
      <t>)</t>
    </r>
    <r>
      <rPr>
        <sz val="10"/>
        <rFont val="Arial Cyr"/>
        <charset val="204"/>
      </rPr>
      <t>.</t>
    </r>
  </si>
  <si>
    <r>
      <t xml:space="preserve">     Порядок проверки гексов при вызове Клона. Гексы проверяются в порядке возрастания номеров, на первый свободный ставится Клон </t>
    </r>
    <r>
      <rPr>
        <i/>
        <sz val="10"/>
        <rFont val="Arial Cyr"/>
        <charset val="204"/>
      </rPr>
      <t xml:space="preserve">(Основано на информации </t>
    </r>
    <r>
      <rPr>
        <b/>
        <i/>
        <sz val="10"/>
        <rFont val="Arial Cyr"/>
        <charset val="204"/>
      </rPr>
      <t>Sav</t>
    </r>
    <r>
      <rPr>
        <i/>
        <sz val="10"/>
        <rFont val="Arial Cyr"/>
        <charset val="204"/>
      </rPr>
      <t xml:space="preserve">, </t>
    </r>
    <r>
      <rPr>
        <i/>
        <u/>
        <sz val="10"/>
        <color rgb="FF0033CC"/>
        <rFont val="Arial Cyr"/>
        <charset val="204"/>
      </rPr>
      <t>forum.df2.ru</t>
    </r>
    <r>
      <rPr>
        <i/>
        <sz val="10"/>
        <rFont val="Arial Cyr"/>
        <charset val="204"/>
      </rPr>
      <t>):</t>
    </r>
  </si>
  <si>
    <t xml:space="preserve">     Для одногексового существа:</t>
  </si>
  <si>
    <t xml:space="preserve">     Для двухгексового существа:</t>
  </si>
  <si>
    <r>
      <rPr>
        <b/>
        <sz val="10"/>
        <rFont val="Arial Cyr"/>
        <charset val="204"/>
      </rPr>
      <t xml:space="preserve">     Внимание, баг </t>
    </r>
    <r>
      <rPr>
        <sz val="10"/>
        <rFont val="Arial Cyr"/>
        <charset val="204"/>
      </rPr>
      <t>(только для двухгексовых существ)</t>
    </r>
    <r>
      <rPr>
        <b/>
        <sz val="10"/>
        <rFont val="Arial Cyr"/>
        <charset val="204"/>
      </rPr>
      <t>!</t>
    </r>
    <r>
      <rPr>
        <sz val="10"/>
        <rFont val="Arial Cyr"/>
        <charset val="204"/>
      </rPr>
      <t xml:space="preserve"> Если гекс 11 на схеме свободен, то при проверке 11, а так же промежуточные проверки между 21 и 22; 31 и 32; 41 и 42; 51 и 52; 61 и 62; 71 и 72; 81 и 82; 91 и 92 </t>
    </r>
    <r>
      <rPr>
        <b/>
        <sz val="10"/>
        <rFont val="Arial Cyr"/>
        <charset val="204"/>
      </rPr>
      <t>проходят</t>
    </r>
    <r>
      <rPr>
        <sz val="10"/>
        <rFont val="Arial Cyr"/>
        <charset val="204"/>
      </rPr>
      <t xml:space="preserve"> и Клон "вызывается" на клетку 11 (частично накладываясь на клонируемый отряд). При этом сам Клон не видим и не интерактивен, в бою не участвует, а клонируемый отряд становится невидимым до первого действия.
Независимо от занятых гексов, если проверка доходит до 28, 38, 48, 58, 68, 78, 88 или 98, то Клон сразу пытается вызваться на клетку клонируемого отряда, при этом он не вызывется, но клонируемый отряд исчезнет по истечении длительности заклинания или после боя.</t>
    </r>
  </si>
  <si>
    <t xml:space="preserve">     Если отряд повёрнут в другую сторону, чем стрелка, схемы отражаются по-горизонтали.</t>
  </si>
  <si>
    <t xml:space="preserve">     Если на все отмеченные гексы поставить Клон нельзя, он не вызывается вообще (и показывается соответствующее сообщение).</t>
  </si>
  <si>
    <r>
      <rPr>
        <b/>
        <sz val="10"/>
        <rFont val="Arial Cyr"/>
        <charset val="204"/>
      </rPr>
      <t xml:space="preserve">     Внимание! </t>
    </r>
    <r>
      <rPr>
        <sz val="10"/>
        <rFont val="Arial Cyr"/>
        <charset val="204"/>
      </rPr>
      <t>Описанный приём может привести к зацикливанию битвы, когда остаются 2 отряда под Берсерком в пределах досягаемости друг друга, но ни одному из отрядов не хватает скорости для удара в "хвост" другого.</t>
    </r>
  </si>
  <si>
    <t xml:space="preserve">     Урон Огненного щита рассчитывается после расчёта всех бонусов к атаке, но до расчёта всех штрафов.
То есть урон от Огненного щита будет соответствовать нужному проценту от урона с учётом:</t>
  </si>
  <si>
    <t xml:space="preserve">     Но урон Огненного щита считается без учёта:</t>
  </si>
  <si>
    <t xml:space="preserve">     При этом всё, что влияет на шанс наложения заклинания: сопротивления, иммунитеты, проклятая земля, антимагический гарнизон, запрещающие колдовать артефакты - на получение урона от огненного щита не влияет. Единственное исключение - огненный щит не действует на существ с иммунитетом к огню (Ифритов, Огненных элементалей, Огненных птиц, и улучшенных вариантов этих существ).
</t>
  </si>
  <si>
    <t xml:space="preserve">     В игре нет более полезных и универсальных, в большинстве случаев заклинаний, чем Ускорение и Медлительность.</t>
  </si>
  <si>
    <t xml:space="preserve">     Ускорение повышает скорость цели на 3 или 5 единиц, в зависимости от уровня развития Магии воздуха у героя.</t>
  </si>
  <si>
    <t xml:space="preserve">     Медлительность понижает скорость цели на 25% или 50%, в зависимости от уровня развития Магии земли у героя.</t>
  </si>
  <si>
    <t xml:space="preserve">     Известно также, что эти два заклинания снимают друг друга при наложении.</t>
  </si>
  <si>
    <t xml:space="preserve">     Однако существует ещё одно заклинание, повышающее скорость цели - это Молитва. Она повышает атаку, защиту и скорость на 2 единицы. Казалось бы однозначный эффект, но на деле возникают сложности при его совмещении с Медлительностью.</t>
  </si>
  <si>
    <t xml:space="preserve">     Теперь посмотрим, как сочетаются друг с другом Молитва и Медлительность разных уровней развития школ магии героя:</t>
  </si>
  <si>
    <t xml:space="preserve">     Проанализировав таблицу выше, можно понять, что Медлительность снижает не только базовую скорость существа, но и дополнительную.</t>
  </si>
  <si>
    <t xml:space="preserve">     К дополнительной скорости существа можно отнести:</t>
  </si>
  <si>
    <t xml:space="preserve">     Медлительность снижает ВСЕ, приведённые выше эффекты на 25/50%. Округление всегда вниз.</t>
  </si>
  <si>
    <t xml:space="preserve">     Цепная молния - одно из очень эффективных ударных заклинаний. Однако его применение сильно ограничено в условиях битвы, когда на поле боя вперемешку расположены и ваши и вражеские существа. В этом разделе будем разбираться, как же молния выбирает цели (имеется ввиду урон второй цели цепочки, третей и т.д.).</t>
  </si>
  <si>
    <t xml:space="preserve">     Оказывается на приоритетность выбора цели влияет:</t>
  </si>
  <si>
    <t xml:space="preserve">     Расстояние до цели.</t>
  </si>
  <si>
    <t xml:space="preserve">     Тут всё просто. Если у двух существ разное расстояние до основной цели. То второй удар Цепной молнии попадёт в того, кто находится ближе. Аналогично выбирается третья, четвёртая и пятая цели.</t>
  </si>
  <si>
    <t xml:space="preserve">     Расположение относительно цели, "ширина" и принадлежность.</t>
  </si>
  <si>
    <t xml:space="preserve">     Если 2 или более существ одной стороны (свои или вражеские) находятся на одном расстоянии от основной цели, то второй удар Цепной молнии попадёт в существо с более высоким приоритетом, согласно схеме:</t>
  </si>
  <si>
    <t xml:space="preserve">     Порядок определения приоритета:</t>
  </si>
  <si>
    <r>
      <t xml:space="preserve">     1) Первым делом приоритет определяется </t>
    </r>
    <r>
      <rPr>
        <b/>
        <sz val="10"/>
        <rFont val="Arial"/>
        <family val="2"/>
        <charset val="204"/>
      </rPr>
      <t>по расстоянию</t>
    </r>
    <r>
      <rPr>
        <sz val="10"/>
        <rFont val="Arial"/>
        <family val="2"/>
        <charset val="204"/>
      </rPr>
      <t xml:space="preserve"> до существа.</t>
    </r>
  </si>
  <si>
    <r>
      <t xml:space="preserve">     2) Вторым делом приоритет определяется </t>
    </r>
    <r>
      <rPr>
        <b/>
        <sz val="10"/>
        <rFont val="Arial"/>
        <family val="2"/>
        <charset val="204"/>
      </rPr>
      <t>по "ширине"</t>
    </r>
    <r>
      <rPr>
        <sz val="10"/>
        <rFont val="Arial"/>
        <family val="2"/>
        <charset val="204"/>
      </rPr>
      <t xml:space="preserve"> существа. Если существа разной "ширины" находятся на одном расстоянии от основной цели, то второй удар Цепной молнии попадёт в одногексовое существо, независимо от его приоритета по расположению и принадлежности.</t>
    </r>
  </si>
  <si>
    <r>
      <t xml:space="preserve">     4) Если существа одной "ширины" и с одинаковым приоритетом по расположению, но разной</t>
    </r>
    <r>
      <rPr>
        <b/>
        <sz val="10"/>
        <rFont val="Arial"/>
        <family val="2"/>
        <charset val="204"/>
      </rPr>
      <t xml:space="preserve"> принадлежности</t>
    </r>
    <r>
      <rPr>
        <sz val="10"/>
        <rFont val="Arial"/>
        <family val="2"/>
        <charset val="204"/>
      </rPr>
      <t xml:space="preserve"> находятся на одном расстоянии от основной цели, то второй удар Цепной молнии попадёт в дружественное существо.</t>
    </r>
  </si>
  <si>
    <t xml:space="preserve">     Данные приоритеты справедливы и при выборе цели третьего удара Цепной молнии, четвёртого и пятого.</t>
  </si>
  <si>
    <t xml:space="preserve">     1) При отсутствии (несрабатывании) сопротивления, урон получат отряды 1, 2, 3, 4, 5 (допустим, у нас Экспертная Магия воздуха). </t>
  </si>
  <si>
    <t xml:space="preserve">     3) При срабатывании сопротивления только на втором отряде, цепь продолжит свой путь, и урон получат отряды 1, 3, 4, 5, 6. </t>
  </si>
  <si>
    <t xml:space="preserve">     4) При срабатывании сопротивления на отрядах 2, 3, 4, 5, цепь продолжит свой путь, и урон получат отряды 1, 6, 7, 8. Т.е. пятой цели не будет.</t>
  </si>
  <si>
    <t xml:space="preserve">     5) При развитом сопротивлении (навык, специализация Торгрима, способности гномов и Кристаллических драконов, аура единорогов, артефакты сопротивления) или особом везении, урон может получить вообще только 1 отряд, т.е. на отрядах 2-8 сработает сопротивление.</t>
  </si>
  <si>
    <r>
      <t xml:space="preserve">     Внимание! х</t>
    </r>
    <r>
      <rPr>
        <sz val="10"/>
        <rFont val="Arial"/>
        <family val="2"/>
        <charset val="204"/>
      </rPr>
      <t xml:space="preserve"> - этим знаком отмечены стреляющие существа для удобства сортировки и сравнения стрелков между собой. Все они, кроме Снайпера, имеют штраф, снижающий их урон на 50% при стрельбе на дальнюю (более 10 клеток) дистанцию. </t>
    </r>
    <r>
      <rPr>
        <b/>
        <sz val="10"/>
        <rFont val="Arial"/>
        <family val="2"/>
        <charset val="204"/>
      </rPr>
      <t xml:space="preserve">v </t>
    </r>
    <r>
      <rPr>
        <sz val="10"/>
        <rFont val="Arial"/>
        <family val="2"/>
        <charset val="204"/>
      </rPr>
      <t>- этим знаком отмечены летающие существа. Они при перемещении игнорируют препятствия на поле боя, других существ, стены города, ров и магические объекты.</t>
    </r>
  </si>
  <si>
    <r>
      <rPr>
        <b/>
        <sz val="10"/>
        <rFont val="Arial"/>
        <family val="2"/>
        <charset val="204"/>
      </rPr>
      <t xml:space="preserve">     Это интересно! </t>
    </r>
    <r>
      <rPr>
        <sz val="10"/>
        <rFont val="Arial"/>
        <family val="2"/>
        <charset val="204"/>
      </rPr>
      <t xml:space="preserve">Расчёт показывает, что максимальный урон, который может нанести </t>
    </r>
    <r>
      <rPr>
        <u/>
        <sz val="10"/>
        <rFont val="Arial"/>
        <family val="2"/>
        <charset val="204"/>
      </rPr>
      <t>одно существо в игре за один раунд</t>
    </r>
    <r>
      <rPr>
        <sz val="10"/>
        <rFont val="Arial"/>
        <family val="2"/>
        <charset val="204"/>
      </rPr>
      <t xml:space="preserve"> составляет </t>
    </r>
    <r>
      <rPr>
        <b/>
        <sz val="10"/>
        <rFont val="Arial"/>
        <family val="2"/>
        <charset val="204"/>
      </rPr>
      <t>19864 урона</t>
    </r>
    <r>
      <rPr>
        <sz val="10"/>
        <rFont val="Arial"/>
        <family val="2"/>
        <charset val="204"/>
      </rPr>
      <t xml:space="preserve"> - и нанести его может именно Сказочный Дракон заклинанием Инферно (Экспертная Магия огня, герой-специалист по Волшебству 108 уровня, Сфера бушующего огня) при атаке Элементалей воды. </t>
    </r>
    <r>
      <rPr>
        <b/>
        <sz val="10"/>
        <rFont val="Arial"/>
        <family val="2"/>
        <charset val="204"/>
      </rPr>
      <t>Формула:</t>
    </r>
    <r>
      <rPr>
        <sz val="10"/>
        <rFont val="Arial"/>
        <family val="2"/>
        <charset val="204"/>
      </rPr>
      <t xml:space="preserve"> 130 (урон Экспертного Инферно) * 1,96 (коэффициент силы специалиста по Волшебству) * 1,5 (Сфера бушующего огня) * 13 (количество Элементалей воды, которые могут попасть под Инферно) * 2 (Уязвимость Элементалей воды) * 2 (Повторный ход благодаря Боевому духу) = </t>
    </r>
    <r>
      <rPr>
        <u/>
        <sz val="10"/>
        <rFont val="Arial"/>
        <family val="2"/>
        <charset val="204"/>
      </rPr>
      <t>19864 урона.</t>
    </r>
  </si>
  <si>
    <t xml:space="preserve">     Многие существа в игре способны самостоятельно, с той или иной вероятностью, дополнительно к своему основному урону нанести противнику магический урон, применять заклинания, которые можно условно разделить на две группы - Стандартные (схожие с аналогичными заклинаниями героя, могут быть Базового, Продвинутого или Экспертного уровня), а также Специальные - не имеющие аналогов среди доступных герою заклинаний.</t>
  </si>
  <si>
    <r>
      <t xml:space="preserve">     Внимание! </t>
    </r>
    <r>
      <rPr>
        <sz val="10"/>
        <rFont val="Arial"/>
        <family val="2"/>
        <charset val="204"/>
      </rPr>
      <t>В таблице используются следующие сокращения: Спец. - специальное заклинание; Баз. - Базовое заклинание; Прод. - Продвинутое заклинание; Эксп. - Экспертное заклинание; Д. - длительность заклинания в раундах боя.</t>
    </r>
  </si>
  <si>
    <t xml:space="preserve">     Многие способности существ можно отнести к магическим или похожим на магические. Возникает вопрос: если способность магическая, то как на неё влияют различные факторы, ограничивающие использование магии? В этом разделе мы собрали все способности существ и защиты от магии в одну таблицу!</t>
  </si>
  <si>
    <t xml:space="preserve">     Одним из достаточно эффективных приёмов пополнить свои войска сильными воинами является способность Адских отродий поднимать Демонов из своих павших в текущем бою существ.</t>
  </si>
  <si>
    <t xml:space="preserve">     Поднятие демонов действует только на трупы живых существ, т.е.на нежити, горгульях, элементалях, големах и машинах не работает.</t>
  </si>
  <si>
    <t xml:space="preserve">     Принцип расчета количества Демонов достаточно прост:</t>
  </si>
  <si>
    <t xml:space="preserve">     1. Каждое Адское отродье способно поднять Демонов из расчета 50 единиц здоровья.</t>
  </si>
  <si>
    <t xml:space="preserve">     2. Количество Демонов, поднятых из уничтоженного отряда, не может превышать количество существ, первоначально составлявших этот уничтоженный отряд.</t>
  </si>
  <si>
    <t xml:space="preserve">     3. Суммарное здоровье призванных Демонов не может превысить количество здоровья уничтоженного отряда.</t>
  </si>
  <si>
    <t xml:space="preserve">     В этом случае:</t>
  </si>
  <si>
    <r>
      <t xml:space="preserve">     - число существ в уничтоженном отряде позволяет призвать до </t>
    </r>
    <r>
      <rPr>
        <b/>
        <sz val="10"/>
        <rFont val="Arial"/>
        <family val="2"/>
        <charset val="204"/>
      </rPr>
      <t>100</t>
    </r>
    <r>
      <rPr>
        <sz val="10"/>
        <rFont val="Arial"/>
        <family val="2"/>
        <charset val="204"/>
      </rPr>
      <t xml:space="preserve"> Демонов.</t>
    </r>
  </si>
  <si>
    <r>
      <t xml:space="preserve">     - 25 Адских отродий способны призвать Демонов с общим здоровьем не превышающим 25*50=1250 единиц. Что составит </t>
    </r>
    <r>
      <rPr>
        <b/>
        <sz val="10"/>
        <rFont val="Arial"/>
        <family val="2"/>
        <charset val="204"/>
      </rPr>
      <t>35</t>
    </r>
    <r>
      <rPr>
        <sz val="10"/>
        <rFont val="Arial"/>
        <family val="2"/>
        <charset val="204"/>
      </rPr>
      <t xml:space="preserve"> Демонов (округление вниз).</t>
    </r>
  </si>
  <si>
    <r>
      <t xml:space="preserve">     - общее суммарное здоровье этого отряда было 100*4=400 здоровья. А потому мы не сможем призвать более </t>
    </r>
    <r>
      <rPr>
        <b/>
        <sz val="10"/>
        <rFont val="Arial"/>
        <family val="2"/>
        <charset val="204"/>
      </rPr>
      <t>11</t>
    </r>
    <r>
      <rPr>
        <sz val="10"/>
        <rFont val="Arial"/>
        <family val="2"/>
        <charset val="204"/>
      </rPr>
      <t xml:space="preserve"> Демонов, т.к. 400/35 = 11 (округление вниз).</t>
    </r>
  </si>
  <si>
    <t xml:space="preserve">     В итоге, призвано будет наименьшее количество из всех полученных вариантов - 11 Демонов.</t>
  </si>
  <si>
    <t xml:space="preserve">     Основные принципы демонологии:</t>
  </si>
  <si>
    <t xml:space="preserve">     Каждый отряд Адских отродий способен провести процедуру призыва Демонов только 1 раз за бой. </t>
  </si>
  <si>
    <r>
      <t xml:space="preserve">     Однако, Клон отряда Адских отродий </t>
    </r>
    <r>
      <rPr>
        <b/>
        <sz val="10"/>
        <rFont val="Arial"/>
        <family val="2"/>
        <charset val="204"/>
      </rPr>
      <t>способен повторить процедуру вызова</t>
    </r>
    <r>
      <rPr>
        <sz val="10"/>
        <rFont val="Arial"/>
        <family val="2"/>
        <charset val="204"/>
      </rPr>
      <t xml:space="preserve"> Демонов независимо от того, вызывались Демоны уже в этом бою или нет.</t>
    </r>
  </si>
  <si>
    <t xml:space="preserve">     Все оставшиеся в живых призванные Демоны остаются в армии героя после завершения боя.</t>
  </si>
  <si>
    <r>
      <t xml:space="preserve">     Наличие артефактов, повышающих здоровье уничтоженных существ, </t>
    </r>
    <r>
      <rPr>
        <b/>
        <sz val="10"/>
        <rFont val="Arial"/>
        <family val="2"/>
        <charset val="204"/>
      </rPr>
      <t>идёт в расчёт</t>
    </r>
    <r>
      <rPr>
        <sz val="10"/>
        <rFont val="Arial"/>
        <family val="2"/>
        <charset val="204"/>
      </rPr>
      <t xml:space="preserve"> числа призванных Демонов.</t>
    </r>
  </si>
  <si>
    <t xml:space="preserve">     Сниженное здоровье от Яда учитывается у погибшего отряда. Однако Старость НЕ учитывается.</t>
  </si>
  <si>
    <t xml:space="preserve">     Общее суммарное здоровье отряда было 100*(4+4*1,25) = 900 единиц. В этом случае Адские отродья могут призвать 25 Демонов, т.к. 900/35=25 (округление вниз).</t>
  </si>
  <si>
    <t xml:space="preserve">     Таблица показывает сколько существ (с определённым здоровьем) в целевом отряде должно было быть, чтобы несколько Адских отродий (столбец 1) смогли поднять из их трупа несколько Демонов (столбец 2).</t>
  </si>
  <si>
    <t xml:space="preserve">     При эффективной игре за Инферно, наиболее важной тактикой является использование демонологии при помощи Адских отродий. Для максимального результата всегда важно представлять, при каком количестве жертв можно вызвать максимальное количество Демонов. Для облегчения этой задачи и предназначен этот калькулятор.</t>
  </si>
  <si>
    <r>
      <t xml:space="preserve">     Введите </t>
    </r>
    <r>
      <rPr>
        <b/>
        <i/>
        <sz val="10"/>
        <rFont val="Arial"/>
        <family val="2"/>
        <charset val="204"/>
      </rPr>
      <t>исходные данные</t>
    </r>
    <r>
      <rPr>
        <i/>
        <sz val="10"/>
        <rFont val="Arial"/>
        <family val="2"/>
        <charset val="204"/>
      </rPr>
      <t>:</t>
    </r>
  </si>
  <si>
    <r>
      <t xml:space="preserve">     Здесь будут отображены </t>
    </r>
    <r>
      <rPr>
        <b/>
        <i/>
        <sz val="10"/>
        <rFont val="Arial"/>
        <family val="2"/>
        <charset val="204"/>
      </rPr>
      <t xml:space="preserve">результаты </t>
    </r>
    <r>
      <rPr>
        <i/>
        <sz val="10"/>
        <rFont val="Arial"/>
        <family val="2"/>
        <charset val="204"/>
      </rPr>
      <t>расчёта:</t>
    </r>
  </si>
  <si>
    <r>
      <t xml:space="preserve">     Учёт используемых героем </t>
    </r>
    <r>
      <rPr>
        <b/>
        <i/>
        <sz val="10"/>
        <rFont val="Arial"/>
        <family val="2"/>
        <charset val="204"/>
      </rPr>
      <t>артефактов</t>
    </r>
    <r>
      <rPr>
        <i/>
        <sz val="10"/>
        <rFont val="Arial"/>
        <family val="2"/>
        <charset val="204"/>
      </rPr>
      <t>:</t>
    </r>
  </si>
  <si>
    <r>
      <t xml:space="preserve">     Учёт здоровья, сниженного за счёт </t>
    </r>
    <r>
      <rPr>
        <b/>
        <i/>
        <sz val="10"/>
        <rFont val="Arial"/>
        <family val="2"/>
        <charset val="204"/>
      </rPr>
      <t>Яда Виверн-монархов</t>
    </r>
    <r>
      <rPr>
        <i/>
        <sz val="10"/>
        <rFont val="Arial"/>
        <family val="2"/>
        <charset val="204"/>
      </rPr>
      <t>:</t>
    </r>
  </si>
  <si>
    <t xml:space="preserve">     Например, 31 Могучая горгона может дополнительно уничтожить 1-4 существ в атакуемом отряде.</t>
  </si>
  <si>
    <t xml:space="preserve">     Однако, следует учитывать, что шанс срабатывания рассчитывается для каждой горгоны отдельно. Иными словами 10 горгон с 10% шанса Смертельного взгляда вместе не будут иметь 100% гарантии успеха.</t>
  </si>
  <si>
    <t xml:space="preserve">     Вероятность хотя бы одного успешного срабатывания можно рассчитать по формуле:</t>
  </si>
  <si>
    <t xml:space="preserve">     где р - шанс срабатывания Смертельного взгляда, в долях (р=10%=0,1); N - количество Могучих горгон в атакующем отряде.</t>
  </si>
  <si>
    <t xml:space="preserve">     Например, если у вас есть 5 горгон и вы их разделили на 5 отрядов по 1 горгоне, то вероятность однократного срабатывания Смертельного взгляда будет такая же, как если бы все пять находились в одном отряде.</t>
  </si>
  <si>
    <t xml:space="preserve">     Из формулы можно заметить, что вероятность успеха всегда меньше единицы. Тем не менее, это не означает, что всегда есть шанс на неудачу. При вероятностях близких к единице, в математический закон вступают особенности компьютерного округления. Причем довольно сложно предсказать, как будет округлено значение 99.99999. До 100 или до 99.</t>
  </si>
  <si>
    <t xml:space="preserve">     Следующая таблица демонстрирует некоторые пункты расчёта вероятности:</t>
  </si>
  <si>
    <r>
      <t xml:space="preserve">     Можно отметить что 10 горгон не имеют шанса убить взглядом 2 существ в атакуемом отряде, хотя это и не совсем соответствует формуле из описания. Вероятность истребления второго существа появляется только с 11 горгон, третьего — с 21, четвертого с 31 и так далее. В описании при этом фигурирует формула: </t>
    </r>
    <r>
      <rPr>
        <b/>
        <sz val="10"/>
        <rFont val="Arial Cyr"/>
        <charset val="204"/>
      </rPr>
      <t>K = N/10+1</t>
    </r>
    <r>
      <rPr>
        <sz val="10"/>
        <rFont val="Arial Cyr"/>
        <charset val="204"/>
      </rPr>
      <t>, где К - количество убитых существ; N - количество Могучих горгон в атакующем отряде.</t>
    </r>
  </si>
  <si>
    <t xml:space="preserve">     Но на самом деле формула выглядит так:</t>
  </si>
  <si>
    <t xml:space="preserve">     То есть, 1/10, 2/10 и т.д. будут равны 1.</t>
  </si>
  <si>
    <t xml:space="preserve">     Также, можно увидеть, что шансы возрастают с числом горгон в отряде. То есть, 31 горгона имеет шанс убить максимальное число существ (4) равный 37%, но 21 горгона имеет шанс убить максимальное число существ (3) равный всего лишь 35%, что на 2% меньше.</t>
  </si>
  <si>
    <t xml:space="preserve">     Более очевидный пример: 30 Могучих горгон (вероятности см. в таблице). Разделим их в 2 отряда по 15 Могучих горгон каждый. Внезапно появилась 20% вероятность убить взглядом сразу 4-х врагов! У вас не было этого шанса, когда все 30 Могучих Горгон находятся в 1-ом отряде. И это при том, что минимальные шансы не ухудшились. Не имеет значения как именно разделять Могучих горгон, но, очевидно, не нужно создавать больших диспропорций, скажем, 20:10.</t>
  </si>
  <si>
    <t xml:space="preserve">     Стоит заметить, что делить отряды горгон числом 10*N+1 не нужно. Разделение такого количества как 11, 21, 31, 41 и т.д. не имеет смысла и даже вредно.</t>
  </si>
  <si>
    <t xml:space="preserve">     Еще один минус от деления Могучих горгон: если полученные отряды слишком малы, их легко уложить даже низкоуровневыми войсками противника. Нужно помнить, что помимо взгляда горгоны наносят обычный урон, и лучше если после удара весь отряд противника будет убит, чем бить его несколькими отрядами и получить ответный удар, если он выживет.</t>
  </si>
  <si>
    <r>
      <rPr>
        <b/>
        <sz val="10"/>
        <rFont val="Arial Cyr"/>
        <charset val="204"/>
      </rPr>
      <t xml:space="preserve">     Вывод</t>
    </r>
    <r>
      <rPr>
        <sz val="10"/>
        <rFont val="Arial Cyr"/>
        <charset val="204"/>
      </rPr>
      <t>: не разделяйте Могучих горгон, пока не накопите их, по крайней мере, 32 особи.</t>
    </r>
  </si>
  <si>
    <t xml:space="preserve">     С такой изумительной особенностью главной целью Могучих горгон являются существа 7-го уровня. Не заботьтесь даже о снятии ответа другими своими войсками. Могучие горгоны могут выдержать приличный удар. Если у врага 13 Архангелов, а у вас 48 Могучих горгон (к тому времени как враг накопит 13 Архангелов, у вас уже вполне может быть большее количество Могучих горгон) – не впадайте в отчаяние. Архангелы могут этого не знать, но они уже мертвецы. Своей 1-ой атакой Могучие горгоны скорее всего убьют 4 Архангела. Ответным ударом Архангелы не убьют больше, чем 9 МГ. После 2-ух последующих атак останется 2 или 3 Архангела и от 15-20 горгон. Надо иметь ввиду, что такие параметры вашего героя как Защита и/или навык Доспехи ОЧЕНЬ сильно сдвигают преимущество в сторону горгон. Атаковать существ 6-го и ниже уровней имеет смысл, только если нет более сильных. Не тратьте горгон атакуя слабых существ.</t>
  </si>
  <si>
    <t xml:space="preserve">     Каждая Могучая горгона в атакующем отряде имеет 10% шанс поразить цель Смертельным взглядом, который мгновенно убивает существ в целевом отряде. Смертельный взгляд не действует на существ Некрополиса, Мумий, элементалей, горгулий и големов. Количество существ, которое может быть убито Смертельным взглядом зависит от количества Могучих горгон в атакующем отряде и может быть случайным в диапазоне от 1 до N/10 (округление вверх), где N – количество Могучих горгон.</t>
  </si>
  <si>
    <t xml:space="preserve">     Единственной неприятностью является факт, что Смертельный взгляд не действует на существ Некрополиса, Мумий, элементалей, горгулий и големов. Поэтому в противостоянии с Некрополисом, Башней или Сопряжением вы не можете так же сильно полагаться на Могучих горгон.</t>
  </si>
  <si>
    <t xml:space="preserve">     В таблице указаны базовые приросты существ для всех городов. Следует учитывать, что постройка Цитадели в городе увеличивает этот показатель на 50% (округление вниз), а постройка Замка - ещё на 50% от базового.</t>
  </si>
  <si>
    <t xml:space="preserve">     Помимо этого в разных типах городов существуют строения, дополнительно увеличивающие прирост определённых существ. Постройка Цитадели и Замка на их свойства не влияют. Эти строения сведены во второй таблице.</t>
  </si>
  <si>
    <t xml:space="preserve">     Строения, дополнительно повышающие прирост существ:</t>
  </si>
  <si>
    <t xml:space="preserve">     На прирост существ в городе влияют городские строения (Цитадель, Замок, жилища существ и особые здания), артефакты находящегося в городе героя, наличие у одного из героев Статуи легиона и наличие Храма Грааля в городе.</t>
  </si>
  <si>
    <t xml:space="preserve">     Формула расчёта прироста выглядит следующим образом:</t>
  </si>
  <si>
    <t xml:space="preserve">     В таблице приведены соответствия количества существ в отряде с их словесным обозначением в разных версиях Героев.</t>
  </si>
  <si>
    <t xml:space="preserve">     Ситуация следующая: перед нашим героем стоят сразу несколько отрядов нейтральных существ (см. рис. 1). Следующим шагом герой наступает на клетку, в которой теоретически на него может напасть любой из стоящих рядом отрядов. Предположим, среди них есть те, которые готовы присоединиться, а есть те, которые нанесут герою недопустимые потери. Стоит ли ходить именно на эту клетку или нет. Какой из отрядов первым нападёт / убежит / присоединится? Есть ли какое-нибудь правило, которое поможет разобраться в этом вопросе? </t>
  </si>
  <si>
    <r>
      <t xml:space="preserve">     Оказывается, есть! См. рис. 2. Раньше всех будет взаимодействовать с нашим героем отряд, располагающийся на карте:                                         </t>
    </r>
    <r>
      <rPr>
        <b/>
        <sz val="10"/>
        <rFont val="Arial Cyr"/>
        <charset val="204"/>
      </rPr>
      <t>а)</t>
    </r>
    <r>
      <rPr>
        <sz val="10"/>
        <rFont val="Arial Cyr"/>
        <charset val="204"/>
      </rPr>
      <t xml:space="preserve"> левее других; </t>
    </r>
    <r>
      <rPr>
        <b/>
        <sz val="10"/>
        <rFont val="Arial Cyr"/>
        <charset val="204"/>
      </rPr>
      <t>б)</t>
    </r>
    <r>
      <rPr>
        <sz val="10"/>
        <rFont val="Arial Cyr"/>
        <charset val="204"/>
      </rPr>
      <t xml:space="preserve"> если несколько отрядов имеют одинаковую координату по вертикали, то отряд, расположенный выше других.</t>
    </r>
  </si>
  <si>
    <r>
      <t xml:space="preserve">     Количество существ в нейтральной армии, находящейся на карте приключений, определяется составителем карты. По умолчанию - на старте их не может быть более 50, причем, чем сильнее существо, тем меньшее количество будет установлено в процессе генерирования карты. Однако составитель вправе указать стартовое количество по своему усмотрению. Также он указывает будет ли осуществляться еженедельный прирост войск в армии нейтралов (прирост, если он разрешен, составляет </t>
    </r>
    <r>
      <rPr>
        <b/>
        <sz val="10"/>
        <rFont val="Arial Cyr"/>
        <charset val="204"/>
      </rPr>
      <t>+10%</t>
    </r>
    <r>
      <rPr>
        <sz val="10"/>
        <rFont val="Arial Cyr"/>
        <charset val="204"/>
      </rPr>
      <t xml:space="preserve"> в неделю к текущему количеству).</t>
    </r>
  </si>
  <si>
    <r>
      <t xml:space="preserve">     Распределение нейтральных существ по отрядам в момент начала битвы подчиняется своим строгим законам и зависит от значения </t>
    </r>
    <r>
      <rPr>
        <b/>
        <sz val="10"/>
        <rFont val="Arial Cyr"/>
        <charset val="204"/>
      </rPr>
      <t>k</t>
    </r>
    <r>
      <rPr>
        <sz val="10"/>
        <rFont val="Arial Cyr"/>
        <charset val="204"/>
      </rPr>
      <t xml:space="preserve">, равному отношению силы армии атакующего героя </t>
    </r>
    <r>
      <rPr>
        <b/>
        <sz val="10"/>
        <rFont val="Arial Cyr"/>
        <charset val="204"/>
      </rPr>
      <t>A</t>
    </r>
    <r>
      <rPr>
        <sz val="10"/>
        <rFont val="Arial Cyr"/>
        <charset val="204"/>
      </rPr>
      <t xml:space="preserve"> и силы армии нейтралов </t>
    </r>
    <r>
      <rPr>
        <b/>
        <sz val="10"/>
        <rFont val="Arial Cyr"/>
        <charset val="204"/>
      </rPr>
      <t>H</t>
    </r>
    <r>
      <rPr>
        <sz val="10"/>
        <rFont val="Arial Cyr"/>
        <charset val="204"/>
      </rPr>
      <t>.</t>
    </r>
  </si>
  <si>
    <t xml:space="preserve">     При сражении с нейтралами, их войска могут разделяться на несколько отрядов.</t>
  </si>
  <si>
    <t xml:space="preserve">     Распределение на отряды зависит от соотношения силы атакующей армии к силе армии нейтралов.</t>
  </si>
  <si>
    <t xml:space="preserve">     Сила армии рассчитывается по сумме коэффициентов AI Value.</t>
  </si>
  <si>
    <r>
      <rPr>
        <b/>
        <sz val="10"/>
        <rFont val="Arial Cyr"/>
        <charset val="204"/>
      </rPr>
      <t xml:space="preserve">     Это интересно! </t>
    </r>
    <r>
      <rPr>
        <sz val="10"/>
        <rFont val="Arial Cyr"/>
        <charset val="204"/>
      </rPr>
      <t>Если Вы напали на НЕулучшенных существ, а в их рядах появились улучшенные, то после побега Вашего героя, численность существ N этой армии уменьшится согласно приведенной ниже формуле, т.е. при нападении на этот нейтральный отряд существ на текущей неделе Вы обнаружите, что количество существ в нём уменьшено. В начале следующей недели прирост составит +10% к текущему количеству, если прирост не запрещен создателем карты.</t>
    </r>
  </si>
  <si>
    <r>
      <t xml:space="preserve">     Указанная выше формула говорит, что </t>
    </r>
    <r>
      <rPr>
        <b/>
        <sz val="10"/>
        <rFont val="Arial Cyr"/>
        <charset val="204"/>
      </rPr>
      <t>все оставшиеся в живых улучшенные существа после боя покидают армию нейтралов</t>
    </r>
    <r>
      <rPr>
        <sz val="10"/>
        <rFont val="Arial Cyr"/>
        <charset val="204"/>
      </rPr>
      <t>, значит после уничтожения неулучшенных существ Ваш герой может смело сбегать с поля боя не завершая битву. После побега армия нейтралов всё равно исчезнет. Это верно и для случая, если Ваш герой будет уничтожен армией нейтралов - ни одно улучшенное существо в ней не сохранится.</t>
    </r>
  </si>
  <si>
    <r>
      <t xml:space="preserve">     Например, при нападении на 100 Грифонов мы обнаруживаем, что один из трех отрядов состоит из 33 Королевских грифонов. Смело их ослепляем, расправляемся с остальными 67 Грифонами и убегаем. Все - дело сделано! Другой вопрос, что также теряем всю свою оставшуюся армию, но это уже - на Ваше усмотрение. Ведь не факт, что её остатки смогли бы уложить последний отряд Королевских грифонов. Стоит отметить, что этот принцип </t>
    </r>
    <r>
      <rPr>
        <b/>
        <sz val="10"/>
        <rFont val="Arial Cyr"/>
        <charset val="204"/>
      </rPr>
      <t>не действует</t>
    </r>
    <r>
      <rPr>
        <sz val="10"/>
        <rFont val="Arial Cyr"/>
        <charset val="204"/>
      </rPr>
      <t xml:space="preserve"> при битвах с охраной объектов на карте приключений.</t>
    </r>
  </si>
  <si>
    <t xml:space="preserve">     Для существ, занимающих две клетки, маршрут строится аналогично. Только клетки, куда не может попасть отряд, номером не помечаются, а отмечаем, например, меткой "N", а гекс слева (для нападающего)/справа (для защищающегося) от "головы" существа получает метку "1".</t>
  </si>
  <si>
    <r>
      <t xml:space="preserve">     Узнать, развернётся ли летающее существо перед атакой, можно по разности </t>
    </r>
    <r>
      <rPr>
        <b/>
        <sz val="10"/>
        <rFont val="Arial Cyr"/>
        <charset val="204"/>
      </rPr>
      <t>dest - source</t>
    </r>
    <r>
      <rPr>
        <sz val="10"/>
        <rFont val="Arial Cyr"/>
        <charset val="204"/>
      </rPr>
      <t xml:space="preserve">, где </t>
    </r>
    <r>
      <rPr>
        <b/>
        <sz val="10"/>
        <rFont val="Arial Cyr"/>
        <charset val="204"/>
      </rPr>
      <t>dest</t>
    </r>
    <r>
      <rPr>
        <sz val="10"/>
        <rFont val="Arial Cyr"/>
        <charset val="204"/>
      </rPr>
      <t xml:space="preserve"> - порядковый номер гекса по горизонтали со "своей" стороны, с которого происходит атака, а </t>
    </r>
    <r>
      <rPr>
        <b/>
        <sz val="10"/>
        <rFont val="Arial Cyr"/>
        <charset val="204"/>
      </rPr>
      <t>source</t>
    </r>
    <r>
      <rPr>
        <sz val="10"/>
        <rFont val="Arial Cyr"/>
        <charset val="204"/>
      </rPr>
      <t xml:space="preserve"> - то же, но гекс который атакует существо. Если эта разность отрицательна, то отряд развернётся, иначе - нет. Пешие существа разворачиваются всегда, когда идут назад.</t>
    </r>
  </si>
  <si>
    <t xml:space="preserve">     Например, всем известно, что направление атаки драконов иногда не совпадает с планируемым нами.</t>
  </si>
  <si>
    <r>
      <t xml:space="preserve">     Так вот, существует общее правило атаки. Каждый отряд, занимающий </t>
    </r>
    <r>
      <rPr>
        <b/>
        <sz val="10"/>
        <rFont val="Arial Cyr"/>
        <charset val="204"/>
      </rPr>
      <t>один гекс</t>
    </r>
    <r>
      <rPr>
        <sz val="10"/>
        <rFont val="Arial Cyr"/>
        <charset val="204"/>
      </rPr>
      <t>, имеет два типа атаки: основную и "с разворота".</t>
    </r>
  </si>
  <si>
    <t xml:space="preserve">     Здесь всё просто: если отряд не может произвести основную, он бьёт с разворота.</t>
  </si>
  <si>
    <t xml:space="preserve">     После завершения последнего дня недели при нажатии кнопки "Переход хода" в игре происходит генерация "Недели существа". Особенности этого явления приведены ниже:</t>
  </si>
  <si>
    <t xml:space="preserve">     - Единоразовое увеличение прироста выбранного случайным образом существа на 5 единиц в каждом из отстроенных соответствующих жилищ этого существа в городах;</t>
  </si>
  <si>
    <t xml:space="preserve">     - Существом недели может стать любое существо из любого города в игре, как простое, так и улучшенное. Нейтралы (Мумия, Кочевник, Хоббит и пр.) не могут являться номинантами;</t>
  </si>
  <si>
    <t xml:space="preserve">     - "Неделя существа" генерируется в конце первой, второй и третьей недели месяца. Четвертая неделя завершается "Месяцем существа";</t>
  </si>
  <si>
    <t xml:space="preserve">     - Если жилище существа в городе не построено, бонус не сработает;</t>
  </si>
  <si>
    <t xml:space="preserve">     - Вероятность появления недели определенного существа не одинакова, чем выше уровень этого существа, тем ниже эта вероятность;</t>
  </si>
  <si>
    <t xml:space="preserve">     - Среди номинантов замечено 15 существ, не имеющих своих аналогов в игре. В случае появления недели этого существа - никаких изменений в игре не происходит. Список этих существ приведен ниже;</t>
  </si>
  <si>
    <r>
      <t xml:space="preserve">     - Вероятность генерации недели городского существа составляет 25%. В 75% случаев генерируется неделя "абстрактного" существа (муравьед, ласка и т.д.) </t>
    </r>
    <r>
      <rPr>
        <i/>
        <sz val="10"/>
        <rFont val="Arial Cyr"/>
        <charset val="204"/>
      </rPr>
      <t xml:space="preserve">(Информация </t>
    </r>
    <r>
      <rPr>
        <b/>
        <i/>
        <sz val="10"/>
        <rFont val="Arial Cyr"/>
        <charset val="204"/>
      </rPr>
      <t>Sav</t>
    </r>
    <r>
      <rPr>
        <i/>
        <sz val="10"/>
        <rFont val="Arial Cyr"/>
        <charset val="204"/>
      </rPr>
      <t xml:space="preserve">, </t>
    </r>
    <r>
      <rPr>
        <i/>
        <u/>
        <sz val="10"/>
        <color rgb="FF0033CC"/>
        <rFont val="Arial Cyr"/>
        <charset val="204"/>
      </rPr>
      <t>forum.df2.ru</t>
    </r>
    <r>
      <rPr>
        <i/>
        <sz val="10"/>
        <rFont val="Arial Cyr"/>
        <charset val="204"/>
      </rPr>
      <t>)</t>
    </r>
    <r>
      <rPr>
        <sz val="10"/>
        <rFont val="Arial Cyr"/>
        <charset val="204"/>
      </rPr>
      <t>.</t>
    </r>
  </si>
  <si>
    <t xml:space="preserve">     Особое место среди всех существ занимают существа первого уровня города Инферно.</t>
  </si>
  <si>
    <t xml:space="preserve">     После установки Грааля в любом из городов Инферно на карте (независимо от принадлежности города) каждая "Неделя существа" становится "Неделей Беса". Прирост этих существ (как простых, так и улучшенных) увеличивается на 15 в неделю.</t>
  </si>
  <si>
    <t xml:space="preserve">     После завершения последнего дня месяца при нажатии кнопки "Переход хода" в игре происходит генерация "Месяца существа". Это явление, аналогично "Неделе существа", дает бонус случайно выбранному существу.</t>
  </si>
  <si>
    <t xml:space="preserve">     Ниже приведена таблица, с перечнем существ, которые могут быть номинантами "Месяца существа".</t>
  </si>
  <si>
    <r>
      <t xml:space="preserve">     Внимание! </t>
    </r>
    <r>
      <rPr>
        <sz val="10"/>
        <rFont val="Arial Cyr"/>
        <charset val="204"/>
      </rPr>
      <t xml:space="preserve">В таблице используются следующие условные обозначения: </t>
    </r>
    <r>
      <rPr>
        <b/>
        <sz val="10"/>
        <rFont val="Arial Cyr"/>
        <charset val="204"/>
      </rPr>
      <t xml:space="preserve">Зд. - </t>
    </r>
    <r>
      <rPr>
        <sz val="10"/>
        <rFont val="Arial Cyr"/>
        <charset val="204"/>
      </rPr>
      <t xml:space="preserve">базовое здоровье существа; </t>
    </r>
    <r>
      <rPr>
        <b/>
        <sz val="10"/>
        <rFont val="Arial Cyr"/>
        <charset val="204"/>
      </rPr>
      <t>Ур.</t>
    </r>
    <r>
      <rPr>
        <sz val="10"/>
        <rFont val="Arial Cyr"/>
        <charset val="204"/>
      </rPr>
      <t xml:space="preserve"> - уровень существа.</t>
    </r>
  </si>
  <si>
    <r>
      <rPr>
        <b/>
        <sz val="10"/>
        <rFont val="Arial Cyr"/>
        <charset val="204"/>
      </rPr>
      <t xml:space="preserve">     1.</t>
    </r>
    <r>
      <rPr>
        <sz val="10"/>
        <rFont val="Arial Cyr"/>
        <charset val="204"/>
      </rPr>
      <t xml:space="preserve">Существует 12 существ, которые представлены в городах и которые могут быть номинантами на "Месяц существа" - их появление равновероятно друг другу и в сумме составляет 40%. Также имеется 10 "абстрактных", не имеющих отношения к игре существ - появление месяца таких существ имеет вероятность 50% и не влечет за собой никаких изменений в игре </t>
    </r>
    <r>
      <rPr>
        <i/>
        <sz val="10"/>
        <rFont val="Arial Cyr"/>
        <charset val="204"/>
      </rPr>
      <t xml:space="preserve">(Информация </t>
    </r>
    <r>
      <rPr>
        <b/>
        <i/>
        <sz val="10"/>
        <rFont val="Arial Cyr"/>
        <charset val="204"/>
      </rPr>
      <t>Sav</t>
    </r>
    <r>
      <rPr>
        <i/>
        <sz val="10"/>
        <rFont val="Arial Cyr"/>
        <charset val="204"/>
      </rPr>
      <t xml:space="preserve">, </t>
    </r>
    <r>
      <rPr>
        <i/>
        <u/>
        <sz val="10"/>
        <color rgb="FF0033CC"/>
        <rFont val="Arial Cyr"/>
        <charset val="204"/>
      </rPr>
      <t>forum.df2.ru</t>
    </r>
    <r>
      <rPr>
        <i/>
        <sz val="10"/>
        <rFont val="Arial Cyr"/>
        <charset val="204"/>
      </rPr>
      <t>)</t>
    </r>
    <r>
      <rPr>
        <sz val="10"/>
        <rFont val="Arial Cyr"/>
        <charset val="204"/>
      </rPr>
      <t>.</t>
    </r>
  </si>
  <si>
    <r>
      <rPr>
        <b/>
        <sz val="10"/>
        <rFont val="Arial Cyr"/>
        <charset val="204"/>
      </rPr>
      <t xml:space="preserve">     2.</t>
    </r>
    <r>
      <rPr>
        <sz val="10"/>
        <rFont val="Arial Cyr"/>
        <charset val="204"/>
      </rPr>
      <t>Бонусы для городских существ, которые могут стать номинантом месяца:</t>
    </r>
  </si>
  <si>
    <t xml:space="preserve">     2.1.Единовременное удвоение всех невыкупленных на момент завершения месяца существ этого типа в городских жилищах (сначала происходит добавление стандартного недельного прироста, а потом - удвоение полученного). Если жилище существ улучшено при наступлении месяца этого существа, то его количество не удвоится, так как игра различает простое и улучшенное существо. Что касается Хобгоблина (единственного улучшенного существа из номинантов) - наоборот, надо улучшить его жилище, чтобы получить бонус.</t>
  </si>
  <si>
    <t xml:space="preserve">     2.2.Появление на карте приключений некоторого количества нейтральных отрядов этих существ - место расположения, количество существ в отряде (в пределах указанного в таблице разброса), а также количество отрядов определяется случайным образом.</t>
  </si>
  <si>
    <r>
      <t xml:space="preserve">     2.3.Агрессивность появляющихся отрядов случайна и равновероятна</t>
    </r>
    <r>
      <rPr>
        <i/>
        <sz val="10"/>
        <rFont val="Arial Cyr"/>
        <charset val="204"/>
      </rPr>
      <t xml:space="preserve"> (Информация </t>
    </r>
    <r>
      <rPr>
        <b/>
        <i/>
        <sz val="10"/>
        <rFont val="Arial Cyr"/>
        <charset val="204"/>
      </rPr>
      <t>Sav</t>
    </r>
    <r>
      <rPr>
        <i/>
        <sz val="10"/>
        <rFont val="Arial Cyr"/>
        <charset val="204"/>
      </rPr>
      <t xml:space="preserve">, </t>
    </r>
    <r>
      <rPr>
        <i/>
        <u/>
        <sz val="10"/>
        <color rgb="FF0033CC"/>
        <rFont val="Arial Cyr"/>
        <charset val="204"/>
      </rPr>
      <t>forum.df2.ru</t>
    </r>
    <r>
      <rPr>
        <i/>
        <sz val="10"/>
        <rFont val="Arial Cyr"/>
        <charset val="204"/>
      </rPr>
      <t>)</t>
    </r>
    <r>
      <rPr>
        <sz val="10"/>
        <rFont val="Arial Cyr"/>
        <charset val="204"/>
      </rPr>
      <t>.</t>
    </r>
  </si>
  <si>
    <r>
      <rPr>
        <b/>
        <sz val="10"/>
        <rFont val="Arial Cyr"/>
        <charset val="204"/>
      </rPr>
      <t xml:space="preserve">     4.</t>
    </r>
    <r>
      <rPr>
        <sz val="10"/>
        <rFont val="Arial Cyr"/>
        <charset val="204"/>
      </rPr>
      <t>С вероятностью 10% может выпасть "Месяц чумы". В случае наступления этого события происходит следующее:</t>
    </r>
  </si>
  <si>
    <t xml:space="preserve">     4.1.Отсутствует прирост всех существ во всех городах на карте.</t>
  </si>
  <si>
    <t xml:space="preserve">     4.2.Количество всех невыкупленных на конец месяца существ (всех уровней) уменьшается в два раза.</t>
  </si>
  <si>
    <r>
      <rPr>
        <b/>
        <sz val="10"/>
        <rFont val="Arial Cyr"/>
        <charset val="204"/>
      </rPr>
      <t xml:space="preserve">     5.</t>
    </r>
    <r>
      <rPr>
        <sz val="10"/>
        <rFont val="Arial Cyr"/>
        <charset val="204"/>
      </rPr>
      <t>Количество появляющихся отрядов на карте не ограничено. У каждой доступной (без воды и преград) клетки карты есть 0,5% шанса, что на ней появится отряд. То есть теоретически отряды могут появиться сразу на всех клетках или ни на одной</t>
    </r>
    <r>
      <rPr>
        <i/>
        <sz val="10"/>
        <rFont val="Arial Cyr"/>
        <charset val="204"/>
      </rPr>
      <t xml:space="preserve"> (Информация </t>
    </r>
    <r>
      <rPr>
        <b/>
        <i/>
        <sz val="10"/>
        <rFont val="Arial Cyr"/>
        <charset val="204"/>
      </rPr>
      <t>Sav</t>
    </r>
    <r>
      <rPr>
        <i/>
        <sz val="10"/>
        <rFont val="Arial Cyr"/>
        <charset val="204"/>
      </rPr>
      <t xml:space="preserve">, </t>
    </r>
    <r>
      <rPr>
        <i/>
        <u/>
        <sz val="10"/>
        <color rgb="FF0033CC"/>
        <rFont val="Arial Cyr"/>
        <charset val="204"/>
      </rPr>
      <t>forum.df2.ru</t>
    </r>
    <r>
      <rPr>
        <i/>
        <sz val="10"/>
        <rFont val="Arial Cyr"/>
        <charset val="204"/>
      </rPr>
      <t>)</t>
    </r>
    <r>
      <rPr>
        <sz val="10"/>
        <rFont val="Arial Cyr"/>
        <charset val="204"/>
      </rPr>
      <t>.</t>
    </r>
  </si>
  <si>
    <r>
      <rPr>
        <b/>
        <sz val="10"/>
        <rFont val="Arial Cyr"/>
        <charset val="204"/>
      </rPr>
      <t xml:space="preserve">     6.</t>
    </r>
    <r>
      <rPr>
        <sz val="10"/>
        <rFont val="Arial Cyr"/>
        <charset val="204"/>
      </rPr>
      <t>Число существ в отряде определяется случайным образом - в пределах разброса значений (приведены в таблице). Оно может быть только чётным. Вероятность выпадения любого значения в пределах разброса для каждого существа одинакова.</t>
    </r>
  </si>
  <si>
    <r>
      <rPr>
        <b/>
        <sz val="10"/>
        <rFont val="Arial Cyr"/>
        <charset val="204"/>
      </rPr>
      <t xml:space="preserve">     7.</t>
    </r>
    <r>
      <rPr>
        <sz val="10"/>
        <rFont val="Arial Cyr"/>
        <charset val="204"/>
      </rPr>
      <t>В момент генерации "Месяца существа", "Неделя существа" не генерируется.</t>
    </r>
  </si>
  <si>
    <r>
      <rPr>
        <b/>
        <sz val="10"/>
        <rFont val="Arial Cyr"/>
        <charset val="204"/>
      </rPr>
      <t xml:space="preserve">     8.</t>
    </r>
    <r>
      <rPr>
        <sz val="10"/>
        <rFont val="Arial Cyr"/>
        <charset val="204"/>
      </rPr>
      <t xml:space="preserve">В обучении не генерируются месяцы городских существ и месяцы чумы </t>
    </r>
    <r>
      <rPr>
        <i/>
        <sz val="10"/>
        <rFont val="Arial Cyr"/>
        <charset val="204"/>
      </rPr>
      <t xml:space="preserve">(Информация </t>
    </r>
    <r>
      <rPr>
        <b/>
        <i/>
        <sz val="10"/>
        <rFont val="Arial Cyr"/>
        <charset val="204"/>
      </rPr>
      <t>Sav</t>
    </r>
    <r>
      <rPr>
        <i/>
        <sz val="10"/>
        <rFont val="Arial Cyr"/>
        <charset val="204"/>
      </rPr>
      <t xml:space="preserve">, </t>
    </r>
    <r>
      <rPr>
        <i/>
        <u/>
        <sz val="10"/>
        <color rgb="FF0033CC"/>
        <rFont val="Arial Cyr"/>
        <charset val="204"/>
      </rPr>
      <t>forum.df2.ru</t>
    </r>
    <r>
      <rPr>
        <i/>
        <sz val="10"/>
        <rFont val="Arial Cyr"/>
        <charset val="204"/>
      </rPr>
      <t>)</t>
    </r>
    <r>
      <rPr>
        <sz val="10"/>
        <rFont val="Arial Cyr"/>
        <charset val="204"/>
      </rPr>
      <t>.</t>
    </r>
  </si>
  <si>
    <t xml:space="preserve">     Существует 4 основных класса артефактов (указаны в порядке увеличения ценности):</t>
  </si>
  <si>
    <t xml:space="preserve">     Получить артефакты можно просто подобрав их на карте приключений. Кроме этого артефакты можно покупать и/или продавать при посещении определённых объектов.</t>
  </si>
  <si>
    <t xml:space="preserve">     Единственным объектом на карте, в котором можно торговать артефактами - это Чёрный рынок. Также подобными свойствами обладают городской Торговец артефактами.</t>
  </si>
  <si>
    <r>
      <t xml:space="preserve">     ЧЁРНЫЙ РЫНОК - </t>
    </r>
    <r>
      <rPr>
        <sz val="10"/>
        <rFont val="Arial"/>
        <family val="2"/>
        <charset val="204"/>
      </rPr>
      <t>именно сюда стекаются все лучшие товары со всего света.</t>
    </r>
  </si>
  <si>
    <t xml:space="preserve">     Чёрный рынок предлагает героям ассортимент из 7 случайных артефактов по особой цене - в 2,5 раза выше базовой стоимости. Ассортимент рынка не меняется в течение игры, генерируется в начале игры, а на месте купленных артефактов остаются пустые слоты. На Чёрном рынке не могут продаваться артефакты-Реликты, Свитки с заклинаниями, боевые машины, Грааль и Книги магии.</t>
  </si>
  <si>
    <t xml:space="preserve">     Максимум на карте приключений может быть 32 Чёрных рынка.</t>
  </si>
  <si>
    <r>
      <t xml:space="preserve">     ТОРГОВЕЦ АРТЕФАКТАМИ - </t>
    </r>
    <r>
      <rPr>
        <sz val="10"/>
        <rFont val="Arial"/>
        <family val="2"/>
        <charset val="204"/>
      </rPr>
      <t>городское строение, предлагающее артефакты на продажу.</t>
    </r>
  </si>
  <si>
    <t xml:space="preserve">     Торговца артефактами можно построить только в Башне, Темнице и Сопряжении.</t>
  </si>
  <si>
    <r>
      <t xml:space="preserve">     В начале разных месяцев, мы имеем разные наборы артефактов, которые остаются неизменными в течение этого месяца, если не одно НО…
При активном поведении компьютерных героев, при одинаковом их местоположении выпадает один и тот же месяц, которому соответствует один и тот же набор артефактов у Торговцев. К тому же список наборов весьма ограничен и зависит от нашей возможности манипулировать поведением компьютерных героев. Замечено, что при отсутствии активных компьютерных героев на карте приключений, количество видов выпадаемых месяцев практически не ограничено, и, что самое главное, набор артефактов при выпадении одного и того же месяца может меняться.
Т.е.нужно добиться того, чтобы герои компьютера отсутствовали на карте приключений, пусть даже и на время (сидели «запертыми» нашим героем в гарнизоне замка). Наем компьютером нового героя при передаче тому хода считается активным действием. Запираем всех героев компьютера в гарнизоне замков и ловим удачу. Также замечено, что некоторые артефакты из указанных классов не появляются к началу данного месяца у Торговцев вовсе                       </t>
    </r>
    <r>
      <rPr>
        <i/>
        <sz val="10"/>
        <rFont val="Arial"/>
        <family val="2"/>
        <charset val="204"/>
      </rPr>
      <t xml:space="preserve">(Добавил </t>
    </r>
    <r>
      <rPr>
        <b/>
        <i/>
        <sz val="10"/>
        <rFont val="Arial"/>
        <family val="2"/>
        <charset val="204"/>
      </rPr>
      <t>DmitriyAS</t>
    </r>
    <r>
      <rPr>
        <i/>
        <sz val="10"/>
        <rFont val="Arial"/>
        <family val="2"/>
        <charset val="204"/>
      </rPr>
      <t xml:space="preserve">, </t>
    </r>
    <r>
      <rPr>
        <i/>
        <u/>
        <sz val="10"/>
        <color rgb="FF0033CC"/>
        <rFont val="Arial"/>
        <family val="2"/>
        <charset val="204"/>
      </rPr>
      <t>heroesportal.net</t>
    </r>
    <r>
      <rPr>
        <i/>
        <sz val="10"/>
        <rFont val="Arial"/>
        <family val="2"/>
        <charset val="204"/>
      </rPr>
      <t>).</t>
    </r>
  </si>
  <si>
    <t xml:space="preserve">     Курс покупки и продажи артефактов у Торговцев улучшается с увеличением количества Рынков в контролируемых игроком городах, но не зависит от количества Торговцев артефактами. С увеличением количества Рынков цена продажи снижается и достигает своего возможного минимума при девяти отстроенных Рынках. В этом случае она составляет 1/3 от начальной цены (но все равно выше базовой стоимости).</t>
  </si>
  <si>
    <t xml:space="preserve">     Для того чтобы купить или продать артефакты за другие ресурсы, помимо золота, нужно поделить полученную стоимость на 250 - для ртути, серы, кристаллов или самоцветов; на 125 - для древесины или руды.</t>
  </si>
  <si>
    <t xml:space="preserve">     Невозможно продать Торговцам артефактами: Баллисту, Палатку первой помощи, Катапульту, Подводу с боеприпасами, Книгу магии, а также любой артефакт, находящийся в слоте "Разное 5" (левый нижний).</t>
  </si>
  <si>
    <r>
      <rPr>
        <b/>
        <sz val="10"/>
        <rFont val="Arial"/>
        <family val="2"/>
        <charset val="204"/>
      </rPr>
      <t xml:space="preserve">     Внимание!</t>
    </r>
    <r>
      <rPr>
        <sz val="10"/>
        <rFont val="Arial"/>
        <family val="2"/>
        <charset val="204"/>
      </rPr>
      <t xml:space="preserve"> Получение вторичного навыка у Учёного вне "Дерева навыков" нарушает его последовательность.</t>
    </r>
  </si>
  <si>
    <r>
      <rPr>
        <b/>
        <sz val="10"/>
        <rFont val="Arial"/>
        <family val="2"/>
        <charset val="204"/>
      </rPr>
      <t xml:space="preserve">     Внимание!</t>
    </r>
    <r>
      <rPr>
        <sz val="10"/>
        <rFont val="Arial"/>
        <family val="2"/>
        <charset val="204"/>
      </rPr>
      <t xml:space="preserve"> Если герой получает навык у Учёного, который в обычных условиях он получить не может (например Магия воды у варваров), то шанс улучшить его при повышении уровня устанавливается на минимально возможное значение, т.е. 1%.</t>
    </r>
  </si>
  <si>
    <r>
      <t xml:space="preserve">     На случайных картах в Хижине ведьмы не могут появиться следующие вторичные навыки: Доспехи, Артиллерия, Магия земли, Первая помощь, Интеллект, Обучение, Навигация, Чародейство, Нападение, Сопротивление, Грамотность, Волшебство, Тактика и Магия воды </t>
    </r>
    <r>
      <rPr>
        <i/>
        <sz val="10"/>
        <rFont val="Arial"/>
        <family val="2"/>
        <charset val="204"/>
      </rPr>
      <t xml:space="preserve">(Предоставил </t>
    </r>
    <r>
      <rPr>
        <b/>
        <i/>
        <sz val="10"/>
        <rFont val="Arial"/>
        <family val="2"/>
        <charset val="204"/>
      </rPr>
      <t>SAG19330184</t>
    </r>
    <r>
      <rPr>
        <i/>
        <sz val="10"/>
        <rFont val="Arial"/>
        <family val="2"/>
        <charset val="204"/>
      </rPr>
      <t xml:space="preserve">, </t>
    </r>
    <r>
      <rPr>
        <i/>
        <u/>
        <sz val="10"/>
        <color rgb="FF0033CC"/>
        <rFont val="Arial"/>
        <family val="2"/>
        <charset val="204"/>
      </rPr>
      <t>forum.df2.ru</t>
    </r>
    <r>
      <rPr>
        <i/>
        <sz val="10"/>
        <rFont val="Arial"/>
        <family val="2"/>
        <charset val="204"/>
      </rPr>
      <t>)</t>
    </r>
    <r>
      <rPr>
        <sz val="10"/>
        <rFont val="Arial"/>
        <family val="2"/>
        <charset val="204"/>
      </rPr>
      <t>.</t>
    </r>
  </si>
  <si>
    <r>
      <rPr>
        <b/>
        <sz val="10"/>
        <rFont val="Arial"/>
        <family val="2"/>
        <charset val="204"/>
      </rPr>
      <t xml:space="preserve">     Внимание!</t>
    </r>
    <r>
      <rPr>
        <sz val="10"/>
        <rFont val="Arial"/>
        <family val="2"/>
        <charset val="204"/>
      </rPr>
      <t xml:space="preserve"> Если герой получает навык в Хижине ведьмы, который в обычных условиях он получить не может (например Магия воды у варваров), то шанс улучшить его при повышении уровня устанавливается на минимально возможное значение, т.е. 1%.</t>
    </r>
  </si>
  <si>
    <r>
      <rPr>
        <b/>
        <sz val="10"/>
        <rFont val="Arial"/>
        <family val="2"/>
        <charset val="204"/>
      </rPr>
      <t xml:space="preserve">     Внимание!</t>
    </r>
    <r>
      <rPr>
        <sz val="10"/>
        <rFont val="Arial"/>
        <family val="2"/>
        <charset val="204"/>
      </rPr>
      <t xml:space="preserve"> На Хижину ведьмы не распространяются классовые возможности изучения определённых вторичных навыков, т.е.герой любого класса может получить любой вторичный навык. Например, кто угодно может получить Чародейство, Ведьмы могут получить Сопротивление, Варвары - Магию воды, Боевые маги - Навигацию и т.д.</t>
    </r>
  </si>
  <si>
    <r>
      <rPr>
        <b/>
        <sz val="10"/>
        <rFont val="Arial"/>
        <family val="2"/>
        <charset val="204"/>
      </rPr>
      <t xml:space="preserve">     Внимание!</t>
    </r>
    <r>
      <rPr>
        <sz val="10"/>
        <rFont val="Arial"/>
        <family val="2"/>
        <charset val="204"/>
      </rPr>
      <t xml:space="preserve"> Получение вторичного навыка в Хижине ведьмы вне "Дерева навыков" нарушает его последовательность.</t>
    </r>
  </si>
  <si>
    <t xml:space="preserve">     ЖИЛИЩА СУЩЕСТВ.</t>
  </si>
  <si>
    <t xml:space="preserve">     Чтобы взять под контроль, не принадлежащее игроку жилище существ, ему достаточно просто посетить его одним из своих героев (для жилищ существ 1...4 уровней), либо победить охрану из существ этого жилища (для жилищ существ 5...7 уровней), состоящую из тройного базового прироста этих существ. В начале каждой недели в каждом жилище появляется базовый прирост существ и охрана. Т.е. если враг захватил жилище существ 7 уровня, то вы можете перезахватить его без боя до конца недели. Все существа в жилищах, кроме существ 1 уровня, присоединяются к герою по обычной цене, а существа 1 уровня - бесплатно. В общем случае, базовый прирост для каждого из уровней равен: </t>
  </si>
  <si>
    <t xml:space="preserve">     Если у игрока есть внешнее жилище существ, то прирост этих существ во всех его городах того же типа увеличивается на 1. На этот дополнительный прирост не распространяется бонус Цитадели, Замка, бонус Статуи легиона, однако распространяется бонус Храма Грааля - +50% (округление вниз).</t>
  </si>
  <si>
    <t xml:space="preserve">     ЛАГЕРЬ БЕЖЕНЦЕВ.</t>
  </si>
  <si>
    <t xml:space="preserve">     Герой может нанять базовый прирост случайных существ. Тип наёмников меняется в начале каждой недели.</t>
  </si>
  <si>
    <t xml:space="preserve">     В Лагере беженцев не могут появиться: Снайперы, Чародеи, Лазурные драконы, Ржавые драконы, Кристаллические драконы и Сказочные драконы.</t>
  </si>
  <si>
    <t xml:space="preserve">     ФОРТ НА ХОЛМЕ.</t>
  </si>
  <si>
    <t xml:space="preserve">     Герой может улучшить имеющихся у него существ по особым ценам, зависящим от их уровня:</t>
  </si>
  <si>
    <t xml:space="preserve">     При генерации случайной карты Форт на холме может появиться только на Грязи и Траве.</t>
  </si>
  <si>
    <t xml:space="preserve">     КОНЮШНЯ.</t>
  </si>
  <si>
    <t xml:space="preserve">     Герой получает 400 очков движения (МР) до конца недели и Кавалеристы в его армии бесплатно автоматически улучшаются до Чемпионов.</t>
  </si>
  <si>
    <t xml:space="preserve">     КОНСЕРВАТОРИЯ ГРИФОНОВ.</t>
  </si>
  <si>
    <t xml:space="preserve">     Существуют 4 типа Консерваторий грифонов:</t>
  </si>
  <si>
    <t xml:space="preserve">     В любом типе Консерватории грифонов существует 50% вероятность, что вместо одного отряда Грифонов появится отряд Королевских грифонов в том же количестве.</t>
  </si>
  <si>
    <t xml:space="preserve">     УЛЕЙ ЗМИЕВ.</t>
  </si>
  <si>
    <t xml:space="preserve">     Существуют 4 типа Ульев змиев:</t>
  </si>
  <si>
    <t xml:space="preserve">     СОПРЯЖЕНИЕ.</t>
  </si>
  <si>
    <t xml:space="preserve">     Охрана: 12 Элементалей земли (аналогично жилищу Элементалей земли - Алтарю земли).</t>
  </si>
  <si>
    <t xml:space="preserve">     Сопряжение позволяет герою нанимать Элементалей воздуха, воды, огня и земли.</t>
  </si>
  <si>
    <t xml:space="preserve">     Также Сопряжение увеличивает прирост Элементалей воздуха и Штормовых элементалей на 1 во всех городах владельца.</t>
  </si>
  <si>
    <t xml:space="preserve">     ФАБРИКА ГОЛЕМОВ.</t>
  </si>
  <si>
    <t xml:space="preserve">     Охрана: 9 Золотых големов, 6 Алмазных големов (аналогично захвату жилищ).</t>
  </si>
  <si>
    <t xml:space="preserve">     Фабрика големов позволяет герою нанимать Каменных, Стальных, Золотых и Алмазных големов.</t>
  </si>
  <si>
    <t xml:space="preserve">     Также Фабрика големов увеличивает прирост Каменных и Стальных големов на 1 во всех городах владельца.</t>
  </si>
  <si>
    <t xml:space="preserve">     ПОРТАЛ ВЫЗОВА.</t>
  </si>
  <si>
    <t xml:space="preserve">     Портал вызова можно построить только в Темнице.</t>
  </si>
  <si>
    <t xml:space="preserve">     1 раз в неделю позволяет призывать существ одного из принадлежащих игроку внешних жилищ (определяется случайным образом для каждой недели). Однако если у игрока всего 1 внешнее жилище, то в Портале вызова появятся существа именно из него! При этом, даже будучи выкупленными через портал, существа остаются доступными и при посещении этого жилища на карте. Другими словами, Портал вызова создает для игрока из ниоткуда войско, равное недельному приросту существ.</t>
  </si>
  <si>
    <r>
      <t xml:space="preserve">     Внимание! </t>
    </r>
    <r>
      <rPr>
        <sz val="10"/>
        <rFont val="Arial"/>
        <family val="2"/>
        <charset val="204"/>
      </rPr>
      <t>Описанная выше схема работы Древа знаний корректно работает лишь до 75 уровня героя. После 75 уровня Древо знаний однократно увеличивает опыт героя на 1 777 278 601 очко и опыт уходит в отрицательные значения, при этом не имеет значения текущий опыт героя (он может лежать в интервале от 1810034207 до 2147483647). Дальнейшее посещение Деревьев знаний неэффективно, т.к. прирост опыта составляет 105 очков.</t>
    </r>
  </si>
  <si>
    <t xml:space="preserve">     На количество опыта, полученное посредством обмена существ на Алтаре жертвоприношений, также влияет навык Обучение. Обладая им, герой получает на 5, 10 или 15% опыта больше, в зависимости от уровня развития навыка.</t>
  </si>
  <si>
    <t xml:space="preserve">     Отдав Крестьян на Алтаре жертвоприношений герой не получит опыта. Здесь всё дело в заложенном разработчиками механизме расчета. Опыт, полученный героем, зависит от количества здоровья существа, которого оставляют на алтаре (не только от этого, конечно, но - в немалой степени). У Крестьянина запас здоровья равен 1, и при расчете количества опыта, каждое отдельно взятое существо учитывается отдельно, а потом суммируется опыт, который можно получить от всей армии. За каждого Крестьянина начисляют опыта меньше единицы и компьютер округляет его до нуля. Потом суммирует эти нули. Так что, хоть легион Крестьян положи – суммарный опыт будет равен нулю.</t>
  </si>
  <si>
    <t xml:space="preserve">     Далее приведены типы магических ландшафтов, влияющих на удачу и/или мораль героя. Следует помнить, что такие ландшафты в игре накладываются поверх основного типа земли, свойства которой не прекращают своего действия при нахождении героя на любом магическом ландшафте.</t>
  </si>
  <si>
    <t xml:space="preserve">     Далее приведены объекты, в которых можно получить артефакты или ресурсы, но лишь однажды. После получения награды такой объект становится "разграбленным". При посещении "разграбленного" объекта любым героем, его удача или боевой дух могут быть понижены. Посещение Могилы воина всегда снижает боевой дух, независимо от того, "разграблена" она или нет. Если герой уже имеет штраф от посещения "разграбленного" объекта, то при повторном посещении этого же или подобного "разграбленного" объекта он не получит ещё один штраф.</t>
  </si>
  <si>
    <r>
      <rPr>
        <b/>
        <sz val="10"/>
        <color indexed="8"/>
        <rFont val="Arial"/>
        <family val="2"/>
        <charset val="204"/>
      </rPr>
      <t xml:space="preserve">     Это интересно! </t>
    </r>
    <r>
      <rPr>
        <sz val="10"/>
        <color indexed="8"/>
        <rFont val="Arial"/>
        <family val="2"/>
        <charset val="204"/>
      </rPr>
      <t xml:space="preserve">Вы набрали в армию существ из пяти типов городов, включая нежить, а у героя нет ни Лидерства, ни артефактов? Тогда Вам просто необходимо посетить пару-тройку объектов, повышающих боевой дух и принять бой на своей территории, да и увеличение скорости и удачи совсем не повредит. Впрочем, если хотите дать сопернику фору, для этого тоже найдется пара-тройка способов. Бонусы (и штрафы) удачи и боевого духа, полученные при посещении объектов на карте, действуют до следующей битвы. Повторное посещение объектов, улучшающих/ухудшающих боевой дух и/или удачу не принесет эффекта, если у героя на момент посещения такой бонус/штраф уже есть. В случае с объектами, которые помимо повышения боевого духа дают некоторое количество очков движения (МР), то бонус движения после битвы не теряется, - теряется только бонус боевого духа. </t>
    </r>
    <r>
      <rPr>
        <b/>
        <sz val="10"/>
        <color indexed="8"/>
        <rFont val="Arial"/>
        <family val="2"/>
        <charset val="204"/>
      </rPr>
      <t xml:space="preserve">Это дает возможность посетить такие объекты несколько раз в день и получить при этом бонус движения (МР) за каждое посещение. </t>
    </r>
  </si>
  <si>
    <t xml:space="preserve">     Далее приведены объекты, позволяющие пополнить герою запас маны.</t>
  </si>
  <si>
    <t xml:space="preserve">     ФАБРИКА ВОЕННОЙ ТЕХНИКИ.</t>
  </si>
  <si>
    <t xml:space="preserve">     При посещении Фабрики военной техники герой может купить любую боевую машину: Баллиста - за 2500 золота; Палатка первой помощи - за 750 золота; Тележка с боеприпасами - за 1000 золота.</t>
  </si>
  <si>
    <t xml:space="preserve">     ВРАТА ПОДЗЕМНОГО МИРА.</t>
  </si>
  <si>
    <t xml:space="preserve">     Если герой посещает Врата подземного мира на поверхности, то они мгновенно переносят его к другим Вратам в подземелье, ближайшим к посещённым. Если герой посещает Врата подземного мира в подземелье, то они мгновенно переносят его к другим Вратам на поверхности, ближайшим к посещенным. Если ближайшие врата перекрыты героем, то происходит контакт (обмен или сражение). Если вторых Врат подземного мира нет, то проход окажется завален щебнем и использовать их будет нельзя.</t>
  </si>
  <si>
    <t xml:space="preserve">     МОНОЛИТ ВХОДА.</t>
  </si>
  <si>
    <t xml:space="preserve">     После посещения Монолита входа герой мгновенно переносится к соответствующему ему Монолиту выхода. Если выход из Монолита перекрыт вражеским героем, то начнётся сражение, а если дружественным – войти в Монолит будет нельзя. Войти обратно в Монолит выхода нельзя. Виды Монолитов входа приведены на картинке справа (1 и 3 столбцы).</t>
  </si>
  <si>
    <t xml:space="preserve">     Если вражеский герой, на открытой для Вас земле, войдёт в Монолит входа, то «камера» покажет Вам, где находится выход из него, даже если он скрыт Террой Инкогнито.</t>
  </si>
  <si>
    <t xml:space="preserve">     МОНОЛИТ ВЫХОДА.</t>
  </si>
  <si>
    <t xml:space="preserve">     ДВУСТОРОННИЙ МОНОЛИТ.</t>
  </si>
  <si>
    <t xml:space="preserve">     После посещения Двустороннего монолита герой мгновенно переносится в другому такому же монолиту. Если одинаковых монолитов на карте несколько, то конечный выбирается случайно при каждом посещении. Двусторонний монолит используется как для входа, так и для выхода. Если выход из Монолита перекрыт вражеским героем, то начнётся сражение, а если дружественным – войти в Монолит будет нельзя.</t>
  </si>
  <si>
    <t xml:space="preserve">     Если вражеский герой, на открытой для Вас земле, войдёт в Монолит, то «камера» покажет Вам, где находится выход из него, даже если он скрыт Террой Инкогнито.</t>
  </si>
  <si>
    <t xml:space="preserve">     ВУАЛЬ ТЬМЫ.</t>
  </si>
  <si>
    <t xml:space="preserve">     Посещение Вуали тьмы закрывает для противников открытую землю террой инкогнито в радиусе 20 клеток вокруг. Аналогично работает Вуаль тьмы в Некрополисе, ежедневно закрывая область вокруг города в радиусе 20 клеток.</t>
  </si>
  <si>
    <t xml:space="preserve">     ОБСЕРВАТОРИЯ КРАСНОГО ДЕРЕВА.</t>
  </si>
  <si>
    <t xml:space="preserve">     После посещения Обсерватории красного дерева вокруг героя мгновенно открывается терра инкогнито в радиусе 20 клеток. На случайных картах Обсерватория генерируется только на поверхности.</t>
  </si>
  <si>
    <t xml:space="preserve">     ОГНЕННЫЙ СТОЛП.</t>
  </si>
  <si>
    <t xml:space="preserve">     После посещения Огненного столпа вокруг героя мгновенно открывается терра инкогнито в радиусе 20 клеток. На случайных картах Огненный столп генерируется только в подземелье.</t>
  </si>
  <si>
    <t xml:space="preserve">     ГИЛЬДИЯ ВОРОВ.</t>
  </si>
  <si>
    <t xml:space="preserve">     ХИЖИНА МАГА.</t>
  </si>
  <si>
    <t xml:space="preserve">     После посещения Хижины мага вокруг всех Глаз мага на карте приключений мгновенно открывается терра инкогнито в радиусе 20 клеток. Если имеется несколько Глаз мага на карте, то они показываются игроку по очереди.</t>
  </si>
  <si>
    <t xml:space="preserve">     ГЛАЗ МАГА.</t>
  </si>
  <si>
    <t xml:space="preserve">     При посещении Глаза мага ничего не происходит. Он предназначен для открытия терры инкогнито при посещении героями Хижины мага.</t>
  </si>
  <si>
    <t xml:space="preserve">     КАРТОГРАФ.</t>
  </si>
  <si>
    <t xml:space="preserve">     Картограф за 1000 золота открывает для игрока всю подконтрольную ему территорию. Существует 3 вида Картографов на карте:</t>
  </si>
  <si>
    <t xml:space="preserve">     ГАРНИЗОН.</t>
  </si>
  <si>
    <t xml:space="preserve">     Гарнизоны обычно перекрывают узкие проходы и преграждают героям путь. Автором карты может быть назначена охрана Гарнизона, победив которую можно будет свободно перемещаться мимо него и даже оставлять свою охрану для защиты прохода от вражеских героев.</t>
  </si>
  <si>
    <t xml:space="preserve">     Кроме того Гарнизон может изначально принадлежать одному из игроков и содержать существ, которых можно будет взять, прибыв сюда героем. В настройках Гарнизона можно поставить "неудаляемых солдат". В таком случае оставленные в Гарнизоне войска нельзя будет взять обратно в армию.</t>
  </si>
  <si>
    <t xml:space="preserve">     Если вражеский герой атакует ваш Гарнизон, то вы будете управлять его защитниками.</t>
  </si>
  <si>
    <t xml:space="preserve">     ГАРНИЗОН АНТИМАГИИ.</t>
  </si>
  <si>
    <t xml:space="preserve">     Помимо обычных Гарнизонов существуют Гарнизоны антимагии, с аналогичными возможностями. Отличие таких гарнизонов состоит в том, что при их захвате нельзя использовать заклинания и большинство магических способностей существ.</t>
  </si>
  <si>
    <t xml:space="preserve">     СТРАЖ ГРАНИЦЫ.</t>
  </si>
  <si>
    <t xml:space="preserve">     Страж границы обычно блокирует узкий проход для героев. Стражи границы различаются по цвету: голубой, зелёный, красный, синий, коричневый, фиолетовый, белый и чёрный. Чтобы пройти через Стража границы нужно предварительно посетить Палатку ключника соответствующего цвета. После этого можно пройти через Стража границы, который, получив ключ, исчезает открывая проход.</t>
  </si>
  <si>
    <t xml:space="preserve">     ПОГРАНИЧНЫЕ ВОРОТА.</t>
  </si>
  <si>
    <t xml:space="preserve">     ПАЛАТКА КЛЮЧНИКА.</t>
  </si>
  <si>
    <t xml:space="preserve">     После посещения Палатки ключника определённого цвета, герой получает возможность миновать Стражей границы и Пограничные ворота аналогичного цвета.</t>
  </si>
  <si>
    <t xml:space="preserve">     СТРАЖ ПРОХОДА.</t>
  </si>
  <si>
    <t xml:space="preserve">     Страж прохода, как и Страж границы, обычно блокирует узкий проход для героев. Однако, чтобы открыть герою путь он требует не ключ, а выполнение его задания. Задание выбирается случайно или устанавливается автором карты. После выполнения задания можно пройти через Стража прохода, который исчезает открывая путь. Далее приведены типы заданий Стража прохода:</t>
  </si>
  <si>
    <t xml:space="preserve">     ТЮРЬМА.</t>
  </si>
  <si>
    <r>
      <t xml:space="preserve">     Посетив Тюрьму можно освободить заточённого в ней героя. Он может иметь любые навыки, заклинания и армию. После освобождения Тюрьма исчезает, а герой остаётся на клетке входа в Тюрьму под контролем игрока, освободившего его. Если у игрока уже есть 8 героев на карте, то при посещении Тюрьмы ничего не произойдет. Герой-узник определяется либо картостроителем, либо случайным образом компьютером. В последнем случае герой-узник при освобождении имеет обычную начальную армию, как если бы был куплен в Таверне</t>
    </r>
    <r>
      <rPr>
        <i/>
        <sz val="10"/>
        <rFont val="Arial"/>
        <family val="2"/>
        <charset val="204"/>
      </rPr>
      <t xml:space="preserve"> (Информация </t>
    </r>
    <r>
      <rPr>
        <b/>
        <i/>
        <sz val="10"/>
        <rFont val="Arial"/>
        <family val="2"/>
        <charset val="204"/>
      </rPr>
      <t>Typucm</t>
    </r>
    <r>
      <rPr>
        <i/>
        <sz val="10"/>
        <rFont val="Arial"/>
        <family val="2"/>
        <charset val="204"/>
      </rPr>
      <t xml:space="preserve">, </t>
    </r>
    <r>
      <rPr>
        <i/>
        <u/>
        <sz val="10"/>
        <color rgb="FF0033CC"/>
        <rFont val="Arial"/>
        <family val="2"/>
        <charset val="204"/>
      </rPr>
      <t>forums.ag.ru</t>
    </r>
    <r>
      <rPr>
        <i/>
        <sz val="10"/>
        <rFont val="Arial"/>
        <family val="2"/>
        <charset val="204"/>
      </rPr>
      <t>)</t>
    </r>
    <r>
      <rPr>
        <sz val="10"/>
        <rFont val="Arial"/>
        <family val="2"/>
        <charset val="204"/>
      </rPr>
      <t>.</t>
    </r>
  </si>
  <si>
    <t xml:space="preserve">     СВЯТИЛИЩЕ.</t>
  </si>
  <si>
    <t xml:space="preserve">     До тех пор пока герой находится в Святилище, на него не может напасть никакой вражеский герой. Однако с ним могут вступать в контакт дружественные герои.</t>
  </si>
  <si>
    <t xml:space="preserve">     ХИЖИНА ПРОВИДЦА.</t>
  </si>
  <si>
    <t xml:space="preserve">     Как и Страж прохода, в Хижине провидца можно получить задание. Типы заданий в Хижине и у Стража совпадают, но в отличие от Стража прохода, Хижина провидца обычно не перекрывает проход, а за выполнение задания может быть назначена награда:</t>
  </si>
  <si>
    <t xml:space="preserve">     ТАВЕРНА.</t>
  </si>
  <si>
    <r>
      <t xml:space="preserve">     Свойства Таверны на карте приключений аналогичны городской Таверне. Тут можно нанять новых героев, почитать слухи и посетить Гильдию воров. Нанятый герой появится на клетке входа в Таверну, но не сможет посетить её не сходя с места при помощи пробела </t>
    </r>
    <r>
      <rPr>
        <i/>
        <sz val="10"/>
        <rFont val="Arial"/>
        <family val="2"/>
        <charset val="204"/>
      </rPr>
      <t xml:space="preserve">(Информация </t>
    </r>
    <r>
      <rPr>
        <b/>
        <i/>
        <sz val="10"/>
        <rFont val="Arial"/>
        <family val="2"/>
        <charset val="204"/>
      </rPr>
      <t>Typucm</t>
    </r>
    <r>
      <rPr>
        <i/>
        <sz val="10"/>
        <rFont val="Arial"/>
        <family val="2"/>
        <charset val="204"/>
      </rPr>
      <t xml:space="preserve">, </t>
    </r>
    <r>
      <rPr>
        <i/>
        <u/>
        <sz val="10"/>
        <color rgb="FF0033CC"/>
        <rFont val="Arial"/>
        <family val="2"/>
        <charset val="204"/>
      </rPr>
      <t>forums.ag.ru</t>
    </r>
    <r>
      <rPr>
        <i/>
        <sz val="10"/>
        <rFont val="Arial"/>
        <family val="2"/>
        <charset val="204"/>
      </rPr>
      <t>)</t>
    </r>
    <r>
      <rPr>
        <sz val="10"/>
        <rFont val="Arial"/>
        <family val="2"/>
        <charset val="204"/>
      </rPr>
      <t>.</t>
    </r>
  </si>
  <si>
    <t xml:space="preserve">     ВЕРФЬ.</t>
  </si>
  <si>
    <r>
      <t xml:space="preserve">     Верфь должна находиться рядом с водой, чтобы она работала. Посетив её, герой воздвигает над ней свой флаг и может за 1000 золота и 10 древесины построить корабль, который появиться на воде рядом с Верфью. Если Верфь уже принадлежит игроку или его союзнику, то он может построить корабль в любое время, не посещая её героем, по левому клику на ней. Если корабль уже построен, то нельзя построить ещё один, пока первый не отплывёт </t>
    </r>
    <r>
      <rPr>
        <i/>
        <sz val="10"/>
        <rFont val="Arial"/>
        <family val="2"/>
        <charset val="204"/>
      </rPr>
      <t xml:space="preserve">(Добавил </t>
    </r>
    <r>
      <rPr>
        <b/>
        <i/>
        <sz val="10"/>
        <rFont val="Arial"/>
        <family val="2"/>
        <charset val="204"/>
      </rPr>
      <t>ThatOne</t>
    </r>
    <r>
      <rPr>
        <i/>
        <sz val="10"/>
        <rFont val="Arial"/>
        <family val="2"/>
        <charset val="204"/>
      </rPr>
      <t xml:space="preserve">, </t>
    </r>
    <r>
      <rPr>
        <i/>
        <u/>
        <sz val="10"/>
        <color rgb="FF0033CC"/>
        <rFont val="Arial"/>
        <family val="2"/>
        <charset val="204"/>
      </rPr>
      <t>forums.ag.ru</t>
    </r>
    <r>
      <rPr>
        <i/>
        <sz val="10"/>
        <rFont val="Arial"/>
        <family val="2"/>
        <charset val="204"/>
      </rPr>
      <t>)</t>
    </r>
    <r>
      <rPr>
        <sz val="10"/>
        <rFont val="Arial"/>
        <family val="2"/>
        <charset val="204"/>
      </rPr>
      <t>.</t>
    </r>
  </si>
  <si>
    <t xml:space="preserve">     ЗНАК.</t>
  </si>
  <si>
    <t xml:space="preserve">     Автором карты на Знаке может быть написан любой текст.</t>
  </si>
  <si>
    <t xml:space="preserve">     По умолчанию на Знак устанавливается случайная надпись из списка:</t>
  </si>
  <si>
    <t xml:space="preserve">     ОКЕАНСКИЙ БУТЫЛЬ.</t>
  </si>
  <si>
    <t xml:space="preserve">     Автором карты в записке из Океанского бутыля может быть написан любой текст. В отличие от Знака, Океанский бутыль исчезает после прочтения текста.</t>
  </si>
  <si>
    <t xml:space="preserve">     ОБЕЛИСК.</t>
  </si>
  <si>
    <t xml:space="preserve">     Обелиски непосредственно помогают героям найти Грааль. У каждого игрока имеется своя карта-загадка, указывающая месторасположение Грааля, но скрытая паззлом из 48 частей. При посещении каждого обелиска карта-загадка постепенно открывается. Если на карте меньше 48 Обелисков, то каждый обелиск открывает больше частей. Когда все Обелиски на карте приключений будут посещены, карта-загадка окажется полностью открытой, а метка в виде крестика укажет на месторасположение Грааля. При игре с союзником, Обелиски, посещённые им, открывают и Вашу карту-загадку и считаются посещёнными.</t>
  </si>
  <si>
    <t xml:space="preserve">     ВОДОВОРОТ.</t>
  </si>
  <si>
    <t xml:space="preserve">     Водоворот является подобием Двусторонних монолитов, но только на воде. Он переносит героя вместе с кораблём к другому случайному Водовороту на карте приключений. Однако при этом часть воинов героя падает за борт и он теряет половину самого слабого отряда в армии, вплоть до последнего существа в отряде (но не последнего в армии). Таким образом, взяв в армию, например, одного Копейщика можно избежать больших потерь.</t>
  </si>
  <si>
    <t xml:space="preserve">     Артефакт Шляпа морского капитана позволяет преодолевать Водовороты без потерь.</t>
  </si>
  <si>
    <t xml:space="preserve">     РЫНОК ВРЕМЕНИ.</t>
  </si>
  <si>
    <t xml:space="preserve">     Таинственный объект, который планировался в игре, но в финальной версии так и не появился. Однако он остался в некоторых сценариях, например "Зима Титанов" (Titans Winter.h3m [54;102]). При посещении абсолютно ничего не происходит, но предположительно этот объект предназначался для разового увеличения времени хода в многопользовательской игре с лимитом времени на ход.</t>
  </si>
  <si>
    <t xml:space="preserve">     Теперь, согласно вышеперечисленным пунктам, рассмотрим все игровые объекты с карты приключений.</t>
  </si>
  <si>
    <r>
      <t xml:space="preserve">     ** </t>
    </r>
    <r>
      <rPr>
        <sz val="10"/>
        <color indexed="8"/>
        <rFont val="Arial"/>
        <family val="2"/>
        <charset val="204"/>
      </rPr>
      <t xml:space="preserve">В отличие от Духа уныния Проклятая земля нейтрализует и положительную и отрицательную мораль, а также влияет на следующие способности существ:
- Мастер-джинны и Чародеи не используют Случайную магию; Огры-маги не используют Жажду крови.
- </t>
    </r>
    <r>
      <rPr>
        <b/>
        <sz val="10"/>
        <color indexed="8"/>
        <rFont val="Arial"/>
        <family val="2"/>
        <charset val="204"/>
      </rPr>
      <t>Не работает:</t>
    </r>
    <r>
      <rPr>
        <sz val="10"/>
        <color indexed="8"/>
        <rFont val="Arial"/>
        <family val="2"/>
        <charset val="204"/>
      </rPr>
      <t xml:space="preserve"> Удар молнии Птиц грома, Болезнь Зомби, Окаменение василисков и медуз, Слабость Стрекоз, Слепота единорогов, Паралич Скорпикор, Старость Драконов-призраков, Поднятие демонов Адских отродий, Воскрешение Архангелов.
- </t>
    </r>
    <r>
      <rPr>
        <b/>
        <sz val="10"/>
        <color indexed="8"/>
        <rFont val="Arial"/>
        <family val="2"/>
        <charset val="204"/>
      </rPr>
      <t xml:space="preserve">Работает: </t>
    </r>
    <r>
      <rPr>
        <sz val="10"/>
        <color indexed="8"/>
        <rFont val="Arial"/>
        <family val="2"/>
        <charset val="204"/>
      </rPr>
      <t xml:space="preserve">Яд Виверн-монархов, Огненный щит Султанов-ифритов, Проклятие Мумий и Рыцарей смерти, Снятие заклинаний Змиев и Стрекоз, Страх Лазурных драконов.
Немагические способности, вроде Смертельного удара Рыцарей смерти и Оплетения дендроидов также работают.
- Сказочные драконы могут использовать Метеоритный дождь, Кольцо холода, Огненный шар и Инферно, но урон от них не наносится, хотя показывается анимация. Магическая стрела работает без проблем. Другие их заклинания не колдуются, при этом пишется: "Это заклинание не подействует ни на кого!" </t>
    </r>
    <r>
      <rPr>
        <i/>
        <sz val="10"/>
        <color indexed="8"/>
        <rFont val="Arial"/>
        <family val="2"/>
        <charset val="204"/>
      </rPr>
      <t xml:space="preserve">(Предоставил </t>
    </r>
    <r>
      <rPr>
        <b/>
        <i/>
        <sz val="10"/>
        <color indexed="8"/>
        <rFont val="Arial"/>
        <family val="2"/>
        <charset val="204"/>
      </rPr>
      <t>Wight</t>
    </r>
    <r>
      <rPr>
        <i/>
        <sz val="10"/>
        <color indexed="8"/>
        <rFont val="Arial"/>
        <family val="2"/>
        <charset val="204"/>
      </rPr>
      <t xml:space="preserve">, </t>
    </r>
    <r>
      <rPr>
        <i/>
        <u/>
        <sz val="10"/>
        <color rgb="FF0033CC"/>
        <rFont val="Arial"/>
        <family val="2"/>
        <charset val="204"/>
      </rPr>
      <t>heroesportal.net</t>
    </r>
    <r>
      <rPr>
        <i/>
        <sz val="10"/>
        <color indexed="8"/>
        <rFont val="Arial"/>
        <family val="2"/>
        <charset val="204"/>
      </rPr>
      <t>).</t>
    </r>
  </si>
  <si>
    <t xml:space="preserve">     Ландшафты без особых свойств:</t>
  </si>
  <si>
    <t xml:space="preserve">     Существуют несколько типов земли, по которым приходится перемещаться герою, если нет дороги. В зависимости от типа, а также в зависимости от происхождения армии, которой обладает герой, определяется будет ли герой иметь штраф при передвижении по этой земле. В случае, если герой имеет армию, тип почвы для которой является родным, штраф для передвижения у героя отсутствует.</t>
  </si>
  <si>
    <t xml:space="preserve">     Ландшафты, обладающие особыми свойствами:</t>
  </si>
  <si>
    <r>
      <t xml:space="preserve">     Зависимость штрафов и бонусов, которые получает герой при передвижении по местности от типа земли и уровня развития вторичного навыка Поиск пути указана в следующей таблице (указано для случая, когда в армии героя имеются существа, для которых земля не является родной). Для определения дальности перемещения необходимо стартовую величину в MP </t>
    </r>
    <r>
      <rPr>
        <b/>
        <sz val="10"/>
        <color indexed="8"/>
        <rFont val="Arial"/>
        <family val="2"/>
        <charset val="204"/>
      </rPr>
      <t>разделить</t>
    </r>
    <r>
      <rPr>
        <sz val="10"/>
        <color indexed="8"/>
        <rFont val="Arial"/>
        <family val="2"/>
        <charset val="204"/>
      </rPr>
      <t xml:space="preserve"> на коэффициент, указанный в таблице. Очевидно, что имеются типы почвы, которая не несет никаких штрафов при передвижении (k=1), также некоторые снижают длину хода (k&gt;1), а дороги увеличивают длину хода (k&lt;1)</t>
    </r>
  </si>
  <si>
    <r>
      <t xml:space="preserve">     Всего в игре существует </t>
    </r>
    <r>
      <rPr>
        <sz val="10"/>
        <color indexed="10"/>
        <rFont val="Arial"/>
        <family val="2"/>
        <charset val="204"/>
      </rPr>
      <t>141</t>
    </r>
    <r>
      <rPr>
        <sz val="10"/>
        <color indexed="8"/>
        <rFont val="Arial"/>
        <family val="2"/>
        <charset val="204"/>
      </rPr>
      <t xml:space="preserve"> артефакт (некоторые из них являются составной частью одного из </t>
    </r>
    <r>
      <rPr>
        <sz val="10"/>
        <color indexed="10"/>
        <rFont val="Arial"/>
        <family val="2"/>
        <charset val="204"/>
      </rPr>
      <t>12</t>
    </r>
    <r>
      <rPr>
        <sz val="10"/>
        <color indexed="8"/>
        <rFont val="Arial"/>
        <family val="2"/>
        <charset val="204"/>
      </rPr>
      <t xml:space="preserve"> сборных артефактов). Помимо этого насчитывается </t>
    </r>
    <r>
      <rPr>
        <sz val="10"/>
        <color indexed="10"/>
        <rFont val="Arial"/>
        <family val="2"/>
        <charset val="204"/>
      </rPr>
      <t>7</t>
    </r>
    <r>
      <rPr>
        <sz val="10"/>
        <color indexed="8"/>
        <rFont val="Arial"/>
        <family val="2"/>
        <charset val="204"/>
      </rPr>
      <t xml:space="preserve"> специальных артефактов. Все их можно разделить на следующие типы:</t>
    </r>
  </si>
  <si>
    <r>
      <t xml:space="preserve">     Одновременно на себе герой может использовать 14 артефактов: Голова, Шея, 2 кольца, Правая рука, Левая рука, Грудь, Плащ, Ноги, 5 артефактов типа Разное. Плюс к этому 4 типа боевых машин и Книга заклинаний. Неиспользуемые артефакты хранятся в рюкзаке героя, который ограничен </t>
    </r>
    <r>
      <rPr>
        <b/>
        <sz val="10"/>
        <color indexed="8"/>
        <rFont val="Arial"/>
        <family val="2"/>
        <charset val="204"/>
      </rPr>
      <t>64</t>
    </r>
    <r>
      <rPr>
        <sz val="10"/>
        <color indexed="8"/>
        <rFont val="Arial"/>
        <family val="2"/>
        <charset val="204"/>
      </rPr>
      <t xml:space="preserve"> слотами. После заполнения всех слотов рюкзака, герой не сможет подбирать артефакты, а получаемые артефакты будут просто пропадать.</t>
    </r>
  </si>
  <si>
    <r>
      <t xml:space="preserve">     Внимание! </t>
    </r>
    <r>
      <rPr>
        <sz val="10"/>
        <color indexed="8"/>
        <rFont val="Arial"/>
        <family val="2"/>
        <charset val="204"/>
      </rPr>
      <t>Два одинаковых артефакта, одновременно используемые героем, не суммируют свои эффекты, т.е.действует только один. Исключением являются все артефакты, приносящие ресурсы, и 2 Кольца с неподвижным глазом дракона, которые одновременно повышают атаку и защиту героя.</t>
    </r>
  </si>
  <si>
    <t xml:space="preserve">     Далее приведены все артефакты игры, разбитые на условные группы для удобства:</t>
  </si>
  <si>
    <r>
      <t xml:space="preserve">     Внимание!</t>
    </r>
    <r>
      <rPr>
        <sz val="10"/>
        <color indexed="8"/>
        <rFont val="Arial"/>
        <family val="2"/>
        <charset val="204"/>
      </rPr>
      <t xml:space="preserve"> При генерации сохранений, на картах, созданных в редакторе для "Возрождение Эрафии" замечена одна особенность в некорректном отображении сборных артефактов. Сами сборные артефакты в этом редакторе недоступны (они появились только в "Дыхании Смерти"), но существует возможность их размещения - при установке картостроителем случайных артефактов четвертого уровня (Реликт), программа на свое усмотрение может поместить туда и сборные артефакты, хотя графически будут отображены совсем другие. При генерации сохранений, на картах, созданных в редакторе для "Клинка Армагеддона", сборные артефакты никак нельзя установить - только их составные части.</t>
    </r>
  </si>
  <si>
    <t xml:space="preserve">     Далее приведен перечень артефактов, которые игрок видит перед собой во время игры и что под ними на самом деле скрывается. Ящик Пандоры может изначально быть установлен автором карты - в этом случае он проявляет себя по назначению. Однако, если он появляется в результате генерации случайного артефакта, то под ним будет маскироваться Клинок Армагеддона. Отличить эти два момента в игре можно только экспериментальным путём.</t>
  </si>
  <si>
    <t xml:space="preserve">     Использование сборного артефакта ограничивает одновременное использование других артефактов. Далее приведена таблица, по которой можно определить, какие из сборных артефактов герой сможет применить одновременно.</t>
  </si>
  <si>
    <t xml:space="preserve">     Каждый игрок, чтобы повысить свои шансы на победу должен уметь правильно использовать артефакты.</t>
  </si>
  <si>
    <t xml:space="preserve">     Практически все артефакты дают хороший бонус герою, но основная проблема заключается в том, что для каждого типа артефакта у героя имеется лишь 1 слот (кроме Колец и Разного). И часто возникает вопрос: "Какой же артефакт использовать?".</t>
  </si>
  <si>
    <t xml:space="preserve">     Опытные игроки знают как грамотно манипулировать отдельными артефактами и целыми их наборами, чтобы получить максимальную выгоду. В первую очередь все артефакты делятся на 3 категории:</t>
  </si>
  <si>
    <t xml:space="preserve">     Боевые артефакты.</t>
  </si>
  <si>
    <t xml:space="preserve">     Особенности некоторых артефактов:</t>
  </si>
  <si>
    <t xml:space="preserve">     Артефакты-"пижамы".</t>
  </si>
  <si>
    <t xml:space="preserve">     К этой категории относятся те артефакты, которые не нужно постоянно носить героем и использовать в битве. Для получения их бонуса достаточно лишь одеть их на героя перед завершением хода и снять после начала следующего. Конечно такая махинация безопасна только в том случае, когда герою нет угрозы нападения противника во время ночёвки.</t>
  </si>
  <si>
    <t xml:space="preserve">     В эту категорию можно отнести те артефакты, которые герою необходимо иметь на себе, чтобы получать их бонус в течение всего хода. Однако эти артефакты не нужны ни в битве, ни при ночёвке.</t>
  </si>
  <si>
    <t xml:space="preserve">     Артефакты "дневные".</t>
  </si>
  <si>
    <t xml:space="preserve">     Компьютерные герои по разному оценивают те или иные артефакты, и используют те из них, которые, по их мнению, обладают большей ценностью.</t>
  </si>
  <si>
    <t xml:space="preserve">     Далее приведены некоторые таблицы с условной ценностью артефактов разного типа, где 1 - наименьшая ценность.</t>
  </si>
  <si>
    <t xml:space="preserve">     *Если у героя ИИ слот артефакта пустой, то подобрав артефакт этого типа, он помещает его в этот слот, не зависимо от его свойств;</t>
  </si>
  <si>
    <t xml:space="preserve">     *Если у героя ИИ слот артефакта занят артефактом более высокой ценности, чем подбираемый, то новый артефакт помещается в рюкзак;</t>
  </si>
  <si>
    <t xml:space="preserve">     *Если у героя ИИ слот артефакта занят артефактом более низкой ценности, чем подбираемый, то новый артефакт замещает его, а менее ценный перемещается в рюкзак;</t>
  </si>
  <si>
    <t xml:space="preserve">     *Если у героя ИИ слот артефакта занят артефактом такой же ценности, чем подбираемый, то новый артефакт помещается в рюкзак;</t>
  </si>
  <si>
    <t xml:space="preserve">     *Наличие определённых навыков (например Чародейства) повышает ценность артефакта (например Мантии вампира) для героя ИИ.</t>
  </si>
  <si>
    <t xml:space="preserve">     Пункты приоритета условны и получены опытным путём. Исследование продолжается.</t>
  </si>
  <si>
    <t xml:space="preserve">     Единственный объект на карте, который нельзя отнести однозначно в какую-либо группу, потому как Грааль сам по себе не имеет строго фиксированного набора свойств. Они у него зависят только от типа города, в котором он будет установлен. Единственные фиксированные свойства Грааля - после установки он приносит в казну Вашего королевства 5000 золота ежедневно, а также увеличивает на 50% прирост существ в замке, где он установлен. Остальные свойства приведены в таблице.</t>
  </si>
  <si>
    <t xml:space="preserve">     Для того, чтобы отыскать Грааль на карте, необходимо посетить все Обелиски, по мере посещения которых будет постепенно открываться специальная карта-загадка с изображением части ландшафта, где закопан Грааль. Точное местоположение будет отмечено крестиком. Часто бывает так, что крестик становится виден до момента открытия всей карты. В данном случае необходимости посещать оставшиеся Обелиски нет.</t>
  </si>
  <si>
    <r>
      <t xml:space="preserve">     Внимание!</t>
    </r>
    <r>
      <rPr>
        <sz val="10"/>
        <color indexed="8"/>
        <rFont val="Arial"/>
        <family val="2"/>
        <charset val="204"/>
      </rPr>
      <t xml:space="preserve"> В случае участия в offline-турнирах, которые проводятся на игровых ресурсах, правила запрещают откапывать Грааль до момента полного открытия карты, даже если его месторасположение уже известно.</t>
    </r>
  </si>
  <si>
    <r>
      <t xml:space="preserve">     Примечание: </t>
    </r>
    <r>
      <rPr>
        <sz val="10"/>
        <color indexed="8"/>
        <rFont val="Arial"/>
        <family val="2"/>
        <charset val="204"/>
      </rPr>
      <t xml:space="preserve">Здесь нужно сделать одну оговорку, которая достаточно подробно освещена в теме "Задачка от Арха" на HeroesPortal.  Суть оговорки в том, что имеется способ, который позволяет выкопать Грааль в день прибытия путем варьирования максимального уровня MP героя. Подробности: </t>
    </r>
    <r>
      <rPr>
        <i/>
        <u/>
        <sz val="10"/>
        <color indexed="12"/>
        <rFont val="Arial"/>
        <family val="2"/>
        <charset val="204"/>
      </rPr>
      <t>heroesportal.net/tavern/?id=150632</t>
    </r>
    <r>
      <rPr>
        <i/>
        <sz val="10"/>
        <color indexed="8"/>
        <rFont val="Arial"/>
        <family val="2"/>
        <charset val="204"/>
      </rPr>
      <t>.</t>
    </r>
  </si>
  <si>
    <t xml:space="preserve">     Если Вы определились в какой из своих городов хотите доставить Грааль, то тогда Вам остаётся принести его в этот город и зайти в городскую управу (Капитолий, Муниципалитет или Префектура). После подтверждения вашего намерения об установке Грааля, в этом городе появится новое строение "Храм Грааля", которое будет действовать как указано выше в таблице. В этот день никаких других построек в этом городе уже сделать будет нельзя. Однако если у Вас имеется необходимость что-либо строить, тогда на вопрос об установке Грааля вы должны ответить "Нет", после этого построить что Вам необходимо в городе. Если Вы выйдете и опять войдете в управу, Вам опять предложат установить Грааль - теперь смело ставьте!</t>
  </si>
  <si>
    <t xml:space="preserve">     В случае потери города, в котором установлен Грааль, его действие прекращается для Вас до момента, пока город не вернете себе обратно. Все это время Грааль будет действовать в пользу Вашего противника.</t>
  </si>
  <si>
    <r>
      <t xml:space="preserve">     Это интересно! </t>
    </r>
    <r>
      <rPr>
        <sz val="10"/>
        <color indexed="8"/>
        <rFont val="Arial"/>
        <family val="2"/>
        <charset val="204"/>
      </rPr>
      <t>Полезно знать, что при расчёте очков за пройденную карту не имеет значение установлен Грааль в каком-либо городе или нет - достаточно просто его выкопать, чтобы очки Вам зачислились.</t>
    </r>
  </si>
  <si>
    <t xml:space="preserve">     Всего в игре существует четыре типа боевых машин. По умолчанию, каждый герой обладает Катапультой, которая помогает в бою разрушать укрепления вражеского города. Также, в Кузнице различных городов или на Фабрике военной техники герой может приобрести еще три вида машин. Во время боя боевые машины могут быть атакованы противником. Особенностью машин является тот факт, что они не отвечают на атаки, а их поражающая сила и обороноспособность напрямую зависят от соответствующих навыков героя. Также все боевые машины не участвуют в захвате сокровищниц.</t>
  </si>
  <si>
    <t xml:space="preserve">     Все герои изначально имеют Катапульту. Её нельзя где-либо продать или купить. Если Катапульта уничтожена, то она автоматически появится у героя вновь после боя. Катапульта принимает участие только при захвате героем вражеского города. Она автоматически или под управлением игрока (при наличии навыка Баллистики) может стрелять по укреплениям осаждаемого города (башни, стены и врата). Катапульта не может атаковать существ и отвечать на их атаки. Её нельзя перекрыть. Она находится за пределами поля боя и не может перемещаться.</t>
  </si>
  <si>
    <t xml:space="preserve">     Эффективность Катапульты зависит от степени развития Баллистики героя:</t>
  </si>
  <si>
    <r>
      <rPr>
        <b/>
        <sz val="10"/>
        <rFont val="Arial Cyr"/>
        <charset val="204"/>
      </rPr>
      <t xml:space="preserve">     Без навыка Баллистики</t>
    </r>
    <r>
      <rPr>
        <sz val="10"/>
        <rFont val="Arial Cyr"/>
        <charset val="204"/>
      </rPr>
      <t xml:space="preserve"> Катапульта автоматически в начале каждого раунда делает 1 выстрел по случайной цели. Различные элементы городских укреплений имеют разные шансы на то, что Катапульта выберет их своей целью:</t>
    </r>
  </si>
  <si>
    <t xml:space="preserve">     Любое городское укрепление имеет 2 единицы прочности. Катапульта же своим выстрелом может нанести от 0 до 2 единиц урона с разной вероятностью:</t>
  </si>
  <si>
    <r>
      <rPr>
        <b/>
        <sz val="10"/>
        <rFont val="Arial Cyr"/>
        <charset val="204"/>
      </rPr>
      <t xml:space="preserve">     Навык Баллистики</t>
    </r>
    <r>
      <rPr>
        <sz val="10"/>
        <rFont val="Arial Cyr"/>
        <charset val="204"/>
      </rPr>
      <t xml:space="preserve"> позволяет игроку контролировать выстрелы Катапульты, исключаются варианты нанесения 0 единиц урона, а на Продвинутом уровне Катапульта будет делать 2 выстрела по одной или разным целям. С повышением уровня Баллистики также повышаются шансы попадания по выбранной цели и вероятности нанесения большего урона.</t>
    </r>
  </si>
  <si>
    <t xml:space="preserve">     24 - это максимальное число выстрелов, достаточных для полного уничтожения фортификаций противника. Обычно хватает меньшего числа выстрелов. Минимум - 12 (при Экспертной Баллистике).</t>
  </si>
  <si>
    <t xml:space="preserve">     Изначально Баллисту имеют лишь некоторые герои: Кристиан, Торосар, Пир, Арлаш, Гурниссон и Гервульф. Её нельзя продать, но можно купить на Фабрике военной техники, во Дворе баллист Цитадели и в Кузницах Замка, Темницы и Сопряжения. Если Баллиста уничтожена, то можно купить её повторно. Баллиста не принимает участие при защите города, если в нём отстроен Форт. Она автоматически или под управлением игрока (при наличии навыка Артиллерия) может стрелять по вражеским существам. Баллиста не может отвечать на их атаки. Её нельзя перекрыть. Она находится за пределами поля боя и не может перемещаться. Баллиста имеет штраф за стрельбу на расстояние более 10 клеток, как и обычные стрелки.</t>
  </si>
  <si>
    <t xml:space="preserve">     Баллиста всегда имеет нейтральный Боевой дух, но подвержена действию Удачи.</t>
  </si>
  <si>
    <t xml:space="preserve">     Баллиста имеет защиту от следующих заклинаний: Жажда крови, Жертва, Бешенство, Радость, Клон, Телепорт, Взрыв, Гипноз, Печаль, Слепота, Берсерк, Забывчивость, Ускорение, Медлительность, Контрудар.</t>
  </si>
  <si>
    <t xml:space="preserve">     Урон, наносимый Баллистой рассчитывается по следующей формуле:</t>
  </si>
  <si>
    <t xml:space="preserve">     где 2…3 - случайное значение в диапазоне; Атака - суммарная атака Баллисты и героя.</t>
  </si>
  <si>
    <t xml:space="preserve">     На фактический урон Баллисты влияет защита цели и уровень Артиллерии героя.</t>
  </si>
  <si>
    <t xml:space="preserve">     В параметрах Баллисты количество её выстрелов указано как 24, однако в реальности при достижении нулевого уровня Баллиста продолжает стрелять, а отсчет выстрелов становится отрицательным. Это можно считать багом, однако Баллиста компьютерного противника ведёт себя точно так же, так что паритет армий в битве сохранен.</t>
  </si>
  <si>
    <r>
      <rPr>
        <b/>
        <sz val="10"/>
        <rFont val="Arial Cyr"/>
        <charset val="204"/>
      </rPr>
      <t xml:space="preserve">     Без навыка Артиллерии</t>
    </r>
    <r>
      <rPr>
        <sz val="10"/>
        <rFont val="Arial Cyr"/>
        <charset val="204"/>
      </rPr>
      <t xml:space="preserve"> Баллиста автоматически в конце каждого раунда делает 1 выстрел по случайной цели.</t>
    </r>
  </si>
  <si>
    <r>
      <rPr>
        <b/>
        <sz val="10"/>
        <rFont val="Arial Cyr"/>
        <charset val="204"/>
      </rPr>
      <t xml:space="preserve">     Базовая Артиллерия</t>
    </r>
    <r>
      <rPr>
        <sz val="10"/>
        <rFont val="Arial Cyr"/>
        <charset val="204"/>
      </rPr>
      <t xml:space="preserve"> даёт герою возможность управления Баллистой и 50% шанс нанести выстрелом двойной урон.</t>
    </r>
  </si>
  <si>
    <r>
      <rPr>
        <b/>
        <sz val="10"/>
        <rFont val="Arial Cyr"/>
        <charset val="204"/>
      </rPr>
      <t xml:space="preserve">     Продвинутая Артиллерия</t>
    </r>
    <r>
      <rPr>
        <sz val="10"/>
        <rFont val="Arial Cyr"/>
        <charset val="204"/>
      </rPr>
      <t xml:space="preserve"> даёт 75% шанс нанести выстрелом двойной урон.</t>
    </r>
  </si>
  <si>
    <r>
      <rPr>
        <b/>
        <sz val="10"/>
        <rFont val="Arial Cyr"/>
        <charset val="204"/>
      </rPr>
      <t xml:space="preserve">     Экспертная Артиллерия</t>
    </r>
    <r>
      <rPr>
        <sz val="10"/>
        <rFont val="Arial Cyr"/>
        <charset val="204"/>
      </rPr>
      <t xml:space="preserve"> даёт 100% шанс нанести выстрелом двойной урон.</t>
    </r>
  </si>
  <si>
    <r>
      <t xml:space="preserve">     Навык </t>
    </r>
    <r>
      <rPr>
        <b/>
        <sz val="10"/>
        <rFont val="Arial Cyr"/>
        <charset val="204"/>
      </rPr>
      <t xml:space="preserve">Стрельбы </t>
    </r>
    <r>
      <rPr>
        <sz val="10"/>
        <rFont val="Arial Cyr"/>
        <charset val="204"/>
      </rPr>
      <t>у героя, повышает урон при стрельбе Баллисты, как и для существ.</t>
    </r>
  </si>
  <si>
    <t xml:space="preserve">     Изначально Палатку первой помощи имеют лишь некоторые герои: Рион, Джем и Вердиш. Её нельзя продать, но можно купить на Фабрике военной техники и в Кузницах Оплота, Некрополиса и Крепости. Если Палатка уничтожена, то можно купить её повторно. Палатка автоматически или под управлением игрока (при наличии навыка Первая помощь) может лечить и снимать вражеские заклинания с дружественных существ. Палатка первой помощи не может атаковать и отвечать на атаки. Она находится за пределами поля боя и не может перемещаться.</t>
  </si>
  <si>
    <r>
      <rPr>
        <b/>
        <sz val="10"/>
        <rFont val="Arial Cyr"/>
        <charset val="204"/>
      </rPr>
      <t xml:space="preserve">     Без навыка Первой помощи</t>
    </r>
    <r>
      <rPr>
        <sz val="10"/>
        <rFont val="Arial Cyr"/>
        <charset val="204"/>
      </rPr>
      <t xml:space="preserve"> Палатка автоматически в конце каждого раунда снимает вражеские заклинания со случайной цели и восстанавливает её здоровье на 1...25 единиц, но не выше максимума и без воскрешения.</t>
    </r>
  </si>
  <si>
    <r>
      <rPr>
        <b/>
        <sz val="10"/>
        <rFont val="Arial Cyr"/>
        <charset val="204"/>
      </rPr>
      <t xml:space="preserve">     Базовая Первая помощь</t>
    </r>
    <r>
      <rPr>
        <sz val="10"/>
        <rFont val="Arial Cyr"/>
        <charset val="204"/>
      </rPr>
      <t xml:space="preserve"> даёт герою возможность управления Палаткой и увеличивает её силу до 1…50 единиц здоровья.</t>
    </r>
  </si>
  <si>
    <r>
      <rPr>
        <b/>
        <sz val="10"/>
        <rFont val="Arial Cyr"/>
        <charset val="204"/>
      </rPr>
      <t xml:space="preserve">     Продвинутая Первая помощь</t>
    </r>
    <r>
      <rPr>
        <sz val="10"/>
        <rFont val="Arial Cyr"/>
        <charset val="204"/>
      </rPr>
      <t xml:space="preserve"> увеличивает силу Палатки до 1…75 единиц здоровья.</t>
    </r>
  </si>
  <si>
    <r>
      <rPr>
        <b/>
        <sz val="10"/>
        <rFont val="Arial Cyr"/>
        <charset val="204"/>
      </rPr>
      <t xml:space="preserve">     Экспертная Первая помощь</t>
    </r>
    <r>
      <rPr>
        <sz val="10"/>
        <rFont val="Arial Cyr"/>
        <charset val="204"/>
      </rPr>
      <t xml:space="preserve"> увеличивает силу Палатки до 1…100 единиц здоровья.</t>
    </r>
  </si>
  <si>
    <t xml:space="preserve">     Тележку с боеприпасами нельзя продать, но можно купить на Фабрике военной техники и в Кузницах Башни, Инферно и Цитадели. Если Тележка уничтожена, то можно купить её повторно. Тележка автоматически обеспечивает всех дружественных стрелков бесконечными выстрелами. После уничтожения Тележки, запас выстрелов стрелков становится равен базовому и начинает истощаться.</t>
  </si>
  <si>
    <t xml:space="preserve">     Тележка, как и остальные боевые машины, не участвует в захвате сокровищниц, однако боезапас стреляющих существ героя остаётся бесконечным.</t>
  </si>
  <si>
    <t xml:space="preserve">     Всё просто. Ящик Пандоры позволяет воплотить практически любую идею автора карты.</t>
  </si>
  <si>
    <t xml:space="preserve">     Однако иначе обстоят дела на случайных картах, где Ящики Пандоры являются основной тактической целью игрока, так как позволяют, в большинстве случаев, получить дополнительных существ в свою армию.</t>
  </si>
  <si>
    <r>
      <t xml:space="preserve">     Тип существ зависит от типа города, указанного в шаблоне </t>
    </r>
    <r>
      <rPr>
        <b/>
        <sz val="10"/>
        <rFont val="Arial"/>
        <family val="2"/>
        <charset val="204"/>
      </rPr>
      <t>rmg.txt</t>
    </r>
    <r>
      <rPr>
        <sz val="10"/>
        <rFont val="Arial"/>
        <family val="2"/>
        <charset val="204"/>
      </rPr>
      <t xml:space="preserve"> (Town types).</t>
    </r>
  </si>
  <si>
    <t xml:space="preserve">     Если тип не указан, то могут генерироваться и нейтральные существа.</t>
  </si>
  <si>
    <t xml:space="preserve">     Выпадение некоторых существ зависит от начинки зоны (Treasure min/max).</t>
  </si>
  <si>
    <t xml:space="preserve">     Все Ящики Пандоры в пределах зоны с существами одного типа.</t>
  </si>
  <si>
    <t xml:space="preserve">     Количество существ (базовое) определённого типа рассчитывается по формуле:</t>
  </si>
  <si>
    <t xml:space="preserve">     Открыв Ящик Пандоры можно получить несметные богатства или найти неприятности на голову своего героя.</t>
  </si>
  <si>
    <t xml:space="preserve">     Ящик Пандоры - уникальный, по своим свойствам, объект на карте приключений.</t>
  </si>
  <si>
    <t xml:space="preserve">     Рассмотрим подробнее.</t>
  </si>
  <si>
    <t xml:space="preserve">     "Естественная невосприимчивость к магии" - постоянный иммунитет существа к определенным заклинаниям или типам (школам) магии. Это значит, что в нормальных условиях ни одна из сторон (ни предводитель войск, ни его противник, ни существа, способные накладывать заклинания), не могут их накладывать на это существо. Не путать со способностью с определенной вероятностью отражать враждебные магические атаки (гномы, единороги (аура), Кристаллические драконы), со способностью големов отражать часть урона, наносимого ударными заклинаниями, а также способность Сказочных драконов отражать заклинание на вражеский отряд (Волшебное зеркало).</t>
  </si>
  <si>
    <t xml:space="preserve">     Медаль уязвимости полностью нейтрализует действие вторичного навыка Сопротивление во всех его проявлениях, не действуют все артефакты, повышающие сопротивление, а также не действует специализация Торгрима (Сопротивление).</t>
  </si>
  <si>
    <t xml:space="preserve">     Ниже приводится сводная таблица (включая существ из аддонов) по типам городов и для нейтральных существ.</t>
  </si>
  <si>
    <r>
      <rPr>
        <b/>
        <sz val="10"/>
        <rFont val="Arial Cyr"/>
        <charset val="204"/>
      </rPr>
      <t xml:space="preserve">     Примечание: </t>
    </r>
    <r>
      <rPr>
        <sz val="10"/>
        <rFont val="Arial Cyr"/>
        <charset val="204"/>
      </rPr>
      <t>Никто, кроме нежити не подвержен заклинанию Уничтожение мертвецов и Оживление мертвецов.</t>
    </r>
  </si>
  <si>
    <t xml:space="preserve">     Но и это - не главное. Из определения этого артефакта может показаться, что при его наличии можно насылать любые заклинания на любых существ. Но это не так. Существа частично сохраняют иммунитет к некоторым заклинаниям или их группам. Ниже дана сводная таблица, и показано, что происходит при использовании этого артефакта. Во второй колонке для наглядности повторяется информация из первой таблицы, а в третьей колонке указываются заклинания, к которым то или иное существо осталось невосприимчиво даже при наличии Медали. Прочерк в этой колонке означает, что артефакт действительно снял всю невосприимчивость этого существа и позволяет накладывать на него все заклинания. В таблице, естественно, не учитывались очевидные вещи - невозможность накладывать Волну смерти и Воскрешение на нежить, и невозможность накладывать Оживление и Уничтожение мертвецов на всех остальных.</t>
  </si>
  <si>
    <r>
      <t xml:space="preserve">     1. </t>
    </r>
    <r>
      <rPr>
        <b/>
        <sz val="10"/>
        <rFont val="Arial Cyr"/>
        <charset val="204"/>
      </rPr>
      <t>Лечение и Снятие заклинаний.</t>
    </r>
    <r>
      <rPr>
        <sz val="10"/>
        <rFont val="Arial Cyr"/>
        <charset val="204"/>
      </rPr>
      <t xml:space="preserve"> Снятие заклинание - первое из двух заклинаний, не укладывающееся в схему "Носитель - на всех, враг - только на чужих". Так, если носитель артефакта наслал массовую Медлительность на врага, у которого, скажем, Чёрные драконы, Магические элементали и обычные существа, то противник, использовав Снятие заклинаний, снимает Медлительность со всех своих войск, то есть он все-таки накладывает заклинание на такие свои войска, на которые в нормальной ситуации не смог бы. </t>
    </r>
    <r>
      <rPr>
        <b/>
        <sz val="10"/>
        <rFont val="Arial Cyr"/>
        <charset val="204"/>
      </rPr>
      <t>Внимание!</t>
    </r>
    <r>
      <rPr>
        <sz val="10"/>
        <rFont val="Arial Cyr"/>
        <charset val="204"/>
      </rPr>
      <t xml:space="preserve"> Лечение так не действует, и в нашем примере Медлительность была бы снята только с тех существ в армии врага, на которые можно наложить это заклинание.</t>
    </r>
  </si>
  <si>
    <r>
      <t xml:space="preserve">     2. </t>
    </r>
    <r>
      <rPr>
        <b/>
        <sz val="10"/>
        <rFont val="Arial Cyr"/>
        <charset val="204"/>
      </rPr>
      <t>Армагеддон.</t>
    </r>
    <r>
      <rPr>
        <sz val="10"/>
        <rFont val="Arial Cyr"/>
        <charset val="204"/>
      </rPr>
      <t xml:space="preserve"> Если это заклинание накладывает носитель артефакта, то оно поражает всех. Если его противник - то оно поражает всех врагов и только те свои войска, которые оно поразит и без Медали уязвимости.</t>
    </r>
  </si>
  <si>
    <r>
      <t xml:space="preserve">     3. </t>
    </r>
    <r>
      <rPr>
        <b/>
        <sz val="10"/>
        <rFont val="Arial Cyr"/>
        <charset val="204"/>
      </rPr>
      <t>Огненный шар, Кольцо холода, Инферно, Метеоритный дождь</t>
    </r>
    <r>
      <rPr>
        <sz val="10"/>
        <rFont val="Arial Cyr"/>
        <charset val="204"/>
      </rPr>
      <t xml:space="preserve"> - все эти заклинания действуют так: если их накладывает носитель артефакта, и в зону поражения попадает его существо, имеющее в нормальных условиях иммунитет к ним, то оно поражается. Если накладывает противник - наоборот, иммунитет его войск к таким заклинаниям полностью сохраняется.</t>
    </r>
  </si>
  <si>
    <r>
      <t xml:space="preserve">     4. </t>
    </r>
    <r>
      <rPr>
        <b/>
        <sz val="10"/>
        <rFont val="Arial Cyr"/>
        <charset val="204"/>
      </rPr>
      <t xml:space="preserve">Цепная молния. </t>
    </r>
    <r>
      <rPr>
        <sz val="10"/>
        <rFont val="Arial Cyr"/>
        <charset val="204"/>
      </rPr>
      <t>Все - с точностью да наоборот! Если "хвост" Цепной молнии, насланной врагом, может достать до его, скажем, Магических элементалей, то он их успешно поразит. Это - второе заклинание, не вписывающееся в схему работы артефакта.</t>
    </r>
  </si>
  <si>
    <r>
      <t xml:space="preserve">     5. </t>
    </r>
    <r>
      <rPr>
        <b/>
        <sz val="10"/>
        <rFont val="Arial Cyr"/>
        <charset val="204"/>
      </rPr>
      <t>Огненный щит</t>
    </r>
    <r>
      <rPr>
        <sz val="10"/>
        <rFont val="Arial Cyr"/>
        <charset val="204"/>
      </rPr>
      <t>. Медаль никак не влияет на действие Огненного щита с точки зрения нанесения урона. То есть Фениксы, Ифриты и Элементали огня не получают никакого урона от Огненного щита (заклинания либо от Султанов-ифритов), как с Медалью, так и без неё. С точки зрения наложения Огненный щит ничем не отличается от остальных заклинаний Магии огня - то есть существа, на которых его накладывать было нельзя, при наличии артефакта становятся доступны для наложения.</t>
    </r>
  </si>
  <si>
    <r>
      <rPr>
        <b/>
        <sz val="10"/>
        <rFont val="Arial Cyr"/>
        <charset val="204"/>
      </rPr>
      <t xml:space="preserve">     Внимание!</t>
    </r>
    <r>
      <rPr>
        <sz val="10"/>
        <rFont val="Arial Cyr"/>
        <charset val="204"/>
      </rPr>
      <t xml:space="preserve"> Существует баг - Фениксы могут воскреснуть даже после их принесения в Жертву (с Медалью уязвимости).</t>
    </r>
  </si>
  <si>
    <r>
      <t xml:space="preserve">     Змии и Стрекозы</t>
    </r>
    <r>
      <rPr>
        <sz val="10"/>
        <rFont val="Arial Cyr"/>
        <charset val="204"/>
      </rPr>
      <t xml:space="preserve"> - Получают возможность накладывать Снятие заклинаний и Слабость на всех врагов, ранее невосприимчивых к этим заклинаниям. Кстати, наличие Шара постоянства делает войска носителя неуязвимыми также и для Снятия заклинаний от Змиев и Стрекоз.</t>
    </r>
  </si>
  <si>
    <r>
      <t xml:space="preserve">     Сказочные драконы</t>
    </r>
    <r>
      <rPr>
        <sz val="10"/>
        <rFont val="Arial Cyr"/>
        <charset val="204"/>
      </rPr>
      <t xml:space="preserve"> - Получают возможность накладывать все боевые заклинания на всех вражеских существ. В случае, если заклинание - Цепная молния, Метеоритный дождь, Огненный шар, Инферно или Кольцо холода, то особенности их работы такие же, как если бы они были наложены героями.</t>
    </r>
  </si>
  <si>
    <r>
      <t xml:space="preserve">     Шляпа адмирала</t>
    </r>
    <r>
      <rPr>
        <sz val="10"/>
        <rFont val="Arial"/>
        <family val="2"/>
        <charset val="204"/>
      </rPr>
      <t xml:space="preserve"> - достаточно спорный артефакт, с которым связывают один из самых известных багов в игре - повышение запаса хода (МР) героя, не связанное с прописанными в мануале правилами игры.</t>
    </r>
  </si>
  <si>
    <t xml:space="preserve">     Изначально, Шляпа адмирала представляет собой сборный артефакт, состоящий из Шляпы морского капитана и Ожерелья морского проведения. Этот артефакт, действующий как сумма свойств его составляющих, увеличивает герою запас хода по морю на 1500 очков (МР), защищает от Водоворотов, даёт заклинания Вызов корабля и Затопить корабль (причем, они действуют независимо от того, есть или нет у героя Книга магии и соответствующий уровень Магии воды).</t>
  </si>
  <si>
    <t xml:space="preserve">     Однако, основной значимой особенностью этого артефакта является пропорциональный пересчёт оставшихся сухопутных очков движения в морские и наоборот. Ниже представлен механизм расчета оставшихся очков (МР), а также раскрыты все нюансы практического применения этого артефакта в игре.</t>
  </si>
  <si>
    <t xml:space="preserve">     Для расчета используются всего четыре параметра:</t>
  </si>
  <si>
    <r>
      <t xml:space="preserve">     Введем промежуточный коэффициент </t>
    </r>
    <r>
      <rPr>
        <b/>
        <sz val="10"/>
        <rFont val="Arial"/>
        <family val="2"/>
        <charset val="204"/>
      </rPr>
      <t>K</t>
    </r>
    <r>
      <rPr>
        <sz val="10"/>
        <rFont val="Arial"/>
        <family val="2"/>
        <charset val="204"/>
      </rPr>
      <t>, постоянный для каждого героя при его текущем уровне развития:</t>
    </r>
  </si>
  <si>
    <t xml:space="preserve">     В этом случае, при посадке в лодку остаток очков движения пересчитывается по следующей формуле:</t>
  </si>
  <si>
    <r>
      <t xml:space="preserve">     где </t>
    </r>
    <r>
      <rPr>
        <b/>
        <sz val="10"/>
        <rFont val="Arial"/>
        <family val="2"/>
        <charset val="204"/>
      </rPr>
      <t>m</t>
    </r>
    <r>
      <rPr>
        <sz val="10"/>
        <rFont val="Arial"/>
        <family val="2"/>
        <charset val="204"/>
      </rPr>
      <t xml:space="preserve"> – постоянная величина, равная затратам очков движения на посадку/высадку с корабля и составляет 100 МР при прямой посадке/высадке и 141 МР при диагональной.</t>
    </r>
  </si>
  <si>
    <t xml:space="preserve">     При высадке, формула расчета остатка хода примет обратный вид:</t>
  </si>
  <si>
    <t xml:space="preserve">     Затраты очков движения (МР) на посадку и последующую за ней высадку (без движения по воде) составят:</t>
  </si>
  <si>
    <r>
      <t xml:space="preserve">     А теперь - главное: </t>
    </r>
    <r>
      <rPr>
        <sz val="10"/>
        <rFont val="Arial"/>
        <family val="2"/>
        <charset val="204"/>
      </rPr>
      <t xml:space="preserve">При расчете коэффициента </t>
    </r>
    <r>
      <rPr>
        <b/>
        <sz val="10"/>
        <rFont val="Arial"/>
        <family val="2"/>
        <charset val="204"/>
      </rPr>
      <t>К</t>
    </r>
    <r>
      <rPr>
        <sz val="10"/>
        <rFont val="Arial"/>
        <family val="2"/>
        <charset val="204"/>
      </rPr>
      <t xml:space="preserve"> базовый запас движения </t>
    </r>
    <r>
      <rPr>
        <b/>
        <sz val="10"/>
        <rFont val="Arial"/>
        <family val="2"/>
        <charset val="204"/>
      </rPr>
      <t>М</t>
    </r>
    <r>
      <rPr>
        <sz val="10"/>
        <rFont val="Arial"/>
        <family val="2"/>
        <charset val="204"/>
      </rPr>
      <t xml:space="preserve"> у героя не является постоянной величиной и </t>
    </r>
    <r>
      <rPr>
        <u/>
        <sz val="10"/>
        <rFont val="Arial"/>
        <family val="2"/>
        <charset val="204"/>
      </rPr>
      <t>изменяется в течение одного дня</t>
    </r>
    <r>
      <rPr>
        <sz val="10"/>
        <rFont val="Arial"/>
        <family val="2"/>
        <charset val="204"/>
      </rPr>
      <t xml:space="preserve"> при любых манипуляциях с существами (изменение скорости самого медленного существа), артефактами (Сапоги скорости и Перчатки всадника), а также при посещении Конюшни, дающей временный бонус хода. Также, этот коэффициент может принимать разные значения в зависимости от текущей степени развития Логистики и Навигации.</t>
    </r>
  </si>
  <si>
    <r>
      <t xml:space="preserve">     Если обратимся к формуле расчёта остатка движения при посадке в лодку </t>
    </r>
    <r>
      <rPr>
        <b/>
        <sz val="10"/>
        <rFont val="Arial"/>
        <family val="2"/>
        <charset val="204"/>
      </rPr>
      <t>1</t>
    </r>
    <r>
      <rPr>
        <sz val="10"/>
        <rFont val="Arial"/>
        <family val="2"/>
        <charset val="204"/>
      </rPr>
      <t xml:space="preserve">, увидим, что для максимальной дельты нам необходимо иметь максимальный коэффициент </t>
    </r>
    <r>
      <rPr>
        <b/>
        <sz val="10"/>
        <rFont val="Arial"/>
        <family val="2"/>
        <charset val="204"/>
      </rPr>
      <t>K</t>
    </r>
    <r>
      <rPr>
        <sz val="10"/>
        <rFont val="Arial"/>
        <family val="2"/>
        <charset val="204"/>
      </rPr>
      <t xml:space="preserve">, что достигается при минимальном значении </t>
    </r>
    <r>
      <rPr>
        <b/>
        <sz val="10"/>
        <rFont val="Arial"/>
        <family val="2"/>
        <charset val="204"/>
      </rPr>
      <t>М</t>
    </r>
    <r>
      <rPr>
        <sz val="10"/>
        <rFont val="Arial"/>
        <family val="2"/>
        <charset val="204"/>
      </rPr>
      <t xml:space="preserve">. И наоборот, из формулы расчета остатка движения при высадке </t>
    </r>
    <r>
      <rPr>
        <b/>
        <sz val="10"/>
        <rFont val="Arial"/>
        <family val="2"/>
        <charset val="204"/>
      </rPr>
      <t>2</t>
    </r>
    <r>
      <rPr>
        <sz val="10"/>
        <rFont val="Arial"/>
        <family val="2"/>
        <charset val="204"/>
      </rPr>
      <t xml:space="preserve"> определяем, что максимальная дельта будет при минимальном значении коэффициента </t>
    </r>
    <r>
      <rPr>
        <b/>
        <sz val="10"/>
        <rFont val="Arial"/>
        <family val="2"/>
        <charset val="204"/>
      </rPr>
      <t>К</t>
    </r>
    <r>
      <rPr>
        <sz val="10"/>
        <rFont val="Arial"/>
        <family val="2"/>
        <charset val="204"/>
      </rPr>
      <t>.</t>
    </r>
  </si>
  <si>
    <t xml:space="preserve">     У нас имеется герой, со следующими стартовыми параметрами:</t>
  </si>
  <si>
    <r>
      <t xml:space="preserve">     1. Перед посадкой в лодку он посещает Оазис (+800 МР) (теряет 100 МР), что даёт ему в итоге </t>
    </r>
    <r>
      <rPr>
        <b/>
        <sz val="10"/>
        <rFont val="Arial"/>
        <family val="2"/>
        <charset val="204"/>
      </rPr>
      <t>M(тек)</t>
    </r>
    <r>
      <rPr>
        <sz val="10"/>
        <rFont val="Arial"/>
        <family val="2"/>
        <charset val="204"/>
      </rPr>
      <t xml:space="preserve"> = 3900 + 800 - 100 = </t>
    </r>
    <r>
      <rPr>
        <b/>
        <sz val="10"/>
        <rFont val="Arial"/>
        <family val="2"/>
        <charset val="204"/>
      </rPr>
      <t>4600 МР</t>
    </r>
    <r>
      <rPr>
        <sz val="10"/>
        <rFont val="Arial"/>
        <family val="2"/>
        <charset val="204"/>
      </rPr>
      <t xml:space="preserve">. После чего снимает артефакты, подбежавший вторичный герой передает ему Крестьянина (скорость 3 =&gt; 1500 МР) и в итоге </t>
    </r>
    <r>
      <rPr>
        <b/>
        <sz val="10"/>
        <rFont val="Arial"/>
        <family val="2"/>
        <charset val="204"/>
      </rPr>
      <t>М</t>
    </r>
    <r>
      <rPr>
        <sz val="10"/>
        <rFont val="Arial"/>
        <family val="2"/>
        <charset val="204"/>
      </rPr>
      <t xml:space="preserve"> становится равным </t>
    </r>
    <r>
      <rPr>
        <b/>
        <sz val="10"/>
        <rFont val="Arial"/>
        <family val="2"/>
        <charset val="204"/>
      </rPr>
      <t xml:space="preserve">M </t>
    </r>
    <r>
      <rPr>
        <sz val="10"/>
        <rFont val="Arial"/>
        <family val="2"/>
        <charset val="204"/>
      </rPr>
      <t xml:space="preserve">= 1500*1,3 + 400 (Конюшня) = </t>
    </r>
    <r>
      <rPr>
        <b/>
        <sz val="10"/>
        <rFont val="Arial"/>
        <family val="2"/>
        <charset val="204"/>
      </rPr>
      <t>2350 МР</t>
    </r>
    <r>
      <rPr>
        <sz val="10"/>
        <rFont val="Arial"/>
        <family val="2"/>
        <charset val="204"/>
      </rPr>
      <t xml:space="preserve">. Текущий запас хода при этом остается неизменным </t>
    </r>
    <r>
      <rPr>
        <b/>
        <sz val="10"/>
        <rFont val="Arial"/>
        <family val="2"/>
        <charset val="204"/>
      </rPr>
      <t xml:space="preserve">М(тек) </t>
    </r>
    <r>
      <rPr>
        <sz val="10"/>
        <rFont val="Arial"/>
        <family val="2"/>
        <charset val="204"/>
      </rPr>
      <t xml:space="preserve">= 4600 МР. При этом, </t>
    </r>
    <r>
      <rPr>
        <b/>
        <sz val="10"/>
        <rFont val="Arial"/>
        <family val="2"/>
        <charset val="204"/>
      </rPr>
      <t xml:space="preserve">K </t>
    </r>
    <r>
      <rPr>
        <sz val="10"/>
        <rFont val="Arial"/>
        <family val="2"/>
        <charset val="204"/>
      </rPr>
      <t xml:space="preserve">= M' / M = 3750 / 2350 = </t>
    </r>
    <r>
      <rPr>
        <b/>
        <sz val="10"/>
        <rFont val="Arial"/>
        <family val="2"/>
        <charset val="204"/>
      </rPr>
      <t>1,5957.</t>
    </r>
  </si>
  <si>
    <r>
      <t xml:space="preserve">     2. Посадка в лодку отнимает еще 100 МР, и в итоге, согласно формуле </t>
    </r>
    <r>
      <rPr>
        <b/>
        <sz val="10"/>
        <rFont val="Arial"/>
        <family val="2"/>
        <charset val="204"/>
      </rPr>
      <t>1</t>
    </r>
    <r>
      <rPr>
        <sz val="10"/>
        <rFont val="Arial"/>
        <family val="2"/>
        <charset val="204"/>
      </rPr>
      <t xml:space="preserve"> можно рассчитать количество морских очков движения, полученных после посадки. </t>
    </r>
    <r>
      <rPr>
        <b/>
        <sz val="10"/>
        <rFont val="Arial"/>
        <family val="2"/>
        <charset val="204"/>
      </rPr>
      <t xml:space="preserve">M'(тек) </t>
    </r>
    <r>
      <rPr>
        <sz val="10"/>
        <rFont val="Arial"/>
        <family val="2"/>
        <charset val="204"/>
      </rPr>
      <t xml:space="preserve">= (4600-100) * 1,5957 = </t>
    </r>
    <r>
      <rPr>
        <b/>
        <sz val="10"/>
        <rFont val="Arial"/>
        <family val="2"/>
        <charset val="204"/>
      </rPr>
      <t>7180 МР</t>
    </r>
    <r>
      <rPr>
        <sz val="10"/>
        <rFont val="Arial"/>
        <family val="2"/>
        <charset val="204"/>
      </rPr>
      <t>. Плюс к этой величине стоит добавить также 1500 МР, которые дает сама Шляпа адмирала в виде бонуса.</t>
    </r>
  </si>
  <si>
    <r>
      <t xml:space="preserve">     3. Будучи уже в лодке, увольняем Крестьянина, оставив только Лазурного дракона, одеваем Перчатки всадника и Сапоги скорости, в итоге имеем </t>
    </r>
    <r>
      <rPr>
        <b/>
        <sz val="10"/>
        <rFont val="Arial"/>
        <family val="2"/>
        <charset val="204"/>
      </rPr>
      <t xml:space="preserve">M </t>
    </r>
    <r>
      <rPr>
        <sz val="10"/>
        <rFont val="Arial"/>
        <family val="2"/>
        <charset val="204"/>
      </rPr>
      <t xml:space="preserve">= 2000*1,3 + 400 (Конюшня) + 300 + 600 = 3900 МР. Рассчитаем коэффициент </t>
    </r>
    <r>
      <rPr>
        <b/>
        <sz val="10"/>
        <rFont val="Arial"/>
        <family val="2"/>
        <charset val="204"/>
      </rPr>
      <t xml:space="preserve">К </t>
    </r>
    <r>
      <rPr>
        <sz val="10"/>
        <rFont val="Arial"/>
        <family val="2"/>
        <charset val="204"/>
      </rPr>
      <t xml:space="preserve">= 3750/3900 = 0,9615. Смело высаживаемся обратно на берег и смотрим итог: </t>
    </r>
    <r>
      <rPr>
        <b/>
        <sz val="10"/>
        <rFont val="Arial"/>
        <family val="2"/>
        <charset val="204"/>
      </rPr>
      <t xml:space="preserve">M(тек) </t>
    </r>
    <r>
      <rPr>
        <sz val="10"/>
        <rFont val="Arial"/>
        <family val="2"/>
        <charset val="204"/>
      </rPr>
      <t xml:space="preserve">= (7180-100) / 0,9615 = </t>
    </r>
    <r>
      <rPr>
        <b/>
        <sz val="10"/>
        <rFont val="Arial"/>
        <family val="2"/>
        <charset val="204"/>
      </rPr>
      <t>7363 МР</t>
    </r>
    <r>
      <rPr>
        <sz val="10"/>
        <rFont val="Arial"/>
        <family val="2"/>
        <charset val="204"/>
      </rPr>
      <t>. Прирост хода составил 7363 / 4600 = 1,60... Вот ведь как бывает... А если повторить?..</t>
    </r>
  </si>
  <si>
    <t xml:space="preserve">     По умолчанию, вторичный навык Чародейство доступен только двум классам героев - Некромантам и Рыцарям Смерти. Однако возможность получить этот навык в Хижине ведьмы или у Учёного имеется у любого героя.</t>
  </si>
  <si>
    <t xml:space="preserve">     Одним из наиболее эффектных и эффективных артефактов в игре является Плащ короля нечисти, который значительно усиливает игровой эффект вторичного навыка Чародейство. В чем заключается особенность этого навыка и как её модифицирует Плащ можно увидеть ниже.</t>
  </si>
  <si>
    <t xml:space="preserve">     Каждый Усилитель чёрной магии, который находится под управлением игрока добавляет +10% к Чародейству всех его героев.</t>
  </si>
  <si>
    <t xml:space="preserve">     Наличие навыка Чародейство позволяет поднимать в виде Скелетов от 10% до 30% уничтоженных существ противника.</t>
  </si>
  <si>
    <t xml:space="preserve">     Использование героем Плаща короля нечисти позволяет увеличить количество существ, поднимаемых после боя на 30%, причем происходит также их трансформация, которая зависит от уровня вторичного навыка. Примечательным фактом является действие Плаща короля нечисти на героя, который не владеет вообще Чародейством. Он получает возможность поднимать Скелетов на уровне героя с Экспертным Чародейством (который не имеет Плаща короля нечисти).</t>
  </si>
  <si>
    <t xml:space="preserve">     Механизм расчета количества существ, которые будут подняты после боя выглядит следующим образом:</t>
  </si>
  <si>
    <t xml:space="preserve">     1. Определяется суммарное количество здоровья для каждого отряда уничтоженной армии противника и делится на количество здоровья того существа, которые будут призваны после боя согласно уровню Чародейства:</t>
  </si>
  <si>
    <r>
      <rPr>
        <b/>
        <sz val="10"/>
        <rFont val="Arial"/>
        <family val="2"/>
        <charset val="204"/>
      </rPr>
      <t xml:space="preserve">     Внимание! </t>
    </r>
    <r>
      <rPr>
        <sz val="10"/>
        <rFont val="Arial"/>
        <family val="2"/>
        <charset val="204"/>
      </rPr>
      <t>Клоны существ учитываются при расчете поднимаемых существ после боя. Даже если Клон не был убит, а просто исчез после смерти клонированного существ, он будет учтён. Однако для каждого убитого существа считается только один клон. Также учитываются призванные элементали и демоны.</t>
    </r>
  </si>
  <si>
    <r>
      <t xml:space="preserve">     2. Определяем общее количество уничтоженных существ в каждом отряде (</t>
    </r>
    <r>
      <rPr>
        <b/>
        <sz val="10"/>
        <rFont val="Arial"/>
        <family val="2"/>
        <charset val="204"/>
      </rPr>
      <t>N2</t>
    </r>
    <r>
      <rPr>
        <sz val="10"/>
        <rFont val="Arial"/>
        <family val="2"/>
        <charset val="204"/>
      </rPr>
      <t>).</t>
    </r>
  </si>
  <si>
    <r>
      <t xml:space="preserve">     3. Для каждого отряда из двух полученных чисел (</t>
    </r>
    <r>
      <rPr>
        <b/>
        <sz val="10"/>
        <rFont val="Arial"/>
        <family val="2"/>
        <charset val="204"/>
      </rPr>
      <t>N1</t>
    </r>
    <r>
      <rPr>
        <sz val="10"/>
        <rFont val="Arial"/>
        <family val="2"/>
        <charset val="204"/>
      </rPr>
      <t xml:space="preserve"> и </t>
    </r>
    <r>
      <rPr>
        <b/>
        <sz val="10"/>
        <rFont val="Arial"/>
        <family val="2"/>
        <charset val="204"/>
      </rPr>
      <t>N2</t>
    </r>
    <r>
      <rPr>
        <sz val="10"/>
        <rFont val="Arial"/>
        <family val="2"/>
        <charset val="204"/>
      </rPr>
      <t xml:space="preserve">) выбираем </t>
    </r>
    <r>
      <rPr>
        <b/>
        <sz val="10"/>
        <rFont val="Arial"/>
        <family val="2"/>
        <charset val="204"/>
      </rPr>
      <t>меньшее</t>
    </r>
    <r>
      <rPr>
        <sz val="10"/>
        <rFont val="Arial"/>
        <family val="2"/>
        <charset val="204"/>
      </rPr>
      <t>, которое будет являться основанием для расчета (</t>
    </r>
    <r>
      <rPr>
        <b/>
        <sz val="10"/>
        <rFont val="Arial"/>
        <family val="2"/>
        <charset val="204"/>
      </rPr>
      <t>N</t>
    </r>
    <r>
      <rPr>
        <sz val="10"/>
        <rFont val="Arial"/>
        <family val="2"/>
        <charset val="204"/>
      </rPr>
      <t>).</t>
    </r>
  </si>
  <si>
    <r>
      <t xml:space="preserve">     4. Модифицируем полученное количество существ (</t>
    </r>
    <r>
      <rPr>
        <b/>
        <sz val="10"/>
        <rFont val="Arial"/>
        <family val="2"/>
        <charset val="204"/>
      </rPr>
      <t>N</t>
    </r>
    <r>
      <rPr>
        <sz val="10"/>
        <rFont val="Arial"/>
        <family val="2"/>
        <charset val="204"/>
      </rPr>
      <t>), исходя из следующих принципов:</t>
    </r>
  </si>
  <si>
    <r>
      <t xml:space="preserve">     Пример:</t>
    </r>
    <r>
      <rPr>
        <i/>
        <sz val="10"/>
        <rFont val="Arial"/>
        <family val="2"/>
        <charset val="204"/>
      </rPr>
      <t xml:space="preserve"> </t>
    </r>
    <r>
      <rPr>
        <sz val="10"/>
        <rFont val="Arial"/>
        <family val="2"/>
        <charset val="204"/>
      </rPr>
      <t>Видомина 15 уровня (при наличии Продвинутого Чародейства) получит бонус, равный 20%*(0,05*15)=15%. Итого вместе с Чародейством: 20%+15%=35%.</t>
    </r>
  </si>
  <si>
    <t xml:space="preserve">     Если сумма всех показателей превосходит 100%, то для расчета оставляем только это число (коэффициент 1), т.е. ни при каких условиях количество существ, призванных после боя не может превышать количество уничтоженных существ противника.</t>
  </si>
  <si>
    <r>
      <t xml:space="preserve">     Несколько более простым </t>
    </r>
    <r>
      <rPr>
        <sz val="10"/>
        <rFont val="Arial"/>
        <family val="2"/>
        <charset val="204"/>
      </rPr>
      <t>(для наглядности)</t>
    </r>
    <r>
      <rPr>
        <b/>
        <sz val="10"/>
        <rFont val="Arial"/>
        <family val="2"/>
        <charset val="204"/>
      </rPr>
      <t xml:space="preserve"> объяснением может быть такое:</t>
    </r>
    <r>
      <rPr>
        <sz val="10"/>
        <rFont val="Arial"/>
        <family val="2"/>
        <charset val="204"/>
      </rPr>
      <t xml:space="preserve"> если количество здоровья каждого существа в отряде меньше здоровья существа, которое должно быть призвано после завершения боя, то определяем их количество из расчета суммы здоровья всех уничтоженных существ в этом отряде. Иначе (в случае, если здоровье равно или выше), расчет идет исходя из количества существ в отряде.</t>
    </r>
  </si>
  <si>
    <r>
      <t xml:space="preserve">     Пример 2: </t>
    </r>
    <r>
      <rPr>
        <sz val="10"/>
        <rFont val="Arial"/>
        <family val="2"/>
        <charset val="204"/>
      </rPr>
      <t>Исра (специалист по Чародейству), имеющая Плащ короля нечисти, Экспертное Чародейство и уровень своего развития = 14, в процессе битвы уничтожила армию противника состоящую из 361 Мастер-гремлина (Здоровье = 4), 25 Джиннов (здоровье = 40) и 5 Титанов (Здоровье = 300). В нашем королевстве имеется один Некрополис с отстроенным Усилителем чёрной магии. Рассчитаем количество существ, которые останутся в нашей армии после боя:</t>
    </r>
  </si>
  <si>
    <r>
      <t xml:space="preserve">     1.1. Суммарное количество здоровья в отряде Мастер-гремлинов равно 361*4=1444 единицы (определяем число призванных существ исходя из </t>
    </r>
    <r>
      <rPr>
        <b/>
        <sz val="10"/>
        <rFont val="Arial"/>
        <family val="2"/>
        <charset val="204"/>
      </rPr>
      <t>количества здоровья</t>
    </r>
    <r>
      <rPr>
        <sz val="10"/>
        <rFont val="Arial"/>
        <family val="2"/>
        <charset val="204"/>
      </rPr>
      <t>, потому как здоровье Мастер-гремлинов меньше, чем здоровье Личей).</t>
    </r>
  </si>
  <si>
    <t xml:space="preserve">     Наличие Экспертного Чародейства позволит Исре призвать именно Личей (здоровье = 30). </t>
  </si>
  <si>
    <r>
      <t xml:space="preserve">     Их количество может быть не более 1444/30=</t>
    </r>
    <r>
      <rPr>
        <b/>
        <sz val="10"/>
        <rFont val="Arial"/>
        <family val="2"/>
        <charset val="204"/>
      </rPr>
      <t>48</t>
    </r>
    <r>
      <rPr>
        <sz val="10"/>
        <rFont val="Arial"/>
        <family val="2"/>
        <charset val="204"/>
      </rPr>
      <t xml:space="preserve"> (округление вниз).</t>
    </r>
  </si>
  <si>
    <r>
      <t xml:space="preserve">     1.2. Исходя из оценки здоровья Джиннов, принимаем решение, что за базу в их отряде будем брать </t>
    </r>
    <r>
      <rPr>
        <b/>
        <sz val="10"/>
        <rFont val="Arial"/>
        <family val="2"/>
        <charset val="204"/>
      </rPr>
      <t>количество существ</t>
    </r>
    <r>
      <rPr>
        <sz val="10"/>
        <rFont val="Arial"/>
        <family val="2"/>
        <charset val="204"/>
      </rPr>
      <t>.</t>
    </r>
  </si>
  <si>
    <r>
      <t xml:space="preserve">     Итого, второе значимое число будет равно </t>
    </r>
    <r>
      <rPr>
        <b/>
        <sz val="10"/>
        <rFont val="Arial"/>
        <family val="2"/>
        <charset val="204"/>
      </rPr>
      <t>25</t>
    </r>
    <r>
      <rPr>
        <sz val="10"/>
        <rFont val="Arial"/>
        <family val="2"/>
        <charset val="204"/>
      </rPr>
      <t>.</t>
    </r>
  </si>
  <si>
    <r>
      <t xml:space="preserve">     1.3. Аналогично, исходя из оценки здоровья Титанов, в их отряде также определяющим будет </t>
    </r>
    <r>
      <rPr>
        <b/>
        <sz val="10"/>
        <rFont val="Arial"/>
        <family val="2"/>
        <charset val="204"/>
      </rPr>
      <t>количество существ</t>
    </r>
    <r>
      <rPr>
        <sz val="10"/>
        <rFont val="Arial"/>
        <family val="2"/>
        <charset val="204"/>
      </rPr>
      <t>.</t>
    </r>
  </si>
  <si>
    <r>
      <t xml:space="preserve">     Итого, третье число будет равно </t>
    </r>
    <r>
      <rPr>
        <b/>
        <sz val="10"/>
        <rFont val="Arial"/>
        <family val="2"/>
        <charset val="204"/>
      </rPr>
      <t>5</t>
    </r>
    <r>
      <rPr>
        <sz val="10"/>
        <rFont val="Arial"/>
        <family val="2"/>
        <charset val="204"/>
      </rPr>
      <t>.</t>
    </r>
  </si>
  <si>
    <t xml:space="preserve">     2. Рассчитываем модификаторы:</t>
  </si>
  <si>
    <t xml:space="preserve">     Значит, в результате битвы Исра сможет призвать (каждый отряд считается независимо, округление вниз):</t>
  </si>
  <si>
    <t xml:space="preserve">     Итого:</t>
  </si>
  <si>
    <r>
      <t xml:space="preserve">     Внимание!</t>
    </r>
    <r>
      <rPr>
        <sz val="10"/>
        <rFont val="Arial"/>
        <family val="2"/>
        <charset val="204"/>
      </rPr>
      <t xml:space="preserve"> В случае, когда все слоты героя заняты существами, среди которых есть призываемые существа, но только улучшенные (Скелеты-воины, Зомби, Приведения, Могущественные личи), то количество существ, поднятых с помощью Чародейства будет на треть меньше , т.е. 2/3 от расчётного. В нашем случае это 46 Могущественных личей.</t>
    </r>
  </si>
  <si>
    <t xml:space="preserve">     Для того, чтобы возвести нужное строение в городе предварительно требуется построить определенное количество других строений на которые придётся также потратить ресурсы. Ниже представлена сравнительная характеристика количества ресурсов, необходимых на создание указанного строения с учетом создания всех обязательных предварительных построек. "Эквивалент" рассчитан в условных ресурсных единицах (РЕ). Дерево и руда равны 1 РЕ, остальные ресурсы равны 2 РЕ (согласно стоимости в золоте). В расчёте эквивалента золото не участвует. Красным цветом выделены самые дорогие и долгие жилища, синим - самые дешёвые и быстрые на своём уровне.                                                                                                                                                                                                                Дни - количество дней, необходимых на постройку при условии достаточного количества ресурсов.</t>
  </si>
  <si>
    <t xml:space="preserve">     Города типа Темница, Сопряжение и Башня имеют среди своих построек Торговца артефактами, у которого можно обменять свои ресурсы на артефакты. Изначально ассортимент Торговца содержит 7 случайных артефактов, цена которых уменьшается в зависимости от количества Рынков, имеющихся у игрока во всех его городах. Чем больше сеть рынков, тем дешевле артефакты.</t>
  </si>
  <si>
    <t xml:space="preserve">     Два рынка уменьшают стандартную цену артефакта на 20%, три - на 33%, четыре - на 43%, пять - на 50%, шесть - на 56%, семь - на 60%, восемь - на 64%, девять - на 67%. Большее количество рынков не дает дополнительных скидок.</t>
  </si>
  <si>
    <t xml:space="preserve">     Также во всех городах имеется Рынок, на котором можно обменивать одни ресурсы на другие.</t>
  </si>
  <si>
    <t xml:space="preserve">     Курс обмена ресурсов на Рынке также зависит от их количества.</t>
  </si>
  <si>
    <t xml:space="preserve">     Не все ресурсы на Рынке имеют равнозначную стоимость. Так ртуть, сера, кристаллы и самоцветы являются более ценными ресурсами, чем древесина и руда (обычные ресурсы). Далее приведена таблица зависимости обменного курса от количества Рынков у игрока.</t>
  </si>
  <si>
    <t xml:space="preserve">     Дальнейшее увеличение количества Рынков никак не влияет на курс обмена, который остается равным курсу девяти рынков.</t>
  </si>
  <si>
    <t xml:space="preserve">     Внешний Рынок на карте приключений.</t>
  </si>
  <si>
    <t xml:space="preserve">     Герой может менять ресурсы друг на друга по цене в 3 раза ниже обычной:</t>
  </si>
  <si>
    <t xml:space="preserve">     При генерации случайной карты Рынок не может появиться на Лаве, Песке и Подземном ландшафте.</t>
  </si>
  <si>
    <t xml:space="preserve">     Внешняя Гильдия воров на карте приключений показывает всю информацию не зависимо от количества Таверн.</t>
  </si>
  <si>
    <t xml:space="preserve">     Лучший герой выбирается по силе. Сила каждого героя рассчитывается по следующей формуле:</t>
  </si>
  <si>
    <t xml:space="preserve">     Мощь армии королевства рассчитывается как сумма сил всех героев и армий в городах. Сила армии без героя рассчитывается как сумма AI Value всех существ.</t>
  </si>
  <si>
    <t xml:space="preserve">     Лучшее существо в армии игрока определяется по AI Value среди всех существ королевства.</t>
  </si>
  <si>
    <t xml:space="preserve">     Информация обновляется непосредственно при входе в Таверну.</t>
  </si>
  <si>
    <t xml:space="preserve">     От количества Таверн и Гильдий воров у игрока также зависит информация, которую он может видеть о вражеских городах на карте приключений.</t>
  </si>
  <si>
    <r>
      <t xml:space="preserve">     Замок</t>
    </r>
    <r>
      <rPr>
        <sz val="10"/>
        <rFont val="Arial"/>
        <family val="2"/>
        <charset val="204"/>
      </rPr>
      <t xml:space="preserve"> - Самый традиционный и наименее меняющийся от серии к серии рыцарский город «Героев» в третьей части отличается гибкостью и сбалансированностью при выраженной воинской ориентации. Заслуживающие отдельного упоминания уникальные строения города ориентированы на повышение мобильности армий – Конюшни дают всем заглянувшим в город героям дополнительный запас хода на неделю, а Маяк увеличивает дальность плавания по морю.</t>
    </r>
  </si>
  <si>
    <r>
      <t xml:space="preserve">     Армия</t>
    </r>
    <r>
      <rPr>
        <sz val="10"/>
        <rFont val="Arial"/>
        <family val="2"/>
        <charset val="204"/>
      </rPr>
      <t>: отличается самым мощным ударом улучшенной армии при «здоровье» ниже среднего и средней скорости, а также абсолютной магической уязвимостью и дороговизной. Особого упоминания заслуживают Архангелы (сильнейшие городские воины с блестящей скоростью, имеющие возможность воскрешать союзников, а также пополнять свои ряды на карте за счет Консерваторий грифонов), Чемпионы (мощный универсальный отряд с увеличенным ударом с разбега), Крестоносцы (выдающаяся сила двойного удара) и Королевские Грифоны (неограниченное число ответных ударов).</t>
    </r>
  </si>
  <si>
    <r>
      <t xml:space="preserve">     Герои:</t>
    </r>
    <r>
      <rPr>
        <sz val="10"/>
        <rFont val="Arial"/>
        <family val="2"/>
        <charset val="204"/>
      </rPr>
      <t xml:space="preserve"> Рыцари (Knights) и Священники (Clerics) – типичные середняки, среди них нет откровенно слабых, нет и «супергероев», хотя трое считаются дисбалансными и нередко запрещаются на турнирах: заменивший в аддонах лорда Хаарта Сэр Мюллих (Mullich), дающий +2 к скорости всех армий и продвинутое Лидерство (всего один стартовый навык обеспечивает дополнительную гибкость в развитии); Лоинс (Loynis), имеющий в арсенале усиленное заклинание Молитва; Адель (Adela), сверх Дипломатии снабженная усиленным Благословлением.</t>
    </r>
  </si>
  <si>
    <r>
      <t xml:space="preserve">     Магия:</t>
    </r>
    <r>
      <rPr>
        <sz val="10"/>
        <rFont val="Arial"/>
        <family val="2"/>
        <charset val="204"/>
      </rPr>
      <t xml:space="preserve"> Гильдия магов ограничена четвертым уровнем и тяготеет к Магии воды, что с одной стороны усиливает армию и позволяет эффективно нейтрализовать проклятия, а с другой – оставляет желать лучшего по части атакующей магии. Ещё две характерные черты замковой магии – высокая вероятность выпадения Уничтожения мертвецов и Антимагии, что, впрочем, для рыцарской армии не особо полезно. В итоге маги из героев Замка получаются весьма средненькие, и сами по себе особой силы не представляют, зато армию усиливают весьма успешно.</t>
    </r>
  </si>
  <si>
    <r>
      <t xml:space="preserve">     Отстройка: </t>
    </r>
    <r>
      <rPr>
        <sz val="10"/>
        <rFont val="Arial"/>
        <family val="2"/>
        <charset val="204"/>
      </rPr>
      <t>этот город – самый дорогостоящий в части воинских построек, но это из-за ангелов, а на первых шести уровнях он характеризуется относительной дешевизной при минимальных требованиях к редким ресурсам. Кроме того, дороговизна компенсируется гибкостью постройки: пятый и шестой уровень требуют наличия лишь двух предыдущих, седьмой – только трех. Так что если ресурсы на карте есть, только их трудно отбивать – собрать армию для добычи несложно. Полная отстройка города – средняя по стоимости.</t>
    </r>
  </si>
  <si>
    <t xml:space="preserve">     Лоинс может творить чудеса своей Молитвой, но до появления Экспертной Магии воды это колдовство обходится ему дорого, и, соответственно, может применяться лишь в редких битвах. Поэтому при быстром развитии надежнее использовать героев, чья специальность пусть не столь крута, но зато пригодится в каждом бою первых недель.
На предельной сложности, если на карте не особенно много валяющихся ресурсов, полезна Каитлин (Caitlin) со своими ежедневными 350 золотыми и увеличенной маной. Ну и, конечно, в качестве второго героя она всегда очень желанна – в начале игры денег лишних не бывает.</t>
  </si>
  <si>
    <t xml:space="preserve">     При опоре на стрелков обязательным действием помимо стандартного выкупа второго-третьего героя является улучшение Арбалетчиков до Стрелков на первый-второй день (это уж как повезет с жилищем арбалетчиков). 20-30 Стрелков под командой Валески – это весьма приличная сила, и если повезет получить с вторым-третьим героями Грифонов, Адских гончих, Наездников на волках или Кентавров, то Копейщиков можно в армию и не брать, увеличивая её мобильность без особого ущерба для пробивной способности. Большинство нейтралов 1-2 уровня проходятся без проблем, небольшие отряды медленной пехоты старших уровней вплоть до Дендроидов также расстреливается. Возможность пройти стрелков 3-4 уровня зависит от их количества и способности своих существ заблокировать противника. Если это не получится на второй ход – нападение обычно не имеет смысла, слишком быстро тают наши стрелки в дуэли. Ну и возможность пройти летунов всецело зависит от того, успеет ли пехота прикрыть стрелков раньше подлета противника (при навыке Тактики, понятно, проходятся все первые четыре уровня, за исключением, может, улучшенных Вампиров в весомых количествах, да и малые группы пятого уровня – тоже).</t>
  </si>
  <si>
    <t xml:space="preserve">     В городе на первой неделе отстраиваются Рыцари и, в зависимости от наличия ресурсов, либо Грифоны, либо Монахи, а также Цитадель и при особой удаче – Замок. В результате на второй неделе у Валески имеется 50-60 Стрелков под прикрытием Грифонов, или 40-50 Стрелков и 6-9 Монахов, чего опять-таки достаточно, чтобы выиграть почти что любую битву этих дней. 
При опоре на конников (это также и вариант ставки на быструю победу, то есть Rush) в городе отстраиваются Кузница, Рыцари, Конюшни, и, наконец, вожделенные Кавалеристы. Потеря в 2-3 дня при получении ударного отряда по сравнению со стрелковым вариантом – штука малоприятная, также неприятной является и зависимость отстройки от дерева, которого надобно целых 35 единиц. Конечно, дерево часто лежит на карте, но если его не хватает – это на высоких сложностях плохо. Зато если всё сошлось – мы в шоколаде. Турис с двумя конниками без потерь побеждает нейтралов, к которым Валеска со стрелками либо не может подступиться, либо побеждает с неприемлемыми потерями. Тем временем в городе ставится генератор денег, Цитадель и, если получится – Замок. А на восьмой день Кавалеристов становится 5-6 (в зависимости от наличия денег на замок), что для второй недели уже очень серьезная армия.</t>
  </si>
  <si>
    <t xml:space="preserve">     После отправления в путь армии первой недели, первое, что нужно построить – здание, приносящее 1000 золотых в день (Префектура). Конечно, лучше бы с него начинать, но обычно стрелки, появившиеся на день раньше, успевают до конца недели существенно перекрыть упущенный доход. А вот в варианте конников, если вокруг видно мало золота и сундуков, лучше отложить на день их появление, чтобы иметь немного больше золота для выкупа армии в первый день второй недели. Для бедных же карт первый день в любом случае уходит на генератор денег (решение принимается по результатам осмотра видимой местности).
Вот таковы два основных варианта развития. В общем-то, между ними можно переключаться в любой момент, глядя по ситуации с ресурсами (а на конников ещё можно переключиться, если найдена полевая конюшня, которая сразу даст нам чемпионов). Просто в стрелковом варианте любой герой, кроме Валески, будет иметь меньше стрелков и, соответственно, меньшую пробивную силу на первой неделе, да и конникам без бонуса и Тактики Турис будет сложнее бороться со многими нейтралами (хотя Мюллих это компенсирует).</t>
  </si>
  <si>
    <t xml:space="preserve">     Кроме того, вариант конников требует хорошего тактического умения, внимательности (потому что потеря одного Кавалериста очень тяжела) и крепких нервов (нужно сохранять хладнокровие, даже когда у всадника остается всего 5-10 здоровья от первоначальных 100). Стрелковый вариант безопаснее и менее критичен к потерям, и потому проще для не особо умелых игроков (как вариант, можно к конникам добавить слабых существ, например, Грифонов или снятых с чужого героя Кентавров, Наездников на волках, Гарпий, Горгулий, Элементалей воздуха, Змиев, Адских гончих, которых тогда и будут бить в первую очередь… они почти не притормозят армию).
Ещё стрелковый вариант ближе подводит к Ангелам – если вдруг случилось изобилие ресурсов (или игра идет на низкой сложности), можно после Рыцарей вместо Грифонов сразу построить Гильдию магов, Монахов и Ангелов, а тогда два Ангела на восьмой день – это армия совершенно замечательная, можно устроить победный марш по карте. Впрочем, с варианта конников к Ангелам тоже можно свернуть, если неожиданно обнаружились досягаемые богатства, сразу после Рыцарей или даже Конюшен (теоретически даже после конников можно успеть поставить гильдию, Монахов и Ангелов, но это требует уже совершенно безумного богатства карты, либо игры на самой малой сложности).</t>
  </si>
  <si>
    <t xml:space="preserve">     В варианте конников к ним добавляются Грифоны и Ангелы, что делает возможным штурм укрепленных городов (хотя для серьезных осад всё же стоит подвозить стрелков).
Алебардщики и Крестоносцы для большинства боев не требуются (да и золота на их выкуп частенько не хватает) и копятся для главных сражений, а также могут прекрасно подойти для взятия Утопий драконов и пробивания нейтральных отрядов летунов седьмого уровня.
В наиболее тяжелых боях, когда сражается уже армия полного состава, главное, на что следует обращать внимание – обеспечение Крестоносцам безответного удара. Если требуется сделать это сразу, ответный удар могут снять Архангелы, Чемпионы или Грифоны, если после ожидания – это прекрасно делают Алебардщики. Также следует крайне внимательно выбирать время для магического вмешательства героя. Это верно для любой армии, но гораздо важнее для особо уязвимых к враждебной магии. Если есть шанс смять врага первым натиском, гарантировав этим победу, высокая скорость Архангелов такую возможность дает, вкупе с фирменным заклинанием школы Воды – Молитва (хотя массовое Ускорение тоже отлично работает), а в идеале – ещё и с Тактикой. </t>
  </si>
  <si>
    <t xml:space="preserve">     Если же битва точно затянется – надежнее выждать хода противника, имея возможность нейтрализовать проклятия (и особенно Берсерк!) своими благословлениями и лечениями. Важный нюанс – если герою не повезло выучить Экспертное Воскрешение, но зато имеется Клон, то последнее заклинание может сильно помочь – клонированные Архангелы воскрешают не хуже оригинальных, даже если те уже истратили свое воскрешение.</t>
  </si>
  <si>
    <r>
      <t xml:space="preserve">     Оплот</t>
    </r>
    <r>
      <rPr>
        <sz val="10"/>
        <rFont val="Arial"/>
        <family val="2"/>
        <charset val="204"/>
      </rPr>
      <t xml:space="preserve"> - Самый «воинский» замок, как ни парадоксально это звучит. Конечно, у эльфов магия ничем не ограничена, но слабые родные маги и сильная армия с антимагическими специализациями настойчиво подталкивают на путь игры воином с магической поддержкой. А ещё город знаменит самой мощной экономикой – Сокровищница гномов дает 10% прибавки к золотому запасу на последний день недели, а Таинственный пруд еженедельно поставляет некоторое количество случайных ресурсов. Так что городу есть что предъявить и в быстрой и в долгой игре.</t>
    </r>
  </si>
  <si>
    <r>
      <t xml:space="preserve">     Армия</t>
    </r>
    <r>
      <rPr>
        <sz val="10"/>
        <rFont val="Arial"/>
        <family val="2"/>
        <charset val="204"/>
      </rPr>
      <t>: у эльфов превосходна – отличается самой большой «мясистостью» (количеством здоровья армии) и очень мощным ударом (второй по силе удара улучшенной армии после Замка и самый сильный без улучшений), при этом делит третье место по скорости, относительно дешева (третье место по абсолютной дешевизне и первое – по стоимости одного здоровья), плюс обладает превосходным набором магических защит (гномы могут отразить враждебную магию, направленную на них, единороги – на своих соседей, а пегасы удорожают заклинания героям противника). Особого упоминания заслуживают Дендроиды (крепкие и многочисленные, особо ценные способностью «привязать» противника к месту), Серебряные пегасы (очень быстрые, многочисленные и осложняющие вражескую магию), улучшенные эльфы (выдающаяся для младших уровней сила двойного залпа) и улучшенные Кентавры (очень быстрые, крепкие и многочисленные). А поскольку эти замечательные существа появляются рано, понятно, что городу обеспечен легкий старт.</t>
    </r>
  </si>
  <si>
    <r>
      <t xml:space="preserve">     Герои</t>
    </r>
    <r>
      <rPr>
        <sz val="10"/>
        <rFont val="Arial"/>
        <family val="2"/>
        <charset val="204"/>
      </rPr>
      <t xml:space="preserve">: Рейнджеры (Rangers) – отличные воины, прекрасно дополняющие свои войска, Друиды (Druids) – очень слабые маги (даже воин-Алхимик победит Друида в магической дуэли) без хороших навыков. Особое внимание стоит уделить трем выдающимся воинам, имеющим стартовый навык Стрельбы: Киррь (Kyrre) специализируется в Логистике и благодаря этому превосходна на больших картах, Ивор (Ivor) усиливает и ускоряет эльфов, которых с собой может привести до дюжины, и имеет кроме того Нападение, Енова (Jenova) имеет сразу продвинутую Стрельбу, обеспечивая дополнительную гибкость в развитии, и приносит 350 золотых в день, что бесценно при игре на предельной сложности. Ценно и то, что эту троицу, в отличие от супергероев, обычно не запрещают (иногда под запрет попадает Киррь). Всегда же запрещают ещё одного по-своему замечательного героя – Риланда, который сочетает ускорение Дендроидов, и навыки Лидерство и Дипломатия, что позволяет при удачном раскладе резко усилить армию и избежать падения боевого духа из-за совмещения в ней разных мировоззрений. </t>
    </r>
  </si>
  <si>
    <t xml:space="preserve">     Есть и пара экзотических вариантов, которые не рекомендуются новичкам, но могут оказаться крайне неприятным сюрпризом для противника в руках игрока опытного – Торгрим (Thorgrim), который специализируется на сопротивлении магии, и может заставить вражеского мага беситься от бессилия, и Мепхала (Mephala), специалист по Защите, аналогично смущающая любителей нападать.</t>
  </si>
  <si>
    <r>
      <t xml:space="preserve">     Магия</t>
    </r>
    <r>
      <rPr>
        <sz val="10"/>
        <rFont val="Arial"/>
        <family val="2"/>
        <charset val="204"/>
      </rPr>
      <t>: магическая гильдия не имеет ограничений по уровню (хотя в ней недоступен ряд заклинаний) и особых склонностей (если не считать за таковую очень часто встречающееся заклинание Ледяная молния). Проблема не в самой магии, а в героях, точнее их ничтожной магической силе. Конечно, у друидов магическая сила относительно быстро растет, но во-первых, подтягивается лишь до посредственного уровня, а во-вторых, не может толком помочь армии первую пару недель, которые важнее всего, то есть старт с опорой на магию не получится.</t>
    </r>
  </si>
  <si>
    <r>
      <t xml:space="preserve">     Отстройка</t>
    </r>
    <r>
      <rPr>
        <sz val="10"/>
        <rFont val="Arial"/>
        <family val="2"/>
        <charset val="204"/>
      </rPr>
      <t>: город в общем-то средний по стоимости отстройки, очень требователен к кристаллам, но они и в самом городе производятся, и на карте добываются относительно легко (спасибо гномам, создающим свои хранилища). Тем не менее, существует ряд сложностей из-за резких перекосов в требованиях к ресурсам: на первых днях часты проблемы с деревом, при высокой сложности игры и небогатой карте стройка может застопориться из-за нехватки кристаллов на жилище пегасов, единороги требуют весьма ощутимого количества самоцветов, а на драконов нужна прорва руды, не считая второго уровня магической гильдии для постройки и третьего – для улучшения. Каждая из этих проблем не особо критична, но может доставлять неприятности. К счастью, сила эльфийских войск позволяет как успешно решать проблемы ресурсов, так и обходиться без существ, которых не получается построить.</t>
    </r>
  </si>
  <si>
    <r>
      <t xml:space="preserve">     Старт.</t>
    </r>
    <r>
      <rPr>
        <sz val="10"/>
        <rFont val="Arial"/>
        <family val="2"/>
        <charset val="204"/>
      </rPr>
      <t xml:space="preserve"> Если производится выбор героя перед началом игры, стоит подумать об одном из вышеназванных. Предпочтительнее для больших карт – Киррь, для средних и малых – Ивор, для предельной сложности – Енова. Ну и Риланд – где угодно для любителей немного рискнуть и здорово выиграть (иногда весьма долго могут не присоединяться нейтралы, а пробивная сила армии без навыка Стрельба слегка страдает… хотя как раз эльфийская армия может себе позволить отказ от профильных воинских навыков относительно безболезненно).</t>
    </r>
  </si>
  <si>
    <t xml:space="preserve">     Для начала смотрим на войска выбранного героя и героя в Таверне. Чем больше эльфов – тем лучше. Ну и, соответственно, строим эльфов же на первый-второй день, смотря по ресурсам и окружающим нейтралам (во многих случаях, особенно если ближние нейтралы всё равно пробиваются без потерь, в первый день стоит поставить здание, приносящее 1000 золотых в день) и крайне желательно их улучшить. Десяток Великих эльфов – вполне приличная сила, особенно вкупе с полусотней Кентавров. А у Ивора может собраться даже и два десятка, тогда они могут отлично воевать несколько дней даже без улучшения. Тактика элементарная – Кентавры обступают эльфов, эльфы стреляют, кентавры добивают дошедших. Как вариант, если пешеходов много, но они тормозные – в тыл может забежать одиночка-смертник. Он погибнет, но зато нейтралы подойдут под стрелы эльфов по очереди, и к рукопашной с Кентаврами их станет меньше, так что не особенно много убьют, если вообще переживут первый удар. Не работает эта тактика с сильными стрелками и быстрыми летунами (крайне нежелательны потери эльфов), но таких обычно на первой неделе пробивать и не требуется.</t>
  </si>
  <si>
    <t xml:space="preserve">     Если совпало так, что эльфов (в варианте без Ивора) у героев совсем нет, можно сделать ставку на Кентавров, улучшив их. Полсотни кентавров со скоростью 8 (а на траве и все 9), соответствующим здоровьем и отменным ударом – прекрасная ударная сила, даже многих низкоуровневых стрелков могут побить весьма эффективно.</t>
  </si>
  <si>
    <t xml:space="preserve">     В городе на первой неделе строим Пегасов (если хватает кристаллов), Цитадель, а при удаче – и Замок. Если остается заведомо много денег – можно и Дендроидов поставить. Армия второй недели – 20-30 Великих эльфов и до сотни Кентавров, плюс сколько-то Пегасов, если они есть. Ударная сила такой армии очень велика, и мобильность на карте прекрасна. Капитально улучшить её могут навык Тактика (гарантированное прикрытие эльфов, чрезвычайно желательный навык для эльфийских героев) и заклинание Медлительность. Это уже вообще страшное дело. Вполне можно обидеть соседа, если он неподалеку. Для боев со стреляющими нейтралами и вражескими героями очень полезно улучшить Пегасов – это практически гарантия получения первого хода для колдовства и блокирования стрелков. В осадах очень часто помогает выдвижение Кентавров под стены – башни и стрелки переключаются на них, что позволяет эльфам стрелять как в тире. Особых вариантов у этой тактики нет, да они и не требуются. Разве что подвозить Дендроидов к тем битвам, где приходится иметь дело с сильными рукопашниками, чтобы те постояли связанными и не убивали лишний раз Кентавров… но это редко по-настоящему нужно.</t>
  </si>
  <si>
    <r>
      <t xml:space="preserve">     Типичные армии и тактики последующей игры</t>
    </r>
    <r>
      <rPr>
        <sz val="10"/>
        <rFont val="Arial"/>
        <family val="2"/>
        <charset val="204"/>
      </rPr>
      <t>: После более-менее полной отстройки города армия эльфов особо не изменяется – просто к Кентаврам, Эльфам и Пегасам добавляются драконы и Единороги (последние – если золота хватает). 
Тактика против нейтралов стереотипна – по пехоте эльфы стреляют, а прочие зачищают подходящих врагов, стрелки блокируются Пегасами и драконами, которые довольно живучи в такой рукопашной, большинство летунов не успевает эльфов заблокировать – опережают Пегасы и драконы, даже если герой не обзавелся Тактикой.</t>
    </r>
  </si>
  <si>
    <t xml:space="preserve">     Против вражеских героев особых вариаций нет, если не считать маневров с Единорогами, чтобы они стояли в соседстве с максимально большим количеством существ, давая им шанс отразить вражескую магию… но против массовых заклинаний типа Метеоритного дождя  и массовых ударов (Личи и Магоги) это может наоборот потери увеличить.</t>
  </si>
  <si>
    <t xml:space="preserve">     Дендроиды и гномы обычно главную армию не сопровождают, чтобы не тормозить, и частенько даже не выкупаются. Зато дают весьма весомую гарантию от захвата города неожиданным налетом. Удачно использовав способности существ, можно выдержать осаду вдвое и более превосходящей армии (сильно зависит от её состава и способностей героя… если у того нет мощной магии и баллистики, а в рядах армии мало сильных отрядов летунов и стрелков, то можно и в разы более сильную армию отбить).</t>
  </si>
  <si>
    <t xml:space="preserve">     Кроме того, дендроиды с гномами – замечательная армия для взятия Утопий драконов и добывания Ангелов и Виверн из соответствующих строений на карте. Если их недостаточно для эффективной зачистки охраны, можно подкинуть рукопашников из главной армии.
Даже главные сражения зачастую обходятся без этой блестящей, но тормозящей армию пехоты – ударной силой служат драконы, пегасы и кентавры, а для охраны эльфов кроме единорогов нередко можно нанять крепких пехотинцев с хорошей скоростью в захваченных городах (Королевские наги, Кавалеристы, Скорпикоры, Виверны, Птицы рух, Красные драконы, Огненные птицы, Ангелы, Древние чудища – все они крепки и быстры, и их не так жалко терять, как свои отряды, которые выгоднее копить… главное – брать не больше одной расы, если нет артефактов на мораль или Ангелов… а лучше всего, конечно, Архангелы, которые и в обороне стоят крепко, и мораль не роняют, и первый ход обеспечивают часто, и воскресить павших могут).</t>
  </si>
  <si>
    <r>
      <t xml:space="preserve">     Армия:</t>
    </r>
    <r>
      <rPr>
        <sz val="10"/>
        <rFont val="Arial"/>
        <family val="2"/>
        <charset val="204"/>
      </rPr>
      <t xml:space="preserve"> довольно приличная как по «здоровью» (третья сумма здоровья улучшенной армии после эльфов и элементалистов), так и по удару (по номиналу величина удара средняя, а вот по цели с защитой 10 уже уступает лишь Замку), причем почти две трети этого удара могут наноситься безответно, что является абсолютным рекордом. Да ещё и неплохой набор антимагических защит у армии имеется. Но обходится эта роскошь безумно дорого: по стоимости найма улучшенной армии Башня также держит абсолютный рекорд, вернее – антирекорд. И скорость у армии невелика, только варваров с болотниками немного опережает. По части выдающихся существ придется перечислить почти весь состав: Титаны (самые мощные стрелки в игре, не поддаются контролю противника), Королевские наги (сильнейшая пехота 6 уровня, благодаря безответному удару), улучшенные Джинны (умеют колдовать благословления на свои войска, на продвинутом уровне длительностью 6 ходов), Архимаги (без штрафа стреляют через стены и снижают стоимость заклинаний своему герою), Стальные големы (несут лишь четверть урона от ударных заклинаний), улучшенные Гремлины (единственные стрелки первого уровня, очень многочисленные и наносящие весомые удары).</t>
    </r>
  </si>
  <si>
    <r>
      <t xml:space="preserve">     Герои</t>
    </r>
    <r>
      <rPr>
        <sz val="10"/>
        <rFont val="Arial"/>
        <family val="2"/>
        <charset val="204"/>
      </rPr>
      <t>: Алхимики (Alchemists) как воины выглядят весьма скромно, хотя в магическом искусстве вполне могли бы поспорить с доброй половиной магов. Но если уж хочется поколдовать, то в городе имеются урожденные Маги (Wizards), способные потягаться с кем угодно благодаря отменному запасу маны, которую ещё и Маги-существа экономят. Два мага даже подвергаются остракизму на турнирах – Солмир (Solmyr) со своим заклинанием Цепная молния и Кира (Cyra) со своей Дипломатией и усиленным Ускорением.</t>
    </r>
  </si>
  <si>
    <r>
      <t xml:space="preserve">     Магия</t>
    </r>
    <r>
      <rPr>
        <sz val="10"/>
        <rFont val="Arial"/>
        <family val="2"/>
        <charset val="204"/>
      </rPr>
      <t xml:space="preserve">: ну а как может быть с этим у магов? Само собой, всё превосходно – самая богатая магическая гильдия, благодаря Библиотеке нередко дает ощутимое преимущество – если шестое заклинание первого уровня не столь часто оказывается особо полезным, то вот третье заклинание четвертого уровня резко повышает шансы на Воскрешение или Городской портал, а второе заклинание пятого уровня вообще комментариев не требует. Иногда говорят, что магия Башни тяготеет к Воздуху, но это разве что из-за Удара молнии, который появляется очень часто (ну и Магия воздуха выпадает чаще при повышении уровня). На самом деле есть целый ряд заклинаний Магии воздуха, которые проще получить в других городах, а магия Башни почти универсальна (почти – потому что часть заклинаний Магии огня там запрещена). </t>
    </r>
  </si>
  <si>
    <r>
      <t xml:space="preserve">     Отстройка</t>
    </r>
    <r>
      <rPr>
        <sz val="10"/>
        <rFont val="Arial"/>
        <family val="2"/>
        <charset val="204"/>
      </rPr>
      <t>: дело долгое и крайне дорогое. Если по стоимости воинских жилищ город занимает четвертое место, то стоимость полной отстройки с учетом ресурсов далеко опережает все остальные города. Кроме того, в постройке воинских жилищ есть очень неприятный подводный камень – для постройки Магов (которые открывают путь к трем старшим существам) необходимо иметь не только магическую гильдию, но и по пять единиц всех ресурсов, поэтому на высшей сложности игры могут случиться накладки вплоть до невозможности построить жилища воинов старше 3 уровня на первой неделе (при небогатой карте или невезении с каким-нибудь магическим ресурсом). Один просвет – очень дешевое жилище Гигантов, половине городов по такой цене или даже дороже обходится шестой уровень. Зато его улучшение до Титанов рекордно дорог. Так что именно для магов самая желанная находка – Форт на холме.</t>
    </r>
  </si>
  <si>
    <r>
      <t xml:space="preserve">     Старт.</t>
    </r>
    <r>
      <rPr>
        <sz val="10"/>
        <rFont val="Arial"/>
        <family val="2"/>
        <charset val="204"/>
      </rPr>
      <t xml:space="preserve"> Если производится выбор героя перед началом игры, стоит думать прежде всего о четырех: Солмир очень хорош, если ожидается ранний бой, где пригодится его фирменное заклинание, Кира – если хочется развлечься с Дипломатией, Аин (Aine), дающая 350 золотых ежедневно – на предельной сложности игры при небогатых картах, ну и Торосар (Torosar) универсален. Вообще-то Алхимик – не самый удачный выбор, но Торосар – случай особый. Во-первых, он имеет Тактику, что гарантирует защиту Гремлинов от рукопашной. Во-вторых, у него со старта имеется Волшебная стрела, что позволяет сразу отправляться в поход, не дожидаясь постройки магической гильдии, и при этом иметь дополнительную ударную силу, причем обычно малополезный Мистицизм как раз в этом случае может нормально работать. В-третьих, у него есть Баллиста, и хотя управлять ею Торосар не умеет, зато нейтралы исправно её атакуют, что сберегает жизни воинов. В результате именно Торосар обеспечивает самый легкий старт.</t>
    </r>
  </si>
  <si>
    <t xml:space="preserve">     В первый день обязательно улучшается жилище Гремлинов, и после выкупа второго героя у нас собирается около 80 стрелков (а если попадется и третий герой своей расы, то и хорошо за сотню), и пусть они весьма слабы индивидуально, их общий выстрел позволяет успешно разбивать медленную и среднескоростную пехоту и летунов, а Торосар обеспечивает и победу над быстрыми без ущерба в стрелковой мощи. Главное – чтобы горгулий хватало на защиту гремлинов. Отменно хороши для защиты гремлинов големы, но армию заметно тормозят, а тратить день и ресурсы на их улучшение невыгодно. Если действие разворачивается не на снежной территории, можно использовать для прикрытия пехоту, пришедшую с чужими героями – Кентавры, Гоблины, Наездники на волках, Гарпии, Грифоны, Адские гончие, Элементали воды и воздуха справляются с этим без замедления армии, да и не жалко их терять – всё равно отряды нечем пополнять. На второй неделе в армию добавляются Маги и Наги, что сразу позволяет сражаться с серьезной пехотой.</t>
  </si>
  <si>
    <t xml:space="preserve">     На третьей неделе (а ещё лучше на второй, если получится) очень полезным добавлением к этой армии являются улучшенные Джинны, их заклинания часто помогают пройти битву без потерь, либо потери резко снижаются (например, если они наложат благословление на гремлинов – их выстрел станет вдвое сильнее, а ведь ещё бывают Точность, Молитва, Ускорение и Бешенство!).</t>
  </si>
  <si>
    <r>
      <t xml:space="preserve">     Типичные армии и тактики последующей игры: </t>
    </r>
    <r>
      <rPr>
        <sz val="10"/>
        <rFont val="Arial"/>
        <family val="2"/>
        <charset val="204"/>
      </rPr>
      <t>В часто встречающемся случае, когда из-за дефицита золота для охраны Магов и Гремлинов на восьмой день были выкуплены не все Наги, возможно формирование второй армии только из Королевских наг. Это отменная пробивная сила, особенно они хороши под командой Фафнера (Fafner), который обеспечивает им скорость 8, а на снегу и все 9.</t>
    </r>
  </si>
  <si>
    <r>
      <t xml:space="preserve">     Типичные армии и тактики последующей игры: </t>
    </r>
    <r>
      <rPr>
        <sz val="10"/>
        <rFont val="Arial"/>
        <family val="2"/>
        <charset val="204"/>
      </rPr>
      <t>После более-менее полной отстройки города возникают различные варианты, кем воевать. В стрелковом варианте прекрасно действует связка Арбалетчики-Грифоны, с последующим добавлением Фанатиков, герой с ними довольно быстро передвигается по карте, побеждает большинство нейтралов, и захватывает слабо укрепленные города.
После появления Архангелов они сначала добавляются в основную армию, обеспечивая прохождение множества боев без потерь, благодаря воскрешению павших. Ну а затем герой может ходить только с ними, как только Архангелов становится более 5 (имея в виду минимум два отряда по три Архангела, каждый из которых может воскресить павшего собрата в другом отряде, а пять Архангелов воскрешают двоих, то есть возмещаемые потери в каждом бою могут составлять до 30-40% общей численности… хотя для таких боев требуется изрядное мастерство, надежнее в них не соваться, ограничиваясь теми, где теряется лишь 1-2 крылатых воина). Тогда получается максимальная мобильность армии при высокой пробивной силе. Можно также архангельскую армию разбавлять Грифонами – это увеличивает пробивную силу и бережет жизни Архангелов, так что их может хватить даже пары-тройки.</t>
    </r>
  </si>
  <si>
    <t xml:space="preserve">     После появления Титанов становится возможным создать быструю армию с хорошей пробивной силой из них и Джиннов (которые только колдуют). Такая армия может, например, стать второй и пройтись по пропущенным главной армией нейтралам или в ранее неисследованном направлении. А если главный герой уже стал крутым, то и он может воевать с такой армией (хотя, разумеется, для сражения с главными войсками противника придется подтянуть подкрепления).</t>
  </si>
  <si>
    <t xml:space="preserve">     Для главной армии в тяжелых сражениях очень хорошо срабатывает формирование трех-четырех ударных отрядов (гремлины-маги-наги-Титаны, на поздних этапах гремлины отцепляются, чтобы не тормозить армию на марше, и подвозятся только для осад, где принимают удары Стрелковых башен, чтобы от них не страдали маги) и заполнение оставшихся слотов Джиннами – одиночками и основным отрядом, ради их колдовства. Джинны не колдуют заведомо бесполезных заклинаний (например защиты от магии против нейтралов или Воздушный щит против пехоты), поэтому в большинстве сражений их магия очень пригождается, даже если сам герой уже очень образованный маг. </t>
  </si>
  <si>
    <t xml:space="preserve">     Единственное исключение – в битвах с вражескими героями не стоит использовать их колдовство на отряды, которые герою заведомо предстоит воскрешать, а то нередко случается Антимагия, и потери становятся безвозвратными. После того, как основной отряд Джиннов достигает весомой численности (несколько десятков), они всё чаще становятся и ударной силой (главное условие их использования – чтобы их удар убивал противника с гарантией, потому что бьют они сильно, но сами хрупки и терять их нерационально).
Если по ходу игры нежданно-негаданно образовалось изобилие денег, можно возвести лавку Торговца артефактами и поменять золото на полезную в хозяйстве вещь.</t>
  </si>
  <si>
    <r>
      <t xml:space="preserve">     Некрополис -</t>
    </r>
    <r>
      <rPr>
        <sz val="10"/>
        <rFont val="Arial"/>
        <family val="2"/>
        <charset val="204"/>
      </rPr>
      <t xml:space="preserve"> Самый парадоксальный город – по статистике полный аутсайдер, а на деле – один из двух запрещаемых на турнирах, наравне с дисбалансным Сопряжением. Необычны и уникальные строения – Вуаль Тьмы закрывает противнику карту вокруг города, Усилитель чёрной магии помогает поднимать больше нежити после битвы, а Преобразователь скелетов превращает в костяки любые чужие войска.</t>
    </r>
  </si>
  <si>
    <r>
      <t xml:space="preserve">     Армия:</t>
    </r>
    <r>
      <rPr>
        <sz val="10"/>
        <rFont val="Arial"/>
        <family val="2"/>
        <charset val="204"/>
      </rPr>
      <t xml:space="preserve">  теоретически – самая слабая. Предпоследняя по «здоровью» и последняя по наносимому удару, третья с конца по скорости, и при этом средняя по стоимости. Разве что иммунитет к заклинаниям, воздействующим на разум, очень полезен: ни ослепить, ни рассеянность внушить, ни загипнотизировать, ни берсерками сделать… Но в целом, вовсе бы говорить не о чем, кабы речь шла лишь о городском приросте. Однако фокус заключается в том, что прирост идет не только из города, а из каждого почти сражения, да ещё любой чужой отряд может быть превращен в скелеты. В результате при более-менее затяжной игре армия у некромантов – как раз самая большая и сильная. </t>
    </r>
  </si>
  <si>
    <t xml:space="preserve">     Так что в итоге она при равной квалификации игроков может проиграть лишь при ошибках или ранней атаке противника. Из существ особого упоминания заслуживают Рыцари смерти (очень мощные для шестого уровня, имеющие шанс проклясть противника и нанести ему двойной урон), Личи (сильные стрелки, поражающие облаком смерти все соседние с целью клетки), улучшенные Вампиры (безответный удар и восстановление за счет жизни убитых ими врагов), и Скелеты (совершенно заурядные, но прирастающие за счет Некромантии до огромных количеств, и решающие исход сражений).</t>
  </si>
  <si>
    <r>
      <t xml:space="preserve">     Герои:</t>
    </r>
    <r>
      <rPr>
        <sz val="10"/>
        <rFont val="Arial"/>
        <family val="2"/>
        <charset val="204"/>
      </rPr>
      <t xml:space="preserve">  как классы и Рыцари смерти (Death Knights), и Некроманты (Necromancers) посредственны, но отлично подходят к своей армии. А выдающихся личностей хватает. Аислин (Aislinn) даже запрещается на турнирах из-за своего заклинания Метеоритный дождь. Помимо неё очень сильными героями являются Тант (Thant), изначально имеющий усиленное Поднятие мертвецов, Исра (Isra) и Видомина (Vidomina), изначально имеющие продвинутую Некромантию и имеющие бонус к ней, и Галтран, ускоряющий и усиливающий скелетов, которых может привести с собой до 90 штук (но обычно просто более полусотни).</t>
    </r>
  </si>
  <si>
    <r>
      <t xml:space="preserve">     Магия:</t>
    </r>
    <r>
      <rPr>
        <sz val="10"/>
        <rFont val="Arial"/>
        <family val="2"/>
        <charset val="204"/>
      </rPr>
      <t xml:space="preserve"> вполне полноценная, не имеет ограничений по уровню, хотя есть специфика, связанная с тем, что вся армия города состоит из нежити. Во-первых, есть два уникальных заклинания Волна смерти (Death Ripple) и Поднятие мертвецов (Animate Dead, отличается от Воскрешения постоянным эффектом даже без знания магии Земли), запрещенные в других городах. Во-вторых, в гильдии запрещены заклинания, бесполезные для нежити (Лечение, благословление, Молитва) и несколько других, включая наоборот вредное для нежити Уничтожение мертвецов. В-третьих, удвоена вероятность появления заклинания Берсерк.</t>
    </r>
  </si>
  <si>
    <r>
      <t xml:space="preserve">     Отстройка:</t>
    </r>
    <r>
      <rPr>
        <sz val="10"/>
        <rFont val="Arial"/>
        <family val="2"/>
        <charset val="204"/>
      </rPr>
      <t xml:space="preserve"> недорогая (шестое место по стоимости, причем что касается воинских жилищ, то стоит ближе к трем дешевым городам, чем к остальной пятерке) и не особо требовательная к ресурсам, хотя имеет три «подводных камня» на трех старших уровнях. Для Личей требуется много серы, что может надолго затягивать отстройку при высоких сложностях и неудачных раскладах по ресурсам. Очень дорого обходится строительство Черных рыцарей (часто приходится выбирать между ними и Замком, и практически всегда – в их пользу). Наконец, для Костяных драконов при средней цене постройки требуются все шесть ресурсов, что не всегда удается обеспечить к требуемому сроку. К счастью, эти препятствия не очень критичны для армии Некрополиса, которой есть чем компенсировать временное отсутствие старших воинов.</t>
    </r>
  </si>
  <si>
    <t xml:space="preserve">     Все существа имеют иммунитет к Слепоте, Проклятию, Берсерку, Благословению, Гипнозу и Воскрешению. Боевой дух их всегда нейтрален, но наличие этих существ в войске снижает боевой дух войска на единицу.</t>
  </si>
  <si>
    <r>
      <t xml:space="preserve">     Старт.</t>
    </r>
    <r>
      <rPr>
        <sz val="10"/>
        <rFont val="Arial"/>
        <family val="2"/>
        <charset val="204"/>
      </rPr>
      <t xml:space="preserve"> Если производится выбор героя перед началом игры, то пять отличных кандидатур уже названы. Для максимальной сложности на бедных ресурсами картах также очень хорош Клавиус (Clavius), приносящий ежедневно 350 золотых, имеющий навык Нападения и заклинание Магическая стрела (этот город, как и Сопряжение, имеет двух денежных героев, но некромант Нагаш (Nagash) предпочтителен как вторичный герой, поскольку без навыка и боевого заклинания, да с худшими боевыми параметрами, он меньше помогает армии). Выбор также в значительной мере может зависеть от необходимости быстрого развития.</t>
    </r>
  </si>
  <si>
    <t xml:space="preserve">     Некрополис очень медленно наращивает силу армии на первой неделе из-за того, что не имеет сильных ударных отрядов: Личи появляются поздно, а младшие существа слабы, немногочисленны, и имеют низкую скорость, из-за чего скелеты при не особо умелом управлении постоянно несут потери, превышающие их приход от некромантии. Магия также мало помогает на этом этапе – слабы пока заклинания и мало маны. Поэтому, если карта не обещает возможность долгой раскачки, лучший выбор – Галтран. Его орда скелетов имеет скорость 5, а на родной земле и все 6, что резко меняет ход боя во многих случаях (Скелеты смогут «переждать» множество противников со скоростью 4-5), плюс увеличиваются их навыки, да и навык Защита с заклинанием Щит тоже иногда могут внести свой вклад. Галтран в этом случае может нападать на довольно сильные отряды нейтралов, избегая только сильных стрелков. Остальным же героям стоит быть осторожнее, нападая в основном на слабые отряды низкоуровневых пехотинцев и летунов.</t>
  </si>
  <si>
    <t xml:space="preserve">     Первые дни развития имеют одну особенность в зависимости от героев в Таверне – если имеющихся сил маловато для пробивания обнаруженных нейтралов (из-за малой пробивной силы будут большие потери), а в Таверне маячат Шакти или Гретчин со своими ордами существ (в этой роли могут выступить также Игнат и Дракон, если с ними много войск), то целесообразно первым делом построить Преобразователь скелетов (Skeleton Transformer), нанять героя и превратить его многочисленный отряд в скелеты. Это резко увеличивает пробивную силу армии, и, как следствие, ускоряет развитие главного героя и города.</t>
  </si>
  <si>
    <t xml:space="preserve">     Аналогично, очень имеет смысл потратить день на это строение, если вдруг присоединится многочисленный отряд низкоуровневых существ. В остальном отстройка первых дней стереотипна – Живые мертвецы, Вампиры, магическая гильдия. После этого стоит оценить имеющиеся ресурсы и те, что ещё успеете добыть за оставшиеся дни. Если золото, дерево и руда имеются в изобилии, строим Личей и Черных рыцарей (при удаче возможны также Цитадель, или даже Замок). Если ресурсов маловато, ограничиваемся Личами, Цитаделью и при удаче - Замком. Наконец, если возникли проблемы с серой (случается на высшей сложности и неудачном раскладе ресурсов на карте), можно попробовать выстроить Замок и по возможности произвести улучшение Вампиров (когда кристаллы с самоцветами имеются в нужном количестве). На второй неделе главную партию в битвах исполняют 6-9 Личей, которые поливают врагов смертельными выстрелами, а остальные добивают подошедших.</t>
  </si>
  <si>
    <t xml:space="preserve">     При наличии Чёрных рыцарей, и если главный герой не Галтран, Скелетов из армии можно даже высадить – большую часть боев второй недели армия и без них выиграет, не неся потерь, зато получит дополнительную мобильность. Скелетов, в том числе получаемых за счет некромантии, может за главной армией возить другой герой. Ещё один вариант – отрядить скелетов во вторую армию, которая будет действовать самостоятельно (если Галтран занят главной армией, лучше всего это получится у Изры или Видомины, которые быстро пополняют ряды скелетов).</t>
  </si>
  <si>
    <t xml:space="preserve">     Во всех битвах, если не удается обеспечить Скелетам превосходство в скорости, стоит действовать ими очень осторожно – любые противники будут использовать все возможности для сокращения их числа (если только рядом не окажется более безопасная цель), и весьма легко при неточной игре вместо прироста Скелетов получить уменьшение их отряда. В городе строятся сначала денежные здания (частенько хватает Муниципалитета) и затем оставшиеся воинские жилища. Ну и Усилитель чёрной магии не забыть – вещь сугубо полезная.</t>
  </si>
  <si>
    <r>
      <t xml:space="preserve">     Типичные армии и тактики последующей игры: </t>
    </r>
    <r>
      <rPr>
        <sz val="10"/>
        <rFont val="Arial"/>
        <family val="2"/>
        <charset val="204"/>
      </rPr>
      <t xml:space="preserve">После полной отстройки замка вполне возможно формирование трех дееспособных армий: одна может состоять из Черных рыцарей и Личей, другая – из Скелетов, третья – только из улучшенных вампиров (имеет смысл, когда их число переваливает за 20, иначе ими воевать трудновато). Драконы и привидения добавляются к первой или второй армии по необходимости. Само собой, это верно против нейтралов, для подавления вражеских армий необходимо объединение своих сил. </t>
    </r>
  </si>
  <si>
    <t xml:space="preserve">     Для тактики Некрополиса большое значение имеют артефакты – нахождение артефактов, увеличивающих здоровье и скорость существ, резко повышает силу и роль скелетов, а если удастся найти или собрать Плащ короля нежити – о скелетах сразу забывают, поскольку после боя вместо них из мертвых врагов поднимаются целые Личи.</t>
  </si>
  <si>
    <t xml:space="preserve">     При формировании армии требуется сделать выбор – поднимать простых Скелетов и Личей, или улучшенных. Улучшенные поднимаются, если после боя в армии нет ни одного свободного слота для них, и есть только улучшенный отряд, но при этом поднимается только 2/3 от количества базовых существ. Что выгоднее: иметь меньшее количество более сильных и быстрых существ, или большее количество более слабых – это решение неоднозначное. В общем случае простые выгоднее, если их можно быстро свозить на улучшение, а если нет – могут быть выгоднее улучшенные, поскольку их увеличенная скорость (особенно скелетов под командой Галтрана) опять-таки дает массу преимуществ в сражениях. </t>
  </si>
  <si>
    <t xml:space="preserve">     Полезно регулярно объезжать полевые жилища существ первого уровня и скупать слабейших воинов в других замках для превращения их в Скелеты (Гидры и драконы становятся костяными драконами).</t>
  </si>
  <si>
    <t xml:space="preserve">     При сражениях с армиями противника стоит формировать армию так, чтобы максимум слотов занимали Привидения, 3-5 их отрядов весьма быстро лишают маны большинство героев. Вампиров, пока их не очень много, или если вражеские отряды очень велики, нужно использовать аккуратно, чтобы враги не навалились все сразу и не сократили отряд настолько, что он не успеет поднимать своих павших. При больших потерях полезно бросить вампиров на большой отряд слабых существ для восстановления (если шанс на такие потери велик, подобный отряд нужно оставлять напоследок, убивая сначала более сильных). </t>
  </si>
  <si>
    <t xml:space="preserve">     Против сильных отрядов, особенно если они состоят из крутых воинов, первый удар целесообразно наносить скелетами, их погибнет от ответного удара много, но зато это сбережет куда более ценные и труднее восполняемые отряды. Драконами нужно пользоваться с особенной аккуратностью, они ценны даже не столько своей силой (не особенно большой удар недельной популяции уступает трем существам шестого уровня и четырем более младшим), сколько высокой скоростью, дающей преимущество при колдовстве. Может пригодиться и их способность состарить пораженного противника (при этом ополовинивается «здоровье» существ в отряде).</t>
  </si>
  <si>
    <t xml:space="preserve">     При осадах вражеских городов привидения и скелеты, выдвинутые вперед, частенько отвлекают на себя огонь башен и даже стрелков противника, позволяя личам действовать безнаказанно. Кроме того, они могут спровоцировать выход противника за стены, под удар черной конницы, которая при осадах обычно скучает.
Комбинированные армии обычно для Некрополиса бесполезны – у чужих отрядов очень плохая мораль и это не дает их толком использовать. Исключением являются «аморальные» элементали – Штормовые, Энергетические и Психические/Магические вполне могут пригодиться армии, которая ходит без скелетов.</t>
  </si>
  <si>
    <r>
      <t xml:space="preserve">     Темница</t>
    </r>
    <r>
      <rPr>
        <sz val="10"/>
        <rFont val="Arial"/>
        <family val="2"/>
        <charset val="204"/>
      </rPr>
      <t xml:space="preserve"> - Город самой убойной магии и могущественных Черных драконов к этой магии иммунных, что дает комбинацию большой силы – визитная карточка геройской серии. Незауряден и набор уникальных строений – Водоворот маны удваивает её запас, Портал вызова позволяет получить дополнительные войска, Академия боевых искусств дает героям дополнительный опыт.</t>
    </r>
  </si>
  <si>
    <r>
      <t xml:space="preserve">     Армия:</t>
    </r>
    <r>
      <rPr>
        <sz val="10"/>
        <rFont val="Arial"/>
        <family val="2"/>
        <charset val="204"/>
      </rPr>
      <t xml:space="preserve"> довольно скромная по статистике – третье с конца «здоровье» (в базовом варианте вообще минимальное), средний удар, немалая стоимость (в базовом варианте самая высокая цена очка здоровья), небогатый набор антимагических защит… разве что скорость армии высока (уступает лишь Сопряжению и Инферно). Зато армия отличается сбалансированностью и выдающимся набором летунов – по здоровью и удару своей летающей части армии уступает только Сопряжению, при этом имея отличную скорость. Особого упоминания заслуживают Черный дракон (символ всей геройской серии, в третьей части утерявший безусловное превосходство в силе, но по-прежнему имеющий максимальное здоровье, увесистый удар и полный иммунитет к магии), Скорпикоры, (быстрые и умеющие парализовать противника), Минотавры (абсолютно лучшее существо пятого уровня, всегда имеющий высокую мораль) и улучшенные Гарпии (слабые, но быстрые, наносящие безответный удар и возвращающиеся после этого на исходную позицию).</t>
    </r>
  </si>
  <si>
    <r>
      <t xml:space="preserve">     Герои:</t>
    </r>
    <r>
      <rPr>
        <sz val="10"/>
        <rFont val="Arial"/>
        <family val="2"/>
        <charset val="204"/>
      </rPr>
      <t xml:space="preserve"> великолепны. С точки зрения классовых навыков Лорды (Overlords) – обычные воины, а вот Чернокнижники (Warlocks) – маги выдающейся силы. И непревзойденный набор выдающихся личностей. Три чернокнижника-супергероя запрещаются на турнирах:  Деемер (Deemer), в активе которого – усиленное заклинание Метеоритный дождь, имеющие усиленное Воскрешение Жеддит (Jeddite) и Аламар (Alamar), причем Аламар ещё знаток Грамотности и может своему заклинанию научить всех остальных. Могут попадать под запреты и два великих воина – Шакти (Shakti), который мало того, что приводит с собою до сотни и более троглодитов, ускоряет их и усиливает, так ещё и обладает двумя отличными стартовыми навыками – Тактика и Нападение, и Гуннар (Gunnar), специалист по Логистике, вторым навыком также имеющий Тактику.</t>
    </r>
  </si>
  <si>
    <r>
      <t xml:space="preserve">     Магия:</t>
    </r>
    <r>
      <rPr>
        <sz val="10"/>
        <rFont val="Arial"/>
        <family val="2"/>
        <charset val="204"/>
      </rPr>
      <t xml:space="preserve"> практически универсальна. Кроме двух уникальных некромантских заклинаний в магической гильдии недоступны лишь Молитва и вызов воздушных элементалей. Выпадение большинства заклинаний примерно равновероятно, только у Удара молнии вероятность очень высока. В комбинации с выдающейся силой магов и магической неуязвимостью черных драконов получается оружие победы. За счет усиленного развития силы магии у Чернокнижников несколько страдает запас маны, но на этот случай в городе есть специальное строение, ману удваивающее, пусть лишь раз в неделю.</t>
    </r>
  </si>
  <si>
    <r>
      <t xml:space="preserve">     Отстройка:</t>
    </r>
    <r>
      <rPr>
        <sz val="10"/>
        <rFont val="Arial"/>
        <family val="2"/>
        <charset val="204"/>
      </rPr>
      <t xml:space="preserve"> как и положено магическому городу, долгая и дорогая. Что касается воинских жилищ, по требованиям к золоту Темница идет третьей после Замка и Инферно, но ресурсов требует больше, и по суммарной стоимости генераторов войск держит малопочетное первое место. Похожая картина и с полной отстройкой города – второе место по золоту и третье по абсолютной стоимости. В воинской отстройке есть три потенциальных препятствия. Во-первых, для Созерцателей требуется по единице всех магических ресурсов, что может тормозить отстройку на высшей сложности: не выдастся в ближайшей доступности одного какого-нибудь вида ресурсов, и все – отстройка затормозилась на втором уровне, хоть плачь. Бывает один раз из пяти, но тем обиднее.  Ладно, если удастся найти полевой рынок, но на единственном городском вульгарно может не хватить других ресурсов для обмена по грабительскому курсу. Во-вторых, на Минотавров требуется 10 самоцветов, что также, бывает, задерживает их постройку (благо, она не требуется ни для чего, кроме драконов). В-третьих, для драконов нужен второй уровень магической гильдии, что изредка опять-таки вызывает проблемы с каким-либо магическим ресурсом.</t>
    </r>
  </si>
  <si>
    <r>
      <t xml:space="preserve">     Старт.</t>
    </r>
    <r>
      <rPr>
        <sz val="10"/>
        <rFont val="Arial"/>
        <family val="2"/>
        <charset val="204"/>
      </rPr>
      <t xml:space="preserve"> Если производится выбор героя перед началом игры, то выбор весьма велик – кроме пяти уже поименованных выдающихся личностей, на высшей сложности хорош Дамакон (Damacon), дающий 350 золотых в день и имеющий продвинутое Нападение, да и другим героям есть что предложить. Тем не менее, самый легкий старт дает Шакти – с учетом снятых с другого героя и купленных в городе у него обычно собирается 100-150 троглодитов, которые представляют собой мощную ударную силу (особенно если их улучшить, что для Шакти весьма полезно), и он способен за счет Тактики и увеличенной скорости войск пробивать даже стрелковые заставы, сохраняя возможность активных боевых действий. У других героев и Троглодитов будет вполовину меньше, и медленнее они, и бьют у большинства слабее – в итоге несколько маленьких минусов дают один большой эффект: либо многие нейтралы, которых Шакти спокойно проходит, будут не по зубам, либо потери будут велики, что очень негативно повлияет на силу армии. Впрочем, если согласиться с менее агрессивным развитием, то можно спокойно растить любого другого героя. </t>
    </r>
  </si>
  <si>
    <t xml:space="preserve">     В городе на первой неделе ставится здание, приносящее 1000 золотых (для Темницы очень важно, поскольку золота нужно много), отстраиваются Гарпии, Бехолдеры и Медузы, при удаче также Цитадель или даже Замок (на низкой сложности или при особом богатстве карты можно завести Мантикор и Минотавров, но тогда уже обычно без Замка). Для Шакти в это расписание вклинивается улучшение троглодитов, для других героев очень полезно улучшить Гарпий – это снижение потерь и увеличение пробивной силы. </t>
  </si>
  <si>
    <t xml:space="preserve">     Особая история – если неподалеку обнаружено полевое жилище сильных воинов (идеально – если своих). В таком случае первоочередным заданием для строительства становится Портал вызова. Если захватить лишь одно жилище – в портале еженедельно будут войска именно оттуда. Особенно пикантно, если это жилище драконов – вместо обычных двух драконов в неделю мы получаем трех в замке, одного в портале вызова и одного в полевом жилище – целых пять! Впрочем, даже если это всего лишь Гарпии, и то прирост их удвоится.</t>
  </si>
  <si>
    <t xml:space="preserve">     Тактика стереотипна – против пехоты выстраивается «живая крепость» вокруг Бехолдеров и Гарпий, которые сокращают ряды подходящего противника, затем одиночный Троглодит (или чужое существо, взятое с «неродного» героя) снимает ответный удар и Троглодиты добивают. Более-менее сильных стрелковых отрядов лучше избегать всем, кроме Шакти. Их пора наступает после появления в рядах армии Мантикор (обычно на второй неделе) – те блокируют стрелков очень надежно, обычно обходясь при этом без потерь.</t>
  </si>
  <si>
    <t xml:space="preserve">     На восьмой день предстоит принять самое важное решение – выкупать армию, оставшись без денег и надеясь на трофеи, либо продолжить действия минимальными силами, вкладываясь в строительство. В любом случае программа второй недели – это Муниципалитет как можно скорее, Замок и приближение к драконам (завести их на второй неделе обычно не удается). Минотавры обычно не выкупаются, даже если построены – это блестящая пехота, но денег жестоко не хватает, а Мантикоры лучше против стреляющих нейтралов.</t>
  </si>
  <si>
    <r>
      <t xml:space="preserve">     Типичные армии и тактики последующей игры: </t>
    </r>
    <r>
      <rPr>
        <sz val="10"/>
        <rFont val="Arial"/>
        <family val="2"/>
        <charset val="204"/>
      </rPr>
      <t xml:space="preserve">После полной отстройки замка вариаций может быть много, в зависимости от задач, которые приходится решать. Можно, например, сформировать чисто летающую армию из Гарпий и Скорпикор, а позднее и драконов – такая армия будет и мобильной, и пробивной, а если её возглавит герой, имеющий Воскрешение (врожденное или выученное в замке либо у Аламара), то ещё и без потерь можно обойтись в большинстве случаев. Неоднозначно решается в таком случае вопрос об апгрейде драконов – с одной стороны, Черные драконы резко прибавляют в здоровье, навыках и скорости, с другой стороны, ударная сила не особо-то вырастает, а возможность воскресить их исчезает, как и возможность усилить с помощью магии, не говоря уже о такой прелести, как Клон, с третьей – у Красных драконов остается уязвимость к магии, и не только ударной – Берсерк может напакостить ещё хуже. Словом, многое зависит от наличной магии и ожидаемых противников. </t>
    </r>
  </si>
  <si>
    <t xml:space="preserve">     Если принято решение улучшать драконов, для сбережения их жизни очень полезно первый удар наносить Скорпикорами (с ожидания или после их ускорения). Разумеется, такую летучую армию прекрасно можно пополнять в захваченных городах – Ангелы, эльфийские драконы и Пегасы, Огненные птицы и Фениксы, Дьяволы, Птицы грома, Джинны, Титаны, Стрекозы и улучшенные Виверны скорости армии не снижают, а если в армии есть Гарпии, то и Королевские грифоны с Феями годятся, да и Обсидиановые горгульи на роль камикадзе подойдут. Главное, чтобы отрицательной морали в итоге не получилось (и поэтому обычно не удается безболезненно добавить нежить). Особенно забавно получается, когда наняты Джинны и колдуют на красных драконов (да и Зеленых тоже) – круг заклинаний резко ограничивается, и выбор производится из Молитвы, Огненного щита, Контрудара, Убийцы и Бешенства. Лишь последнее заклинание неоднозначно, прочие помогают. </t>
  </si>
  <si>
    <t xml:space="preserve">     Отдельная история – если выучен Армагеддон (а вероятность его появления в магической гильдии Темницы вдвое выше, чем в у демонов и некромантов). Тогда чернокнижник носится по карте в компании только черных драконов и сжигает всё подряд – знаменитый Драгагеддон в действии. Лишь бы маны хватало.</t>
  </si>
  <si>
    <t xml:space="preserve">     Если противник оказывается излишне силен для чисто летучей армии, можно подтянуть резервы, причем для осад невредно привести троглодитов – городские башни постоянно на них отвлекаются, сохраняя жизни более ценных существ… и даже в случае, когда войском командует Жеддит или Аламар, это может быть полезным – у них на отряд первого уровня Воскрешение действует сильнее. В таких битвах, где участвует вся или почти вся армия, в полной мере раскрывается сила минотавров – великолепный удар, отменная скорость и постоянно высокий боевой дух всегда грозящий повторным ударом.</t>
  </si>
  <si>
    <t xml:space="preserve">     Разумеется, так же, как и у Башни с Сопряжением, имеет смысл построить лавку Торговца артефактами, когда золота становится много (и если такая лавка не найдена в захваченных городах).</t>
  </si>
  <si>
    <r>
      <t xml:space="preserve">     Инферно -</t>
    </r>
    <r>
      <rPr>
        <sz val="10"/>
        <rFont val="Arial"/>
        <family val="2"/>
        <charset val="204"/>
      </rPr>
      <t xml:space="preserve"> Город для настоящих мастеров игры, которые могут превратить заведомого аутсайдера в неожиданного победителя. Если одно уникальное строение, добавляющее Силу магии каждому визитеру, находится в русле общей тенденции, то второе, Врата замка, которые обеспечивают мгновенное перемещение между городами без затраты запаса хода, уникально в квадрате, и может быть как ненужным придатком, если такой город единственный на карте, так и весомой добавкой к силе государства – несколько Инферно, связанных этой сетью, резко увеличивают обороноспособность, поскольку в любой момент все наличные во всех городах войска оказываются в одном гарнизоне.</t>
    </r>
  </si>
  <si>
    <r>
      <t xml:space="preserve">     Армия:</t>
    </r>
    <r>
      <rPr>
        <sz val="10"/>
        <rFont val="Arial"/>
        <family val="2"/>
        <charset val="204"/>
      </rPr>
      <t xml:space="preserve"> по статистике просто никакая – самая хилая по «здоровью», предпоследняя сила удара, отменная дороговизна (самая высокая цена здоровья), лишь одно существо с антимагической защитой… разве что скорость великолепна – по средней скорости уступает лишь Сопряжению и не имеет медленных существ. Но, конечно, как водится в Героях, не всё так просто. Есть и у демонов свои козыри, что легко видеть из перечня примечательных существ: Дьявол (для седьмого уровня слабый по здоровью, но очень быстрый, с безответным ударом, и такими высокими навыками, что в единоборстве любого «толстяка» вполне может завалить), Ифрит (очень быстрый, крепкий, иммунный к Магии огня и Магической стреле, а улучшенный ещё и окружен Огненным щитом), Адское отродье (с малым здоровьем, но мощным ударом, умеющий поднимать демонов из павших соратников), Цербер (быстрый, для своего уровня крепкий и с увесистым ударом, к тому же безответным и поражающим до трех целей). Так что при всей своей репутации аутсайдеров город удостоился запрета в правилах отдельных турниров – запрет поднимать демонов (запрет не повсеместный, поскольку делать это непросто).</t>
    </r>
  </si>
  <si>
    <r>
      <t xml:space="preserve">     Герои:</t>
    </r>
    <r>
      <rPr>
        <sz val="10"/>
        <rFont val="Arial"/>
        <family val="2"/>
        <charset val="204"/>
      </rPr>
      <t xml:space="preserve"> заурядны. Демоны (Demoniacs) – вполне полноценные, но обычные воины, а Еретики (Heretics) – неважнецкие маги. И ни единой славной личности (если, конечно, не считать Ксерона, который на обычных картах недоступен).</t>
    </r>
  </si>
  <si>
    <r>
      <t xml:space="preserve">     Магия: </t>
    </r>
    <r>
      <rPr>
        <sz val="10"/>
        <rFont val="Arial"/>
        <family val="2"/>
        <charset val="204"/>
      </rPr>
      <t xml:space="preserve">полноценна и обладает склонностью к стихии Огня (хотя, как ни странно, вероятность выпадения Армагеддона ниже, чем в Темнице). Есть и ряд ограничений (в основном на магию Воды, в том числе крайне досадно отсутствие благословления, которое трем младшим существам было бы очень кстати). </t>
    </r>
  </si>
  <si>
    <r>
      <t xml:space="preserve">     Отстройка:</t>
    </r>
    <r>
      <rPr>
        <sz val="10"/>
        <rFont val="Arial"/>
        <family val="2"/>
        <charset val="204"/>
      </rPr>
      <t xml:space="preserve"> дорогая, самая тяжелая по золоту и вторая с учетом ресурсов. Единственный просвет – для воинских жилищ требования по ресурсам не столь велики, так что с учетом ресурсов стройка армии становится средней по суммарной стоимости. Особенных проблем не возникает, более того – можно ускоренно получить Ифритов при весьма умеренных требованиях к ресурсам.</t>
    </r>
  </si>
  <si>
    <r>
      <t xml:space="preserve">     Старт.</t>
    </r>
    <r>
      <rPr>
        <sz val="10"/>
        <rFont val="Arial"/>
        <family val="2"/>
        <charset val="204"/>
      </rPr>
      <t xml:space="preserve"> Выбирать героя не из кого. Разве что для предельной сложности выбор ясен – Октавия, кроме ежедневных 350 золотых имеющая весьма полезный навык Нападения. На более низких сложностях между героями особой разницы нет. Ну, есть Пир (Pyre) с хорошими навыками Логистики и Артиллерии (причем её Баллиста не только достаточно полезна своим уроном, но имеет особую ценность для инфернитов, сберегая жизни хилых и дорогих существ, пока её ломают), можно подумать об Игнате (Ignatius), который приводит много Бесов и усиливает их, да ещё имеет ценный навык Тактика и небезвредное Сопротивление магии, и если хочется для начала от души пострелять, пригодится Калх (Calh), приводящий десяток-другой Гогов, и усиливающий их… но его навыки плохо помогают армии полного состава. В общем, лучший герой для Инферно – чужой герой из знаменитых.</t>
    </r>
  </si>
  <si>
    <t xml:space="preserve">     Первые дни армия робко пробует на зуб окружающих нейтралов, пытаясь использовать стандартную тактику – стрельба Гогов и добивание противника Бесами и Адскими гончими. Но получается это у инфернитов неубедительно, если, конечно, главный герой не Калх – у того Гоги стреляют вполне весомо, с Арбалетчиками, Мастер-гремлинами и эльфами не сравнятся, но с Бехолдерами, Орками и Ящерами в их первонедельной версии вполне потягаются. В городе тем временем ставятся генератор денег, Гоги, Демоны, магическая гильдия, и, наконец, долгожданные Ифриты!</t>
  </si>
  <si>
    <t xml:space="preserve">     И вот тут-то всё сразу волшебным образом меняется. Парочка Ифритов – пожалуй, лучшая из возможных армия первой недели. Отменная скорость, весомый удар, отличное «здоровье» – в совокупности это дает нешуточный перевес над парой Кавалеристов или Вивернов или тройкой Птиц рух. Если поблизости лежит золотишко, к которому не может подступиться хилая стартовая армия, то можно даже пропустить в отстройке денежное здание – Ифриты эту потерю легко окупят. Особенно шикарно они выглядят под командой какого-нибудь Варвара. Ну и, построив за оставшиеся дни Цитадель или даже Замок, мы получаем на восьмой день уже 5-6 Ифритов, и готовы к подвигам, от пробивания нейтралов, к которым опасливо приглядывается половина стартовых армий других рас, до избиения ближайшего соседа (единственно, если не хватает мастерства для прохождения без потерь, лучше к Ифритам прицепить более слабых существ, скажем, Церберов, которые армию притормозят, но зато с гарантией сберегут жизни Ифритов). </t>
  </si>
  <si>
    <t xml:space="preserve">     Что же делать, если ресурсов на Ифритов не хватило (бывает на предельной сложности, что одного какого-то в первые дни никак не найти)? Тогда порядок постройки кардинально меняется и ставятся Адские гончие, сооружение на их дополнительный прирост, и Замок. Потом гончие улучшаются до Церберов, и получается тоже вполне приличная ударная сила, хотя до Ифритов им далеко – меньшее здоровье и нелетучесть означают дополнительные потери, особенно против стрелков. Ну и цель второй недели – Дьяволы, если хватит ресурсов и золота.</t>
  </si>
  <si>
    <r>
      <t xml:space="preserve">     Типичные армии и тактики последующей игры: </t>
    </r>
    <r>
      <rPr>
        <sz val="10"/>
        <rFont val="Arial"/>
        <family val="2"/>
        <charset val="204"/>
      </rPr>
      <t>При борьбе с нейтралами отличная армия – Дьяволы с Ифритами. Блестящая скорость и большая пробивная сила. Особенно, если герою повезет выучить Воскрешение – тогда и потери могут оказаться малыми и даже нулевыми. Ну и потом нередко удается дополнять армию летунами из захваченных городов.</t>
    </r>
  </si>
  <si>
    <t xml:space="preserve">     Другая армия параллельно может сосредоточиться на производстве Демонов (конечно, если обстановка позволяет, от наличия золота до нейтралов). После появления Порождений зла (которые улучшаются обычно после постройки Дьяволов, поскольку требуют достройки магической гильдии, да и само улучшение требует магических ресурсов, так что в итоге целых 9 единиц позарез нужной на Дьяволов ртути тратится) они в сопровождении младших товарищей выдвигаются на тропу войны, подбирая в свои ряды всех встречных (присоединившихся, из полевых жилищ и чужих городов, в основном низкоуровневых), и всячески стараются, чтобы те в первом же бою погибли, дабы восстать в виде целехоньких демонов. В итоге, к тому времени, когда главная армия встретит серьезных противников, подкрепление может быть готово весьма серьезное – хотя Демоны являются абсолютно посредственным существом (практически вообще самым средним для всего многообразия городских без учета седьмого уровня), тем не менее, это надежная пехота, и в больших количествах они способны добавить противнику головной боли и даже выиграть битву. </t>
  </si>
  <si>
    <t xml:space="preserve">     Главный недостаток этой тактики – особые требования к тактическому мастерству игрока.
Ну и ещё одна особенность Инферно – для самых тяжелых сражений, когда на поле боя нужны все семь отрядов, очень желательна смешанная армия, поскольку два собственных младших существа мало помогают на поле боя и являются плохим вложением для остродефицитного золота.
Есть также и экзотический вариант – если в городе или на карте удалось добыть заклинание Армагеддон, то на тропу войны выходит герой с одними Ифритами. Это, конечно, не драконы, да и родным героям Инферно далеко до Чернокнижника по магической мощи, но, тем не менее, такая армия легко справится с очень сильными нейтралами, да и героев противника может если не победить, то резко сократить в числе перед бегством или сдачей.</t>
  </si>
  <si>
    <r>
      <t xml:space="preserve">     Крепость</t>
    </r>
    <r>
      <rPr>
        <sz val="10"/>
        <rFont val="Arial"/>
        <family val="2"/>
        <charset val="204"/>
      </rPr>
      <t xml:space="preserve"> - Аналог варваров по части ставки на силу и антипод в боевых пристрастиях (вместо атаки – ставка на оборону), тоже приспособленный для быстрого развития и раннего нападения, только со своей спецификой – летуны и магия посильнее, стрелки послабее. Также город выделяется двумя уникальными чертами: строением, повышающим Защиту любому герою, посетившему Крепость и рвом двойной ширины, из-за чего даже проломленные стены не так-то облегчают жизнь осаждающей пехоте - на преодоление рва нужно затратить два хода, неся при этом потери.</t>
    </r>
  </si>
  <si>
    <r>
      <t xml:space="preserve">     Армия</t>
    </r>
    <r>
      <rPr>
        <sz val="10"/>
        <rFont val="Arial"/>
        <family val="2"/>
        <charset val="204"/>
      </rPr>
      <t>: как у варваров, только ещё слабее – меньше здоровья, слабее удар, средняя скорость чуть-чуть повыше, но это за счет двух быстрых, но и слабых отрядов летунов, а главные силы медленнее варварских, цена выше... Словом, заведомый аутсайдер. Впрочем, верно и другое, сказанное о варварах – что нужна хорошая квалификация, и тогда в умелых руках болотники способны преподнести противнику крайне неприятные сюрпризы.</t>
    </r>
  </si>
  <si>
    <t xml:space="preserve">     Собственно, это явствует из перечня примечательных существ: Гидры (слабы в поединках с ровней по уровню, но наносят ужасные потери в окружении более слабых войск, безответно ударяя по всем окружающим и поражая вплоть до 8 отрядов одновременно), Виверны (заурядны как бойцы, несмотря на способность улучшенных отравить противника, зато их ряды пополняются на карте, и отряд может быть весьма многочисленным), улучшенные Горгоны (ходячая смерть для высокоуровневых монстров, благодаря смертельному взгляду, при их выдающемся «здоровье» и защите шансов на такой взгляд у них в течение битвы немало), Василиски (весьма надежная пехота, которая может выключить противника из игры на три раунда), Стрекозы (снимают с противника усиливающую магию, награждают его Слабостью, и обеспечивают первый ход для применения магии вплоть до появления в игре улучшенных существ 7 уровня… ну или Огненных птиц).</t>
  </si>
  <si>
    <r>
      <t xml:space="preserve">     Герои</t>
    </r>
    <r>
      <rPr>
        <sz val="10"/>
        <rFont val="Arial"/>
        <family val="2"/>
        <charset val="204"/>
      </rPr>
      <t>: Хозяева зверей (Beastmasters) – неплохие воины, хотя долго страдают от ничтожной атаки, Ведьмы (Witches) – вполне полноценные маги. Супергероев среди болотников нет, но трое имеют определенную известность: Тазар (Tazar), специалист по Доспехам, приводит в отчаяние атакующих воинов, Андра (Andra), специалист в Интеллекте, обладает морем маны (было бы на что её тратить!), а Брон (Bron), специалист по Василискам, почти всегда приводит их с собой – это единственный случай, когда с героем приходят существа 4 уровня.</t>
    </r>
  </si>
  <si>
    <r>
      <t xml:space="preserve">     Магия</t>
    </r>
    <r>
      <rPr>
        <sz val="10"/>
        <rFont val="Arial"/>
        <family val="2"/>
        <charset val="204"/>
      </rPr>
      <t>: такая же ограниченная тремя уровнями, как и у варваров, но зато гораздо более полезная – и ведьмы вполне дееспособны на магическом поприще, и заклинание Землетрясение очень часто появляется на третьем уровне, облегчая осады.</t>
    </r>
  </si>
  <si>
    <r>
      <t xml:space="preserve">     Отстройка</t>
    </r>
    <r>
      <rPr>
        <sz val="10"/>
        <rFont val="Arial"/>
        <family val="2"/>
        <charset val="204"/>
      </rPr>
      <t>: столь же недорогая, как и у варваров (разница составляет доли процента), но несколько более сложная и требовательная к ресурсам (вместо одних кристаллов нужны сера и ртуть). На высоких сложностях могут возникать временные проблемы с построением отдельных жилищ, но, к счастью, практически всегда существует возможность маневра.</t>
    </r>
  </si>
  <si>
    <r>
      <t xml:space="preserve">     Старт.</t>
    </r>
    <r>
      <rPr>
        <sz val="10"/>
        <rFont val="Arial"/>
        <family val="2"/>
        <charset val="204"/>
      </rPr>
      <t xml:space="preserve"> Если производится выбор героя перед началом игры, то на выбор кроме трех поименованных героев имеется специалист по Ящерам Вистан (Wystan). Также определенный интерес могут представлять Дракон (Drakon), ускоряющий и усиливающий Гноллов, которых приводит с собой полсотни и больше, плюс к тому имеющий Лидерство, и Алкин (Alkin), у которого есть уникальный для болотников навык Нападение. Отстройка стереотипна – сначала Ящеры (если их не было изначально), а потом Виверны (если не хватает на них дерева или золота, то сначала летучие змейки, иначе они строятся при первой возможности после Виверн). Две Виверны обеспечивают безболезненное пробивание многих нейтралов, и если бьют слабее трех Птиц рух, то живучесть имеют получше и проще обойтись без потерь (кроме того, их сопровождают Змии, которые и могут и отвлечь отряды противника, и нанести первый удар, чтобы Вивернам сдачи не досталось).</t>
    </r>
  </si>
  <si>
    <t xml:space="preserve">     Если выбран Брон, то он сразу уходит в поход, опираясь на силу и скорость своих Василисков, которые при поддержке Гноллов и Ящеров способны на многое. Виверн и Змиев ему подвезут.
Другие герои действуют менее агрессивно до появления Виверн, чтобы не было лишних потерь. Ведьмам ещё полезно дождаться постройки магической гильдии, чтобы заполучить ударное заклинание – всё дополнительный урон.</t>
  </si>
  <si>
    <t xml:space="preserve">     Если выбран Вистан, то в основном идет отстрел. Пусть Ящеры стреляют куда слабее стрелков и орков, пусть навык атаки героя изначально равен нулю, но два-три десятка Ящеров наносят ощутимый урон, одиночные Змии могут водить за собой по полю медленную пехоту, а когда недостреленные пехотинцы дойдут до Гноллов, ничего особо хорошего им не светит – гноллы довольно крепки и сами по себе, и подавно с защитой героя, и бьют увесисто. В общем, тоже вполне работоспособная тактика. Крайне полезно в этом случае потратить лишний день на улучшение Ящеров – существенное увеличение пробивной силы окупит это замедление очень быстро.</t>
  </si>
  <si>
    <t xml:space="preserve">     В оставшиеся дни второй недели строятся Цитадель, по возможности – Замок и Василиски. Невредно и Кузницу поставить – с поддержкой палатки живучесть Виверн дополнительно повышается.
Ну и на вторую неделю мы имеем ударную силу в лице 5-6 Виверн, а если свезет найти на карте Улей змиев, то их число можно увеличить (причем для этого не жалко положить всю остальную армию, кроме самих Вивернов). Этого достаточно, чтобы зачищать карту и обижать ближайших соседей. Собственно, для большинства боев второй-третьей недели обычно хватает чисто летучей армии из Виверн и Стрекоз.</t>
  </si>
  <si>
    <r>
      <t xml:space="preserve">     Типичные армии и тактики последующей игры</t>
    </r>
    <r>
      <rPr>
        <sz val="10"/>
        <rFont val="Arial"/>
        <family val="2"/>
        <charset val="204"/>
      </rPr>
      <t>: После полной отстройки замка вариации могут быть разными. Можно сформировать вторую армию из одних Гидр, которая будет способна на многое (кстати, такую армию эффективно возглавляет Вердиш (Verdish) со своим Лечением). Горгоны обычно копятся до их улучшения и выкупаются перед битвами, где заведомо придется иметь дело с отрядами старшего уровня, либо для взятия Утопии драконов.</t>
    </r>
  </si>
  <si>
    <t xml:space="preserve">     Полный состав армии болотников имеет смысл нечасто, чаще, если игра идет не на болотистой местности, ударные отряды Гидр, Виверн и Стрекоз (по необходимости также Горгон и возможно Василисков) дополняются сильными летунами и стрелками из захваченных городов. Опять-таки, как и у варваров, свои войска лучше всего использовать для первого удара, а потом строить комбинированную армию. Ну а ежели по соображениям проходимости лучше иметь только своих, и приходится воевать полным составом, на первый план выходит проблема маневрирования на поле боя, очень полезны навыки Тактики, заклинания Ускорения, Замедления, Благословления и т.п. (особенно массовые), а для осад – Землетрясения и Телепорта (на экспертном уровне магии Воды).</t>
  </si>
  <si>
    <r>
      <t xml:space="preserve">     Варвары</t>
    </r>
    <r>
      <rPr>
        <sz val="10"/>
        <rFont val="Arial"/>
        <family val="2"/>
        <charset val="204"/>
      </rPr>
      <t>. Варвары – они варвары и есть. Ставка на грубую силу и атаку, благо для этого войска и герои превосходно приспособлены. Главная сила этого города – быстрое развитие и ранний удар. Медлящие же варвары долго не живут. Город имеет две уникальные фишки: во-первых, строение, повышающее навык Атаки любому заглянувшему герою, то есть полезное вообще всем, не только хозяевам, и, во-вторых, черный ход позволяет убежать осаждаемому герою (то есть Цитадель - это единственный город, который наш герой может оборонять без риска погибнуть).</t>
    </r>
  </si>
  <si>
    <r>
      <t xml:space="preserve">     Армия</t>
    </r>
    <r>
      <rPr>
        <sz val="10"/>
        <rFont val="Arial"/>
        <family val="2"/>
        <charset val="204"/>
      </rPr>
      <t>: требует определенной квалификации от игрока. По статистике выглядит неброско – лишь четвертая по «мясистости» улучшенной армии (и самая хрупкая в базовом варианте), лишь четвертая по удару (и лишь седьмая в базовом варианте или по цели с защитой 10), самая медленная по средней скорости, абсолютная магическая уязвимость… Аутсайдеры. Вот только под началом правильного героя при толковом управлении эта армия становится таким оружием блицкрига, что её удар ещё нужно пережить. И, кроме того, армия отменно дешева – стоимость закупки полного прироста самая маленькая в игре. Отдельного упоминания заслуживают четыре существа: Чудища (Begemoths, при ударе снижают защиту противника в 5 раз, являются выдающимся оружием против сильнейших воинов противника), Циклопы (могут разрушать городские стены), Огры-маги (выдающееся «здоровье», могучий удар и могут накладывать заклинание «Жажда крови»), Налётчики (Wolf Raiders, имеют силу двойного удара недельной популяции впору седьмому уровню).</t>
    </r>
  </si>
  <si>
    <r>
      <t xml:space="preserve">     Герои</t>
    </r>
    <r>
      <rPr>
        <sz val="10"/>
        <rFont val="Arial"/>
        <family val="2"/>
        <charset val="204"/>
      </rPr>
      <t>: Варвары (Barbarians) – непревзойденные воины, идеально подходящие своей армии, ну а Боевые маги (Battle Mages) – это не маги никакие, а так, воины, имеющие навык Мудрости и книгу заклинаний. Хотя, если как класс Боевые маги – убожество, то личности там есть вполне замечательные: Гундула (Gundula) является специалистом по Нападению, ещё увеличивая и так отменный удар армии в рукопашной, Десса (Dessa) – специалист по Логистике, незаменимый на больших картах (иногда может даже запрещаться на турнирах), а Терек (Terek) имеет навык Тактики и усиленное заклинание Ускорение. Но среди Варваров герои ничуть не хуже – Крэг Хэк (Crag Hack) тоже специалист в Нападении, как и Гундула, только существенно более эффективный, поскольку у него стремительно растет навык атаки, Гурниссон (Gurnisson) – специалист по Баллисте, которая при его атаке становится сильным оружием, Тираксор (Tyraxor) ускоряет и усиливает Наездников на волках, да ещё имеет Тактику.</t>
    </r>
  </si>
  <si>
    <r>
      <t xml:space="preserve">     Магия</t>
    </r>
    <r>
      <rPr>
        <sz val="10"/>
        <rFont val="Arial"/>
        <family val="2"/>
        <charset val="204"/>
      </rPr>
      <t>: ну какая там у варваров магия? И уровней в магической гильдии всего три (недоступны самые полезные заклинания, а для очень полезного Телепорта крайне трудно заиметь магию Воды), и силу магии героев лучше назвать слабостью, и маны кот наплакал... Нет! Путь варваров – путь воина!</t>
    </r>
  </si>
  <si>
    <r>
      <t xml:space="preserve">     Отстройка</t>
    </r>
    <r>
      <rPr>
        <sz val="10"/>
        <rFont val="Arial"/>
        <family val="2"/>
        <charset val="204"/>
      </rPr>
      <t>: самая что ни на есть простая и дешевая, и при полной отстройке, в части воинских жилищ, если не гнаться за получением Циклопов пораньше. И, кроме того – гибкая, что позволяет на третий день получить войска шестого или седьмого уровня, лишь бы ресурсов хватало. На высоких сложностях нередки проблемы с рудой или кристаллами, но обычно их удается разрешить, тем паче, что, кроме ресурсов на карте, в этом городе всего за 1000 золотых можно поставить гильдию наемников, где можно поменять существ на ресурсы по курсу втрое выгоднее, чем на рынке. Так, на единственном рынке единица руды стоит 2500 золотых, а в гильдии её можно выменять за 21 Гоблина, нанимаемых всего за 840 золотых. Понятно, что армия нам самим нужна, но если нужно пожертвовать полусотней или даже сотней Гоблинов для того, чтобы заполучить в армию пару Чудищ – это отличный размен.</t>
    </r>
  </si>
  <si>
    <r>
      <t xml:space="preserve">     Старт</t>
    </r>
    <r>
      <rPr>
        <sz val="10"/>
        <rFont val="Arial"/>
        <family val="2"/>
        <charset val="204"/>
      </rPr>
      <t xml:space="preserve">. Если производится выбор героя перед началом игры, то шесть прекрасных кандидатур уже названы, и между прочим, есть ещё такой воин, как Жабаркас (Jabarkas), имеющий Стрельбу, усиливающий и ускоряющий Орков, да и других много: хороших героев у варваров хватает, есть из кого выбирать на личный вкус. </t>
    </r>
  </si>
  <si>
    <t xml:space="preserve">     Самый типичный старт – построить Наездников на волках, а затем Птиц рух. Три птицы – это отменная сила для пробивания нейтралов первой недели, можно даже выгрузить из армии остальных воинов, чтобы не тормозили, или соорудить две дееспособные армии, чтобы зачищать два направления (и объединять их, если потребуется побить кого-то посильнее). Главное – умело маневрировать на поле боя, нанося такие удары, после которых противники погибнут или будут не в состоянии сильно повредить наши отряды (если это плохо получается, лучше воевать объединенной армией). </t>
  </si>
  <si>
    <t xml:space="preserve">     Ну и затем строятся Чудища, и при возможности – Цитадель и Замок. В результате на восьмой день у нас получится два-три Чудища, и больше в армии никого особо-то и не требуется – и нейтралы зачищаются спокойно, и соседей вполне можно обидеть. Если с Чудищами не вышло (кристаллов не хватило, например, на высших сложностях), их неплохо заменяют 9 Птиц рух (Замок обычно построить удается) – тоже годятся даже для обижания соседей. Впрочем, если нейтралов проще зачищать армией только из крутых войск, то на соседей хорошо к ним добавить мелочь, чтобы на неё отвлекались войска, магия и башни противника.</t>
  </si>
  <si>
    <t xml:space="preserve">     Если интереснее пострелять – можно взять Жабаркаса, который приводит с собой до дюжины Орков, в итоге их может собраться полтора-два десятка, и хотя они не сумеют нанести такой урон, как Арбалетчики или эльфы, проредить нападающих нейтралов вполне способны, а уж добить варварская пехота умеет отлично. Ну и в дальнейшем, когда всё равно первая скрипка перейдет к Птицам рух и Чудищам, Жабаркас ничем не хуже других – навык Нападения у него точно такой же. В принципе, в этом варианте можно попробовать и Циклопов поставить вместо Чудищ, но это скорее для низких сложностей или особо богатых карт – больно много требуется ресурсов. Но если получится – это для второй недели вполне приличная альтернатива Чудищам, особенно под командой Жабаркаса с его Стрельбой. В принципе город позволяет при изобилии ресурсов поставить вообще все жилища воинов и Цитадель, но это вариант экзотический. Вернее держаться чего-то одного, и Чудища с птицами надежнее и проще.</t>
  </si>
  <si>
    <r>
      <t xml:space="preserve">     Типичные армии и тактики последующей игры</t>
    </r>
    <r>
      <rPr>
        <sz val="10"/>
        <rFont val="Arial"/>
        <family val="2"/>
        <charset val="204"/>
      </rPr>
      <t>: После полной отстройки замка из армии могут выпадать Орки и Огры – на марше они армию притормаживают. Более того, главная армия может бегать по карте только с Чудищами и Птицами грома, что обеспечивает её превосходную мобильность и минимальные потери в боях с нейтралами. Добавление к ним Циклопов и Налётчиков незначительно снизит мобильность, зато весомо добавит ударной силы. В тяжелых рукопашных главное правило – по максимуму беречь волков, поскольку удары у них весомые, а здоровьишка пшик. Посему – только безответные удары и убегание в тыл при любой возможности, благо их скорость позволяет и влетать в рукопашную после Ожидания, и маневрировать по полю боя (вот только избежать потерь от стрелковых ударов и ударной магии никак не получится). Для осады крайне полезно добавить в армию Гоблинов, которыми обожают заниматься башни осажденного города. Ну а Орки и Огры – это для самых серьезных битв. Гораздо чаще стоит добавить сильные и скоростные отряды из захваченных городов – ведь если замок заточен на быстрое подавление соседей, то почему бы и не воспользоваться тем, что они любезно отстроили к нашему приходу?</t>
    </r>
  </si>
  <si>
    <r>
      <t xml:space="preserve">     Сопряжение -</t>
    </r>
    <r>
      <rPr>
        <sz val="10"/>
        <rFont val="Arial"/>
        <family val="2"/>
        <charset val="204"/>
      </rPr>
      <t xml:space="preserve"> этот город впервые был введён в игру в аддоне Клинок Армагеддона. Фракция проще всего характеризуется одним словом – дисбаланс. Чересчур уж силён город – сильная армия, мощная магия, крепкие герои и убойные комбинации, да ещё при недорогой и несложной отстройке. За это его любят новички и презирают ветераны.</t>
    </r>
  </si>
  <si>
    <r>
      <t xml:space="preserve">     Армия:</t>
    </r>
    <r>
      <rPr>
        <sz val="10"/>
        <rFont val="Arial"/>
        <family val="2"/>
        <charset val="204"/>
      </rPr>
      <t xml:space="preserve">  берёт числом и скоростью. Вторая по «мясистости» после эльфийской (и самая «толстая» без улучшений), третий по силе удар (второй без улучшений), и третья по дороговизне (без улучшений так и вовсе самая дорогая), недурной набор антимагических защит: кроме полного магического иммунитета на шестом уровне ещё пять существ не поддаются Слепоте, Берсерку или Гипнозу, оба стрелка безразличны к Забычивости, четыре существа имеют иммунитеты к ударным заклинаниям (хотя уязвимы к другим). Скорость же вообще непревзойденна – положим, есть ещё одна армия, которая не имеет медленных войск (скорость 5 и ниже), у Инферно, но по количеству существ, передвигающихся со скоростью выше средней (8 и выше), с элементалистами демоны тягаться никак не могут, равно как и по средней скорости. И вот на этом фоне две грустные вещи: во-первых, при всей «толщине» армии она набрана просто большим количеством индивидуально «хилых» существ, что ведёт к повышенным потерям, и, во-вторых, пять из семи существ не воскрешаются, то есть потери эти безвозвратны. </t>
    </r>
  </si>
  <si>
    <t xml:space="preserve">     В порядке частичной компенсации имеется иммунитет четырёх старших воинов к самому страшному боевому заклинанию – Армагеддону, но это не так часто пригождается. Особо примечательных существ три: Фениксы (самая высокая скорость в игре, возрождение после гибели и прирост в удвоенном количестве), Магические элементали (полный иммунитет к магии и безответный удар сразу всех окружающих врагов), Феи (индивидуально слабее всех, зато многочисленны, быстры и наносят безответный удар, причем удар полной недельной популяции по силе далеко превосходит возможности «одноклассников»).</t>
  </si>
  <si>
    <r>
      <t xml:space="preserve">     Герои</t>
    </r>
    <r>
      <rPr>
        <sz val="10"/>
        <rFont val="Arial"/>
        <family val="2"/>
        <charset val="204"/>
      </rPr>
      <t>: отличны по классовым показателям. Если воины (Путешественники, Planeswalkers) – так уж воины, с атакой, уступающей лишь варварам, и обязательным наличием либо Тактики, либо Нападения. Если маги (Элементалисты, Elementalists) – так супермаги, не имеющие конкурентов на старте по совокупности силы магии и знаний, и изначально имеющие магическую школу. Парочку элементалистов запрещают на турнирах – Циэль (Ciele), которая благодаря усиленной на 50% Магической стреле прямо со старта имеет в запасе семь ударных заклинаний по 60 урона каждое (даже Удар молнии бьёт сильнее лишь у Чернокнижников и собратьев-элементалистов, но лишь по 2-3 раза, да и то – её ещё где-то выучить надобно) и Луну (Luna), у которой изначально имеется мощная Стена огня (но чтобы этим заклинанием правильно пользоваться нужно немалое мастерство). Прекрасен Гриндан (Grindan), сочетающий магию Земли, заклинание Медлительность и ежедневную прибыль 350 золотых. Из воинов хорош Монер (Monere), имеющий Логистику, Нападение и усиление существ шестого уровня, но магами в этом городе играть существенно удобнее.</t>
    </r>
  </si>
  <si>
    <r>
      <t xml:space="preserve">     Магия</t>
    </r>
    <r>
      <rPr>
        <sz val="10"/>
        <rFont val="Arial"/>
        <family val="2"/>
        <charset val="204"/>
      </rPr>
      <t>: развита не хуже, чем в Башне. Конечно, заклинаний в гильдии обычно поменьше, чем при Библиотеке, но зато, если принести в город Грааль, там окажутся вообще все заклинания, разрешенные в игре! А ещё в городе есть Университет, где можно за деньги выучить любую школу магии. И сама магия в городе вполне разнообразна – второе место по количеству возможных заклинаний в гильдии!</t>
    </r>
  </si>
  <si>
    <r>
      <t xml:space="preserve">     Отстройка</t>
    </r>
    <r>
      <rPr>
        <sz val="10"/>
        <rFont val="Arial"/>
        <family val="2"/>
        <charset val="204"/>
      </rPr>
      <t>: отменно дешёва, если говорить о воинских постройках – по золоту чуть дороже Цитадели и дешевле Крепости, а с учётом ресурсов – вровень с Крепостью. Полная отстройка замка также третья по дешевизне, что опять же выглядит дисбалансом, с учётом того, что в комплект входит полная магия, магический Университет и лавка Торговца артефактами. Нет ни особенных сложностей (если не считать необходимости магической гильдии уже для постройки второго уровня), ни особых перекосов по ресурсам (руды требуется много, но она обычно добывается). При изобилии ресурсов можно отстроить все жилища существ на первой неделе (впрочем, на высших сложностях это практически никогда не удаётся). Но сокращенных веток строительства сильных существ, как в «воинских» замках, нет, хотя, впрочем, как и эльфы, элементалисты и так прекрасно обходятся.</t>
    </r>
  </si>
  <si>
    <r>
      <t xml:space="preserve">     Старт. </t>
    </r>
    <r>
      <rPr>
        <sz val="10"/>
        <rFont val="Arial"/>
        <family val="2"/>
        <charset val="204"/>
      </rPr>
      <t>Если производится выбор героя перед началом игры, то и думать нечего – Циэль! А запретят её – Гриндан. Впрочем, плохих героев в Сопряжении нет, любой даст недурной старт. Действия первого дня полностью аналогичны Башне – покупка второго героя и улучшение жилища первого уровня. Точно так же вместо почти бесполезных базовых появляются великолепные улучшенные существа. Около 60 Фей – прекрасная ударная армия против неторопливой пехоты, да и небыстрых летунов убивают отменно. И по карте передвижение очень быстрое. Только против стрелков получается плохо – чересчур уж Феи хиленькие.</t>
    </r>
  </si>
  <si>
    <t xml:space="preserve">     Потом вместо постройки старших уровней стоит улучшить и второй уровень: полученные стрелки со здоровьем впору четвертому уровню и прекрасной скоростью отменно дополняют армию. Прикрывать, правда, стрелков нечем, но ведь до них ещё и дойти нужно под градом выстрелов, магическими ударами и налетами Фей – это удается далеко не всем, большая часть нейтралов первых недель проходится без потерь. Крайне желательная магия в это время, кроме Медлительности – Благословление. Его применение увеличивает удары армии в полтора раза, а продвинутого или экспертного – почти вдвое. Потом строится Цитадель, увеличитель прироста Фей, а при удаче – и Замок, ну и других элементалей – кого получится, им всё равно не воевать на второй неделе. </t>
  </si>
  <si>
    <t xml:space="preserve">     На вторую неделю в поход можно снарядить уже более ста Фей и свыше 30 Штормовых элементалей – эта армия великолепна по пробивной силе, пасуя лишь перед быстрыми и сильными летунами, которые практически никому в это время ещё не по зубам. Вполне можно устроить набег на соседей, и если те не отстроили Стрелковые башни или не обзавелись хорошей магией – им придется плохо. А вот если у противника есть Удар молнии и достаточно маны – плохо будет уже нашей армии, поскольку Феи убиваются пачками, да и штормовики с их удвоенным уроном от молний быстро тают. </t>
  </si>
  <si>
    <t xml:space="preserve">     Альтернативный вариант – вместо упора на штормовиков на первой неделе постараться поставить Психических элементалей и Цитадель. 4-5 этих элементалей с массовым безответным ударом, неплохой скоростью и недурным здоровьем – превосходная армия как для прохождения нейтралов, так и для обижания соседей, особенно если герой их лечить умеет (если пока не получается обходиться без потерь в битвах с тяжелыми противниками, например, Магами, то в компанию к ним лучше всё-таки возить Фей, и вовсе не помешают воздушные или Штормовые элементали, чтобы сохранить целым более ценный отряд). 
Ну а задача второй недели прозрачна как слеза – построить Огненных птиц! После получения на пятнадцатый день шести птичек можно всех прочих воинов отправить гулять на второстепенные направления – в руках неслабого мага имеется превосходная, сильная и очень быстрая в бою и в походе армия. Врагам остается бежать и прятаться, если это, конечно, компьютерные враги.</t>
  </si>
  <si>
    <r>
      <t xml:space="preserve">     Типичные армии и тактики последующей игры: </t>
    </r>
    <r>
      <rPr>
        <sz val="10"/>
        <rFont val="Arial"/>
        <family val="2"/>
        <charset val="204"/>
      </rPr>
      <t>После полной отстройки замка основным вариантом главной армии остаются Фениксы, особенно если герой овладеет Воскрешением – тогда армию мало кто может остановить. Если предвидятся тяжелые бои – в армию можно добавить Фей и Магических элементалей, при необходимости дополнительного усиления – элементалей Штормовых и Энергетических. Армия при этом остается очень быстрой на марше – собственно, она вне конкуренции по боевой силе, перемещающейся со скоростью 8 и 9. Армия полного состава нужна элементалистам чрезвычайно редко. Гораздо выгоднее пополнять её сильными воинами из захваченных замков. Идеальны в этом отношении Архангелы, которые помогают Фениксам проходить бои без потерь, даже если герой и не знает Воскрешения.</t>
    </r>
  </si>
  <si>
    <t xml:space="preserve">     Ну а если элементалист найдет на карте или в чужом городе заклинание Армагеддон, либо выкопает Грааль – игру можно считать законченной. Это «ужас, летящий на крыльях ночи». Драгагеддон (Драконы + Армагеддон) в исполнении Чернокнижника – традиционно страшная вещь в геройской серии. Так вот у элементалиста всё то же самое, только круче – если по силе магии средний элементалист равного уровня Чернокнижнику несколько уступит, то его иммунная к Армагеддону армия имеет втрое больше «здоровья», чем популяция Черных драконов, и в три с половиной раза более весомый удар, да ещё самый сильный отряд в ней можно воскрешать. Собственно, всё для противников, если не добудут артефакты на запрещение магии либо Клинок Армагеддона... да и в этом случае у элементалиста остаются козыри в виде высокой скорости, силы отряда шестого уровня и тем более седьмого, который ещё и возрождается, будучи убитым… если и проиграет битву, то такие потери нанесет, что после мобилизации скорее всего довершит разгром. Вот за всё это элементалистов и не любят, и на турнирах запрещают.</t>
  </si>
  <si>
    <r>
      <t xml:space="preserve">     Для хранения параметров "Герои" вообще не используют дробных чисел, запас хода считается в единицах, в оригинале называемых </t>
    </r>
    <r>
      <rPr>
        <b/>
        <sz val="10"/>
        <rFont val="Arial"/>
        <family val="2"/>
        <charset val="204"/>
      </rPr>
      <t>movement points</t>
    </r>
    <r>
      <rPr>
        <sz val="10"/>
        <rFont val="Arial"/>
        <family val="2"/>
        <charset val="204"/>
      </rPr>
      <t xml:space="preserve"> или MP. Далее приведена таблица соответствия.</t>
    </r>
  </si>
  <si>
    <r>
      <t xml:space="preserve">     При движении по земле скорость героя зависит от </t>
    </r>
    <r>
      <rPr>
        <b/>
        <sz val="10"/>
        <rFont val="Arial"/>
        <family val="2"/>
        <charset val="204"/>
      </rPr>
      <t>SCS</t>
    </r>
    <r>
      <rPr>
        <sz val="10"/>
        <rFont val="Arial"/>
        <family val="2"/>
        <charset val="204"/>
      </rPr>
      <t xml:space="preserve"> - Slowest Creature Speed (скорость самого медленного существа в его армии).</t>
    </r>
  </si>
  <si>
    <r>
      <rPr>
        <b/>
        <sz val="10"/>
        <rFont val="Arial"/>
        <family val="2"/>
        <charset val="204"/>
      </rPr>
      <t xml:space="preserve">     Это интересно! </t>
    </r>
    <r>
      <rPr>
        <sz val="10"/>
        <rFont val="Arial"/>
        <family val="2"/>
        <charset val="204"/>
      </rPr>
      <t>Если вы купили в Таверне Киррь (например) с одним Кентавром (SCS=6), а она двигается медленнее любого Еретика с одним Бесом (SCS=5), не удивляйтесь и не расстраивайтесь - это всего лишь в первый день. Всё дело в том, что в ранних версиях все герои при покупке имели начальную армию. Баг этот был быстро устранен... но не полностью. Скорость героя при покупке всё равно рассчитывается как если бы у героя была эта начальная армия. Угадать, какая же начальная армия подразумевается (!) в каждом конкретном случае, невозможно. Однако, из таблицы "HoTraits.txt" можно сделать вывод, что вышеописанных неприятных сюрпризов точно не будет у следующих героев: Ивор, Джем, Пигуедрам, Галтран, Лорелей, Тираксор, Монер, Пасис, Валеска.</t>
    </r>
  </si>
  <si>
    <t xml:space="preserve">     Ранее уволенные или проигравшие битву (побег и капитуляция не считаются) герои, в день найма имеют базовый запас хода 2000 очков движения (МР). Герои без существ также имеют базовый запас хода 2000 очков движения (МР).</t>
  </si>
  <si>
    <t xml:space="preserve">     Примечания:</t>
  </si>
  <si>
    <t xml:space="preserve">     1. Герой при движении открывает терру инкогнито вокруг себя в радиусе 5 клеток (диаметр 11).</t>
  </si>
  <si>
    <t xml:space="preserve">     2. Наличие артефактов Подзорная труба и Зеркало позволяет открывать на 1 клетку больше, причём в случае наличия у героя одновременно этих двух артефактов, количество дополнительных клеток суммируется и составляет 2 клетки. Два одинаковых артефакта не удваивают бонус.</t>
  </si>
  <si>
    <t xml:space="preserve">     3. Наличие вторичного навыка Разведка позволяет дополнительно увеличить дальность обзора на 1 клетку за каждый уровень этого навыка.</t>
  </si>
  <si>
    <t xml:space="preserve">     4. Посещение Обсерватории красного дерева или Огненного столпа позволяет открыть 20 клеток вокруг этого объекта.</t>
  </si>
  <si>
    <t xml:space="preserve">     5. Строительство в Башне Смотровой башни позволяет открыть обзор на 20 клеток вокруг входа в город.</t>
  </si>
  <si>
    <t xml:space="preserve">     6. Посещённая противником Вуаль тьмы закрывает Вам обзор на 20 клеток вокруг этого объекта. Также действует постройка в Некрополисе противника этого строения, причём даже открытая после этого территория будет ежедневно закрываться вновь (это характерно только для Вуали тьмы в Некрополисе, но не на карте приключений).</t>
  </si>
  <si>
    <t xml:space="preserve">     1. На движение по горизонтали и вертикали тратится 100 очков (MP), по диагонали - 141 очко (MP) = 100 * 2^(1/2).</t>
  </si>
  <si>
    <t xml:space="preserve">     2. Посещение объектов также считается движением. Исключение: повторное посещение при помощи Пробела - в этом случае очки не тратятся.</t>
  </si>
  <si>
    <t xml:space="preserve">     К таким объектам относятся города, шахты, дружественные герои, монолиты, Водовороты, Врата подземного мира, сокровищницы, Хижины провидца и т.д.</t>
  </si>
  <si>
    <t xml:space="preserve">     3. Если герой посещает Озеро алых лебедей, он теряет весь остаток хода (если бонус Озера ещё действует, повторное посещение не вызывает потери хода).</t>
  </si>
  <si>
    <t xml:space="preserve">     4. Если герой садится в лодку или высаживается с неё на берег, он теряет остаток хода. Исключение: если у героя есть артефакт Шляпа адмирала - в этом случае запас хода по воде/земле пересчитывается в запас хода по земле/воде. Стоимость посадки в корабль - 100 очков (МР) при движении прямо, 141 очко (МР) при движении по диагонали.     </t>
  </si>
  <si>
    <r>
      <t xml:space="preserve">     5. На раскопки Грааля герой теряет весь ход. Копать Грааль в день прибытия на место будущих раскопок не позволено. </t>
    </r>
    <r>
      <rPr>
        <b/>
        <sz val="10"/>
        <rFont val="Arial"/>
        <family val="2"/>
        <charset val="204"/>
      </rPr>
      <t>Но:</t>
    </r>
    <r>
      <rPr>
        <sz val="10"/>
        <rFont val="Arial"/>
        <family val="2"/>
        <charset val="204"/>
      </rPr>
      <t xml:space="preserve"> Здесь нужно сделать одну оговорку, которая достаточно подробно освещена в одной из тем на </t>
    </r>
    <r>
      <rPr>
        <u/>
        <sz val="10"/>
        <color rgb="FF0033CC"/>
        <rFont val="Arial"/>
        <family val="2"/>
        <charset val="204"/>
      </rPr>
      <t>heroesportal.net</t>
    </r>
    <r>
      <rPr>
        <sz val="10"/>
        <rFont val="Arial"/>
        <family val="2"/>
        <charset val="204"/>
      </rPr>
      <t xml:space="preserve"> - "Задачка от Арха".  Суть оговорки в том, что имеется способ, который позволяет выкопать Грааль в день прибытия путем варьирования максимального уровня запаса хода (MP) героя. Подробности: </t>
    </r>
    <r>
      <rPr>
        <u/>
        <sz val="10"/>
        <color rgb="FF0033CC"/>
        <rFont val="Arial"/>
        <family val="2"/>
        <charset val="204"/>
      </rPr>
      <t>heroesportal.net/tavern/?id=150632</t>
    </r>
    <r>
      <rPr>
        <sz val="10"/>
        <color rgb="FF0033CC"/>
        <rFont val="Arial"/>
        <family val="2"/>
        <charset val="204"/>
      </rPr>
      <t>.</t>
    </r>
  </si>
  <si>
    <t xml:space="preserve">     На движение по определённым территориям тратится в несколько раз больше/меньше очков движения (MP), чем при движении по траве. При движении по таким территориям каждые 100 (141) очков (MP), затрачиваемые на шаг, умножаются на соответствующий коэффициент, который зависит от навыка Поиск Пути у героя.</t>
  </si>
  <si>
    <r>
      <t xml:space="preserve">     Штрафы местности </t>
    </r>
    <r>
      <rPr>
        <b/>
        <sz val="10"/>
        <rFont val="Arial"/>
        <family val="2"/>
        <charset val="204"/>
      </rPr>
      <t>не</t>
    </r>
    <r>
      <rPr>
        <sz val="10"/>
        <rFont val="Arial"/>
        <family val="2"/>
        <charset val="204"/>
      </rPr>
      <t xml:space="preserve"> действуют, если:</t>
    </r>
  </si>
  <si>
    <t xml:space="preserve">     "Родная" земля для всех классов героев:</t>
  </si>
  <si>
    <r>
      <t xml:space="preserve">     На скорость движения героя по карте влияет вид местности (скорость героя увеличивается при наличии навыка Поиск пути), по которой движется герой и наличие дорог, которые автоматически снижают затраты на прохождение, чем самым увеличивают запас хода - </t>
    </r>
    <r>
      <rPr>
        <b/>
        <sz val="10"/>
        <rFont val="Arial"/>
        <family val="2"/>
        <charset val="204"/>
      </rPr>
      <t>но не затраты МР(!).</t>
    </r>
  </si>
  <si>
    <r>
      <rPr>
        <b/>
        <sz val="10"/>
        <rFont val="Arial"/>
        <family val="2"/>
        <charset val="204"/>
      </rPr>
      <t xml:space="preserve">     Внимание!</t>
    </r>
    <r>
      <rPr>
        <sz val="10"/>
        <rFont val="Arial"/>
        <family val="2"/>
        <charset val="204"/>
      </rPr>
      <t xml:space="preserve"> На последнем шаге штрафы местности действуют независимо от состава армии.</t>
    </r>
  </si>
  <si>
    <t xml:space="preserve">     Если у героя недостаточно очков движения (МР) для шага по диагонали (141), но достаточно для шага по горизонтали или вертикали (т.е.141≥MP≥100), он всё же может шагнуть по диагонали, но лишь в случае отсутствия штрафов на передвижение (дороги, состав армии и заклинание Полет в расчет не принимаются - т.е. штраф местности для последнего шага действует всегда).</t>
  </si>
  <si>
    <t xml:space="preserve">     Примеры:</t>
  </si>
  <si>
    <r>
      <t xml:space="preserve">     На практике замечена такая особенность, что:
- если у героя осталось минимальное количество очков движения (МР) - то на траве он сделает шаг хоть по диагонали хоть в стороны (независимо от состава армии и вторичных навыков);
- если герой находится на любой земле имеющей штраф, то при минимальном остатке очков движения (МР) имеем следующее:
а) герой с неродными войсками и без Поиска пути не сможет сделать ни одного шага;
б) герой только с родными войсками и без Поиска пути может сделать шаг только в стороны;
в) герой с неродными войсками, но с навыком Поиск пути походит только в стороны, если уровень Поиска пути меньше штрафа местности;
г) герой с неродными войсками, но с навыком Поиск пути походит и по диагонали, если уровень Поиска пути больше/равен штрафу местности.
Также следует помнить про скрытые свойства существ, как у Кочевника, например, а также порядок расположения войск в армии, типовой состав и влияние их на передвижение героя. </t>
    </r>
    <r>
      <rPr>
        <i/>
        <sz val="10"/>
        <rFont val="Arial"/>
        <family val="2"/>
        <charset val="204"/>
      </rPr>
      <t xml:space="preserve">(Добавил </t>
    </r>
    <r>
      <rPr>
        <b/>
        <i/>
        <sz val="10"/>
        <rFont val="Arial"/>
        <family val="2"/>
        <charset val="204"/>
      </rPr>
      <t>Alex_R</t>
    </r>
    <r>
      <rPr>
        <i/>
        <sz val="10"/>
        <rFont val="Arial"/>
        <family val="2"/>
        <charset val="204"/>
      </rPr>
      <t xml:space="preserve">, </t>
    </r>
    <r>
      <rPr>
        <i/>
        <u/>
        <sz val="10"/>
        <color rgb="FF0033CC"/>
        <rFont val="Arial"/>
        <family val="2"/>
        <charset val="204"/>
      </rPr>
      <t>heroesworld.ru</t>
    </r>
    <r>
      <rPr>
        <i/>
        <sz val="10"/>
        <rFont val="Arial"/>
        <family val="2"/>
        <charset val="204"/>
      </rPr>
      <t>)</t>
    </r>
    <r>
      <rPr>
        <sz val="10"/>
        <rFont val="Arial"/>
        <family val="2"/>
        <charset val="204"/>
      </rPr>
      <t>.</t>
    </r>
  </si>
  <si>
    <t xml:space="preserve">     Заклинание Полёт позволяет игнорировать штрафы местности (бонусы при этом продолжают действовать), однако оно имеет собственную систему штрафов, зависящих от уровня развития Магии воздуха у героя. На каждый шаг "в полёте" герой тратит больше очков движения:</t>
  </si>
  <si>
    <r>
      <t xml:space="preserve">     Эти штрафы действуют </t>
    </r>
    <r>
      <rPr>
        <b/>
        <sz val="10"/>
        <rFont val="Arial"/>
        <family val="2"/>
        <charset val="204"/>
      </rPr>
      <t>только</t>
    </r>
    <r>
      <rPr>
        <sz val="10"/>
        <rFont val="Arial"/>
        <family val="2"/>
        <charset val="204"/>
      </rPr>
      <t xml:space="preserve"> при Полёте над препятствиями или землёй, имеющей штрафы для данного героя.</t>
    </r>
  </si>
  <si>
    <t xml:space="preserve">     Т.е. если у героя Экспертный Поиск Пути, а следовательно штрафы местности на него не действуют, он будет летать по болоту с обычной скоростью, даже если у него нет Экспертной Магии воздуха.</t>
  </si>
  <si>
    <r>
      <t xml:space="preserve">     Артефакт </t>
    </r>
    <r>
      <rPr>
        <b/>
        <sz val="10"/>
        <rFont val="Arial"/>
        <family val="2"/>
        <charset val="204"/>
      </rPr>
      <t>Крылья Ангела</t>
    </r>
    <r>
      <rPr>
        <sz val="10"/>
        <rFont val="Arial"/>
        <family val="2"/>
        <charset val="204"/>
      </rPr>
      <t xml:space="preserve"> даёт герою постоянно наложенное </t>
    </r>
    <r>
      <rPr>
        <u/>
        <sz val="10"/>
        <rFont val="Arial"/>
        <family val="2"/>
        <charset val="204"/>
      </rPr>
      <t>Экспертное</t>
    </r>
    <r>
      <rPr>
        <sz val="10"/>
        <rFont val="Arial"/>
        <family val="2"/>
        <charset val="204"/>
      </rPr>
      <t xml:space="preserve"> заклинание Полет.</t>
    </r>
  </si>
  <si>
    <r>
      <t xml:space="preserve">     Хождение по воде является "урезанной" версией заклинания Полёт. Оно позволяет преодолевать только водные преграды. В зависимости от уровня развития вторичного навыка Магия Воды при использовании заклинания Хождение по воде на каждый шаг </t>
    </r>
    <r>
      <rPr>
        <u/>
        <sz val="10"/>
        <rFont val="Arial"/>
        <family val="2"/>
        <charset val="204"/>
      </rPr>
      <t>по воде</t>
    </r>
    <r>
      <rPr>
        <sz val="10"/>
        <rFont val="Arial"/>
        <family val="2"/>
        <charset val="204"/>
      </rPr>
      <t xml:space="preserve"> тратится больше очков движения:</t>
    </r>
  </si>
  <si>
    <r>
      <t xml:space="preserve">     Артефакт </t>
    </r>
    <r>
      <rPr>
        <b/>
        <sz val="10"/>
        <rFont val="Arial"/>
        <family val="2"/>
        <charset val="204"/>
      </rPr>
      <t>Сапоги Левитации</t>
    </r>
    <r>
      <rPr>
        <sz val="10"/>
        <rFont val="Arial"/>
        <family val="2"/>
        <charset val="204"/>
      </rPr>
      <t xml:space="preserve"> дает герою постоянно наложенное </t>
    </r>
    <r>
      <rPr>
        <u/>
        <sz val="10"/>
        <rFont val="Arial"/>
        <family val="2"/>
        <charset val="204"/>
      </rPr>
      <t>Экспертное</t>
    </r>
    <r>
      <rPr>
        <sz val="10"/>
        <rFont val="Arial"/>
        <family val="2"/>
        <charset val="204"/>
      </rPr>
      <t xml:space="preserve"> заклинание Хождение по воде.</t>
    </r>
  </si>
  <si>
    <t xml:space="preserve">     На перемещение героя (в город или указанную точку) при помощи Городского портала или Двери измерений тратится:</t>
  </si>
  <si>
    <r>
      <t xml:space="preserve">     Примечание</t>
    </r>
    <r>
      <rPr>
        <sz val="10"/>
        <rFont val="Arial"/>
        <family val="2"/>
        <charset val="204"/>
      </rPr>
      <t xml:space="preserve">: для того, чтобы заклинание Дверь измерений сработало, у героя должен быть остаток хода не меньше, чем на один шаг по горизонтали, причем не имеет значения сколько это очков движения в численном выражении, для заклинания Городской портал необходимо наличие указанного в таблице запаса хода, в противном случае оно не сработает </t>
    </r>
    <r>
      <rPr>
        <i/>
        <sz val="10"/>
        <rFont val="Arial"/>
        <family val="2"/>
        <charset val="204"/>
      </rPr>
      <t xml:space="preserve">(Добавил </t>
    </r>
    <r>
      <rPr>
        <b/>
        <i/>
        <sz val="10"/>
        <rFont val="Arial"/>
        <family val="2"/>
        <charset val="204"/>
      </rPr>
      <t>cyberB</t>
    </r>
    <r>
      <rPr>
        <i/>
        <sz val="10"/>
        <rFont val="Arial"/>
        <family val="2"/>
        <charset val="204"/>
      </rPr>
      <t xml:space="preserve">, </t>
    </r>
    <r>
      <rPr>
        <i/>
        <u/>
        <sz val="10"/>
        <color indexed="12"/>
        <rFont val="Arial"/>
        <family val="2"/>
        <charset val="204"/>
      </rPr>
      <t>heroesportal.net</t>
    </r>
    <r>
      <rPr>
        <i/>
        <sz val="10"/>
        <rFont val="Arial"/>
        <family val="2"/>
        <charset val="204"/>
      </rPr>
      <t>).</t>
    </r>
  </si>
  <si>
    <t xml:space="preserve">     В Инферно есть особое строение - Врата замка. С их помощью герои могут перемещаться между своими городами Инферно, в которых есть это строение, не тратя при этом очки движения (МР).</t>
  </si>
  <si>
    <t xml:space="preserve">     Чтобы подобрать сундук, артефакт, ресурс и т.д., достаточно сделать левый клик на этом объекте, и компьютер автоматически определяет наиболее выгодный маршрут. Однако этот маршрут строится без учёта направления дальнейшего движения героя, поэтому его можно немного улучшить.</t>
  </si>
  <si>
    <t xml:space="preserve">     Герой должен взять Сундук. Компьютер выдал кратчайший маршрут. Если герой заберет Сундук, он потратит на это 141 очко движения (МР), но при этом останется на месте.</t>
  </si>
  <si>
    <r>
      <t xml:space="preserve">     Однако, после того, как герой возьмет первый Сундук, он должен пойти за вторым. А это три шага по горизонтали. В итоге для того, чтобы взять оба Сундука, герою понадобится: </t>
    </r>
    <r>
      <rPr>
        <b/>
        <sz val="10"/>
        <rFont val="Arial"/>
        <family val="2"/>
        <charset val="204"/>
      </rPr>
      <t>141 + 100 + 100 + 100 = 441</t>
    </r>
    <r>
      <rPr>
        <sz val="10"/>
        <rFont val="Arial"/>
        <family val="2"/>
        <charset val="204"/>
      </rPr>
      <t xml:space="preserve"> очков хода (МР).</t>
    </r>
  </si>
  <si>
    <t xml:space="preserve">     Если не использовать маршрут, предложенный компьютером, можно выгоднее распорядиться запасом хода:</t>
  </si>
  <si>
    <t xml:space="preserve">     Направляем героя на клетку вперед - 1 шаг по горизонтали.</t>
  </si>
  <si>
    <t xml:space="preserve">     Герой забирает первый Сундук - 1 шаг по вертикали.</t>
  </si>
  <si>
    <r>
      <t xml:space="preserve">     И идёт ко второму - 2 шага по горизонтали. В этом случае на сбор Сундуков у героя уйдет: </t>
    </r>
    <r>
      <rPr>
        <b/>
        <sz val="10"/>
        <rFont val="Arial"/>
        <family val="2"/>
        <charset val="204"/>
      </rPr>
      <t>100 + 100 + 100 + 100 = 400</t>
    </r>
    <r>
      <rPr>
        <sz val="10"/>
        <rFont val="Arial"/>
        <family val="2"/>
        <charset val="204"/>
      </rPr>
      <t xml:space="preserve"> очков хода (МР), что на 41 меньше, чем в первом случае.</t>
    </r>
  </si>
  <si>
    <t xml:space="preserve">     На карте иногда встречаются скопления различных ресурсов. Если самому прокладывать путь, можно избежать неоправданных потерь хода:</t>
  </si>
  <si>
    <t xml:space="preserve">     Допустим, герою нужно собрать три Сундука и встать на крайнюю правую клетку (над третьим Сундуком), чтобы идти дальше. Вариант компьютера будет следующим:</t>
  </si>
  <si>
    <t xml:space="preserve">     Герой берет первый Сундук - 141 МР.</t>
  </si>
  <si>
    <t xml:space="preserve">     Герой берет второй Сундук - 100+141 = 241 МР.</t>
  </si>
  <si>
    <r>
      <t xml:space="preserve">     Тем же способом берет третий Сундук  - 100+141 = 241 МР. И двигается на 1 клетку вправо - 100 МР. В итоге будет потрачено 141+241+241+100 = </t>
    </r>
    <r>
      <rPr>
        <b/>
        <sz val="10"/>
        <rFont val="Arial"/>
        <family val="2"/>
        <charset val="204"/>
      </rPr>
      <t>723 МР.</t>
    </r>
  </si>
  <si>
    <t xml:space="preserve">     Однако есть способ гораздо лучше:</t>
  </si>
  <si>
    <t xml:space="preserve">     Герой шагает на клетку вперед - 100 МР.</t>
  </si>
  <si>
    <t xml:space="preserve">     Забирает первый Сундук - 100 МР.</t>
  </si>
  <si>
    <r>
      <t xml:space="preserve">     Шагает еще на клетку вперед - 100 МР, потом забирает второй и, таким же образом третий. В итоге затраты на сбор составят 200+200+200 = </t>
    </r>
    <r>
      <rPr>
        <b/>
        <sz val="10"/>
        <rFont val="Arial"/>
        <family val="2"/>
        <charset val="204"/>
      </rPr>
      <t>600 МР</t>
    </r>
    <r>
      <rPr>
        <sz val="10"/>
        <rFont val="Arial"/>
        <family val="2"/>
        <charset val="204"/>
      </rPr>
      <t xml:space="preserve">, что на </t>
    </r>
    <r>
      <rPr>
        <b/>
        <sz val="10"/>
        <rFont val="Arial"/>
        <family val="2"/>
        <charset val="204"/>
      </rPr>
      <t xml:space="preserve">123 MP </t>
    </r>
    <r>
      <rPr>
        <sz val="10"/>
        <rFont val="Arial"/>
        <family val="2"/>
        <charset val="204"/>
      </rPr>
      <t>меньше, а это более 1 клетки пути. А как важен бывает иногда именно последний шаг!</t>
    </r>
  </si>
  <si>
    <r>
      <t xml:space="preserve">     Цель героя – захват города с последующим посещением. Тут уже нужно обойтись без «самодеятельности» и доверить компьютеру составление маршрута. Потому как, если герой атакует город с этой клетки, он потратит 141 МР и после битвы останется на месте. Потом ему придется потратить еще столько же, чтобы войти в город. ИТОГО: </t>
    </r>
    <r>
      <rPr>
        <b/>
        <sz val="10"/>
        <rFont val="Arial"/>
        <family val="2"/>
        <charset val="204"/>
      </rPr>
      <t>282 МР</t>
    </r>
    <r>
      <rPr>
        <sz val="10"/>
        <rFont val="Arial"/>
        <family val="2"/>
        <charset val="204"/>
      </rPr>
      <t xml:space="preserve">. Если же герой шагнёт вправо, атакует город и войдёт в него, он потратит </t>
    </r>
    <r>
      <rPr>
        <b/>
        <sz val="10"/>
        <rFont val="Arial"/>
        <family val="2"/>
        <charset val="204"/>
      </rPr>
      <t>300 МР</t>
    </r>
    <r>
      <rPr>
        <sz val="10"/>
        <rFont val="Arial"/>
        <family val="2"/>
        <charset val="204"/>
      </rPr>
      <t>, что несколько больше и может быть крайне критичным, особенно на последнем шаге.</t>
    </r>
  </si>
  <si>
    <t xml:space="preserve">     Бывают случаи, когда обход кучи ресурсов может сэкономить несколько очков движения (МР). Подобные манёвры бывают полезны при игре на скорость, когда главный герой ни в коем случае не должен отвлекаться на сбор ресурсов.</t>
  </si>
  <si>
    <t xml:space="preserve">     Если герой возьмет Сундук и пройдёт два шага вправо, он потратит 300 очков хода (МР). Если герой обойдет сундук, он потратит всего 282. Экономим 18 МР.</t>
  </si>
  <si>
    <t xml:space="preserve">     В этом примере обход сэкономит герою еще больше: Если герой возьмет Сундук и пройдёт две клетки по диагонали, он потратит 423 очков движения (МР). На обход Сундука герой потратит лишь 341 МР, что позволит найти "из воздуха" не много ни мало - 82 очка (МР)!</t>
  </si>
  <si>
    <t xml:space="preserve">     Не следует забывать о дорогах. Прямой путь не всегда самый быстрый:</t>
  </si>
  <si>
    <t xml:space="preserve">     Необходимо взять оба Сундука и пройти дальше по дороге. Если довериться компьютеру, маршрут получится следующий:</t>
  </si>
  <si>
    <t xml:space="preserve">     Герой берёт первый Сундук (100 МР) …и бежит к следующему, минуя дорогу (300 МР).</t>
  </si>
  <si>
    <t xml:space="preserve">     После чего переходит на дорогу (141 MP). Итого в сумме: 541 очков движения (MP).</t>
  </si>
  <si>
    <t xml:space="preserve">     Если самому прокладывать маршрут:</t>
  </si>
  <si>
    <t xml:space="preserve">     Герой сразу шагает на дорогу (141 MP).</t>
  </si>
  <si>
    <t xml:space="preserve">     Герой берет первый Сундук (100 МР).</t>
  </si>
  <si>
    <t xml:space="preserve">     Два шага по дороге (2*100 * 0.75 = 150 МР) и герой забирает второй Сундук (100 МР). Итого в сумме: 491 MP, что составит 50 МР экономии хода.</t>
  </si>
  <si>
    <r>
      <t xml:space="preserve">     Поскольку расчёт запаса хода происходит в начале дня и в течение дня уже, за исключением частного случая*, не пересчитывается, можно выиграть пару шагов, если в конце дня оставить в армии только самых быстрых существ (точнее сказать - достаточно оставить существ со скоростью передвижения хотя бы 11, так как более высокая скорость уже не даёт дополнительного преимущества. Причем важно помнить, что учитывается только естественная скорость существ </t>
    </r>
    <r>
      <rPr>
        <b/>
        <sz val="10"/>
        <rFont val="Arial"/>
        <family val="2"/>
        <charset val="204"/>
      </rPr>
      <t>без</t>
    </r>
    <r>
      <rPr>
        <sz val="10"/>
        <rFont val="Arial"/>
        <family val="2"/>
        <charset val="204"/>
      </rPr>
      <t xml:space="preserve"> учета бонусов артефактов и эффекта скорости на родной местности). Для этого можно оставить медленные войска в гарнизоне, городе, на охране шахты, или передать их другому герою, а в начале следующего дня вернуть их. Артефакты Сапоги скорости и Перчатки всадника имеет смысл одевать только на ночь, чтобы в начале следующего дня получить бонус к запасу хода. Если в начале дня их снять, запас хода не уменьшается.</t>
    </r>
  </si>
  <si>
    <t xml:space="preserve">     Как известно, город может иметь центральную Стрелковую башню (при постройке Цитадели) или центральную и две боковые (в случае постройки Замка). Урон, наносимый центральной башней, в 2 раза больше, чем от одной из боковых. Величина урона зависит только от количества "структур" (зданий), имеющихся в данный момент в городе (уровень защиты атакующего отряда и его расположение на поле не влияют на величину урона, что имеет место при дистанционных атаках стрелковых отрядов защитников). Однако, не все, что можно построить в городе, подпадает под определение "структуры":</t>
  </si>
  <si>
    <t xml:space="preserve">     1. Все улучшения жилищ существ, Префектуры и Гильдии магов не увеличивают количество "структур", так как основное здание уже построено. 
2. Дополнительные строения, увеличивающие прирост (типа Бастион грифонов, Крылья ваятеля, Гильдия горняков и пр.) также не является "структурой". Эти улучшения даже не отражаются на виде города (их невозможно выделить мышкой и получить название в "строке информации"). 
3. Цитадель или Замок не входят в число таких "структур", так как своими башнями уже наносят урон атакующим, причем гораздо больший, чем от каждой "структуры".
4. В некоторых городах имеются и другие улучшения, которые, естественно, "структурами" не являются.
Формула расчета урона в очках здоровья, наносимого центральной башней конкретного города имеет следующий вид:</t>
  </si>
  <si>
    <t xml:space="preserve">     В "пустом" городе (Сельская управа и Цитадель) центральная башня наносит урон от 10 до 15 единиц. Каждая построенная "структура" прибавляет к возможному урону, наносимому башней, 2...3 единицы, доводя его (при полностью отстроенном городе) до 46...69 единиц (например, в Темнице).
Следует отметить, что практический урон часто превышает верхнюю границу, но никогда не "залезает" за нижнюю.
Разные типы городов имеют разное количество "структур" и, следовательно, разные возможности башен при максимальном их ("структур") построении. </t>
  </si>
  <si>
    <r>
      <t xml:space="preserve">     Внимание!</t>
    </r>
    <r>
      <rPr>
        <sz val="10"/>
        <rFont val="Arial Cyr"/>
        <charset val="204"/>
      </rPr>
      <t xml:space="preserve"> Наблюдения и анализ боев в игре показывают, что в случае, когда на существо наложено заклинание Воздушный щит, оно получает повышенный урон при обстреле Стрелковыми башнями, в зависимости от уровня развития Магии воздуха у жертвы, что можно отнести к разряду багов </t>
    </r>
    <r>
      <rPr>
        <i/>
        <sz val="10"/>
        <rFont val="Arial Cyr"/>
        <charset val="204"/>
      </rPr>
      <t xml:space="preserve">(Предоставил </t>
    </r>
    <r>
      <rPr>
        <b/>
        <i/>
        <sz val="10"/>
        <rFont val="Arial Cyr"/>
        <charset val="204"/>
      </rPr>
      <t>Wight</t>
    </r>
    <r>
      <rPr>
        <i/>
        <sz val="10"/>
        <rFont val="Arial Cyr"/>
        <charset val="204"/>
      </rPr>
      <t xml:space="preserve">). </t>
    </r>
    <r>
      <rPr>
        <sz val="10"/>
        <rFont val="Arial Cyr"/>
        <charset val="204"/>
      </rPr>
      <t>Также Окаменение и вторичный навык Доспехи увеличивают получаемый урон от башен вместо его снижения.</t>
    </r>
  </si>
  <si>
    <t xml:space="preserve">     Стрелковые башни игнорируют защиту цели при расчёте урона стрельбы, а также они не учитывают навыки Нападения и Стрельбы своего героя.</t>
  </si>
  <si>
    <t xml:space="preserve">     Города каждого типа строят свои, особые рвы. Когда какой-нибудь отряд попадает в ров, его движение в этом раунде заканчивается (аналогично попаданию в Зыбучие пески). Пока отряд остается во рву, ему в каждом раунде наносится урон, величина которого зависит от вида рва (только для версий Клинок Армагеддона и Дыхание смерти). Существо, находящееся во рве получает -3 к защите. Рвы преодолеваются отрядами за один ход, кроме рва Крепости, который имеет двойную ширину.</t>
  </si>
  <si>
    <r>
      <t xml:space="preserve">     (1)</t>
    </r>
    <r>
      <rPr>
        <sz val="10"/>
        <rFont val="Arial Cyr"/>
        <charset val="204"/>
      </rPr>
      <t xml:space="preserve"> Стены Башни окружены Минным полем. Оно представляют угрозу только для отрядов, осаждающих город (в отличие от фортификационных рвов других городов). Величина урона, наносимого вражескому отряду каждой из мин, появляющихся на поле боя после применения заклинания Минное поле, определяется формулой </t>
    </r>
    <r>
      <rPr>
        <b/>
        <sz val="10"/>
        <rFont val="Arial Cyr"/>
        <charset val="204"/>
      </rPr>
      <t>(10*СМ + A)</t>
    </r>
    <r>
      <rPr>
        <sz val="10"/>
        <rFont val="Arial Cyr"/>
        <charset val="204"/>
      </rPr>
      <t xml:space="preserve">, где A равно 25 при отсутствии у героя вторичного навыка Магия огня или его наличии на Базовом уровне, 50 - при наличии Продвинутой Магии огня и 100 - при наличии у героя данного навыка на уровне Эксперт. Величина повреждений от Минного поля Башни отличается - она не является постоянной и определяется по разному для самой игры и её аддонов.
Для Возрождения Эрафии:
1) Если город имеет только гарнизон (без героя), то урон от каждой мины равен 55 единицам. 
2) Если в городе есть герой, то величина повреждений, наносимая Минным полем, определяется формулой, приведенной выше. В этом случае урон от мины может быть и ниже 55. </t>
    </r>
  </si>
  <si>
    <r>
      <t xml:space="preserve">     Для Клинка Армагеддона и Дыхания смерти:
1) Если город имеет только гарнизон (без героя), то урон от каждой мины равен 150 единицам.
2) Если герой-защитник имеет Силу магии и/или вторичный навык Магия огня такие, что величина повреждений, рассчитываемая по указанной формуле, превышает 150 единиц, то урон от “городской” мины будет определяться этой величиной, иначе величина повреждений равна 150 единицам - т.е., в отличие от Возрождения Эрафии, урон от "городских" мин не бывает ниже 150 единиц. Интересно, что в этом случае мины, появляющиеся на поле боя после применения заклинания Минное поле, могут наносить повреждения значительно меньше “городских”.  Следует отметить, что Минное поле вдоль стен Башни менее надежно, чем защитные рвы других городов, так как мины наносят одноразовый ущерб и могут быть легко уничтожены Снятием заклинаний Экспертного уровня </t>
    </r>
    <r>
      <rPr>
        <i/>
        <sz val="10"/>
        <rFont val="Arial Cyr"/>
        <charset val="204"/>
      </rPr>
      <t xml:space="preserve">(Добавил </t>
    </r>
    <r>
      <rPr>
        <b/>
        <i/>
        <sz val="10"/>
        <rFont val="Arial Cyr"/>
        <charset val="204"/>
      </rPr>
      <t>Dan McGraw</t>
    </r>
    <r>
      <rPr>
        <i/>
        <sz val="10"/>
        <rFont val="Arial Cyr"/>
        <charset val="204"/>
      </rPr>
      <t xml:space="preserve">, </t>
    </r>
    <r>
      <rPr>
        <i/>
        <u/>
        <sz val="10"/>
        <color rgb="FF0033CC"/>
        <rFont val="Arial Cyr"/>
        <charset val="204"/>
      </rPr>
      <t>astralwizard</t>
    </r>
    <r>
      <rPr>
        <i/>
        <sz val="10"/>
        <rFont val="Arial Cyr"/>
        <charset val="204"/>
      </rPr>
      <t>)</t>
    </r>
    <r>
      <rPr>
        <sz val="10"/>
        <rFont val="Arial Cyr"/>
        <charset val="204"/>
      </rPr>
      <t>. Также мины могут быть нейтрализованы артефактом Плащ отречения, не зависимо от того, у кого из героев он находится. Сфера запрещения не нейтрализует мины.</t>
    </r>
  </si>
  <si>
    <t xml:space="preserve">     Следует не забывать также, что отряды различных големов (стойкие к магии) будут получать гораздо меньший урон, чем все остальные, а следовательно должны идти в авангарде пехоты. Так как мины имеют под собой огненную природу, то они не действуют на существ, иммунных к заклинаниям огня, кроме случая, когда у любого из героев имеется Медаль уязвимости - она снимает иммунитет со всех существ нападающего. Защитник остается неуязвим.</t>
  </si>
  <si>
    <r>
      <rPr>
        <b/>
        <sz val="10"/>
        <rFont val="Arial Cyr"/>
        <charset val="204"/>
      </rPr>
      <t xml:space="preserve">     (2)</t>
    </r>
    <r>
      <rPr>
        <sz val="10"/>
        <rFont val="Arial Cyr"/>
        <charset val="204"/>
      </rPr>
      <t xml:space="preserve"> Данный параметр не суммируется. Имеется в виду вероятность попадания выстрелом Катапульты в один из указанных объектов в случае, если она изберет этот объект своей целью. В случае попадания - идёт расчёт вероятности нанести урон согласно следующей части таблицы. Т.е. даже в случае попадания не факт, что урон будет нанесен.</t>
    </r>
  </si>
  <si>
    <t xml:space="preserve">     1. Единственные стрелки, которые не имеют штрафа при стрельбе через крепостные стены: Маги, Архимаги, Снайперы и Чародеи. Только не путайте его со штрафом при стрельбе на дальнюю дистанцию (более 10 клеток) - этот штраф не пропадает. Но плюс к нему у стрелков (кроме указанных выше) существует также 50%-ный штраф на стрельбу через стены.</t>
  </si>
  <si>
    <t xml:space="preserve">     2. Любое существо нападающего, которое остановится непосредственно перед воротами города - не позволит им открыться, даже если само погибнет. Это полезно для того, чтобы не выпустить из города нелетающих существ, которых можно извести своими стрелками. Естественно, имеет смысл, если Вы можете управлять своей катапультой, чтобы она не пробила брешь в городских стенах. Однако, если труп исчезает (призванные элементали), то ворота закрываются.</t>
  </si>
  <si>
    <t xml:space="preserve">     3. Ослепить существо противника в тот момент, когда он пытается пройти сквозь пролом в стене намного полезнее, чем затыкать брешь своим воином.</t>
  </si>
  <si>
    <t xml:space="preserve">     4. Снять мины у стен Башни можно Снятием заклинаний на уровне Эксперт. Достаточно навести курсор на любую из них, даже если они скрыты от вашего взора.</t>
  </si>
  <si>
    <t xml:space="preserve">     5. Циклопы и Короли циклопов незаменимы при осаде, так как являются единственными существами, способными атаковать городские стены. Циклопы атакуют как Катапульта на уровне Базовой Баллистики, Короли циклопов - на уровне Продвинутой Баллистики. При этом количество существ в отряде не влияет на возможность атаки стен.</t>
  </si>
  <si>
    <t xml:space="preserve">     6. Загипнотизированное существо защитника может помочь нападающему открыть городские ворота, если остановится в их створе. Любое павшее существо в створе неповрежденных ворот не позволит им закрыться.</t>
  </si>
  <si>
    <t xml:space="preserve">     7. Уничтожение Катапульты нападающего может быть первостепенной задачей защитника, если в армии нападающего нет сильных летающих существ. Достаточно мощные стрелковые башни сами справятся с противником. Идеальным существом для этой цели являются Гарпии с их способностью возвращаться после атаки назад. Или другое летающее существо, активируемое после Ожидания. Главное - правильно расставить свои войска перед атакой противника, чтобы достать Катапульту.</t>
  </si>
  <si>
    <t xml:space="preserve">     8. У защитника города не появляется Баллиста при осаде, даже если защитник имеет её в своем арсенале, если в городе отстроен. Но навык артиллерии позволит ему управлять Стрелковыми башнями.</t>
  </si>
  <si>
    <t xml:space="preserve">     9. Максимальное число результативных выстрелов катапульты, достаточное для полного гарантированного уничтожения фортификаций города, не превышает 12 - по 2 выстрела на каждый из 4-х узлов укреплений стены, и по одному на башни и ворота. При Эксперте Баллистики на это уйдет 6 раундов, где Катапульта может стрелять дважды, причем каждый выстрел будет результативен. При Продвинутом уровне Баллистики также дается 2 выстрела с 50%-ной вероятностью поражения. Обычно, после первого промаха - второй выстрел результативен.</t>
  </si>
  <si>
    <t xml:space="preserve">     10. Стрелковые башни наносят удвоенный урон при атаке существа, на котором наложено заклинание Воздушный щит, Окаменение или герой имеет навык Доспехи (очевидный баг в игре. Работает не во всех версиях).</t>
  </si>
  <si>
    <t xml:space="preserve">     12. Если существо умрёт в створе ворот при осаде города, то его невозможно будет воскресить ни каким способом.</t>
  </si>
  <si>
    <t xml:space="preserve">     13. Если Катапульта делает пролом в стене, то существо защитника, которое стоит напротив пролома, теряет защиту стен от нападения вражеских стрелков, даже если это единственный пролом в стене. Т.е. для такого существа не работает эффект двойного снижения урона от выстрелов противника, который обеспечивают стены города.</t>
  </si>
  <si>
    <t xml:space="preserve">     Если Катапульта, циклоп или Землетрясение делают пролом в стене, то существо защитника, которое стоит напротив пролома, теряет защиту стен от нападения вражеских стрелков, даже если это единственный пролом в стене. Т.е. для такого существа не работает эффект двойного снижения урона от выстрелов противника, который обеспечивают стены города.</t>
  </si>
  <si>
    <t xml:space="preserve">     Однако не всегда стены города обеспечивают существам за ними защиту от вражеских выстрелов. Попробуем разобраться.</t>
  </si>
  <si>
    <t xml:space="preserve">     Для начала переведём гексагональную сетку поля боя в клеточную, которую использует компьютер, и введём систему координат:</t>
  </si>
  <si>
    <t xml:space="preserve">     Согласно полученной сетке видно, что выстрелы стрелков могут проходить между элементами стены и попадать в существ, укрывшихся за ними.</t>
  </si>
  <si>
    <t xml:space="preserve">     При расчётах компьютера, он также переводит гексагональную сетку в клеточную и линия выстрела стрелка считается от верхнего левого угла клетки, которую он занимает.</t>
  </si>
  <si>
    <t xml:space="preserve">     Цель выстрела (её верхний левый угол) за стенами должна находиться на линии от верхнего левого угла и угла между элементами стены.</t>
  </si>
  <si>
    <t xml:space="preserve">     Однако теория не всегда совпадает с практикой. Некоторые комбинации не работают.</t>
  </si>
  <si>
    <t xml:space="preserve">     Ниже приведена подробная таблица случаев, когда стрелок на определённой клетке (строки) не будет иметь штрафа за препятствия при выстреле по цели (столбцы).</t>
  </si>
  <si>
    <t xml:space="preserve">     Жёлтые клетки со знаком "Х" показывают отсутствие штрафа за препятствия.</t>
  </si>
  <si>
    <t xml:space="preserve">     Белые клетки со знаком "Х" - теоретические комбинации, которые на практике не работают в связи с внутренними округлениями программы при расчётах. В остальных случаях (белые клетки) штраф у стрелков есть.</t>
  </si>
  <si>
    <t xml:space="preserve">     Всем известны ситуации, когда вражеский герой внезапно выскакивает из Терры инкогнито и атакует ваш город, в воротах которого находится ваш герой с армией, а в гарнизоне находится ещё одна армия без героя. Враг нападает и действие переносится на поле боя осады, причём у вашего героя может оказаться совсем другая армия, составленная из двух. Какой принцип объединения армий и куда деваются остальные существа? С этим и попробуем разобраться.</t>
  </si>
  <si>
    <t xml:space="preserve">     Когда в гарнизоне и в гостях есть герои - их армии НЕ объединяются никогда. Если вражеский герой атакует город, то сперва он сражается с героем-гостем и его армией на обычном поле боя. В случае победы он может сразиться с гарнизонным героем на поле боя осады.</t>
  </si>
  <si>
    <t xml:space="preserve">     Путаница начинается именно тогда, когда герой находится в воротах, а в гарнизоне находится армия без героя.</t>
  </si>
  <si>
    <t xml:space="preserve">     Принципы слияния армий следующие:</t>
  </si>
  <si>
    <t xml:space="preserve">     1. Из числа гарнизонных отрядов выбирается сильнейший (с наибольшим значением AI Value), при этом отряды одного типа сравниваются по отдельности. Если в гарнизоне и у героя есть одинаковые существа, то при сравнении гарнизонных между собой к ним "мысленно" добавляется тот геройский отряд, к которому это существо должно присоединиться, если пройдет проверку на силу.</t>
  </si>
  <si>
    <r>
      <t xml:space="preserve">     2. Проверяемый гарнизонный отряд присоединяется к такому же отряду героя, если он у того есть. Если таких же отрядов несколько - то к самому </t>
    </r>
    <r>
      <rPr>
        <b/>
        <sz val="10"/>
        <rFont val="Arial Cyr"/>
        <charset val="204"/>
      </rPr>
      <t>левому</t>
    </r>
    <r>
      <rPr>
        <sz val="10"/>
        <rFont val="Arial Cyr"/>
        <charset val="204"/>
      </rPr>
      <t xml:space="preserve"> из них.</t>
    </r>
  </si>
  <si>
    <r>
      <t xml:space="preserve">     3. Если таких существ у героя нет, но есть пустые слоты, отряд занимает самый </t>
    </r>
    <r>
      <rPr>
        <b/>
        <sz val="10"/>
        <rFont val="Arial Cyr"/>
        <charset val="204"/>
      </rPr>
      <t>левый</t>
    </r>
    <r>
      <rPr>
        <sz val="10"/>
        <rFont val="Arial Cyr"/>
        <charset val="204"/>
      </rPr>
      <t xml:space="preserve"> из пустых.</t>
    </r>
  </si>
  <si>
    <r>
      <t xml:space="preserve">     4. Если пустых слотов нет, то его AI Value сравнивается с наименьшим AI Value геройских отрядов: если у гарнизонного больше, то он заменяет самый слабый отряд героя (если одинаково слабых отрядов несколько, то заменяется самый </t>
    </r>
    <r>
      <rPr>
        <b/>
        <sz val="10"/>
        <rFont val="Arial Cyr"/>
        <charset val="204"/>
      </rPr>
      <t>правый</t>
    </r>
    <r>
      <rPr>
        <sz val="10"/>
        <rFont val="Arial Cyr"/>
        <charset val="204"/>
      </rPr>
      <t xml:space="preserve"> из них), если же у гарнизонного меньше, то он остается в гарнизоне.</t>
    </r>
  </si>
  <si>
    <t xml:space="preserve">     5. Если произошла замена, геройский отряд отправляется в гарнизон, а гарнизонный - на место заменяемого. Начинается проверка следующего по AI Value гарнизонного отряда согласно пунктам 1-5. И так до тех пор, пока все гарнизонные отряды не проверятся.</t>
  </si>
  <si>
    <t xml:space="preserve">     6. В итоге в битве под руководством героя участвуют самые сильные существа. Максимум их может быть 7. Не вошедшие в эту семёрку отряды не участвуют в битве.</t>
  </si>
  <si>
    <t xml:space="preserve">     7. В случае победы защищавшегося, все выжившие существа остаются в армии героя. Не участвовавшие в бою существа остаются в гарнизоне.</t>
  </si>
  <si>
    <t xml:space="preserve">     Далее приведены несколько примеров:</t>
  </si>
  <si>
    <t xml:space="preserve">     В примерах над или под существами указана "сила" отряда по AI Value и порядок по "силе" среди гарнизонных существ и существ героя.</t>
  </si>
  <si>
    <t xml:space="preserve">     Добавляем больше существ. 1.Архангел - заменяет наиболее слабого Мечника. 2.Чемпионы - присоединяются к самому левому отряду Чемпионов в армии героя. 3.Ангел - присоединяется к Ангелу героя. 4.Грифоны - следуют примеру Чемпионов. 5.Кавалерист - заменяет наиболее слабого Монаха. 6.Фанатик и Крестоносец остаются в гарнизоне.</t>
  </si>
  <si>
    <t xml:space="preserve">     Усложняем ситуацию. 1.Ангел - присоединяется к левому Ангелу в армии героя. 2.Грифоны - присоединяются к левым Грифонам в армии героя. 3.Рыцари - занимают пустой слот. 4.Кавалеристы - заменяют Алебардщика, который возвращается в армию, присоединяясь к 10 Алебардщикам героя. 5.Алебардщики (считаются сильнее Монахов, так как к ним "мысленно" добавляются 10 Алебардщиков героя). 6.Монахам и Арбалетчикам не достаётся места в армии. Они не будут участвовать в битве и останутся в гарнизоне в случае победы героя. В случае проигрыша - пропадут.</t>
  </si>
  <si>
    <t xml:space="preserve">     Тут видно как Алебардщики присоединяются к самому левому отряду Алебардщиков в армии героя. Грифоны также присоединяются. Кавалеристы занимают самый левый из пустых слотов. Арбалетчик заменяет 1 Алебардщика. Последний же присоединяется обратно к герою в левый слот Алебардщиков.</t>
  </si>
  <si>
    <t xml:space="preserve">     Эта схема чётко объясняет, что гарнизонные войска занимают свободные слоты в армии героя слева-направо по убыванию их AI Value.</t>
  </si>
  <si>
    <t xml:space="preserve">     Зачастую у многих игроков возникают сложности при осаде вражеских городов. Основная проблема - Стрелковые башни противника. Они наносят существенный и неприятный урон, избежать которого сложно. Думаю, многие замечали, что в тех или иных ситуациях башни, управляемые ИИ выбирают различные цели для своих атак.</t>
  </si>
  <si>
    <t xml:space="preserve">     В таблице ниже представлены приоритетные для башен существа, где 1 - наивысший приоритет.</t>
  </si>
  <si>
    <t xml:space="preserve">     Голубым отмечены летающие существа; Оранжевым отмечены стреляющие существа и Баллиста.</t>
  </si>
  <si>
    <t xml:space="preserve">     Указанные в таблице приоритеты справедливы в том случае, когда ваши существа смогут дойти до вражеских за одинаковое количество ходов (не клеток, а именно ходов). При этом ров и стены учитываются, кроме клетки ворот, которая является единственным путём, даже если ворота закрыты. </t>
  </si>
  <si>
    <t xml:space="preserve">     Не учитывается тип существа (стрелок или воин ближнего боя), но учитывается способность летать. Если одному существу хватит меньшего количества ходов, чем другим, то его приоритет возрастает примерно на 12,5 пунктов.</t>
  </si>
  <si>
    <t xml:space="preserve">     Также при выборе цели не имеет значения количество существ в отрядах.</t>
  </si>
  <si>
    <t xml:space="preserve">     Если несколько существ имеют одинаковый приоритет, то башни начинают "отстрел" снизу вверх.</t>
  </si>
  <si>
    <t xml:space="preserve">     Пункты приоритета условны и получены опытным путём. Требуется уточнение.</t>
  </si>
  <si>
    <t xml:space="preserve">     Думаю, не будет новостью заявление о том, что нет вторичного навыка более полезного и в то же время непонятного, каким является Дипломатия.</t>
  </si>
  <si>
    <t xml:space="preserve">     Тем не менее, этот навык имеет достаточно чёткие и строгие внутренние правила.</t>
  </si>
  <si>
    <t xml:space="preserve">     Все существа изначально делятся на 5 степеней лояльности, что определяет их возможное дальнейшее присоединение к Вашей армии:</t>
  </si>
  <si>
    <t xml:space="preserve">     На случайных картах, степени лояльности каждого существа выставляются случайным образом. Если карту рисовал специалист, он сам своей рукой устанавливал одну из пяти степеней. С первым и последним пунктом списка всё понятно. Остальные (2...4) имеют некоторую вероятность присоединения, которая определяется случайным образом, но тем не менее, есть правила, которые могут повысить шансы героя получить существ в свою армию, если это вообще возможно.</t>
  </si>
  <si>
    <t xml:space="preserve">     В момент первого запуска игры, случайным образом определяется вероятность присоединения существа. То есть существо может быть таким, что не присоединится ни в каком случае. И степень навыка Дипломатии или сила войска не помогут. Хотя в редакторе карт он может быть определен как Дружелюбный (вероятно присоединится). Потому дальше рассматривать будем лишь только ту ситуацию, когда существо случайным или намеренным образом относится ко 2, 3 или 4 степени лояльности, а также имеется вероятность присоединения.</t>
  </si>
  <si>
    <t xml:space="preserve">     Существует ряд условий, которые могут изменить вероятность присоединения существ 2...4 степени в сторону увеличения:</t>
  </si>
  <si>
    <r>
      <t xml:space="preserve">     Полезно знать, что вероятность существа присоединиться </t>
    </r>
    <r>
      <rPr>
        <u/>
        <sz val="10"/>
        <rFont val="Arial Cyr"/>
        <charset val="204"/>
      </rPr>
      <t>за золото</t>
    </r>
    <r>
      <rPr>
        <sz val="10"/>
        <rFont val="Arial Cyr"/>
        <charset val="204"/>
      </rPr>
      <t xml:space="preserve"> так же повышается, если иметь навык Дипломатии (+10% за уровень). Причем, действует это независимо от вероятности присоединиться бесплатно. Однако стоимость присоединения никак не зависит ни от степени развития навыка, ни от наличия дипломатических артефактов.</t>
    </r>
  </si>
  <si>
    <t xml:space="preserve">     Плюс к этому существует ряд наблюдений, позволяющих повысить вероятность:</t>
  </si>
  <si>
    <t xml:space="preserve">     Примечательным фактом можно назвать то, что все три "дипломатических" артефакта никоим образом не имеют отношения к Дипломатии - той Дипломатии, которой посвящен данный раздел. Лента посла, Медаль дипломата и Кольцо дипломата никак не влияют ни на агрессию существ, ни на стоимость их присоединения. Они лишь снижают стоимость откупа героя (каждый артефакт на 10%) при побеге с поля боя с сохранением войск.</t>
  </si>
  <si>
    <r>
      <t xml:space="preserve">     Вторичный навык Дипломатии также помогает снизить стоимость откупа при побеге с поля боя. Величина снижения откупа равна 20% за каждый уровень развития Дипломатии. Ниже представлена таблица, в которой указана стоимость откупа при различных вариантах развития вторичного навыка и количества дипломатических артефактов, которые имеет герой, где за 100% принята первоначальная стоимость откупа </t>
    </r>
    <r>
      <rPr>
        <i/>
        <sz val="10"/>
        <color indexed="8"/>
        <rFont val="Arial"/>
        <family val="2"/>
        <charset val="204"/>
      </rPr>
      <t xml:space="preserve">(Предоставил </t>
    </r>
    <r>
      <rPr>
        <b/>
        <i/>
        <sz val="10"/>
        <color indexed="8"/>
        <rFont val="Arial"/>
        <family val="2"/>
        <charset val="204"/>
      </rPr>
      <t>DmitriyAS</t>
    </r>
    <r>
      <rPr>
        <i/>
        <sz val="10"/>
        <color indexed="8"/>
        <rFont val="Arial"/>
        <family val="2"/>
        <charset val="204"/>
      </rPr>
      <t xml:space="preserve">, </t>
    </r>
    <r>
      <rPr>
        <i/>
        <u/>
        <sz val="10"/>
        <color rgb="FF0033CC"/>
        <rFont val="Arial"/>
        <family val="2"/>
        <charset val="204"/>
      </rPr>
      <t>heroesportal.net</t>
    </r>
    <r>
      <rPr>
        <i/>
        <sz val="10"/>
        <color indexed="8"/>
        <rFont val="Arial"/>
        <family val="2"/>
        <charset val="204"/>
      </rPr>
      <t>).</t>
    </r>
  </si>
  <si>
    <r>
      <rPr>
        <b/>
        <sz val="10"/>
        <color indexed="8"/>
        <rFont val="Arial"/>
        <family val="2"/>
        <charset val="204"/>
      </rPr>
      <t xml:space="preserve">     Внимание! </t>
    </r>
    <r>
      <rPr>
        <sz val="10"/>
        <color indexed="8"/>
        <rFont val="Arial"/>
        <family val="2"/>
        <charset val="204"/>
      </rPr>
      <t>Два Кольца дипломата не суммируют свое действие, т.е. действует только одно.</t>
    </r>
  </si>
  <si>
    <r>
      <t xml:space="preserve">     По умолчанию, максимальная стоимость откупа равна 50% стоимости всех существ в армии героя без учета стоимости ресурсов, если таковые использовались для покупки существ </t>
    </r>
    <r>
      <rPr>
        <i/>
        <sz val="10"/>
        <color indexed="8"/>
        <rFont val="Arial"/>
        <family val="2"/>
        <charset val="204"/>
      </rPr>
      <t xml:space="preserve">(Добавил </t>
    </r>
    <r>
      <rPr>
        <b/>
        <i/>
        <sz val="10"/>
        <color indexed="8"/>
        <rFont val="Arial"/>
        <family val="2"/>
        <charset val="204"/>
      </rPr>
      <t>Bes</t>
    </r>
    <r>
      <rPr>
        <i/>
        <sz val="10"/>
        <color indexed="8"/>
        <rFont val="Arial"/>
        <family val="2"/>
        <charset val="204"/>
      </rPr>
      <t xml:space="preserve">, </t>
    </r>
    <r>
      <rPr>
        <i/>
        <u/>
        <sz val="10"/>
        <color rgb="FF0033CC"/>
        <rFont val="Arial"/>
        <family val="2"/>
        <charset val="204"/>
      </rPr>
      <t>forum.df2.ru</t>
    </r>
    <r>
      <rPr>
        <i/>
        <sz val="10"/>
        <color indexed="8"/>
        <rFont val="Arial"/>
        <family val="2"/>
        <charset val="204"/>
      </rPr>
      <t>)</t>
    </r>
    <r>
      <rPr>
        <sz val="10"/>
        <color indexed="8"/>
        <rFont val="Arial"/>
        <family val="2"/>
        <charset val="204"/>
      </rPr>
      <t>.</t>
    </r>
  </si>
  <si>
    <r>
      <t xml:space="preserve">     Ниже представлена детализация расчёта вероятности присоединения существ, который учитывает все факторы, влияющие на агрессивность существ </t>
    </r>
    <r>
      <rPr>
        <i/>
        <sz val="10"/>
        <color indexed="8"/>
        <rFont val="Arial"/>
        <family val="2"/>
        <charset val="204"/>
      </rPr>
      <t xml:space="preserve">(Предоставил </t>
    </r>
    <r>
      <rPr>
        <b/>
        <i/>
        <sz val="10"/>
        <color indexed="8"/>
        <rFont val="Arial"/>
        <family val="2"/>
        <charset val="204"/>
      </rPr>
      <t>AlexSpl</t>
    </r>
    <r>
      <rPr>
        <i/>
        <sz val="10"/>
        <color indexed="8"/>
        <rFont val="Arial"/>
        <family val="2"/>
        <charset val="204"/>
      </rPr>
      <t xml:space="preserve">, </t>
    </r>
    <r>
      <rPr>
        <i/>
        <u/>
        <sz val="10"/>
        <color indexed="12"/>
        <rFont val="Arial"/>
        <family val="2"/>
        <charset val="204"/>
      </rPr>
      <t>heroesworld.ru</t>
    </r>
    <r>
      <rPr>
        <i/>
        <sz val="10"/>
        <color indexed="8"/>
        <rFont val="Arial"/>
        <family val="2"/>
        <charset val="204"/>
      </rPr>
      <t>)</t>
    </r>
    <r>
      <rPr>
        <sz val="10"/>
        <color indexed="8"/>
        <rFont val="Arial"/>
        <family val="2"/>
        <charset val="204"/>
      </rPr>
      <t>.</t>
    </r>
  </si>
  <si>
    <r>
      <rPr>
        <b/>
        <sz val="10"/>
        <rFont val="Arial Cyr"/>
        <charset val="204"/>
      </rPr>
      <t xml:space="preserve">     Внимание!</t>
    </r>
    <r>
      <rPr>
        <sz val="10"/>
        <rFont val="Arial Cyr"/>
        <charset val="204"/>
      </rPr>
      <t xml:space="preserve"> Магмовые, Ледяные и Энергетические элементали не считаются улучшениями Элементалей земли, воды и огня соответственно, и наоборот.</t>
    </r>
  </si>
  <si>
    <r>
      <t xml:space="preserve">     Внимание!</t>
    </r>
    <r>
      <rPr>
        <sz val="10"/>
        <rFont val="Arial Cyr"/>
        <charset val="204"/>
      </rPr>
      <t xml:space="preserve"> Если играть на лёгком уровне сложности, то при расчётах уровень Дипломатии берётся на единицу больше, но, тем не менее, ограничен значением 3.</t>
    </r>
  </si>
  <si>
    <r>
      <t xml:space="preserve">     Таблица вероятностей бесплатного и платного присоединения существ на карте приключений (Харизма </t>
    </r>
    <r>
      <rPr>
        <b/>
        <sz val="10"/>
        <rFont val="Arial Cyr"/>
        <charset val="204"/>
      </rPr>
      <t xml:space="preserve">Ch </t>
    </r>
    <r>
      <rPr>
        <sz val="10"/>
        <rFont val="Arial Cyr"/>
        <charset val="204"/>
      </rPr>
      <t xml:space="preserve">≥ Лояльности </t>
    </r>
    <r>
      <rPr>
        <b/>
        <sz val="10"/>
        <rFont val="Arial Cyr"/>
        <charset val="204"/>
      </rPr>
      <t>X</t>
    </r>
    <r>
      <rPr>
        <sz val="10"/>
        <rFont val="Arial Cyr"/>
        <charset val="204"/>
      </rPr>
      <t>):</t>
    </r>
  </si>
  <si>
    <r>
      <t xml:space="preserve">     Существует 4 основных параметра, определяющих величину суммарного урона </t>
    </r>
    <r>
      <rPr>
        <b/>
        <sz val="10"/>
        <color indexed="8"/>
        <rFont val="Arial"/>
        <family val="2"/>
        <charset val="204"/>
      </rPr>
      <t>D(сум)</t>
    </r>
    <r>
      <rPr>
        <sz val="10"/>
        <color indexed="8"/>
        <rFont val="Arial"/>
        <family val="2"/>
        <charset val="204"/>
      </rPr>
      <t>, который сможет нанести существо противнику:</t>
    </r>
  </si>
  <si>
    <r>
      <t xml:space="preserve">     1. Базовый урон существа </t>
    </r>
    <r>
      <rPr>
        <b/>
        <sz val="10"/>
        <rFont val="Arial"/>
        <family val="2"/>
        <charset val="204"/>
      </rPr>
      <t xml:space="preserve">D(баз), </t>
    </r>
    <r>
      <rPr>
        <sz val="10"/>
        <rFont val="Arial"/>
        <family val="2"/>
        <charset val="204"/>
      </rPr>
      <t>выражен в единицах здоровья, которые отнимаются при ударе;</t>
    </r>
  </si>
  <si>
    <r>
      <t xml:space="preserve">     2. Модификатор базового урона </t>
    </r>
    <r>
      <rPr>
        <b/>
        <sz val="10"/>
        <color indexed="8"/>
        <rFont val="Arial"/>
        <family val="2"/>
        <charset val="204"/>
      </rPr>
      <t>MD(баз)</t>
    </r>
    <r>
      <rPr>
        <sz val="10"/>
        <color indexed="8"/>
        <rFont val="Arial"/>
        <family val="2"/>
        <charset val="204"/>
      </rPr>
      <t>, который зависит от сравнительной характеристики величины Атаки существа и Защиты атакуемого им.</t>
    </r>
  </si>
  <si>
    <r>
      <t xml:space="preserve">     3. Модификатор нападения </t>
    </r>
    <r>
      <rPr>
        <b/>
        <sz val="10"/>
        <color indexed="8"/>
        <rFont val="Arial"/>
        <family val="2"/>
        <charset val="204"/>
      </rPr>
      <t>M(нап)</t>
    </r>
    <r>
      <rPr>
        <sz val="10"/>
        <color indexed="8"/>
        <rFont val="Arial"/>
        <family val="2"/>
        <charset val="204"/>
      </rPr>
      <t>, который зависит от наличия и уровня развития Нападения у героя.</t>
    </r>
  </si>
  <si>
    <r>
      <t xml:space="preserve">     4. Модификатор удачи </t>
    </r>
    <r>
      <rPr>
        <b/>
        <sz val="10"/>
        <color indexed="8"/>
        <rFont val="Arial"/>
        <family val="2"/>
        <charset val="204"/>
      </rPr>
      <t>M(уд)</t>
    </r>
    <r>
      <rPr>
        <sz val="10"/>
        <color indexed="8"/>
        <rFont val="Arial"/>
        <family val="2"/>
        <charset val="204"/>
      </rPr>
      <t>, который проявляется в случае срабатывания Удачи в текущем раунде боя.</t>
    </r>
  </si>
  <si>
    <t xml:space="preserve">     Срабатывание Боевого духа не рассматривается, так как это просто возможность повторить ход в текущем раунде боя и расчет суммарного урона в этом случае делается отдельно.</t>
  </si>
  <si>
    <t xml:space="preserve">     Все остальные модификаторы, к которым относятся всевозможные заклинания, специализации героев и существ, только лишь видоизменяют один или несколько из указанных выше параметров.</t>
  </si>
  <si>
    <t xml:space="preserve">     Рассмотрим эти параметры подробнее:</t>
  </si>
  <si>
    <t xml:space="preserve">     1. Базовый урон существа.</t>
  </si>
  <si>
    <t xml:space="preserve">     Каждое существо имеет определенный интервал значений урона [Dмин … Dмакс], в пределах которого случайным образом будет взят базовый урон для расчета величины суммарного урона. Исключениями являются Ангелы, Архангелы, Наги, Королевские наги, Крестьяне, Чародеи и Ржавые драконы, у которых Dмин=Dмакс. Значение выбирается в каждом раунде боя случайным образом.</t>
  </si>
  <si>
    <t xml:space="preserve">     На базовый урон могут оказать влияние только 2 фактора (заклинания):</t>
  </si>
  <si>
    <r>
      <t xml:space="preserve">     Благословление</t>
    </r>
    <r>
      <rPr>
        <sz val="10"/>
        <rFont val="Arial"/>
        <family val="2"/>
        <charset val="204"/>
      </rPr>
      <t xml:space="preserve"> – базовый урон существа становится равным Dмакс (или Dмакс+1 при Продвинутой/Экспертной магии воды).</t>
    </r>
  </si>
  <si>
    <r>
      <t xml:space="preserve">     Проклятие</t>
    </r>
    <r>
      <rPr>
        <sz val="10"/>
        <rFont val="Arial"/>
        <family val="2"/>
        <charset val="204"/>
      </rPr>
      <t xml:space="preserve"> – базовый урон существа становится равным Dмин (или Dмин-1 при Продвинутой/Экспертной магии огня). Однако урон, наносимый существом, не может быть меньше 1.</t>
    </r>
  </si>
  <si>
    <t xml:space="preserve">     2. Модификатор базового урона.</t>
  </si>
  <si>
    <r>
      <t xml:space="preserve">     В случае равенства параметров Атаки нападающего и Защиты цели модификатор базового урона равен 0. В случае, когда Атака нападающего существа (с учетом всех артефактов) </t>
    </r>
    <r>
      <rPr>
        <u/>
        <sz val="10"/>
        <color indexed="8"/>
        <rFont val="Arial"/>
        <family val="2"/>
        <charset val="204"/>
      </rPr>
      <t>больше</t>
    </r>
    <r>
      <rPr>
        <sz val="10"/>
        <color indexed="8"/>
        <rFont val="Arial"/>
        <family val="2"/>
        <charset val="204"/>
      </rPr>
      <t xml:space="preserve"> Защиты цели, то за каждую единицу разницы модификатор увеличивается на 5% от величины базового урона (максимальное превышение, разрешенное в игре составляет 300%). В случае, когда Атака нападающего существа (с учетом всех артефактов) </t>
    </r>
    <r>
      <rPr>
        <u/>
        <sz val="10"/>
        <color indexed="8"/>
        <rFont val="Arial"/>
        <family val="2"/>
        <charset val="204"/>
      </rPr>
      <t>меньше</t>
    </r>
    <r>
      <rPr>
        <sz val="10"/>
        <color indexed="8"/>
        <rFont val="Arial"/>
        <family val="2"/>
        <charset val="204"/>
      </rPr>
      <t xml:space="preserve"> Защиты цели, за каждую единицу разницы модификатор снижается на 2,5% от величины базового урона (максимальное снижение - на 70%), т.е. в итоге он уменьшает суммарный урон существа.</t>
    </r>
  </si>
  <si>
    <t xml:space="preserve">     На модификатор базового урона могут оказать влияние следующие заклинания:</t>
  </si>
  <si>
    <r>
      <t xml:space="preserve">     Жажда крови</t>
    </r>
    <r>
      <rPr>
        <sz val="10"/>
        <color indexed="8"/>
        <rFont val="Arial"/>
        <family val="2"/>
        <charset val="204"/>
      </rPr>
      <t xml:space="preserve"> – добавляет +3 (+6 при Продвинутой/Экспертной магии огня) к Атаке существа в ближнем бою.</t>
    </r>
  </si>
  <si>
    <r>
      <t xml:space="preserve">     Бешенство</t>
    </r>
    <r>
      <rPr>
        <sz val="10"/>
        <color indexed="8"/>
        <rFont val="Arial"/>
        <family val="2"/>
        <charset val="204"/>
      </rPr>
      <t xml:space="preserve"> – добавляет одинарное (полуторное - при Продвинутой магии огня; удвоенное - при Экспертной) количество баллов Защиты к Атаке существа (Защита при этом обнуляется).</t>
    </r>
  </si>
  <si>
    <r>
      <t xml:space="preserve">     Палач</t>
    </r>
    <r>
      <rPr>
        <sz val="10"/>
        <color indexed="8"/>
        <rFont val="Arial"/>
        <family val="2"/>
        <charset val="204"/>
      </rPr>
      <t xml:space="preserve"> – добавляет +8 к Атаке против существ 7-го уровня.</t>
    </r>
  </si>
  <si>
    <r>
      <t xml:space="preserve">     Молитва</t>
    </r>
    <r>
      <rPr>
        <sz val="10"/>
        <color indexed="8"/>
        <rFont val="Arial"/>
        <family val="2"/>
        <charset val="204"/>
      </rPr>
      <t xml:space="preserve"> – добавляет +2 (+4 при Продвинутой магии воды) к Атаке, Защите и Скорости существа.</t>
    </r>
  </si>
  <si>
    <r>
      <t xml:space="preserve">     Точность</t>
    </r>
    <r>
      <rPr>
        <sz val="10"/>
        <color indexed="8"/>
        <rFont val="Arial"/>
        <family val="2"/>
        <charset val="204"/>
      </rPr>
      <t xml:space="preserve"> – добавляет +3 (+6 при Продвинутой магии воздуха) к Атаке стреляющего существа.</t>
    </r>
  </si>
  <si>
    <r>
      <t xml:space="preserve">     Слабость</t>
    </r>
    <r>
      <rPr>
        <sz val="10"/>
        <rFont val="Arial"/>
        <family val="2"/>
        <charset val="204"/>
      </rPr>
      <t xml:space="preserve"> – снижает на 3 (6 при Продвинутой магии воды) балла Атаку существа.</t>
    </r>
  </si>
  <si>
    <r>
      <t xml:space="preserve">     Каменная кожа – </t>
    </r>
    <r>
      <rPr>
        <sz val="10"/>
        <color indexed="8"/>
        <rFont val="Arial"/>
        <family val="2"/>
        <charset val="204"/>
      </rPr>
      <t>добавляет +3 (+6 на Продвинутой магии земли) к Защите существа.</t>
    </r>
  </si>
  <si>
    <r>
      <t xml:space="preserve">     Разрушающий луч</t>
    </r>
    <r>
      <rPr>
        <sz val="10"/>
        <rFont val="Arial"/>
        <family val="2"/>
        <charset val="204"/>
      </rPr>
      <t xml:space="preserve"> – снижает на 3 (4 при Продвинутой магии воздуха; 5 - при Экспертной) балла Защиту существа. Единственное заклинание из указанных, эффект от которого действует до конца боя. Особенностью этого заклинания является то, что его можно наложить несколько раз на одно существо, причем эффект будет суммироваться, т.е. защиту существа за несколько раундов боя можно снизить до нуля. Действие этого заклинания не может быть снято Снятием заклинаний. Также эффект этого заклинания продолжает действовать после смерти отряда и его воскрешения.</t>
    </r>
  </si>
  <si>
    <t xml:space="preserve">     Таким образом, важно понимать, что все указанные выше заклинания оказывают влияние только на один из параметров, составляющих суммарный урон, а именно - на модификатор базового урона. Ни на какие другие параметры суммарного урона указанные 8 заклинаний воздействия не оказывают.</t>
  </si>
  <si>
    <t xml:space="preserve">     Эффект применения этих заклинаний будет зависеть от значимости модификатора базового урона для каждого конкретного существа. Например, если Атака нападающего больше Защиты жертвы, то заклинание жажда крови увеличит суммарный урон на 6*5% = 30% (от величины базового урона). Действие этого заклинания для такого существа в точности соответствует Экспертному Нападению. Однако, если Атака нападающего существенно меньше защиты жертвы, то эффект от заклинания будет в два раза слабее и составит только 6*2,5% = 15% от величины базового урона.</t>
  </si>
  <si>
    <t xml:space="preserve">     На основании вышесказанного легко проследить преимущества и недостатки того или иного заклинания в каждом конкретном случае. Например, для таких существ как Копейщик, Фея, Гарпия или Цербер, у которых большой разброс базового урона - намного эффективнее будет Экспертное Благословление, которое увеличит базовый урон минимум в 2 раза и это отразится не только на одном, а на всех составляющих суммы, чем Жажда крови, которая хоть и дает кажущуюся силу +6 в атаке, тем не менее принесет в итоге только 30% от базового урона всего для одного из четырех слагаемых.</t>
  </si>
  <si>
    <t xml:space="preserve">     3. Модификатор нападения.</t>
  </si>
  <si>
    <r>
      <t xml:space="preserve">     Третья составляющая суммарного урона - модификатор нападения </t>
    </r>
    <r>
      <rPr>
        <b/>
        <sz val="10"/>
        <color indexed="8"/>
        <rFont val="Arial"/>
        <family val="2"/>
        <charset val="204"/>
      </rPr>
      <t xml:space="preserve">M(нап) </t>
    </r>
    <r>
      <rPr>
        <sz val="10"/>
        <color indexed="8"/>
        <rFont val="Arial"/>
        <family val="2"/>
        <charset val="204"/>
      </rPr>
      <t>зависит от степени развития вторичного навыка Нападение (если он присутствует среди навыков героя) и составляет величину:</t>
    </r>
  </si>
  <si>
    <t xml:space="preserve">     Особое внимание стоит уделить героям, которые имеют специализацию Нападение (Крэг Хэк и Гундула). Эти герои имеют бонус, который увеличивает модификатор нападения (и только его) на 5% за каждый достигнутый уровень опыта:</t>
  </si>
  <si>
    <t xml:space="preserve">     Следует обратить внимание, что эти проценты имеют относительный, а не абсолютный характер, т.е. специалист по Нападению 10 уровня, имеющий Экспертное Нападение (бонус +30% базового урона) в итоге будет иметь M(нап) = 30 * (1 + 0,05*10 уровень) = 45%, а не 30+5*10 = 80%, как иногда ошибочно считают.</t>
  </si>
  <si>
    <t xml:space="preserve">     В силу того, что специалист по Нападению изначально имеет базовый навык Нападения, его бонус на старте составляет M(нап) = 10 * (1 + 0,05*1 уровень) = 10,5% от базового урона. Максимально достижимый уровень в игре – 108, что позволит специалисту в этом случае иметь бонус M(нап) = 30 * (1 + 0,05 * 108 уровень) = 192% от базового урона.</t>
  </si>
  <si>
    <r>
      <t xml:space="preserve">     Модификатор Нападения </t>
    </r>
    <r>
      <rPr>
        <b/>
        <sz val="10"/>
        <color indexed="8"/>
        <rFont val="Arial"/>
        <family val="2"/>
        <charset val="204"/>
      </rPr>
      <t>не участвует</t>
    </r>
    <r>
      <rPr>
        <sz val="10"/>
        <color indexed="8"/>
        <rFont val="Arial"/>
        <family val="2"/>
        <charset val="204"/>
      </rPr>
      <t xml:space="preserve"> в расчёте урона, наносимого стрелками на расстоянии. Для стрелков существует аналог вторичного навыка Нападение - вторичный навык Стрельба, работающий аналогично. В ближнем бою Нападение для стрелков работает как положено, однако если стрелок имеет штраф в ближнем бою, то бонус от Нападения снижается на 50%, т.е. </t>
    </r>
    <r>
      <rPr>
        <b/>
        <sz val="10"/>
        <color indexed="8"/>
        <rFont val="Arial"/>
        <family val="2"/>
        <charset val="204"/>
      </rPr>
      <t>М(нап)</t>
    </r>
    <r>
      <rPr>
        <sz val="10"/>
        <color indexed="8"/>
        <rFont val="Arial"/>
        <family val="2"/>
        <charset val="204"/>
      </rPr>
      <t xml:space="preserve"> для стрелков составит </t>
    </r>
    <r>
      <rPr>
        <b/>
        <sz val="10"/>
        <color indexed="8"/>
        <rFont val="Arial"/>
        <family val="2"/>
        <charset val="204"/>
      </rPr>
      <t>0,15*D(баз)</t>
    </r>
    <r>
      <rPr>
        <sz val="10"/>
        <color indexed="8"/>
        <rFont val="Arial"/>
        <family val="2"/>
        <charset val="204"/>
      </rPr>
      <t xml:space="preserve"> - на Эксперте.                                                                                                                                                    </t>
    </r>
    <r>
      <rPr>
        <b/>
        <sz val="10"/>
        <color indexed="8"/>
        <rFont val="Arial"/>
        <family val="2"/>
        <charset val="204"/>
      </rPr>
      <t>Примечание:</t>
    </r>
    <r>
      <rPr>
        <sz val="10"/>
        <color indexed="8"/>
        <rFont val="Arial"/>
        <family val="2"/>
        <charset val="204"/>
      </rPr>
      <t xml:space="preserve"> Все артефакты, увеличивающие эффективность навыка Стрельба (лук, тетива и стрелы) работают только при его наличии.</t>
    </r>
  </si>
  <si>
    <t xml:space="preserve">     4. Модификатор удачи.</t>
  </si>
  <si>
    <t xml:space="preserve">     В случае срабатывания удачи во время нанесения удара, существо наносит дополнительно урон:</t>
  </si>
  <si>
    <t xml:space="preserve">     5. Модификаторы суммарного урона.</t>
  </si>
  <si>
    <t xml:space="preserve">     5.1. Заклинания</t>
  </si>
  <si>
    <t xml:space="preserve">     Отдельно необходимо упомянуть 3 оставшихся заклинания, которые модифицируют суммарный урон, наносимый существу:</t>
  </si>
  <si>
    <r>
      <t xml:space="preserve">     Щит</t>
    </r>
    <r>
      <rPr>
        <sz val="10"/>
        <color indexed="8"/>
        <rFont val="Arial"/>
        <family val="2"/>
        <charset val="204"/>
      </rPr>
      <t xml:space="preserve"> – снижает на 15% (30% при Продвинутой и Экспертной Магии земли) суммарный урон, нанесенный существу в ближнем бою.</t>
    </r>
  </si>
  <si>
    <r>
      <t xml:space="preserve">     Воздушный щит</t>
    </r>
    <r>
      <rPr>
        <sz val="10"/>
        <color indexed="8"/>
        <rFont val="Arial"/>
        <family val="2"/>
        <charset val="204"/>
      </rPr>
      <t xml:space="preserve"> – снижает на 25% (50% при Продвинутой и Экспертной Магии воздуха) суммарный урон, нанесенный существу от атак на расстоянии.</t>
    </r>
  </si>
  <si>
    <r>
      <t xml:space="preserve">     Забывчивость</t>
    </r>
    <r>
      <rPr>
        <sz val="10"/>
        <rFont val="Arial"/>
        <family val="2"/>
        <charset val="204"/>
      </rPr>
      <t xml:space="preserve"> - снижает суммарный урон, наносимый указанным стреляющим отрядом противника на 50% при Базовой магии воды, на Продвинутом и на Экспертном - все стреляющие существа противника теряют способность к стрельбе до истечения действия заклинания. Способность атаковать в рукопашную у существа сохраняется.</t>
    </r>
  </si>
  <si>
    <r>
      <rPr>
        <b/>
        <sz val="10"/>
        <color indexed="8"/>
        <rFont val="Arial"/>
        <family val="2"/>
        <charset val="204"/>
      </rPr>
      <t xml:space="preserve">     Это интересно! </t>
    </r>
    <r>
      <rPr>
        <sz val="10"/>
        <color indexed="8"/>
        <rFont val="Arial"/>
        <family val="2"/>
        <charset val="204"/>
      </rPr>
      <t>Первое из трёх этих заклинаний часто ставят в сравнение с заклинанием Каменная кожа, и вопрос что эффективнее их этих двух заклинаний задавал себе, наверное, каждый игрок. Так вот, если имеется выбор между заклинаниями Каменная кожа и Щит, то эффективнее будет действовать Щит, потому что Каменная Кожа снижает на 15-30% только модификатор базового урона нападающего (одно из слагаемых суммарного урона). В то же время Щит снимет 15-30% от величины всего суммарного урона (что эффективнее).</t>
    </r>
  </si>
  <si>
    <r>
      <rPr>
        <b/>
        <sz val="10"/>
        <color indexed="8"/>
        <rFont val="Arial"/>
        <family val="2"/>
        <charset val="204"/>
      </rPr>
      <t xml:space="preserve">     Внимание! </t>
    </r>
    <r>
      <rPr>
        <sz val="10"/>
        <color indexed="8"/>
        <rFont val="Arial"/>
        <family val="2"/>
        <charset val="204"/>
      </rPr>
      <t>Действие второго из трёх этих заклинаний, по сути, аналогично первому, однако имеется один существенный баг, который необходимо учитывать при использовании Воздушного щита – если на существо наложено это заклинание, то он вместо половинного урона получает двойной урон от Стрелковых башен при осаде города. Это может существенно осложнить процедуру захвата, если не знать этого нюанса.</t>
    </r>
  </si>
  <si>
    <t xml:space="preserve">     5.2. Вторичный навык Доспехи.</t>
  </si>
  <si>
    <r>
      <t xml:space="preserve">     Доспехи, имеющиеся у героя, который подвергается атаке, оказывает влияние именно </t>
    </r>
    <r>
      <rPr>
        <u/>
        <sz val="10"/>
        <color indexed="8"/>
        <rFont val="Arial"/>
        <family val="2"/>
        <charset val="204"/>
      </rPr>
      <t>на суммарный урон</t>
    </r>
    <r>
      <rPr>
        <sz val="10"/>
        <color indexed="8"/>
        <rFont val="Arial"/>
        <family val="2"/>
        <charset val="204"/>
      </rPr>
      <t xml:space="preserve">, наносимый его существам и снижает его на 5...15% в зависимости от уровня развития этого навыка. Для вычисления модификатора защиты </t>
    </r>
    <r>
      <rPr>
        <b/>
        <sz val="10"/>
        <color indexed="8"/>
        <rFont val="Arial"/>
        <family val="2"/>
        <charset val="204"/>
      </rPr>
      <t>M(защ)</t>
    </r>
    <r>
      <rPr>
        <sz val="10"/>
        <color indexed="8"/>
        <rFont val="Arial"/>
        <family val="2"/>
        <charset val="204"/>
      </rPr>
      <t xml:space="preserve"> у специалистов вторичного навыка Доспехи (Мепхала, Нила, Тазар) применяем тот же механизм расчета, что и для специалистов в Нападении - за каждый достигнутый уровень опыта бонус вторичного навыка увеличивается на 5% (относительных):</t>
    </r>
  </si>
  <si>
    <t xml:space="preserve">     Также, думаю, не должен оспариваться тот факт, что Экспертные Доспехи в большинстве случаев отразят большее число урона, чем тому же атакующему принесет Экспертное Нападение, даже с учётом того, что в относительном выражении (15% против 30% у Нападения) он смотрится менее внушительно. Применяется в расчете в последнюю очередь и дополняет действие заклинания Щит или Воздушный щит.</t>
  </si>
  <si>
    <r>
      <t xml:space="preserve">     Итого</t>
    </r>
    <r>
      <rPr>
        <sz val="10"/>
        <color indexed="8"/>
        <rFont val="Arial"/>
        <family val="2"/>
        <charset val="204"/>
      </rPr>
      <t xml:space="preserve">, </t>
    </r>
    <r>
      <rPr>
        <sz val="10"/>
        <rFont val="Arial"/>
        <family val="2"/>
        <charset val="204"/>
      </rPr>
      <t>суммарный урон будет считаться как сумма указанных параметров, скорректированная модификатором защиты (действие заклинаний в формуле не отражено, однако подразумевается):</t>
    </r>
  </si>
  <si>
    <t xml:space="preserve">     В бою достаточно сложно предсказать на сколько эффективна будет атака того или иного существа, ведь итоговый урон зависит от множества факторов. Данный эмулятор создан для того, чтобы примерно представить итоговый результата атаки выбранных существ при заданных параметрах.</t>
  </si>
  <si>
    <t xml:space="preserve">     В этом разделе собираются различные тактические хитрости, которые относятся к разным игровым моментам, не всегда являются очевидными, но обязательно - полезными для игрока.</t>
  </si>
  <si>
    <r>
      <t xml:space="preserve">     Увольнение героя в городе.</t>
    </r>
    <r>
      <rPr>
        <sz val="10"/>
        <rFont val="Arial Cyr"/>
        <charset val="204"/>
      </rPr>
      <t xml:space="preserve"> Для того, чтобы уволить героя не выходя из города (иногда это необходимо, если у героя закончился ход) можно переместить его в гарнизон (внутрь города) и в окне Обзор королевства-Снаряжение при нажатии на героя уже будет доступна кнопка Уволить героя </t>
    </r>
    <r>
      <rPr>
        <i/>
        <sz val="10"/>
        <rFont val="Arial Cyr"/>
        <charset val="204"/>
      </rPr>
      <t xml:space="preserve">(Предоставил </t>
    </r>
    <r>
      <rPr>
        <b/>
        <i/>
        <sz val="10"/>
        <rFont val="Arial Cyr"/>
        <charset val="204"/>
      </rPr>
      <t>vbn</t>
    </r>
    <r>
      <rPr>
        <i/>
        <sz val="10"/>
        <rFont val="Arial Cyr"/>
        <charset val="204"/>
      </rPr>
      <t xml:space="preserve">, </t>
    </r>
    <r>
      <rPr>
        <i/>
        <u/>
        <sz val="10"/>
        <color indexed="12"/>
        <rFont val="Arial Cyr"/>
        <charset val="204"/>
      </rPr>
      <t>heroesworld.ru</t>
    </r>
    <r>
      <rPr>
        <i/>
        <sz val="10"/>
        <rFont val="Arial Cyr"/>
        <charset val="204"/>
      </rPr>
      <t>)</t>
    </r>
    <r>
      <rPr>
        <sz val="10"/>
        <rFont val="Arial Cyr"/>
        <charset val="204"/>
      </rPr>
      <t>. Действует не во всех версиях игры.</t>
    </r>
  </si>
  <si>
    <r>
      <t xml:space="preserve">     Строим Портал вызова в Темнице.</t>
    </r>
    <r>
      <rPr>
        <sz val="10"/>
        <rFont val="Arial Cyr"/>
        <charset val="204"/>
      </rPr>
      <t xml:space="preserve"> Учитывая тот факт, что Портал вызова стоит всего 2500 золота + 5 руды и не требует абсолютно никаких дополнительных условий вы можете его построить в своем городе в любой момент. Если Темница является стартовым городом и вы не успели обзавестись никакими внешними жилищами, то может не торопитесь это делать пока. Лучше - при возможности - захватите в конце первой недели близлежащее жилище хороших существ и у вас гарантированно в Портале тут же возникнет точно такая же армия, как в этом жилище. Дождитесь восьмого дня и получите еще такую же партию. После этого можете собирать бесплатных Троглодитов - существо в портале вызова генерируется в начале недели и выкупить его можете даже на 14 день. Никуда оно уже не денется. Понятно, что имеет смысл только в начале игры и в том случае, если по тактическим соображениям вы можете позволить себе не захватывать внешние жилища существ ради привлечения бесплатных существ.</t>
    </r>
  </si>
  <si>
    <r>
      <t xml:space="preserve">     Если у Вас уже имеется несколько внешних жилищ существ, то имеет смысл поэкспериментировать в постройке Портала вызова, предварительно сохранившись. При создании этого строения существа в нем выбираются случайным образом, что при достаточной степени усердия позволит добиться появления того существа, которое наиболее интересно в данный момент. Но, необходимо помнить, что на следующую неделю этот фокус не сработает, увы </t>
    </r>
    <r>
      <rPr>
        <i/>
        <sz val="10"/>
        <rFont val="Arial Cyr"/>
        <charset val="204"/>
      </rPr>
      <t xml:space="preserve">(Добавил </t>
    </r>
    <r>
      <rPr>
        <b/>
        <i/>
        <sz val="10"/>
        <rFont val="Arial Cyr"/>
        <charset val="204"/>
      </rPr>
      <t>VDV_forever</t>
    </r>
    <r>
      <rPr>
        <i/>
        <sz val="10"/>
        <rFont val="Arial Cyr"/>
        <charset val="204"/>
      </rPr>
      <t xml:space="preserve">, </t>
    </r>
    <r>
      <rPr>
        <i/>
        <u/>
        <sz val="10"/>
        <color rgb="FF0033CC"/>
        <rFont val="Arial Cyr"/>
        <charset val="204"/>
      </rPr>
      <t>heroesworld.ru</t>
    </r>
    <r>
      <rPr>
        <i/>
        <sz val="10"/>
        <rFont val="Arial Cyr"/>
        <charset val="204"/>
      </rPr>
      <t>)</t>
    </r>
    <r>
      <rPr>
        <sz val="10"/>
        <rFont val="Arial Cyr"/>
        <charset val="204"/>
      </rPr>
      <t xml:space="preserve">. </t>
    </r>
  </si>
  <si>
    <r>
      <t xml:space="preserve">     Гильдия наемных работников </t>
    </r>
    <r>
      <rPr>
        <sz val="10"/>
        <rFont val="Arial Cyr"/>
        <charset val="204"/>
      </rPr>
      <t>(внешняя)</t>
    </r>
    <r>
      <rPr>
        <b/>
        <sz val="10"/>
        <rFont val="Arial Cyr"/>
        <charset val="204"/>
      </rPr>
      <t>.</t>
    </r>
    <r>
      <rPr>
        <sz val="10"/>
        <rFont val="Arial Cyr"/>
        <charset val="204"/>
      </rPr>
      <t xml:space="preserve"> За ваших существ там предлагают 70% от их номинальной цены (учитывается только золото). Чтобы перевести эту сумму в количество серы, ртути, самоцветов или кристаллов, нужно разделить ее на 500. Для древесины и руды - на 250. Очень выгодный курс, если учесть, что самая выгодная цена на ресурсы на городском Рынке в 2 раза выше! Так что, если у вас "под боком" ненужное жилище существ, Рынок и Гильдия наемных работников, выгоднее купить ненужных существ и обменять их на ресурсы, а уж потом, если понадобится, покупать ресурсы на Рынке.</t>
    </r>
  </si>
  <si>
    <r>
      <rPr>
        <b/>
        <sz val="10"/>
        <rFont val="Arial Cyr"/>
        <charset val="204"/>
      </rPr>
      <t xml:space="preserve">     Расчёт очков за игру</t>
    </r>
    <r>
      <rPr>
        <sz val="10"/>
        <rFont val="Arial Cyr"/>
        <charset val="204"/>
      </rPr>
      <t>.  Полезно знать, что при расчёте очков за пройденную карту не имеет значение установлен Грааль в каком-либо городе или нет - достаточно просто его выкопать, чтобы очки за нахождение Грааля зачислились.</t>
    </r>
  </si>
  <si>
    <r>
      <rPr>
        <b/>
        <sz val="10"/>
        <rFont val="Arial Cyr"/>
        <charset val="204"/>
      </rPr>
      <t xml:space="preserve">     Стрелковые башни города.</t>
    </r>
    <r>
      <rPr>
        <sz val="10"/>
        <rFont val="Arial Cyr"/>
        <charset val="204"/>
      </rPr>
      <t xml:space="preserve"> Никогда не используйте заклинание Воздушный щит при атаке вражеского города до тех пор, пока не выведены из строя его Стрелковые башни. Иначе они будут наносить удвоенный урон по этому существу (хотя Воздушный Щит должен снижать этот урон). Аналогично ведет себя механизм расчета урона, если существо находится под воздействием Окаменения (Василиски и Медузы) - окаменевшее существо получает двойной урон от Стрелковых башен </t>
    </r>
    <r>
      <rPr>
        <i/>
        <sz val="10"/>
        <rFont val="Arial Cyr"/>
        <charset val="204"/>
      </rPr>
      <t xml:space="preserve">(Добавил </t>
    </r>
    <r>
      <rPr>
        <b/>
        <i/>
        <sz val="10"/>
        <rFont val="Arial Cyr"/>
        <charset val="204"/>
      </rPr>
      <t>Лорд Хаарт</t>
    </r>
    <r>
      <rPr>
        <i/>
        <sz val="10"/>
        <rFont val="Arial Cyr"/>
        <charset val="204"/>
      </rPr>
      <t xml:space="preserve">, </t>
    </r>
    <r>
      <rPr>
        <i/>
        <u/>
        <sz val="10"/>
        <color indexed="12"/>
        <rFont val="Arial Cyr"/>
        <charset val="204"/>
      </rPr>
      <t>forum.df2.ru</t>
    </r>
    <r>
      <rPr>
        <i/>
        <sz val="10"/>
        <rFont val="Arial Cyr"/>
        <charset val="204"/>
      </rPr>
      <t>)</t>
    </r>
    <r>
      <rPr>
        <sz val="10"/>
        <rFont val="Arial Cyr"/>
        <charset val="204"/>
      </rPr>
      <t>. Кроме того, вторичный навык Доспехи действует аналогично и стрелковые башни по существам героя с Доспехами будут наносить на 5-15% больший урон (работает не во всех версиях).</t>
    </r>
  </si>
  <si>
    <r>
      <rPr>
        <b/>
        <sz val="10"/>
        <rFont val="Arial Cyr"/>
        <charset val="204"/>
      </rPr>
      <t xml:space="preserve">     Как уничтожить свою Катапульту.</t>
    </r>
    <r>
      <rPr>
        <sz val="10"/>
        <rFont val="Arial Cyr"/>
        <charset val="204"/>
      </rPr>
      <t xml:space="preserve"> Иногда бывает ситуация, когда крайне важно не позволить нелетающим войскам противника выйти из города. В этом случае, чтобы Катапульта не наделала ненужных брешей в стене, можно уничтожить её применив против неё заклинание Метеоритный дождь. Естественно, если герой имеет навык Баллистики, то необходимости в её разрушении нет - можно просто пропустить ход.
Как вариант, ворота блокируются любым одиночным существом - причем неважно жив он или уже нет (ровно так же он может удерживать ворота открытыми, если требуется именно это). При отсутствии Стрелковых башен и нестреляющем гарнизоне на этой клетке идеально размещается отряд улучшенных Гарпий </t>
    </r>
    <r>
      <rPr>
        <i/>
        <sz val="10"/>
        <rFont val="Arial Cyr"/>
        <charset val="204"/>
      </rPr>
      <t xml:space="preserve">(Добавил </t>
    </r>
    <r>
      <rPr>
        <b/>
        <i/>
        <sz val="10"/>
        <rFont val="Arial Cyr"/>
        <charset val="204"/>
      </rPr>
      <t>ThatOne</t>
    </r>
    <r>
      <rPr>
        <i/>
        <sz val="10"/>
        <rFont val="Arial Cyr"/>
        <charset val="204"/>
      </rPr>
      <t xml:space="preserve">, </t>
    </r>
    <r>
      <rPr>
        <i/>
        <u/>
        <sz val="10"/>
        <color indexed="12"/>
        <rFont val="Arial Cyr"/>
        <charset val="204"/>
      </rPr>
      <t>forums.ag.ru</t>
    </r>
    <r>
      <rPr>
        <i/>
        <sz val="10"/>
        <rFont val="Arial Cyr"/>
        <charset val="204"/>
      </rPr>
      <t>)</t>
    </r>
    <r>
      <rPr>
        <sz val="10"/>
        <rFont val="Arial Cyr"/>
        <charset val="204"/>
      </rPr>
      <t>.</t>
    </r>
  </si>
  <si>
    <r>
      <rPr>
        <b/>
        <sz val="10"/>
        <rFont val="Arial Cyr"/>
        <charset val="204"/>
      </rPr>
      <t xml:space="preserve">     Минимальный урон</t>
    </r>
    <r>
      <rPr>
        <sz val="10"/>
        <rFont val="Arial Cyr"/>
        <charset val="204"/>
      </rPr>
      <t>. Минимально возможный урон, который вашему существу сможет нанести противник, равен 30% от его фактического урона (в случае, когда Защита существа существенно превышает атаку противника). Никакие артефакты и заклинания не помогут сделать потери меньше. Исключение составляет вторичный навык Доспехи (а также специализация по Доспехам у таких героев, как Мепхала, Нела или Тазар), в этом случае урон можно снизить до 25,5% при Экспертных Доспехах, и еще меньше - у специалистов по Доспехам при росте их уровня развития. Однако урон, который нанесет отряд противника не может быть меньше 1. Т.е. 1 Крестьянин всегда нанесет вашей армии урон 1.</t>
    </r>
  </si>
  <si>
    <r>
      <rPr>
        <b/>
        <sz val="10"/>
        <rFont val="Arial Cyr"/>
        <charset val="204"/>
      </rPr>
      <t xml:space="preserve">     Торгрим и Медаль уязвимости</t>
    </r>
    <r>
      <rPr>
        <sz val="10"/>
        <rFont val="Arial Cyr"/>
        <charset val="204"/>
      </rPr>
      <t>. Медаль уязвимости полностью нейтрализует способность Торгрима защищать свои войска от магии противника. Причём не имеет значения у кого из героев Медаль находится. Очень опасный артефакт, если Вы делаете ставку на неуязвимость к применению противником магии.</t>
    </r>
  </si>
  <si>
    <r>
      <rPr>
        <b/>
        <sz val="10"/>
        <rFont val="Arial Cyr"/>
        <charset val="204"/>
      </rPr>
      <t xml:space="preserve">     Отрицательная Удача</t>
    </r>
    <r>
      <rPr>
        <sz val="10"/>
        <rFont val="Arial Cyr"/>
        <charset val="204"/>
      </rPr>
      <t>. Удача, в отличие от Боевого духа никак не проявляет своего отрицательного значения - согласно руководству урон существа должен половиниться в случае выпадения отрицательной Удачи (Неудачи), однако на практике такие случаи не наблюдаются.</t>
    </r>
  </si>
  <si>
    <r>
      <rPr>
        <b/>
        <sz val="10"/>
        <rFont val="Arial Cyr"/>
        <charset val="204"/>
      </rPr>
      <t xml:space="preserve">     Количество существ на поле боя</t>
    </r>
    <r>
      <rPr>
        <sz val="10"/>
        <rFont val="Arial Cyr"/>
        <charset val="204"/>
      </rPr>
      <t xml:space="preserve">. В игре существует ограничение на количество объектов, которые могут принимать участие в бою, причём выведенные из боя объекты (погибшие существа), а также призванные Демоны и элементали также учитываются. Когда счетчик объектов достигает своего максимума (это 20 объектов для каждой из сторон) - никакого другого объекта на поле боя появиться не может - нельзя поднять Демонов, призвать Элементалей, и сотворить Клон. Военные машины также являются объектами и подлежат учёту. Из этого получаем полезный для игроков вывод - если думаете, что битва сведется к массовому призыву элементалей (такое случается), учтите, что каждый призванный слот Демонов и каждый изначально занятый слот отнимает у вас один отряд элементалей. Плюс еще одна причина не тащить в бой ненужную Палатку или Тележку с боеприпасами </t>
    </r>
    <r>
      <rPr>
        <i/>
        <sz val="10"/>
        <rFont val="Arial Cyr"/>
        <charset val="204"/>
      </rPr>
      <t xml:space="preserve">(Предоставил </t>
    </r>
    <r>
      <rPr>
        <b/>
        <i/>
        <sz val="10"/>
        <rFont val="Arial Cyr"/>
        <charset val="204"/>
      </rPr>
      <t>Horn</t>
    </r>
    <r>
      <rPr>
        <i/>
        <sz val="10"/>
        <rFont val="Arial Cyr"/>
        <charset val="204"/>
      </rPr>
      <t xml:space="preserve">, </t>
    </r>
    <r>
      <rPr>
        <i/>
        <u/>
        <sz val="10"/>
        <color indexed="12"/>
        <rFont val="Arial Cyr"/>
        <charset val="204"/>
      </rPr>
      <t>heroesleague.ru</t>
    </r>
    <r>
      <rPr>
        <i/>
        <sz val="10"/>
        <rFont val="Arial Cyr"/>
        <charset val="204"/>
      </rPr>
      <t>)</t>
    </r>
    <r>
      <rPr>
        <sz val="10"/>
        <rFont val="Arial Cyr"/>
        <charset val="204"/>
      </rPr>
      <t>.</t>
    </r>
  </si>
  <si>
    <r>
      <rPr>
        <b/>
        <sz val="10"/>
        <rFont val="Arial Cyr"/>
        <charset val="204"/>
      </rPr>
      <t xml:space="preserve">     Полный рюкзак</t>
    </r>
    <r>
      <rPr>
        <sz val="10"/>
        <rFont val="Arial Cyr"/>
        <charset val="204"/>
      </rPr>
      <t>. Как правило, карты (особенно случайные) усеяны всякой всячиной, знай себе - собирай. Только помните: не стоит подходить к объектам, дающим артефакты, если вам эти артефакты некуда положить - они пропадут! Размер рюкзака героя ограничен 64 ячейками.</t>
    </r>
  </si>
  <si>
    <r>
      <rPr>
        <b/>
        <sz val="10"/>
        <rFont val="Arial Cyr"/>
        <charset val="204"/>
      </rPr>
      <t xml:space="preserve">     Блокировка высадки противника на берег</t>
    </r>
    <r>
      <rPr>
        <sz val="10"/>
        <rFont val="Arial Cyr"/>
        <charset val="204"/>
      </rPr>
      <t>. Если на берегу ваш герой произведет поиск Грааля (выкопает яму), то данная клетка навсегда станет недоступна для высадки из лодки. Также можно просто поставить ненужного на данный момент героя на берегу - противник не сможет высадиться в эту клетку, а также не сможет напасть - нападение из лодки на берег запрещено правилами игры.</t>
    </r>
  </si>
  <si>
    <r>
      <rPr>
        <b/>
        <sz val="10"/>
        <rFont val="Arial Cyr"/>
        <charset val="204"/>
      </rPr>
      <t xml:space="preserve">     Сфера запрещения как магический щит.</t>
    </r>
    <r>
      <rPr>
        <sz val="10"/>
        <rFont val="Arial Cyr"/>
        <charset val="204"/>
      </rPr>
      <t xml:space="preserve"> Замечено, что действие Сферы запрещения начинается только после перехода хода к первому существу героя, что позволяет проявиться всем заклинаниям, которые накладываются на войска до этого (Экспертная Молитва Альянса ангелов, четыре заклинания Доспехов проклятых). Снять или нейтрализовать эти заклинания противник уже не сможет - по понятным причинам.</t>
    </r>
  </si>
  <si>
    <r>
      <rPr>
        <b/>
        <sz val="10"/>
        <rFont val="Arial Cyr"/>
        <charset val="204"/>
      </rPr>
      <t xml:space="preserve">     Защитная стойка.</t>
    </r>
    <r>
      <rPr>
        <sz val="10"/>
        <rFont val="Arial Cyr"/>
        <charset val="204"/>
      </rPr>
      <t xml:space="preserve"> Если существо встало в защитную стойку, то его параметр защиты увеличивается на 20% от текущего значения (округление вниз), но не менее чем на 1. Бонус перестаёт действовать тогда, когда к существу перейдёт очередной ход в следующем раунде, т.е. медленное существо выдержит атаки всех быстрых существ врага, стоя в обороне.</t>
    </r>
  </si>
  <si>
    <r>
      <rPr>
        <b/>
        <sz val="10"/>
        <rFont val="Arial Cyr"/>
        <charset val="204"/>
      </rPr>
      <t xml:space="preserve">     Битва двух ИИ-героев.</t>
    </r>
    <r>
      <rPr>
        <sz val="10"/>
        <rFont val="Arial Cyr"/>
        <charset val="204"/>
      </rPr>
      <t xml:space="preserve"> После битвы двух ИИ-героев, артефакты проигравшего остаются у него, а не переходят победителю. Так что, если вы увидели, что вражеский герой подобрал Меч правосудия, а затем его победил другой герой, то попробуйте "выловить" проигравшего в Таверне. Меч правосудия будет у него. ИИ-игрок также может выкупить проигравшего в Таверне. В этом случае гоняться следует именно за ним, а не за победителем, чтобы заполучить меч себе.</t>
    </r>
  </si>
  <si>
    <t xml:space="preserve">     Если на ранних стадиях обучения игре любой начинающий игрок воспринимает союзника как несомненно полезный элемент игры, то по мере развития мастерства и накопления игрового опыта любой игрок рано или поздно приходит к пониманию, что союзник в игре скорее помеха, чем помощь (за исключением некоторых частных случаев). Итак, как мы можем использовать вынужденное соседство себе во благо:</t>
  </si>
  <si>
    <t xml:space="preserve">     Для передачи ресурсов другому игроку необходимо либо иметь Рынок в одном из городов, либо посетить Рынок на карте приключений. Также возможно использование бага в Торговцах артефактами или в Гильдии наёмников в союзных городах.</t>
  </si>
  <si>
    <t xml:space="preserve">     Союзник-компьютер в обмен на ресурсы может передать в свой ход часть своих. Обычно компьютер выбирает тот ресурс для передачи, которого у вас меньше всего в наличии.</t>
  </si>
  <si>
    <t xml:space="preserve">     Игроку-союзнику доступна вся та же информация о городе, что и его владельцу (стоимость построек, количество существ для найма и т.п.), кроме Рынка (см.ниже) и Таверны.</t>
  </si>
  <si>
    <t xml:space="preserve">     Таверна работает также, как и Таверна на карте приключений, т.е. в ней доступны ваши герои и в Гильдии воров ваши разведданные.</t>
  </si>
  <si>
    <t xml:space="preserve">     Союзные Таверны не увеличивают количество доступной информации в Гильдии воров. Если у вас вообще нет ни одной своей Таверны - вы даже портреты лучших героев не увидите. Первые две строчки статистики, однако, видны всегда.</t>
  </si>
  <si>
    <t xml:space="preserve">     Союзный Рынок заблокирован для вас, строить здания и покупать существ (даже за свои деньги) вам нельзя.</t>
  </si>
  <si>
    <t xml:space="preserve">     Также действуют бонусы союзного Маяка.</t>
  </si>
  <si>
    <t xml:space="preserve">     Однако можно:</t>
  </si>
  <si>
    <t xml:space="preserve">     Можно:</t>
  </si>
  <si>
    <t xml:space="preserve">     Нельзя:</t>
  </si>
  <si>
    <t xml:space="preserve">     Обмен происходит когда вы собственно отдаёте приказ на обмен, а также пытаетесь войти во Врата подземного мира в момент, когда с другой стороны врата загородил дружественный герой (если он враждебный - происходит бой). Монолиты не провоцируют обмен.</t>
  </si>
  <si>
    <t xml:space="preserve">     Маяки союзника не дают бонус движения вашим героям (в отличие от аналогичной постройки в Замке).</t>
  </si>
  <si>
    <t xml:space="preserve">     Нельзя делать ничего, в том числе:</t>
  </si>
  <si>
    <r>
      <t xml:space="preserve">     Союзные герои, посещая разнообразные объекты, оставляют информацию о них. Зная, что дает хижина ведьмы, дерево знаний, различные магические святыни, можно выбирать, какие посещать, а какие нет. А если на территории союзника имеется логово воров, то можно всегда иметь полную информацию о состоянии дел у ваших врагов </t>
    </r>
    <r>
      <rPr>
        <i/>
        <sz val="10"/>
        <rFont val="Arial"/>
        <family val="2"/>
        <charset val="204"/>
      </rPr>
      <t xml:space="preserve">(Добавил </t>
    </r>
    <r>
      <rPr>
        <b/>
        <i/>
        <sz val="10"/>
        <rFont val="Arial"/>
        <family val="2"/>
        <charset val="204"/>
      </rPr>
      <t>dnaop-wr</t>
    </r>
    <r>
      <rPr>
        <i/>
        <sz val="10"/>
        <rFont val="Arial"/>
        <family val="2"/>
        <charset val="204"/>
      </rPr>
      <t xml:space="preserve">, </t>
    </r>
    <r>
      <rPr>
        <i/>
        <u/>
        <sz val="10"/>
        <color rgb="FF0033CC"/>
        <rFont val="Arial"/>
        <family val="2"/>
        <charset val="204"/>
      </rPr>
      <t>Памятка по НоММ-3</t>
    </r>
    <r>
      <rPr>
        <i/>
        <sz val="10"/>
        <rFont val="Arial"/>
        <family val="2"/>
        <charset val="204"/>
      </rPr>
      <t>)</t>
    </r>
    <r>
      <rPr>
        <sz val="10"/>
        <rFont val="Arial"/>
        <family val="2"/>
        <charset val="204"/>
      </rPr>
      <t>.</t>
    </r>
  </si>
  <si>
    <t xml:space="preserve">     Действуют раздельно для ваших героев и героев союзника.</t>
  </si>
  <si>
    <t xml:space="preserve">     Счётчик посещённых Обелисков общий. Если союзник посетит Обелиск, то ваша карта-загадка автоматически откроет территорию с учетом такого посещения. Но и союзник получит аналогичную информацию от вашего посещения новых обелисков.</t>
  </si>
  <si>
    <t xml:space="preserve">     Распространяется на союзников:</t>
  </si>
  <si>
    <t xml:space="preserve">     Не распространяется на союзников:</t>
  </si>
  <si>
    <t xml:space="preserve">     Посещение хижины мага открывает территорию возле глаз мага всем союзникам. Аналогично и с Обсерваториями и Огненными столпами.</t>
  </si>
  <si>
    <t xml:space="preserve">     Корабли союзников не считаются "дружественными" и не призываются Базовым Вызовом корабля;</t>
  </si>
  <si>
    <t xml:space="preserve">     Городской портал (Продвинутый и Экспертный) не видит разницы между своими и союзными городами.</t>
  </si>
  <si>
    <r>
      <t xml:space="preserve">     Внимание! </t>
    </r>
    <r>
      <rPr>
        <sz val="10"/>
        <rFont val="Arial"/>
        <family val="2"/>
        <charset val="204"/>
      </rPr>
      <t xml:space="preserve">Если ваш герой будет настигнут противником в воротах замка вашего союзника, управлять боем будет хозяин замка, то есть однозначно не вы. Так что не пытайтесь "слить" замок союзника противнику с целью последующего захвата под свое оперативное управление. Сугубо наказуемое мероприятие, так как вашего героя жалеть особо не станут </t>
    </r>
    <r>
      <rPr>
        <i/>
        <sz val="10"/>
        <rFont val="Arial"/>
        <family val="2"/>
        <charset val="204"/>
      </rPr>
      <t xml:space="preserve">(Добавил </t>
    </r>
    <r>
      <rPr>
        <b/>
        <i/>
        <sz val="10"/>
        <rFont val="Arial"/>
        <family val="2"/>
        <charset val="204"/>
      </rPr>
      <t>Fallen Angel</t>
    </r>
    <r>
      <rPr>
        <i/>
        <sz val="10"/>
        <rFont val="Arial"/>
        <family val="2"/>
        <charset val="204"/>
      </rPr>
      <t xml:space="preserve">, </t>
    </r>
    <r>
      <rPr>
        <i/>
        <u/>
        <sz val="10"/>
        <color rgb="FF0033CC"/>
        <rFont val="Arial"/>
        <family val="2"/>
        <charset val="204"/>
      </rPr>
      <t>heroesportal.ru</t>
    </r>
    <r>
      <rPr>
        <i/>
        <sz val="10"/>
        <rFont val="Arial"/>
        <family val="2"/>
        <charset val="204"/>
      </rPr>
      <t>).</t>
    </r>
  </si>
  <si>
    <t xml:space="preserve">     Перемещаться из своего Инферно в союзный город Инферно (даже при наличии там Врат замка) нельзя. Перемещение из союзного Инферно в свой допускается (в списке телепорта доступны будут только свои города Инферно). Из этого можно получить 2 интересных ситуации:</t>
  </si>
  <si>
    <t xml:space="preserve">     Предположим, что Игрок 1 и Игрок 2 - союзники.</t>
  </si>
  <si>
    <t xml:space="preserve">     В случае, когда герой Игрока 1 ночует в Инферно, принадлежащем Игроку 2, во время хода Игрока 2 можно зайти в этот город. Игрок 2 может использовать Врата для перемещения союзного ему героя по своим Инферно.</t>
  </si>
  <si>
    <t xml:space="preserve">     Так, можно союзного героя пропустить через Врата по всем ему ранее недоступным Инферно союзника совершенно бесплатно (например, если у героя не было Городского портала) ради изучения неизвестных ему заклинаний, или получения различных одноразовых бонусов (если в Инферно были построены для этого соответствующие строения).</t>
  </si>
  <si>
    <t xml:space="preserve">     В игре существуют различные типы сражений:</t>
  </si>
  <si>
    <t xml:space="preserve">     Любое поле битвы имеет размер 15 клеток в длину и 11 в ширину.</t>
  </si>
  <si>
    <t xml:space="preserve">     В битвах с нейтральными существами, с героями, при захвате жилищ, шахт и осаде города, войска атакующего героя располагаются слева. Расположение по клеткам зависит от количества отрядов в армии и от выбранной группировки:</t>
  </si>
  <si>
    <t xml:space="preserve">     Из таблицы видно, что при наличии в армии одного, шести или семи отрядов расстановка существ не зависит от выбранной группировки.</t>
  </si>
  <si>
    <t xml:space="preserve">     С вероятностью 40% к количеству отрядов, полученному по таблице, добавится или отнимется 1 (предположительно зависит от клетки расположения отряда на карте). Понятно, что количество отрядов не может быть больше 7 и менее 1.</t>
  </si>
  <si>
    <t xml:space="preserve">     При захвате сокровищниц войска героя располагаются в центе поля боя. Клетки 1…7 соответствуют порядковым номерам существ в окне героя слева-направо. Если существо занимает 2 клетки, то на отмеченную клетку оно встаёт задней частью. На серых клетках обычно располагаются охраняющие существа. </t>
  </si>
  <si>
    <r>
      <t xml:space="preserve">     Внимание! </t>
    </r>
    <r>
      <rPr>
        <sz val="10"/>
        <rFont val="Arial Cyr"/>
        <charset val="204"/>
      </rPr>
      <t>При захвате сокровищниц не действует навык Тактики.</t>
    </r>
  </si>
  <si>
    <r>
      <t xml:space="preserve">     Внимание! </t>
    </r>
    <r>
      <rPr>
        <sz val="10"/>
        <rFont val="Arial Cyr"/>
        <charset val="204"/>
      </rPr>
      <t>При захвате сокровищниц в битве не участвуют боевые машины. Тележка с боеприпасами хоть и не участвует в захвате сокровищниц, но всё равно даёт стрелкам героя бесконечный боезапас.</t>
    </r>
  </si>
  <si>
    <t xml:space="preserve">     Существуют следующие виды сокровищниц: Склеп, Покинутый корабль, Кораблекрушение, Утопия драконов, Консерватория грифонов, Улей змиев, Тайник бесов, Сокровищница гномов, Хранилище медуз, Склады циклопов, Банк наг.</t>
  </si>
  <si>
    <t xml:space="preserve">     Последовательность хода вражеских существ зависит от их скорости. Если среди охраны Сокровищницы есть существа с одинаковой скоростью, то очерёдность их ходов будет следующей: оранжевая клетка, синяя клетка, фиолетовая клетка, красная клетка, зелёная клетка.</t>
  </si>
  <si>
    <t xml:space="preserve">     Если герой победил охрану сокровищницы, но и ни одно из его существ не выжило (например вследствие применения Армагеддона или Цепной молнии), то награду он не получит, а сокровищница получит статус «Посещено». Следующему герою, вошедшему в такую сокровищницу, остается только согласиться на бой, имея хотя бы одно существо в армии, и, автоматически победив, получить награду.</t>
  </si>
  <si>
    <t xml:space="preserve">     При осаде города, бой всегда проходит на родном для этого города ландшафте. Расстановка существ стандартная. На поле боя присутствуют городские стены и башни, врата и ров.</t>
  </si>
  <si>
    <r>
      <t xml:space="preserve">     Внимание! </t>
    </r>
    <r>
      <rPr>
        <sz val="10"/>
        <rFont val="Arial Cyr"/>
        <charset val="204"/>
      </rPr>
      <t>При обороне города в битве не участвует Баллиста защищающегося героя. Навык Артиллерии при осаде, позволяет управлять огнём Стрелковых башен.</t>
    </r>
  </si>
  <si>
    <t xml:space="preserve">     Войска обороняющегося героя располагаются за крепостными стенами. Чёрными клетками обозначены Стрелковые башни. Серыми клетками обозначены городские стены. Коричневой клеткой обозначены врата. Синими клетками обозначен ров. Ров Крепости имеет двойную ширину (обозначен голубыми клетками). Жёлтыми линиями обозначены проломы при разрушении стен. Через проломы могут проходить войска, а стреляющие существа, находящиеся напротив пролома, могут стрелять по прямой без штрафа за стены.</t>
  </si>
  <si>
    <t xml:space="preserve">     Любая битва делится на раунды. В каждом раунде имеется своя последовательность ходящих существ, боевых машин и действий эффектов:</t>
  </si>
  <si>
    <t xml:space="preserve">     1.Тактический режим расстановки войск (только перед первым раундом). Если навык Тактики имеется у обоих сражающихся героев, то они подавляют друг друга в соответствии с уровнем развития.</t>
  </si>
  <si>
    <t xml:space="preserve">     2.Действие яда (снижает здоровье отравленных существ на 10%).</t>
  </si>
  <si>
    <t xml:space="preserve">     3.Центральная стрелковая башня (при осаде города).</t>
  </si>
  <si>
    <t xml:space="preserve">     4.Верхняя боковая башня (при осаде города).</t>
  </si>
  <si>
    <t xml:space="preserve">     5.Нижняя боковая башня (при осаде города).</t>
  </si>
  <si>
    <t xml:space="preserve">     6.Выстрел Катапульты (или 2 выстрела подряд при Экспертной Баллистике).</t>
  </si>
  <si>
    <t xml:space="preserve">     7.Ход всех существ по очереди в соответствии с их скоростью. У кого скорость выше - ходит первее.</t>
  </si>
  <si>
    <t xml:space="preserve">     7.2.Если у двух существ разных игроков одинаковая скорость, то раньше ходит существо того игрока, который не ходил только что.</t>
  </si>
  <si>
    <t xml:space="preserve">     7.2.1.Если это первый ход в первом раунде, то раньше ходит существо напавшего игрока.</t>
  </si>
  <si>
    <t xml:space="preserve">     7.3.Существа у которых сработал Боевой дух сразу же получают право повторного хода.</t>
  </si>
  <si>
    <t xml:space="preserve">     8.Выстрел Баллисты (или 2 выстрела при Экспертной Артиллерии).</t>
  </si>
  <si>
    <t xml:space="preserve">     9.Лечение Палатки первой помощи.</t>
  </si>
  <si>
    <t xml:space="preserve">     10.Ход Стрелковых башен, если они Ждали в свой ход.</t>
  </si>
  <si>
    <t xml:space="preserve">     11.Ход Катапульты, если она Ждала в свой ход.</t>
  </si>
  <si>
    <t xml:space="preserve">     12.Ход Баллисты, если она Ждала в свой ход.</t>
  </si>
  <si>
    <t xml:space="preserve">     13.Ход Палатки первой помощи, если она Ждала в свой ход.</t>
  </si>
  <si>
    <t xml:space="preserve">     14.Ход всех существ, у которых сработал Боевой дух и они Ждали, в соответствии с очерёдностью срабатывания.</t>
  </si>
  <si>
    <r>
      <t xml:space="preserve">     Прочие особенности</t>
    </r>
    <r>
      <rPr>
        <sz val="10"/>
        <rFont val="Arial Cyr"/>
        <charset val="204"/>
      </rPr>
      <t xml:space="preserve"> </t>
    </r>
    <r>
      <rPr>
        <i/>
        <sz val="10"/>
        <rFont val="Arial Cyr"/>
        <charset val="204"/>
      </rPr>
      <t>(Добавил</t>
    </r>
    <r>
      <rPr>
        <b/>
        <i/>
        <sz val="10"/>
        <rFont val="Arial Cyr"/>
        <charset val="204"/>
      </rPr>
      <t xml:space="preserve"> dnaop-wr</t>
    </r>
    <r>
      <rPr>
        <i/>
        <sz val="10"/>
        <rFont val="Arial Cyr"/>
        <charset val="204"/>
      </rPr>
      <t xml:space="preserve">, </t>
    </r>
    <r>
      <rPr>
        <i/>
        <u/>
        <sz val="10"/>
        <color rgb="FF0033CC"/>
        <rFont val="Arial Cyr"/>
        <charset val="204"/>
      </rPr>
      <t>Памятка по НоММ-3</t>
    </r>
    <r>
      <rPr>
        <i/>
        <sz val="10"/>
        <rFont val="Arial Cyr"/>
        <charset val="204"/>
      </rPr>
      <t>)</t>
    </r>
    <r>
      <rPr>
        <b/>
        <sz val="10"/>
        <rFont val="Arial Cyr"/>
        <charset val="204"/>
      </rPr>
      <t>:</t>
    </r>
  </si>
  <si>
    <r>
      <t xml:space="preserve">     В игре против компьютерных игроков, ИИ случайным образом получает один из трёх видов поведения: </t>
    </r>
    <r>
      <rPr>
        <b/>
        <sz val="10"/>
        <rFont val="Arial Cyr"/>
        <charset val="204"/>
      </rPr>
      <t>Строитель, Воин</t>
    </r>
    <r>
      <rPr>
        <sz val="10"/>
        <rFont val="Arial Cyr"/>
        <charset val="204"/>
      </rPr>
      <t xml:space="preserve"> или </t>
    </r>
    <r>
      <rPr>
        <b/>
        <sz val="10"/>
        <rFont val="Arial Cyr"/>
        <charset val="204"/>
      </rPr>
      <t>Исследователь</t>
    </r>
    <r>
      <rPr>
        <sz val="10"/>
        <rFont val="Arial Cyr"/>
        <charset val="204"/>
      </rPr>
      <t xml:space="preserve">. Как </t>
    </r>
    <r>
      <rPr>
        <b/>
        <sz val="10"/>
        <rFont val="Arial Cyr"/>
        <charset val="204"/>
      </rPr>
      <t>Строитель</t>
    </r>
    <r>
      <rPr>
        <sz val="10"/>
        <rFont val="Arial Cyr"/>
        <charset val="204"/>
      </rPr>
      <t xml:space="preserve">, он больше будет действовать в обороне, сосредоточив внимание на развитии городов, ограничивая область исследования. </t>
    </r>
    <r>
      <rPr>
        <b/>
        <sz val="10"/>
        <rFont val="Arial Cyr"/>
        <charset val="204"/>
      </rPr>
      <t xml:space="preserve">Воин </t>
    </r>
    <r>
      <rPr>
        <sz val="10"/>
        <rFont val="Arial Cyr"/>
        <charset val="204"/>
      </rPr>
      <t xml:space="preserve">будет стремиться больше воевать с другими игроками и захватывать нейтральные города. У </t>
    </r>
    <r>
      <rPr>
        <b/>
        <sz val="10"/>
        <rFont val="Arial Cyr"/>
        <charset val="204"/>
      </rPr>
      <t>Исследователя</t>
    </r>
    <r>
      <rPr>
        <sz val="10"/>
        <rFont val="Arial Cyr"/>
        <charset val="204"/>
      </rPr>
      <t xml:space="preserve"> основное внимание будет уделено занятости большего числа героев и умеренной агрессии. Он будет последовательно изучать карту. Также поведение ИИ может быть определено в редакторе карт.</t>
    </r>
  </si>
  <si>
    <t xml:space="preserve">     На поведение компьютерных игроков влияет также выбранный уровень сложности карты. Ниже приведены подробные описания компьютерной игры на разных уровнях сложности:</t>
  </si>
  <si>
    <t xml:space="preserve">     В начале игры все игроки получают определённое количество ресурсов, в зависимости от выбранного уровня сложности. Компьютерные игроки получают большее количество ресурсов на больших сложностях.</t>
  </si>
  <si>
    <t xml:space="preserve">     * Стартовые ресурсы игрока могут быть повышены, если в свойствах карты установить начальный бонус на золото (до 1000) или ресурсы (до 10). Компьютерные игроки всегда имеют начальный бонус в виде золота или ресурсов.</t>
  </si>
  <si>
    <r>
      <t xml:space="preserve">     Помимо этого компьютерные игроки имеют дополнительный ежедневный бонус по всем ресурсам в течение всего периода игры </t>
    </r>
    <r>
      <rPr>
        <i/>
        <sz val="10"/>
        <rFont val="Arial Cyr"/>
        <charset val="204"/>
      </rPr>
      <t xml:space="preserve">(Информация с </t>
    </r>
    <r>
      <rPr>
        <i/>
        <u/>
        <sz val="10"/>
        <color indexed="12"/>
        <rFont val="Arial Cyr"/>
        <charset val="204"/>
      </rPr>
      <t>astralwizard.com</t>
    </r>
    <r>
      <rPr>
        <i/>
        <sz val="10"/>
        <rFont val="Arial Cyr"/>
        <charset val="204"/>
      </rPr>
      <t xml:space="preserve">, предоставил </t>
    </r>
    <r>
      <rPr>
        <b/>
        <i/>
        <sz val="10"/>
        <rFont val="Arial Cyr"/>
        <charset val="204"/>
      </rPr>
      <t>ThatOne,</t>
    </r>
    <r>
      <rPr>
        <i/>
        <sz val="10"/>
        <rFont val="Arial Cyr"/>
        <charset val="204"/>
      </rPr>
      <t xml:space="preserve"> </t>
    </r>
    <r>
      <rPr>
        <i/>
        <u/>
        <sz val="10"/>
        <color indexed="12"/>
        <rFont val="Arial Cyr"/>
        <charset val="204"/>
      </rPr>
      <t>forums.ag.ru</t>
    </r>
    <r>
      <rPr>
        <i/>
        <sz val="10"/>
        <rFont val="Arial Cyr"/>
        <charset val="204"/>
      </rPr>
      <t>):</t>
    </r>
  </si>
  <si>
    <t xml:space="preserve">     Расчёт этого бонуса производится следующим образом: ежедневно рассчитывается доход компьютерного игрока по всем видам ресурсов и считается бонус, применительно к величине его недельного дохода (если доход отсутствует, бонус не начисляется). Распределяется бонус равномерно по всей неделе.</t>
  </si>
  <si>
    <r>
      <t xml:space="preserve">     Пример:</t>
    </r>
    <r>
      <rPr>
        <sz val="10"/>
        <rFont val="Arial Cyr"/>
        <charset val="204"/>
      </rPr>
      <t xml:space="preserve"> Средний недельный доход компьютерного игрока составил 34 единицы дерева. Бонус в этом случае на уровне сложности 200% составит 18 единиц, которые равномерно распределятся по всем семи игровым дням недели (округления - до целого).</t>
    </r>
  </si>
  <si>
    <r>
      <t xml:space="preserve">     В мультиплеерной игре существует опция "Штраф", которую игрок может установить на большой, малый или не устанавливать вообще                                                                      </t>
    </r>
    <r>
      <rPr>
        <i/>
        <sz val="10"/>
        <rFont val="Arial Cyr"/>
        <charset val="204"/>
      </rPr>
      <t>(Предоставил</t>
    </r>
    <r>
      <rPr>
        <b/>
        <i/>
        <sz val="10"/>
        <rFont val="Arial Cyr"/>
        <charset val="204"/>
      </rPr>
      <t xml:space="preserve"> Сергей Хаустов</t>
    </r>
    <r>
      <rPr>
        <i/>
        <sz val="10"/>
        <rFont val="Arial Cyr"/>
        <charset val="204"/>
      </rPr>
      <t xml:space="preserve">, </t>
    </r>
    <r>
      <rPr>
        <i/>
        <u/>
        <sz val="10"/>
        <color rgb="FF0033CC"/>
        <rFont val="Arial Cyr"/>
        <charset val="204"/>
      </rPr>
      <t>vk.com</t>
    </r>
    <r>
      <rPr>
        <i/>
        <sz val="10"/>
        <rFont val="Arial Cyr"/>
        <charset val="204"/>
      </rPr>
      <t>).</t>
    </r>
  </si>
  <si>
    <t xml:space="preserve">     1.Малый штраф.</t>
  </si>
  <si>
    <t xml:space="preserve">     Все стартовые ресурсы игрока и его ежедневный доход всех ресурсов (включая ресурсы Сокровищницы, Хранилища ресурсов, Кристаллических драконов и т.д.) снижаются на 15% с округлением вниз.</t>
  </si>
  <si>
    <r>
      <t xml:space="preserve">     Пример: </t>
    </r>
    <r>
      <rPr>
        <sz val="10"/>
        <rFont val="Arial Cyr"/>
        <charset val="204"/>
      </rPr>
      <t>Одна захваченная Лесопилка будет приносить 2*0,85=1,7=&gt;1 древесину в день, а одна захваченная Серная шахта будет приносить 1*0,85=0,85=&gt;0 серы. Но две Серные шахты будут приносить 2*0,85=1,7=&gt;1 серу в день.</t>
    </r>
  </si>
  <si>
    <t xml:space="preserve">     2.Большой штраф.</t>
  </si>
  <si>
    <t xml:space="preserve">     В разделе приведены общие наблюдения за поведением существ, управляемых компьютером (ИИ).</t>
  </si>
  <si>
    <t xml:space="preserve">     1. Если существо ИИ имеет большую скорость, чем существа игрока, то он:</t>
  </si>
  <si>
    <t xml:space="preserve">     2. При наличии уже хотя бы одного отряда ИИ в зоне досягаемости существ игрока, другие отряды ИИ смело будут идти в сторону игрока без ожидания и даже если ни до кого не достают.</t>
  </si>
  <si>
    <t xml:space="preserve">     3. Существа ИИ всегда идут к ближайшему отряду (считается по количеству ходов, а не клеток, причем по текущей скорости, с учётом наложенных заклинаний) - на этом основаны действия ИИ при использовании заклинаний:</t>
  </si>
  <si>
    <t xml:space="preserve">     4. При нескольких вражеских отрядах в зоне досягаемости, ИИ выбирает цель исходя из следующих приоритетов:</t>
  </si>
  <si>
    <t xml:space="preserve">     Также существуют другие нюансы, но основными являются верхние три.</t>
  </si>
  <si>
    <t xml:space="preserve">     5. Если вражеских для ИИ отрядов, которых его существо сможет атаковать за минимальное количество ходов несколько, то работает множество сложных факторов: соотношение сил армий, зоны досягаемости другими своими отрядами, соотношение сила ответного удара/показатель AI Value, влияние уже снятого ответного удара, заклинания и т.д. В целом список не полный и не точный, требуется доработка.</t>
  </si>
  <si>
    <t xml:space="preserve">     6. Стена огня. Нейтралы её прекрасно её видят и легко обходят, если есть такая возможность. Иногда нейтралы могут сменить приоритетную цель атаки, если к первой цели мешает подойти Стена огня.</t>
  </si>
  <si>
    <t xml:space="preserve">     7. Например, если отряд игрока достаёт до какого-нибудь отряда ИИ, то подставиться под него ИИ не считает чем-то плохим (т. к. он так и так ударит какой-нибудь отряд).</t>
  </si>
  <si>
    <r>
      <t xml:space="preserve">     Ценность убийства существа основывается на его </t>
    </r>
    <r>
      <rPr>
        <b/>
        <sz val="10"/>
        <rFont val="Arial"/>
        <family val="2"/>
        <charset val="204"/>
      </rPr>
      <t>Fight Value</t>
    </r>
    <r>
      <rPr>
        <sz val="10"/>
        <rFont val="Arial"/>
        <family val="2"/>
        <charset val="204"/>
      </rPr>
      <t xml:space="preserve"> - специальном параметре, прописанном индивидуально для каждого существа. Плюс идёт учёт ряда динамических факторов - усиливающие отряд заклинания и прочее. Ответный удар считается от оставшегося после удара отряда исходя из среднего урона.</t>
    </r>
  </si>
  <si>
    <t xml:space="preserve">     В данном разделе приведены примеры взятия максимальных Склепов разными городами с минимальными потерями. Все данные получены опытным путём. Тактика сражений является рекомендацией от автора материала и может быть не максимально эффективной. Замечания и уточнения приветствуются.</t>
  </si>
  <si>
    <t xml:space="preserve">     В каждом из примеров Склеп берётся родными войсками первого-второго дня (зависит, отстроено ли жилище существ 2 уровня в городе изначально), численность армии является средневероятностной со старта.</t>
  </si>
  <si>
    <t xml:space="preserve">     Стрелками атакуем Скелетов (16 убито). Вампиры убивают верхнего Копейщика. Левым Копейщиком убегаем влево вверх, чтобы Стражи не достали. Стражи подлетают. Центральным и правым Копейщиками ждём. Скелеты и мертвецы подходят. Центральным Копейщиком убегаем вниз на 7-ую клетку справа нижнего ряда. В этой точке до него не достанут ни Стражи, ни Живые мертвецы. Правым Копейщиком убегаем вверх, чтобы Вампиры не достали.</t>
  </si>
  <si>
    <t xml:space="preserve">     Стрелками ждём (если атаковать Стражей сразу, то те могут регенерировать часть здоровья). Вампиры подлетают. Нижним Копейщиком ждём. Стражи подлетают. Верхним Копейщиком убегаем влево. Мертвецы подходят. Нижним Копейщиком убегаем влево. Стрелками атакуем Стражей (5 убито).</t>
  </si>
  <si>
    <r>
      <rPr>
        <b/>
        <sz val="10"/>
        <rFont val="Arial"/>
        <family val="2"/>
        <charset val="204"/>
      </rPr>
      <t xml:space="preserve">     Дальнейшие действия:</t>
    </r>
    <r>
      <rPr>
        <sz val="10"/>
        <rFont val="Arial"/>
        <family val="2"/>
        <charset val="204"/>
      </rPr>
      <t xml:space="preserve"> Стрелками атакуем Вампиров (пока не умрут), по необходимости пользуясь ожиданием. Копейщиком приманиваем Живых мертвецов налево. Потом его убьют Вампиры. Когда остаются только мертвецы, применяем тактику "убежал на 2 хода - выстрелил", не давая мертвецам ударить Стрелков. Таким образом добиваем Живых мертвецов и побеждаем.</t>
    </r>
  </si>
  <si>
    <r>
      <rPr>
        <b/>
        <sz val="10"/>
        <rFont val="Arial"/>
        <family val="2"/>
        <charset val="204"/>
      </rPr>
      <t xml:space="preserve">     Примечание:</t>
    </r>
    <r>
      <rPr>
        <sz val="10"/>
        <rFont val="Arial"/>
        <family val="2"/>
        <charset val="204"/>
      </rPr>
      <t xml:space="preserve"> При наихудшем раскладе, в начале игры у Вас может не оказаться 18 Стрелков, а будет всего 13. Но и это не проблема. В таком случае Вам понадобится 44 Копейщика, из которых Вы потеряете всего 9-10.</t>
    </r>
  </si>
  <si>
    <t xml:space="preserve">     Верхним Кентавром атакуем Вампиров (снимаем ответный удар и погибаем). Эльфами атакуем Вампиров (1 убит). Левым центральным Кентавром будем приманивать Живых мертвецов. Для этого надо встать на 5-ую клетку справа второго снизу ряда. Ударным стеком и правым центральным Кентаврами ждём. Левым нижним Кентавром встаём на 6-ую клетку справа нижнего ряда. Последним Кентавром ждём. Вампиры и Стражи подлетают. Скелеты и Живые мертвецы подходят. Ударным стеком Кентавров бьём безответно Вампиров (3 убито), а затем и двумя единичками Кентавров. </t>
  </si>
  <si>
    <t xml:space="preserve">     Эльфами и ударным стеком Кентавров ждём. Нижним Кентавром убегаем вправо, чтобы мертвецы не достали. Вторым Кентавром атакуем Вампиров и погибаем (снимаем ответный удар). Вампиры и Стражи подлетают. Мертвецы подходят. Эльфами атакуем Стражей (1 убит). Ударным стеком Кентавров безответно атакуем Вампиров (3-4 убито).</t>
  </si>
  <si>
    <r>
      <rPr>
        <b/>
        <sz val="10"/>
        <rFont val="Arial"/>
        <family val="2"/>
        <charset val="204"/>
      </rPr>
      <t xml:space="preserve">     Дальнейшие действия:</t>
    </r>
    <r>
      <rPr>
        <sz val="10"/>
        <rFont val="Arial"/>
        <family val="2"/>
        <charset val="204"/>
      </rPr>
      <t xml:space="preserve"> Эльфами и Кентаврами добиваем Стражей (используем ожидание, если требуется). Следим, чтобы мертвецы не достали до Кентавров. Когда остаются только мертвецы, убегаем Эльфами в левый угол. Далее мертвецов приманиваем на Кентавров, а эльфами расстреливаем. Если останется 6 мертвецов, то можно добить их Кентаврами. Победа!</t>
    </r>
  </si>
  <si>
    <t xml:space="preserve">     Верхней горгульей улетаем на самую левую клетку четвёртого ряда снизу, чтобы приманить Вампиров. Левой горгульей перемещаемся на 6 клеток вправо, чтобы приманить мертвецов вверх. Центральной горгульей ждём. Вампиры убивают левую горгулью. Мастер-гремлинами ждём. Стражи подлетают. Мертвецы подходят. Гремлинами убегаем вправо вверх. Центральной горгульей летим наверх, чтобы Стражи не достали.</t>
  </si>
  <si>
    <t xml:space="preserve">     Нижней горгульей отлетаем на 3 клетки влево, чтобы мертвецы не достали. Верхней горгульей встаём на самую левую клетку 4-ого сверху ряда, чтобы приманить Вампиров. Вампиры убивают её. Гремлинами атакуем Стражей (7 убито). Стражи подлетают. Мертвецы подходят.</t>
  </si>
  <si>
    <r>
      <rPr>
        <b/>
        <sz val="10"/>
        <rFont val="Arial"/>
        <family val="2"/>
        <charset val="204"/>
      </rPr>
      <t xml:space="preserve">     Дальнейшие действия:</t>
    </r>
    <r>
      <rPr>
        <sz val="10"/>
        <rFont val="Arial"/>
        <family val="2"/>
        <charset val="204"/>
      </rPr>
      <t xml:space="preserve"> Горгульей отманиваем Вампиров вправо, под прямую стрелу Мастер-гремлинов. Вампиры её убивают. Убиваем Вампиров с 3-х выстрелов гремлинов. Остаются только мертвецы. Далее применяем тактику "убежал на 2 хода - выстрелил", не давая мертвецам ударить гремлинов. Таким образом добиваем Живых мертвецов. 5 мертвецов можно убить врукопашную.</t>
    </r>
  </si>
  <si>
    <t xml:space="preserve">     Вампиры убивают центрального левого Скелета. Стражи убивают нижнего левого Скелета. Верхним левым Скелетом убегаем влево. Вражеские Скелеты подходят. Оставшимися Скелетами ждём. Мертвецы подходят. Верхним правым Скелетом уходим вправо и чуть вниз, чтобы Стражи не достали. Центральным, центральным правым и верхним правым Скелетами встаём недалеко от мертвецов, но чтобы Стражи не достали. Ударным стеком Скелетов убиваем вражеских Скелетов со спины.</t>
  </si>
  <si>
    <t xml:space="preserve">     Вампиры подлетают. Стражи (если выжили) убивают одного из верхних Скелетов. Оставшимся Скелетом атакуем Вампиров и погибаем (снимаем ответный удар). Используем Магическую стрелу на Вампиров (1 убит). Ударным стеком Скелетов атакуем Вампиров (7 убито). Мертвецы подходят.</t>
  </si>
  <si>
    <r>
      <rPr>
        <b/>
        <sz val="10"/>
        <rFont val="Arial"/>
        <family val="2"/>
        <charset val="204"/>
      </rPr>
      <t xml:space="preserve">     Дальнейшие действия:</t>
    </r>
    <r>
      <rPr>
        <sz val="10"/>
        <rFont val="Arial"/>
        <family val="2"/>
        <charset val="204"/>
      </rPr>
      <t xml:space="preserve"> Вампиры  и Стражи (если выжили) атакуют ударный стек Скелетов. Скелетами добиваем Вампиров. Остаются только мертвецы. Добиваем их Скелетами за 2 удара, желательно используя ожидание.</t>
    </r>
  </si>
  <si>
    <t xml:space="preserve">     Тактика практически идентична тактике за Некрополис, но Троглодиты чуть эффективнее убивают Стражей и Вампиров, поэтому можно обойтись без магии.</t>
  </si>
  <si>
    <t xml:space="preserve">     Змия перемещаем к ударному стеку Гноллов, чтобы приманить мертвецов наверх. Вампиры убивают верхнего Гнолла. Ящерами ждём. Стражи подлетают. Оставшимися Гноллами ждём. Скелеты и мертвецы подходят. Ящерами убегаем вверх вправо. Центрального Гнолла перемещаем во второй ряд снизу на 7-ую клетке справа, чтобы приманить Вампиров. Ударным стеком Гноллов атакуем Скелетов сверху (18-20 убито).</t>
  </si>
  <si>
    <t xml:space="preserve">     Примерные остатки вражеских войск: 3 Вампира, 10 Живых мертвецов, 5 Стражей. При этом количестве Вампиров, они меняют приоритет с Змиев на Ящеров и полетят наверх, если продолжить тактику со Змием. Поэтому улетаем Змием на 5-ую клетку слева второго ряда сверху. В этом случае все враги вновь двинуться за Змеем. Ящерами стреляем по мертвецам (их остаётся 6). Стражи подлетают. Гноллами защищаемся. Мертвецы подходят.</t>
  </si>
  <si>
    <t xml:space="preserve">     Змиями улетаем вправо, чтобы никто не достал. Вампиры подлетают. Ящерами стреляем по Вампирам с прямой стрелы. Их остаётся 1-2. Гноллами защищаемся. Стражи и мертвецы приближаются к Змию.</t>
  </si>
  <si>
    <t xml:space="preserve">     Верхней феей улетаем вниз вправо, чтобы приманить мертвецов. Элементалями ждём. Центральной левой феей также улетаем вниз вправо, но чтобы мертвецы не достали. Ударным стеком фей ждём. Центральной правой феей встаём на клетку над элементалями, чуть левее, чтобы приманить Скелетов. Нижней левой феей атакуем Вампиров и умираем (снимаем ответный удар). Нижней правой феей встаём прямо рядом со Стражами, чтобы они остались на месте и атаковали её. Вампиры подлетают. Стражи убивают фею. Скелеты и мертвецы подходят. Элементалями и ударным стеком фей безответно атакуем Вампиров (5 убито).</t>
  </si>
  <si>
    <t xml:space="preserve">     Первой феей атакуем Вампиров и погибаем (снимаем ответный удар). Элементалями и ударным стеком фей добиваем Вампиров (иногда может выжить 1 Вампир. В этом случае необходимо добить его Магической стрелой). Нижней феей летим на 6-ую клетку справа нижнего ряда, чтобы ни Стражи, ни мертвецы не достали. Верхней феей ждём. Стражи подлетают. Мертвецы подходят. Верхней феей улетаем влево.</t>
  </si>
  <si>
    <r>
      <t xml:space="preserve">     Четвёртый раунд: </t>
    </r>
    <r>
      <rPr>
        <sz val="10"/>
        <rFont val="Arial"/>
        <family val="2"/>
        <charset val="204"/>
      </rPr>
      <t>Элементалями, ударным стеком фей и верхней феей улетаем влево вверх. Нижней феей улетаем влево, чтобы приманить Стражей. Стражи и мертвецы подходят.</t>
    </r>
  </si>
  <si>
    <r>
      <rPr>
        <b/>
        <sz val="10"/>
        <rFont val="Arial"/>
        <family val="2"/>
        <charset val="204"/>
      </rPr>
      <t xml:space="preserve">     Дальнейшие действия:</t>
    </r>
    <r>
      <rPr>
        <sz val="10"/>
        <rFont val="Arial"/>
        <family val="2"/>
        <charset val="204"/>
      </rPr>
      <t xml:space="preserve"> Нижней феей снимаем ответный удар со Стражей, а затем убиваем их элементалями и ударным стеком фей (при необходимости используем ожидание). Затем точно также добиваем мертвецов, снимая ответный удар последней 1 феей.</t>
    </r>
  </si>
  <si>
    <t xml:space="preserve">     Тактики взятия Склепов за Цитадель и Инферно отсутствуют, так как на случайных картах Склепы не генерируются на их родной земле. А ко времени взятия Склепов на соседних зонах у героев Цитадели и Инферно уже будет достаточно сильное войско.</t>
  </si>
  <si>
    <t xml:space="preserve">     Генератор случайных карт создает карты на основе шаблонов (templates). В каждом из шаблонов жестко закреплена топология карты и ее наполняемость (таким образом, карты, генерируемые RMG, являются не такими уж и случайными).</t>
  </si>
  <si>
    <t xml:space="preserve">     В шаблонах предварительно установлены стартовые зоны игроков, нейтральные зоны, проходы между зонами и сила их охраны, наличие шахт в каждой зоне, а также другая информация.</t>
  </si>
  <si>
    <t xml:space="preserve">     Набор шаблонов можно менять: добавлять новые и удалять или модифицировать уже имеющиеся шаблоны. Делается это следующим образом:</t>
  </si>
  <si>
    <t xml:space="preserve">     Все зоны пронумерованы. Зона, в которой стартует игрок, отмечается цветом флага данного игрока. Нейтральные зоны - серые. Значки ресурсов рядом с зонами означают, что в данной зоне будет шахта этого типа. Если шахта одна в зоне, то ничего не пишется, если несколько, то в правом-верхнем углу от картинки ресурса указывается количество таких шахт.</t>
  </si>
  <si>
    <t xml:space="preserve">     Сила охраны определяется по AI Value. Ценность объектов определяется по Value объектов из предыдущего раздела.</t>
  </si>
  <si>
    <t xml:space="preserve">     По идее это тот же шаблон 2SM4d, только 2 деревни стали городами, чтобы за них можно было стартовать, усилились соответствующие проходы; немного изменились шахты. Наполнение зон осталось тем же.</t>
  </si>
  <si>
    <t xml:space="preserve">     Симметричный, а значит и справедливый шаблон! Хорошо подходит для игры 1х1. По идее, это тот же шаблон 2SM4d, но слегка модифицированный. Последние 2 деревни стали городами, теперь можно играть на 6 игроков, но это не к чему. Усилены к ним проходы, теперь все проходы одинаковые по силе (кроме 1&lt;-&gt;2). Улучшились начинки четырех зон.</t>
  </si>
  <si>
    <t xml:space="preserve">     Симметричный шаблон! Задумывался для игры на четверых. В принципе можно играть и 1х1, но высока вероятность ранней встречи, т.к. проходы 1-7 и 7-2 легко пробить даже на 1-ой неделе. Много шахт, а также "вкусных" зон. Не стоит забывать, что монстры во вкусных зонах сильные.</t>
  </si>
  <si>
    <t xml:space="preserve">     Особая фишка шаблона - радикально решена проблема рестартов по встрече и проблема неравномерной раздачи дорог. Теперь это может произойти только если где-то багнутый проход образуется. При нормальных же генерациях у обоих игроков будет по 4 дороги. Дополнительная фишка - можно будет узнать о потенциальном дабл-билде уже в первый день (по расам компов), а также оперативно отслеживать момент взятия родного компа. Обратите внимание - главная охрана соединяет противников не напрямую, а через промежуточную зону.</t>
  </si>
  <si>
    <t xml:space="preserve">     Основная (и неизлечимая) проблема этого шаблона - дисбаланс по дорогам. Может сгенерироваться 4 дороги, а может единственная к главной охране. Рекомендуется играть с рестартом по последнему случаю. Впрочем, дорога к одному компу тоже не сахар. На рестартах рекомендуется следить, чтобы дорог помимо ГО было хотя бы 2. Также рекомендуется играть с правилом запрета на пробегание мимо сдвинутой ГО (к остальным проходам это не относится). Эмпирически замечено, что расстояния тут бывают достаточно большие - обычно от 3 (если повезёт) до 6 (если не повезёт) дней пути к каждому компу. Это по быстрым дорогам. И ветвлений много. Есть куда разбежаться. Поэтому играть рекомендуется с быстрыми дорогами.</t>
  </si>
  <si>
    <t xml:space="preserve">     Известно, что генератор случайных карт формирует карты в соответствии с некими шаблонами, которые состоят из различных зон. Каждой зоне присвоен некий лимит ценностей (Value) объектов, которые в ней могут сгенерироваться. Каждому игровому объекту соответствует определённый интервал ценности. Если интервал или хотя бы его часть попадает в интервал, указанный в шаблоне (темплейте), этот объект может появиться на карте. Причем интервал, соответствующий объекту, может быть открытым с одной стороны (Value&gt;const).</t>
  </si>
  <si>
    <t xml:space="preserve">     *Жилища существ начинают появляться с ценности 1000. Все жилища в одной зоне принадлежат одному типу города. В стартовых зонах игроков все жилища принадлежат тому же типу, что и город игрока. В нейтральных зонах если есть 1 или несколько городов, то все жилища будут одного типа из них. Если в зоне нет городов, то зона как бы причисляется к одному из разрешённых для этой зоны городов и все жилища существ на ней становятся этого же типа.</t>
  </si>
  <si>
    <t xml:space="preserve">     *В Хижинах провидца и Ящиках Пандоры дают существ одного из городов, которые есть на карте. Количество существ фиксировано. Например, Гогов всегда 45; Магогов - 30.</t>
  </si>
  <si>
    <t xml:space="preserve">     *Шахты выставляются не зависимо от ценности. Их наличие прописано в самом шаблоне для каждой зоны.</t>
  </si>
  <si>
    <r>
      <t xml:space="preserve">     *Проходы между зонами обычно охраняются нейтральными существами, количество которых рассчитывается как </t>
    </r>
    <r>
      <rPr>
        <b/>
        <sz val="10"/>
        <rFont val="Arial"/>
        <family val="2"/>
        <charset val="204"/>
      </rPr>
      <t>AI_Value_охраны/AI_Value_существа</t>
    </r>
    <r>
      <rPr>
        <sz val="10"/>
        <rFont val="Arial"/>
        <family val="2"/>
        <charset val="204"/>
      </rPr>
      <t>.</t>
    </r>
  </si>
  <si>
    <t xml:space="preserve">     *В одной зоне дважды не могут встретиться следующие объекты:</t>
  </si>
  <si>
    <t xml:space="preserve">     Храм; Идол удачи; Лебединое озеро; Фонтан молодости; Флаг единства; Фонтан удачи; Домик фей; Святилище; Магический колодец;
Конюшни; Магический ручей; Водоем.
Т.е. все объекты, дающие при посещении бонус к Удаче, Боевому духу или передвижению.</t>
  </si>
  <si>
    <t xml:space="preserve">     При расчёте дробь (D+10) / (Z+5) округляется вниз, так что получается максимум в 500 очков. Если вы прошли быстрее чем соперник, но он получил больше очков, то вы: а) не убили всех врагов, а он убил, б) не выкопали Грааль, а он не поленился, в) вы взяли меньше городов, чем он.</t>
  </si>
  <si>
    <t xml:space="preserve">     Что касается бонуса за уничтожение всех, то он дается не всегда. В игре имеются сценарии двух типов: с одним условием победы или двумя. В тех, что имеют два условия, вторым обязательно будет - “Уничтожить противника”. Так вот. Во всех сценариях, где есть такое условие (или сценариях с единственным условием такой победы) бонус даётся! А если в сценарии такого условия победы нет, то извините - бонус не полагается! Например, в сценарии с условием победы “Захватить город” - уничтожать всех врагов, с точки зрения результата, не имеет никакого смысла.
Если играющий стремится к большому результату, то в сценариях с двумя условиями нужно всегда выполнять второе (уничтожить всех). Конечно, предварительно откопав Грааль. Тогда он будет иметь два бонуса. Препятствием к такому раскладу могут служить сценарии, где первым условием является "Получить (откопать) Грааль". Но тут уж ничего не поделаешь - приходится выбирать один бонус из двух.</t>
  </si>
  <si>
    <t xml:space="preserve">     Очки, набранные игроком за игру, рассчитываются по следующей формуле:</t>
  </si>
  <si>
    <r>
      <t xml:space="preserve">     Это интересно!</t>
    </r>
    <r>
      <rPr>
        <sz val="10"/>
        <color indexed="8"/>
        <rFont val="Arial"/>
        <family val="2"/>
        <charset val="204"/>
      </rPr>
      <t xml:space="preserve"> Если перед вами карта, на которой N городов, то для получения максимума баллов нужно завершить ее за N-6 дней (выполнив все указанные выше условия). Можно, конечно же не захватывать все города, но каждый оставленный нейтральным город снижает допустимый срок прохождения карты на один день. Города союзников приравниваются к нейтральным на момент завершения игры. Максимальное время, которое можно затратить на прохождение карты и, тем не менее, получить 500 очков (в теории) равняется 42 дням. Все зависит от количества городов, а максимум на карте их может быть 48.</t>
    </r>
  </si>
  <si>
    <r>
      <t xml:space="preserve">     Это интересно!</t>
    </r>
    <r>
      <rPr>
        <sz val="10"/>
        <color indexed="8"/>
        <rFont val="Arial"/>
        <family val="2"/>
        <charset val="204"/>
      </rPr>
      <t xml:space="preserve"> В игре можно получить и отрицательное количество очков за прохождение. Для этого надо пройти карту более, чем за 995 дней на минимальной сложности и не захватить ни одного города.</t>
    </r>
  </si>
  <si>
    <t xml:space="preserve">     Результат успешно проведенной кампании рассчитывается следующим образом:</t>
  </si>
  <si>
    <t xml:space="preserve">     Данный рейтинг составлен на основе математических вычислений и отражает видение автора статьи. Пожелания и замечания приветствуются.</t>
  </si>
  <si>
    <t xml:space="preserve">     Проценты по каждому параметру относительны среднего (100%). Рейтинг равен среднему от всех параметров.</t>
  </si>
  <si>
    <t xml:space="preserve">     Для того, чтобы ввести код, нажмите кнопку TAB на клавиатуре и в появившемся окне вводите необходимый код.</t>
  </si>
  <si>
    <r>
      <t xml:space="preserve">     Внимание!</t>
    </r>
    <r>
      <rPr>
        <sz val="10"/>
        <rFont val="Arial"/>
        <family val="2"/>
        <charset val="204"/>
      </rPr>
      <t xml:space="preserve"> Указанные ниже коды взяты из разных не связанных между собой источников, поэтому возможны ошибки.</t>
    </r>
  </si>
  <si>
    <r>
      <t xml:space="preserve">     Если вам надоело вводить коды по сто раз, то имеется маленькая хитрость, чтобы облегчить вам жизнь. Берём ярлык Heroes на рабочем столе, открываем Свойства по правому клику на нём. Добавляем такую надпись: /</t>
    </r>
    <r>
      <rPr>
        <b/>
        <sz val="10"/>
        <color indexed="8"/>
        <rFont val="Arial"/>
        <family val="2"/>
        <charset val="204"/>
      </rPr>
      <t>NWCGRAIL</t>
    </r>
    <r>
      <rPr>
        <sz val="10"/>
        <color indexed="8"/>
        <rFont val="Arial"/>
        <family val="2"/>
        <charset val="204"/>
      </rPr>
      <t xml:space="preserve"> (см.скриншот ниже). Также не забываем, что между Heroes.exe и /NWCGRAIL стоит </t>
    </r>
    <r>
      <rPr>
        <b/>
        <sz val="10"/>
        <color indexed="8"/>
        <rFont val="Arial"/>
        <family val="2"/>
        <charset val="204"/>
      </rPr>
      <t>пробел</t>
    </r>
    <r>
      <rPr>
        <sz val="10"/>
        <color indexed="8"/>
        <rFont val="Arial"/>
        <family val="2"/>
        <charset val="204"/>
      </rPr>
      <t>. Нажимаем Применить. Это будет работать для AB и SoD. Для WoG-а вместо указанного выше кода набираем /</t>
    </r>
    <r>
      <rPr>
        <b/>
        <sz val="10"/>
        <color indexed="8"/>
        <rFont val="Arial"/>
        <family val="2"/>
        <charset val="204"/>
      </rPr>
      <t>ZVSSVETA</t>
    </r>
    <r>
      <rPr>
        <sz val="10"/>
        <color indexed="8"/>
        <rFont val="Arial"/>
        <family val="2"/>
        <charset val="204"/>
      </rPr>
      <t xml:space="preserve">. После, открываем свойства монитора и устанавливаем цветность 16 bit. Потом запускаем игру, выбираем карту, начинаем играть. Теперь нажимаем F4 и игра переходит в оконный режим. В левом верхнем углу можно заметить меню под названием </t>
    </r>
    <r>
      <rPr>
        <b/>
        <sz val="10"/>
        <color indexed="8"/>
        <rFont val="Arial"/>
        <family val="2"/>
        <charset val="204"/>
      </rPr>
      <t>Cheat</t>
    </r>
    <r>
      <rPr>
        <sz val="10"/>
        <color indexed="8"/>
        <rFont val="Arial"/>
        <family val="2"/>
        <charset val="204"/>
      </rPr>
      <t>. Теперь не нужно вводить коды, а просто в меню Cheat выбираем то, что нужно.</t>
    </r>
  </si>
  <si>
    <t xml:space="preserve">     Полагаю, стоит обратить Ваше внимание на тот факт, что компьютер не очень то благосклонен к игроку, использующему чит-коды. Во всяком случае после набора кода на экране появляется надпись о том, что Вы мошенник, а также по факту завершения прохождения карты Ваш результат будет добавлен в таблицу рекордов на последнее место с унизительной записью о том, что Вы мошенник.</t>
  </si>
  <si>
    <t xml:space="preserve">     Для того, чтобы иметь возможность создавать случайные карты, а также выбирать Сопряжение (и новых героев) для игры в версии SoD без установленного AB, необходимо:</t>
  </si>
  <si>
    <t xml:space="preserve">     Изначально, вносить эту тему в справочник не планировалось по причине того, что не хотелось заниматься популяризацией существующих багов в игре. Однако, как показывает практика, баги от этого никуда не делись, и их использование всё равно остаётся на усмотрение игроков. При игре с компьютерным противником использование багов, возможно, облегчает жизнь новичку. Солидные игроки, полагаю, считают использование багов не достойным в принципе. При игре против человека (а также, во время участия в офф-лайн турнирах), запрет на использование багов оговаривается отдельно. В любом случае, считаю необходимым исключить саму возможность применения багов "по неведению" и, тем самым, поставить всех игроков в равные условия. Чему, собственно, и посвящен данный раздел.</t>
  </si>
  <si>
    <t xml:space="preserve">     Все существующие баги можно разделить на два вида: непосредственно баги и условные баги (фишки):</t>
  </si>
  <si>
    <r>
      <t xml:space="preserve">     1. Баги</t>
    </r>
    <r>
      <rPr>
        <b/>
        <sz val="10"/>
        <color rgb="FF0033CC"/>
        <rFont val="Arial"/>
        <family val="2"/>
        <charset val="204"/>
      </rPr>
      <t>.</t>
    </r>
    <r>
      <rPr>
        <sz val="10"/>
        <rFont val="Arial"/>
        <family val="2"/>
        <charset val="204"/>
      </rPr>
      <t xml:space="preserve"> К этой категории можно отнести все баги, которые однозначно не доступны компьютерному противнику и, как правило, являются запрещенными к применению на турнирах и при игре против человека.</t>
    </r>
  </si>
  <si>
    <t xml:space="preserve">     На начальных версиях игры была возможность при нажатии определенной комбинации клавиш использовать дважды магию в пределах одного игрового раунда. В последствии этот баг был убран разработчиками.</t>
  </si>
  <si>
    <t xml:space="preserve">     К примеру, Доспехи проклятого продолжают колдовать магию против противника даже в Гарнизоне антимагии, в то время, как герой и существа, умеющие колдовать, лишаются этой возможности. Сама идея Гарнизона антимагии говорит о том, что никакой магии там быть не должно - тем не менее, баг есть. Избежать его применения можно деактивировав артефакт на кукле героя (герой не теряет при этом ни одной единицы из своих первичных навыков).</t>
  </si>
  <si>
    <r>
      <t xml:space="preserve">     Известный баг, связанный с некорректной работой программы, когда после продажи какого-нибудь артефакта имеется возможность перемещать стрелочками другие артефакты в рюкзаке героя, причём цена возможной продажи остается неизменной. Следственно, игрок имеет возможность </t>
    </r>
    <r>
      <rPr>
        <b/>
        <sz val="10"/>
        <rFont val="Arial"/>
        <family val="2"/>
        <charset val="204"/>
      </rPr>
      <t>сознательно</t>
    </r>
    <r>
      <rPr>
        <sz val="10"/>
        <rFont val="Arial"/>
        <family val="2"/>
        <charset val="204"/>
      </rPr>
      <t xml:space="preserve"> продать дешёвые артефакты по завышенной цене. Исправлено в HD-моде с опцией HD+.</t>
    </r>
  </si>
  <si>
    <t xml:space="preserve">     При посещении Сирен, в отрядах героя, где больше одного существа, погибают 30% существ. Герой получает единицу опыта за каждую единицу здоровья погибших существ. Сирен можно посетить один раз за игру, о чём сказано в мануале. Суть бага заключается в том, что если герой, посетивший Сирен, вступит в бой (неважно, с кем, и неважно, чем закончится бой), он сможет посетить их повторно.</t>
  </si>
  <si>
    <t xml:space="preserve">     Есть одна особенность, которая проявляется в случае, когда герой нападает на армию неулучшенных нейтралов, среди которых появляется один улучшенный отряд. Оказывается, что при любом исходе все оставшиеся в живых улучшенные существа после боя покидают армию нейтралов. Значит после уничтожения неулучшенных существ герой может смело сбегать с поля боя не завершая битву. После сбегания армия нейтралов все равно исчезнет. Это верно и для случая, если герой будет уничтожен армией нейтралов - число существ в этой армии уменьшится на количество улучшенных существ, которые были в ней на момент начала боя. Однако следует учесть, что при следующем нападении на эту армию один отряд улучшенных существ в ней будет все равно (это определяется координатами клетки, на которой расположены нейтралы и генерируется при создании карты), просто общее число существ в армии будет меньше.</t>
  </si>
  <si>
    <r>
      <t xml:space="preserve">     В случае, если герой, имеющий Шляпу адмирала, садится в лодку, запас его оставшихся "сухопутных" очков движения пересчитывается в прямой пропорции в "морские" очки. При высадке происходит обратный процесс. Существует баг, связанный с использованием Шляпы адмирала совместно с артефактами Логистики, который позволяет при высадке из лодки увеличить запас сухопутных очков хода. При </t>
    </r>
    <r>
      <rPr>
        <b/>
        <sz val="10"/>
        <rFont val="Arial"/>
        <family val="2"/>
        <charset val="204"/>
      </rPr>
      <t>сознательном</t>
    </r>
    <r>
      <rPr>
        <sz val="10"/>
        <rFont val="Arial"/>
        <family val="2"/>
        <charset val="204"/>
      </rPr>
      <t xml:space="preserve"> применении этого способа игрок может существенно повысить запас хода, взяв дополнительные очки "из воздуха".</t>
    </r>
  </si>
  <si>
    <t xml:space="preserve">     Используя заклинание Полёт или Крылья ангела можно зайти в заблокированный город путём нажатия клавиши "пробел" в тот момент, когда герой движется над городскими воротами. В случае наличия охраны в городе (без героя противника) - происходит сбой в программе и герою приходится вступать в бой со своей копией (артефакты и армия также дублируются, в армию героя добавляются существа, охраняющие город - в армию противника добавляются существа героя, в случае отсутствия свободных слотов - остаются только наиболее сильные существа по AI Value). Не зависимо от исхода боя - (если герой выигрывает, то его клон проигрывает или наоборот) -  Вы теряете своего героя, но он получает опыт. Впоследствии его можно найти в Таверне с увеличенным опытом. Город становится Вашим. (?)</t>
  </si>
  <si>
    <r>
      <t xml:space="preserve">     В случае, когда герой имеет вторичный навык Тактика, то управляя расстановкой двухгексовых существ, при желании можно продвинуть существо дополнительно еще одну клетку вперёд. Для этого при наступлении очереди хода этого отряда нужно включить "Автобой" (нажимаем клавишу "А") и тут же отменить его нажатием клавиши "Esc". Компьютер автоматически продвинет за это время ваше существо на одну клетку вперед </t>
    </r>
    <r>
      <rPr>
        <i/>
        <sz val="10"/>
        <rFont val="Arial"/>
        <family val="2"/>
        <charset val="204"/>
      </rPr>
      <t xml:space="preserve">(Предоставил </t>
    </r>
    <r>
      <rPr>
        <b/>
        <i/>
        <sz val="10"/>
        <rFont val="Arial"/>
        <family val="2"/>
        <charset val="204"/>
      </rPr>
      <t>asm</t>
    </r>
    <r>
      <rPr>
        <i/>
        <sz val="10"/>
        <rFont val="Arial"/>
        <family val="2"/>
        <charset val="204"/>
      </rPr>
      <t xml:space="preserve">, </t>
    </r>
    <r>
      <rPr>
        <i/>
        <u/>
        <sz val="10"/>
        <color indexed="12"/>
        <rFont val="Arial"/>
        <family val="2"/>
        <charset val="204"/>
      </rPr>
      <t>forum.df2.ru</t>
    </r>
    <r>
      <rPr>
        <i/>
        <sz val="10"/>
        <rFont val="Arial"/>
        <family val="2"/>
        <charset val="204"/>
      </rPr>
      <t>)</t>
    </r>
    <r>
      <rPr>
        <sz val="10"/>
        <rFont val="Arial"/>
        <family val="2"/>
        <charset val="204"/>
      </rPr>
      <t>.</t>
    </r>
  </si>
  <si>
    <r>
      <t xml:space="preserve">     2. Условные баги</t>
    </r>
    <r>
      <rPr>
        <b/>
        <sz val="10"/>
        <rFont val="Arial"/>
        <family val="2"/>
        <charset val="204"/>
      </rPr>
      <t>.</t>
    </r>
    <r>
      <rPr>
        <sz val="10"/>
        <rFont val="Arial"/>
        <family val="2"/>
        <charset val="204"/>
      </rPr>
      <t xml:space="preserve"> В этой категории можно отразить те игровые баги, которые вполне можно назвать "фишками", потому как достоверно не известно - случайны ли они. Некоторые из них появились исключительно по причине того, что разработчики игры, возможно, не придавали особого значения тонкостям, которые имеются при реализации некоторых игровых моментов, либо по причине некорректного отражения этих тонкостей на программном уровне. Большинство этих условных багов стали общеизвестными исключительно благодаря фанатам, которые неутомимо ищут новые способы ведения игры. Запрещать ли подобные "фишки" во время игры - остается на усмотрение организаторов турниров.</t>
    </r>
  </si>
  <si>
    <r>
      <t xml:space="preserve">     Скорей всего, недоработка разработчиков, создавших упрощенную проверку момента - двигался ли герой в этот день. По факту - просто проверяется количество оставшихся очков движения и сравнивается с количеством, которое должно быть у героя из расчета скорости самого медленного существа в его армии. Если передать герою более медленного существа, чем у него был в начале, то герой </t>
    </r>
    <r>
      <rPr>
        <b/>
        <sz val="10"/>
        <rFont val="Arial"/>
        <family val="2"/>
        <charset val="204"/>
      </rPr>
      <t>получит</t>
    </r>
    <r>
      <rPr>
        <sz val="10"/>
        <rFont val="Arial"/>
        <family val="2"/>
        <charset val="204"/>
      </rPr>
      <t xml:space="preserve"> некоторый запас количества МР, который он может израсходовать в течение дня до того, как копать Грааль. Применение этого приема требует досконального знания принципов Логистики, однако, тем не менее, в мануале указано, что копать Грааль в тот день, когда герой двигался нельзя. Но, оказывается, это возможно! Аплодисменты фанатам, которые нашли способ обойти это ограничение. Вот такая "фишка"!</t>
    </r>
  </si>
  <si>
    <r>
      <t xml:space="preserve">     После увольнения и повторного найма героя в тот же день, герой получает стандартный запас движения - </t>
    </r>
    <r>
      <rPr>
        <b/>
        <sz val="10"/>
        <rFont val="Arial"/>
        <family val="2"/>
        <charset val="204"/>
      </rPr>
      <t>2000 очков (МР)</t>
    </r>
    <r>
      <rPr>
        <sz val="10"/>
        <rFont val="Arial"/>
        <family val="2"/>
        <charset val="204"/>
      </rPr>
      <t>, что позволяет иметь практически бесконечный ход при наличии определенного количества денег. При сбегании и поражении в игре запас движения в тот же день не увеличивается. Можно предположить, что эту особенность сознательно допустили разработчики - получение полного запаса хода за 2500 золота. Но слишком уж читерским видится этот момент, особенно - на поздних стадиях игры, когда у игрока в наличие много раскачанных героев и практически бесконечное количество финансов, относительно стоимости повторного найма уволенного героя. Сложность ещё заключается и в том, что герой может не попасть в Таверну после увольнения и придётся "искать" его, выкупая других героев.</t>
    </r>
  </si>
  <si>
    <r>
      <t xml:space="preserve">     Некоторые версии игры допускают изучение магии всех уровней при посещении Сопряжения (с установленным там Храмом Грааля) героем, </t>
    </r>
    <r>
      <rPr>
        <b/>
        <sz val="10"/>
        <rFont val="Arial"/>
        <family val="2"/>
        <charset val="204"/>
      </rPr>
      <t>не имеющим</t>
    </r>
    <r>
      <rPr>
        <sz val="10"/>
        <rFont val="Arial"/>
        <family val="2"/>
        <charset val="204"/>
      </rPr>
      <t xml:space="preserve"> достаточного уровня Мудрости. Впоследствии этот баг исправили.</t>
    </r>
  </si>
  <si>
    <r>
      <t xml:space="preserve">     Согласно контекстному справочнику, Баллиста имеет фиксированный запас выстрелов - 24. Однако, при достижении нуля Баллиста </t>
    </r>
    <r>
      <rPr>
        <b/>
        <sz val="10"/>
        <rFont val="Arial"/>
        <family val="2"/>
        <charset val="204"/>
      </rPr>
      <t>продолжает стрелять</t>
    </r>
    <r>
      <rPr>
        <sz val="10"/>
        <rFont val="Arial"/>
        <family val="2"/>
        <charset val="204"/>
      </rPr>
      <t>, а счетчик уходит в минус. Неизвестно, что именно является багом - бесконечная стрельба или счетчик, которого попросту не должно там быть. Потому относим к условным багам.</t>
    </r>
  </si>
  <si>
    <r>
      <t xml:space="preserve">     Применение заклинания Воздушный щит или Окаменение (Василиски, Медузы) при осаде города к существам нападающего героя приводит к </t>
    </r>
    <r>
      <rPr>
        <b/>
        <sz val="10"/>
        <rFont val="Arial"/>
        <family val="2"/>
        <charset val="204"/>
      </rPr>
      <t>увеличению</t>
    </r>
    <r>
      <rPr>
        <sz val="10"/>
        <rFont val="Arial"/>
        <family val="2"/>
        <charset val="204"/>
      </rPr>
      <t xml:space="preserve"> урона ~ на 40-100%, наносимого городскими башнями по этим существам. По идее должно быть уменьшение. Урон зависит от развития вторичного навыка Магия воздуха у героя - наблюдается увеличение урона примерно на 40% при отсутствии или Базовом уровне, на 100% - при Продвинутом или Экспертном </t>
    </r>
    <r>
      <rPr>
        <i/>
        <sz val="10"/>
        <rFont val="Arial"/>
        <family val="2"/>
        <charset val="204"/>
      </rPr>
      <t xml:space="preserve">(Предоставил </t>
    </r>
    <r>
      <rPr>
        <b/>
        <i/>
        <sz val="10"/>
        <rFont val="Arial"/>
        <family val="2"/>
        <charset val="204"/>
      </rPr>
      <t>Fallen Angel</t>
    </r>
    <r>
      <rPr>
        <i/>
        <sz val="10"/>
        <rFont val="Arial"/>
        <family val="2"/>
        <charset val="204"/>
      </rPr>
      <t xml:space="preserve">, </t>
    </r>
    <r>
      <rPr>
        <i/>
        <u/>
        <sz val="10"/>
        <color indexed="12"/>
        <rFont val="Arial"/>
        <family val="2"/>
        <charset val="204"/>
      </rPr>
      <t>heroesportal.net</t>
    </r>
    <r>
      <rPr>
        <i/>
        <sz val="10"/>
        <rFont val="Arial"/>
        <family val="2"/>
        <charset val="204"/>
      </rPr>
      <t>).</t>
    </r>
    <r>
      <rPr>
        <sz val="10"/>
        <rFont val="Arial"/>
        <family val="2"/>
        <charset val="204"/>
      </rPr>
      <t>Также при осаде города, существа героя, у которого имеется навык Доспехи получают больший урон (на 5-15%) от Стрелковых башен (присутствует не во всех версиях).</t>
    </r>
  </si>
  <si>
    <r>
      <t xml:space="preserve">     Очередная "фишка", которая не вписывается в стандартные правила игры, связана с тем, что имеется способ обойти ограничения, накладываемые на героя штрафом местности. Заключается она в том, что если в армии имеются нейтральные войска (Кочевники, Мумии и пр.), а для остальных войск местность, по которой движется герой, является родной (т.е. штраф местности на них не действует), то можно избежать штрафа и для нейтральных войск. Для этого необходимо разместить отряды существ героя таким образом, чтобы нейтралы были </t>
    </r>
    <r>
      <rPr>
        <b/>
        <sz val="10"/>
        <rFont val="Arial"/>
        <family val="2"/>
        <charset val="204"/>
      </rPr>
      <t>левее</t>
    </r>
    <r>
      <rPr>
        <sz val="10"/>
        <rFont val="Arial"/>
        <family val="2"/>
        <charset val="204"/>
      </rPr>
      <t xml:space="preserve"> остальных войск.</t>
    </r>
  </si>
  <si>
    <r>
      <t xml:space="preserve">     Существует способ обеспечить героя максимальным запасом движения - 2000 очков (MP) - после ночёвки даже в случае, если нет под рукой ни одного быстрого существа. Для этого достаточно организовать встречу двух дружественных героев. В таком случае имеется недокументированная возможность передачи последнего существа напарнику, тем самым герой, оставшийся без существ будет иметь на следующий день максимальный запас хода. Герой </t>
    </r>
    <r>
      <rPr>
        <b/>
        <sz val="10"/>
        <rFont val="Arial"/>
        <family val="2"/>
        <charset val="204"/>
      </rPr>
      <t xml:space="preserve">сможет </t>
    </r>
    <r>
      <rPr>
        <sz val="10"/>
        <rFont val="Arial"/>
        <family val="2"/>
        <charset val="204"/>
      </rPr>
      <t xml:space="preserve">двигаться без существ по карте, имея каждый день максимальный запас хода. Следует отметить, что штраф </t>
    </r>
    <r>
      <rPr>
        <b/>
        <sz val="10"/>
        <rFont val="Arial"/>
        <family val="2"/>
        <charset val="204"/>
      </rPr>
      <t>любой</t>
    </r>
    <r>
      <rPr>
        <sz val="10"/>
        <rFont val="Arial"/>
        <family val="2"/>
        <charset val="204"/>
      </rPr>
      <t xml:space="preserve"> местности в этом случае </t>
    </r>
    <r>
      <rPr>
        <b/>
        <sz val="10"/>
        <rFont val="Arial"/>
        <family val="2"/>
        <charset val="204"/>
      </rPr>
      <t>сохраняется</t>
    </r>
    <r>
      <rPr>
        <sz val="10"/>
        <rFont val="Arial"/>
        <family val="2"/>
        <charset val="204"/>
      </rPr>
      <t xml:space="preserve">, так как у героя нет существ, для которых местность родная. К тому же встреча с противником (даже с любым нейтральным войском) завершается мгновенным и безоговорочным поражением. Передавать существо нужно не путем перетаскивания, а используя стрелки при разделении </t>
    </r>
    <r>
      <rPr>
        <i/>
        <sz val="10"/>
        <rFont val="Arial"/>
        <family val="2"/>
        <charset val="204"/>
      </rPr>
      <t xml:space="preserve">(Предоставил </t>
    </r>
    <r>
      <rPr>
        <b/>
        <i/>
        <sz val="10"/>
        <rFont val="Arial"/>
        <family val="2"/>
        <charset val="204"/>
      </rPr>
      <t>SAG19330184</t>
    </r>
    <r>
      <rPr>
        <i/>
        <sz val="10"/>
        <rFont val="Arial"/>
        <family val="2"/>
        <charset val="204"/>
      </rPr>
      <t xml:space="preserve">, </t>
    </r>
    <r>
      <rPr>
        <i/>
        <u/>
        <sz val="10"/>
        <color indexed="12"/>
        <rFont val="Arial"/>
        <family val="2"/>
        <charset val="204"/>
      </rPr>
      <t>forum.df2.ru</t>
    </r>
    <r>
      <rPr>
        <i/>
        <sz val="10"/>
        <rFont val="Arial"/>
        <family val="2"/>
        <charset val="204"/>
      </rPr>
      <t>)</t>
    </r>
    <r>
      <rPr>
        <sz val="10"/>
        <rFont val="Arial"/>
        <family val="2"/>
        <charset val="204"/>
      </rPr>
      <t xml:space="preserve">.
</t>
    </r>
    <r>
      <rPr>
        <b/>
        <sz val="10"/>
        <rFont val="Arial"/>
        <family val="2"/>
        <charset val="204"/>
      </rPr>
      <t>P.s.</t>
    </r>
    <r>
      <rPr>
        <sz val="10"/>
        <rFont val="Arial"/>
        <family val="2"/>
        <charset val="204"/>
      </rPr>
      <t xml:space="preserve"> - следует отметить, что также можно лишиться последнего существа, если оно требуется для выполнения задания - в программе предусмотрена такая возможность, так как задание имеет приоритет. Исправлено в HD-моде с опцией HD+.</t>
    </r>
  </si>
  <si>
    <r>
      <t xml:space="preserve">     На сложности 100% любой герой с 1 Гидрой в армии без потерь </t>
    </r>
    <r>
      <rPr>
        <b/>
        <sz val="10"/>
        <rFont val="Arial"/>
        <family val="2"/>
        <charset val="204"/>
      </rPr>
      <t>может захватить</t>
    </r>
    <r>
      <rPr>
        <sz val="10"/>
        <rFont val="Arial"/>
        <family val="2"/>
        <charset val="204"/>
      </rPr>
      <t xml:space="preserve"> любой Улей Змиев, кроме максимального, для которого потребуется 2 Гидры или 1 Гидра хаоса. Баг заключается в том, что в первом раунде все Змии атакуют Гидру, а в остальных раундах просто пропускают ходы, боясь массового ответного удара. Этот же баг применим, например, к взятию максимальной Утопии драконов с 10 Гидрами или победой над 100 Могучими горгонами при помощи 3 Гидр. На 80% сложности такой баг не повторяется, так как ИИ более слабый и атакует напрямую, не учитывая массовый ответный удар. На сложностях выше 100% баг тоже не повторяется, так как, наоборот, ИИ более "умный" и Змии во втором раунде разлетаются в стороны, чтобы в третьем атаковать снова. Однако этот хитрый ход ИИ не работает в Быстрой битве, при помощи которой 2 Гидры без проблем берут любой Улей змиев и на сложностях выше 100%. Исправлено в HD-моде с опцией HD+.</t>
    </r>
  </si>
  <si>
    <t xml:space="preserve">     Если существо умрёт на клетке ворот при осаде города, то его невозможно будет воскресить ни каким способом.</t>
  </si>
  <si>
    <t xml:space="preserve">     После битвы двух ИИ-героев, артефакты проигравшего остаются у него, а не переходят победителю.</t>
  </si>
  <si>
    <t xml:space="preserve">     Это далеко не полный перечень всех существующих багов игры, но тем не менее, здесь приведены наиболее известные, и потому часто используемые, так что будьте внимательны и думайте сами - нужно Вам это или нет.</t>
  </si>
  <si>
    <t xml:space="preserve">     *Цветом выделены отличительные особенности перевода. За оригинал взят перевод RoE, кроме случаев с явной неточностью перевода. Ярким выделены значительные отличия перевода, бледным - незначительные.</t>
  </si>
  <si>
    <t xml:space="preserve">     0. Честность!</t>
  </si>
  <si>
    <r>
      <t xml:space="preserve">     1. </t>
    </r>
    <r>
      <rPr>
        <b/>
        <sz val="10"/>
        <rFont val="Arial"/>
        <family val="2"/>
        <charset val="204"/>
      </rPr>
      <t xml:space="preserve">Выбор городов и героев. </t>
    </r>
    <r>
      <rPr>
        <sz val="10"/>
        <rFont val="Arial"/>
        <family val="2"/>
        <charset val="204"/>
      </rPr>
      <t>Игроки начинают вычёркивать города по 2 города по очереди (ходящий вторым начинает вычёркивать первым). Из оставшихся трёх городов ходящий ПЕРВЫМ выбирает город, которым будет играть. Потом свой выбор делает ВТОРОЙ игрок.
Далее выбор стартового героя сначала делает второй игрок, потом первый.</t>
    </r>
  </si>
  <si>
    <t xml:space="preserve">     2. Запрещается стартовать городами: Сопряжение, Некрополис.</t>
  </si>
  <si>
    <t xml:space="preserve">     3. В процессе игры запрещается использовать существ 7 уровня Сопряжения (Фениксы).</t>
  </si>
  <si>
    <t xml:space="preserve">     4. Запрещается пользоваться свитками с заклинаниями 4 и 5 уровней.</t>
  </si>
  <si>
    <t xml:space="preserve">     5. Запрещается выбирать следующих героев при старте: Лоинс, Адель, Сэр Мюллих, Риланд, Киррь, Солмир, Кира, Аислин, Гуннар, Аламар, Жеддит, Деемер, Десса, Циэль, Луна. Если эти герои приходят к вам в игре, то вы можете их использовать лишь до тех пор, пока их уровень не увеличится на 2, по сравнению с тем, какого они были на момент приобретения. По достижению этого барьера вы обязаны удалить героя до конца вашего хода.</t>
  </si>
  <si>
    <t xml:space="preserve">     6. Запрещается присоединять монстров. Запрещается использовать навыки Некромантия и Дипломатия. Если игрок получил какое-то количество существ с помощью Некромантии, то он обязан их тут же распустить. Герой, по какой либо причине получивший Дипломатию (например от Учёного, или вы его таким купили) приравнивается к запрещенному и должен быть удален после того, как поднимется на 2 уровня.</t>
  </si>
  <si>
    <t xml:space="preserve">     7. Запрещается пользоваться заклинаниями Городской портал, Полёт, Дверь измерений.</t>
  </si>
  <si>
    <t xml:space="preserve">     8. Первому игроку запрещается атаковать второго игрока на первый день новой недели, имея в атакующей армии только что пришедшую популяцию.</t>
  </si>
  <si>
    <t xml:space="preserve">     9. Нельзя использовать Форт на холме, Картографа и Грааль.</t>
  </si>
  <si>
    <t xml:space="preserve">     10. Запрещается покупать в Лагере беженцев существ 6 и 7 уровней в течение первой и второй недель.</t>
  </si>
  <si>
    <t xml:space="preserve">     12. Если в бою складывается патовая ситуация (бой может длиться бесконечно), то напавший игрок должен отступить. Когда такая ситуация складывается при наличии Оков войны, то напавший игрок теряет героя в пользу оборонявшегося.</t>
  </si>
  <si>
    <t xml:space="preserve">     14. Запрещается использовать баги: просмотр героя соперника, продажа артефактов выше их реальной стоимости, ходить героями без армии, а также любые другие.</t>
  </si>
  <si>
    <t xml:space="preserve">     15. Запрещается просматривать карту в редакторе карт до окончания игры.</t>
  </si>
  <si>
    <t xml:space="preserve">     17. Производится рестарт в случае, если игроки встречаются (имеют возможность атаковать друг друга) на первой неделе.</t>
  </si>
  <si>
    <r>
      <t xml:space="preserve">     18. Файл с играбельными стандартными темплейтами </t>
    </r>
    <r>
      <rPr>
        <b/>
        <u/>
        <sz val="10"/>
        <color rgb="FF0033CC"/>
        <rFont val="Arial Cyr"/>
        <charset val="204"/>
      </rPr>
      <t>Rmg.txt</t>
    </r>
    <r>
      <rPr>
        <b/>
        <sz val="10"/>
        <rFont val="Arial Cyr"/>
        <charset val="204"/>
      </rPr>
      <t>,</t>
    </r>
    <r>
      <rPr>
        <sz val="10"/>
        <rFont val="Arial Cyr"/>
        <charset val="204"/>
      </rPr>
      <t xml:space="preserve"> который рекомендуется использовать при игре On-Line.</t>
    </r>
  </si>
  <si>
    <t xml:space="preserve">     Для использования его необходимо скопировать в директорию /Heroes3/Data/</t>
  </si>
  <si>
    <t xml:space="preserve">     Наверняка, большинство игроков в Героев Меча и Магии 3 уже наслышаны об HD-моде, позволяющему играть в любимую игру на больших экранах и с дополнительными функциями, облегчающими трудоёмкие игровые процессы. Многие игроки уже и не играют в Героев без этого мода. Поэтому, в данном разделе будет приведено описание этого дополнения и его основные функции.</t>
  </si>
  <si>
    <r>
      <t xml:space="preserve">     Остальные магические способности существ</t>
    </r>
    <r>
      <rPr>
        <sz val="10"/>
        <rFont val="Arial Cyr"/>
        <charset val="204"/>
      </rPr>
      <t>, схожие с аналогичными заклинаниями героя, работают также, как и заклинания из Книги магии.</t>
    </r>
  </si>
  <si>
    <t>Калькулятор расчёта урона.</t>
  </si>
  <si>
    <t>Если Слепота отразится от Волшебного зеркала на ваше существо, во время хода которого она была применена, то этот отряд всё равно сможет походить, после чего останется ослепленным.</t>
  </si>
  <si>
    <t>* В связи со сложность кодировки калькулятора, возможны ошибки в его работе. Требуется тестирование и доработка, при необходимости. Замечания, вопросы и пожелания приветствуются.</t>
  </si>
  <si>
    <t xml:space="preserve"> Если Слепота отразится от Волшебного зеркала на ваше существо, во время хода которого она была применена, то этот отряд всё равно сможет походить, после чего останется ослеплённым.</t>
  </si>
  <si>
    <t>Ани</t>
  </si>
  <si>
    <t>Окружением считаются все смежные клетки от цели. Целью заклинания может являться пустая клетка.</t>
  </si>
  <si>
    <t>Целью заклинания может являться пустая клетка.</t>
  </si>
  <si>
    <t>Повышает атаку, защиту и скорость всех дружественных существ на:</t>
  </si>
  <si>
    <r>
      <t xml:space="preserve">     В данном калькуляторе отображается количество существ, которых может загипнотизировать Ваш герой при выбранных данных. Данные выбираются из списков в синих ячейках: существо, Магия воздуха и Сила магии. В зелёной ячейке будет отображён результат расчета. </t>
    </r>
    <r>
      <rPr>
        <b/>
        <sz val="10"/>
        <rFont val="Arial"/>
        <family val="2"/>
        <charset val="204"/>
      </rPr>
      <t>Не забудьте отказаться от сохранения при закрытии файла!</t>
    </r>
  </si>
  <si>
    <t>Ваш герой сможет взять под контроль</t>
  </si>
  <si>
    <r>
      <t xml:space="preserve">     3) Если существа одной "ширины" находятся на одном расстоянии от основной цели, то третьим делом определяется приоритет </t>
    </r>
    <r>
      <rPr>
        <b/>
        <sz val="10"/>
        <rFont val="Arial"/>
        <family val="2"/>
        <charset val="204"/>
      </rPr>
      <t>по расположению</t>
    </r>
    <r>
      <rPr>
        <sz val="10"/>
        <rFont val="Arial"/>
        <family val="2"/>
        <charset val="204"/>
      </rPr>
      <t>. Тут есть лишь 2 исключения:</t>
    </r>
  </si>
  <si>
    <t xml:space="preserve">     2) При срабатывании сопротивления на первом отряде, цепь сразу прервется.</t>
  </si>
  <si>
    <t>Поднятие демонов - поднимает из трупа дружественного существа Демонов с силой в 50 единиц здоровья за каждое Адское отродье. Количество поднятых Демонов не может превышать количество существ погибшего отряда. Не действует на нежить, элементалей, горгулий, големов и боевые машины.</t>
  </si>
  <si>
    <r>
      <t xml:space="preserve">     Одной из составляющих победы в игре является количество набранных очков и положение в Таблице рекордов. Количество набранных очков зависит от многих параметров. Этот калькулятор предназначен для того, чтобы облегчить подсчёт очков. В синих ячейках выбираются исходные данные из списков. В зелёной ячейке будет показан результат расчета, а в оранжевой - Ваш ранг. </t>
    </r>
    <r>
      <rPr>
        <b/>
        <sz val="10"/>
        <rFont val="Arial"/>
        <family val="2"/>
        <charset val="204"/>
      </rPr>
      <t>Не забудьте отказаться от сохранения при закрытии файла!</t>
    </r>
  </si>
  <si>
    <r>
      <t xml:space="preserve">   </t>
    </r>
    <r>
      <rPr>
        <b/>
        <sz val="10"/>
        <rFont val="Arial Cyr"/>
        <charset val="204"/>
      </rPr>
      <t xml:space="preserve">  </t>
    </r>
    <r>
      <rPr>
        <sz val="10"/>
        <rFont val="Arial Cyr"/>
        <charset val="204"/>
      </rPr>
      <t xml:space="preserve">Максимальный </t>
    </r>
    <r>
      <rPr>
        <b/>
        <sz val="10"/>
        <rFont val="Arial Cyr"/>
        <charset val="204"/>
      </rPr>
      <t>запас маны</t>
    </r>
    <r>
      <rPr>
        <sz val="10"/>
        <rFont val="Arial Cyr"/>
        <charset val="204"/>
      </rPr>
      <t xml:space="preserve"> у героя может составлять 14652 единицы. Для этого необходимо иметь 99 Знаний, иметь Экспертный Интеллект, быть героем-специалистом по Интеллекту (Эллезар, Айден, Андра) 108 уровня и посетить Водоворот маны или Магический ручей.</t>
    </r>
  </si>
  <si>
    <r>
      <t xml:space="preserve">     Максимальный урон </t>
    </r>
    <r>
      <rPr>
        <b/>
        <sz val="10"/>
        <rFont val="Arial Cyr"/>
        <charset val="204"/>
      </rPr>
      <t xml:space="preserve">Грома титана </t>
    </r>
    <r>
      <rPr>
        <sz val="10"/>
        <rFont val="Arial Cyr"/>
        <charset val="204"/>
      </rPr>
      <t>составляет 1764 единицы. Для этого понадобится Экспертное Волшебство, специалист по Волшебству 108 уровня и наличие Сферы небесного свода.</t>
    </r>
  </si>
  <si>
    <r>
      <t xml:space="preserve">     Максимальным</t>
    </r>
    <r>
      <rPr>
        <b/>
        <sz val="10"/>
        <rFont val="Arial Cyr"/>
        <charset val="204"/>
      </rPr>
      <t xml:space="preserve"> урон</t>
    </r>
    <r>
      <rPr>
        <sz val="10"/>
        <rFont val="Arial Cyr"/>
        <charset val="204"/>
      </rPr>
      <t>, который может нанести 1 существо составляет 19864 единицы. Нанести его может 1 Сказочный дракон за 2 хода (выпадение Боевого духа) при помощи Инферно по 13 отрядам Элементалей воды. При этом должен быть герой-специалист по Волшебству со Сферой бушующего огня.</t>
    </r>
  </si>
  <si>
    <r>
      <t xml:space="preserve">     Самыми </t>
    </r>
    <r>
      <rPr>
        <b/>
        <sz val="10"/>
        <rFont val="Arial Cyr"/>
        <charset val="204"/>
      </rPr>
      <t>дешевым артефактами</t>
    </r>
    <r>
      <rPr>
        <sz val="10"/>
        <rFont val="Arial Cyr"/>
        <charset val="204"/>
      </rPr>
      <t xml:space="preserve"> являются Амулет маны и Магический ошейник. Их базовая стоимость составляет 500 золота.</t>
    </r>
  </si>
  <si>
    <r>
      <t xml:space="preserve">     Максимальным</t>
    </r>
    <r>
      <rPr>
        <b/>
        <sz val="10"/>
        <rFont val="Arial Cyr"/>
        <charset val="204"/>
      </rPr>
      <t xml:space="preserve"> урон</t>
    </r>
    <r>
      <rPr>
        <sz val="10"/>
        <rFont val="Arial Cyr"/>
        <charset val="204"/>
      </rPr>
      <t>, который может нанести 1 существо в Антимагическом гарнизоне составляет 2512 единиц. Нанести его может 1 Могучая горгона за 2 хода (выпадение Боевого духа) при помощи Смертельного взгляда по Лазурным драконам, которыми командует герой с Эликсиром жизни.</t>
    </r>
  </si>
  <si>
    <t xml:space="preserve">     Практически каждое игровое существо в игре уникально, имеет свои характеристики, способности и способы максимально эффективного использования. Именно поэтому тактические вариации в битве столь разнообразны. В этом разделе попробуем разобраться, почему те или иные существа считаются наиболее сильными, в чём преимущество некоторых городов и как использовать существ по максимуму. Постепенно раздел будет пополняться. Замечания, уточнения и дополнения приветствуются.</t>
  </si>
  <si>
    <t xml:space="preserve">     В сумме хорошие характеристики делают Грифонов и Королевских грифонов одними из лучших существ на своём уровне. Высокий показатель здоровья, большой прирост благодаря Бастиону грифонов, а также полёт и способность отвечать более, чем на одну атаку, делают грифонов очень эффективными в нападении и при осаде городов. Могут использоваться и для прикрытия стрелков, благодаря своей "ширине". Против грифонов практически не применима тактика со снятием ответного удара единичками, так что нейтральные грифоны на карте - серьёзный противник на начальной стадии игры.</t>
  </si>
  <si>
    <t xml:space="preserve">     Отряды Рыцарей и Крестоносцев универсальны и подходят как для нападения, так и для обороны. Основная сила улучшенных Рыцарей - Двойной удар. Так что очень эффективной тактикой битвы, с участием Крестоносцев, будет являться снятие ответного удара единичной, Благословление Крестоносцев и безответный Двойной удар по цели, который нанесёт колоссальный урон. Полезно также срабатывание Удачи или Боевого духа на Крестоносцах. Под управлением Сорши, эффективность мечников растёт с каждым её уровнем. Но, к сожалению, скорость рыцарей не всегда позволяет эффективно использовать эту силу.</t>
  </si>
  <si>
    <t xml:space="preserve">     Монахи и Фанатики очень слабы для своего уровня. Хотя способность стрелять делает их в целом полезными для поддержки основной армии Замка. Они быстро умирают под вражескими атаками и заклинаниями, поэтому всегда полезно защищать их другими существами или Антимагией. Лучше как можно скорее улучшить Монахов до Фанатиков, чтобы получить хорошую прибавку к защите и отсутствие штрафа в ближнем бою. Под командованием Инхама, конечно же, Фанатики более эффективны и стойки.</t>
  </si>
  <si>
    <t xml:space="preserve">     Дендроиды совсем не атакующие воины в быстрых и динамичных битвах. Они медлительны и замедляют скорость движения героя по карте. Однако в тяжёлых и затяжных боях они незаменимы. У них хороший прирост благодаря Арке дендроидов и высокое здоровье, что позволяет им "ворвавшись" в гущу битвы долго стоять под ударами противников. А оплетение корнями тем временем будет удерживать вражеских существ на месте, пока эльфы будут производить обстрел. Полезно иметь Телепорт для эффективного использования дендроидов, как и Риланда для их командования.</t>
  </si>
  <si>
    <t xml:space="preserve">     Драконы Оплота очень хорошие воины в нападении и защите. Их часто сравнивают с драконами Темницы, где они превосходят последних в атаке и защите, но чуть проигрывают в здоровье и скорости. Дыхание дракона - очень полезная, как и опасная для своих способность. Лучше вставать драконом подальше от дружественных существ, т.к. противник (как ИИ, так и любой игрок) могут легко атаковать дракона так, чтобы ответное дыхание попало и по своим. Также драконы защищены от магии 1-3 (4) уровней, включая Яд, Окаменение, Болезнь. Золотых драконов можно приносить в Жертву, но воскрешать их нельзя.</t>
  </si>
  <si>
    <r>
      <t xml:space="preserve">     </t>
    </r>
    <r>
      <rPr>
        <b/>
        <sz val="10"/>
        <rFont val="Arial"/>
        <family val="2"/>
        <charset val="204"/>
      </rPr>
      <t xml:space="preserve">Способности: </t>
    </r>
    <r>
      <rPr>
        <sz val="10"/>
        <rFont val="Arial"/>
        <family val="2"/>
        <charset val="204"/>
      </rPr>
      <t>Полёт; Горгульи защищены от воскрешений, Болезни, Облака смерти, Старости, Поднятия демонов, Смертельного взгляда, Яда, Вампиризма и Страха.</t>
    </r>
  </si>
  <si>
    <t xml:space="preserve">     Основные преимущества горгулий - это скорость и защитные характеристика, включая защиту от многих негативных воздействий, влияющих на живых существ. Скорость и полёт позволяют отвлекать медлительных нейтралов, а также использовать в качестве единичек или для блокировки вражеских стрелков. Количество и защита позволяют неплохо обороняться и защищать Мастер-гремлинов. На начальных стадиях игры можно легко воевать горгульями. Особенно Обсидиановыми.</t>
  </si>
  <si>
    <t xml:space="preserve">     В целом Маги и Архимаги - хорошие стрелки. Они не живучи, поэтому их следует беречь. Помогают герою с экономией маны при использовании заклинаний. Также они могут хорошо ответить на атаку, если до них всё же доберётся враг, т.к. не имеют 50%-ного штрафа стрелков в ближнем бою. И с ними легче осаждать вражеские города - стрельба без 50%-ного штрафа за стены. Архимагов довольно сложно купить - для их улучшения требуется Библиотека. Теодор - специалист по магам.</t>
  </si>
  <si>
    <t>Джинн / Мастер-джинн</t>
  </si>
  <si>
    <t xml:space="preserve">     Джинны - неплохие воины, имеют хороший урон, равнохорошую атаку и защиту. Скорость - лучшая на уровне, но и стоимость их найма не дешёвая. Улучшение до Мастер-джиннов повышает лишь скорость.</t>
  </si>
  <si>
    <t xml:space="preserve">     Скелеты очень хорошие бойцы для 1 уровня. Единственный недостаток это скорость. Прирост в городе также низок, однако это компенсируется навыком Чародейства (Некромантии), которым обладают все герои Некрополиса. Именно этот навык является одним из преимуществ города. Он позволяет поднимать павших воинов после каждого боя в виде скелетов, что позволяет собирать огромные полчища этих существ. А в совокупности с отличными характеристиками, такой отряд получается невероятно убийственен. Крайне полезен Галтран, ускоряющий и усиливающий такую мощь с каждым уровнем. Однако скелеты часто погибают, т.к. Некрополь не имеет стрелков на начальных уровнях и именно скелетам приходится воевать на первых парах.</t>
  </si>
  <si>
    <t xml:space="preserve">     Вампиры имеют самый низкий урон, слабые атаку и защиту. Однако стоит очень дорого - 360 золота, благодаря способностям. Улучшение Вампира добавляет 1 единицу к защите, повышает здоровье и скорость. Стоимость улучшенного Вампира становится рекордно дорогой.</t>
  </si>
  <si>
    <t xml:space="preserve">     Единственный стрелок Некрополиса. Не очень живуч, но достаточно силён. Неплохо бы его защищать - подойдут Зомби, Стражи и Скелеты. Основная мощь личей - конечно же Облако смерти, которое не задевает своих (т.е. нежить), но наносит полноценный урон всем живым вокруг цели. Очень эффективно в больших битвах при скоплении вражеских существ вокруг, например, Вампиров-лордов. К сожалению, на горгулий, големов, элементалей, вражескую нежить и боевые машины Облако не действует, поэтому сражаться с ними гораздо сложнее.</t>
  </si>
  <si>
    <r>
      <t xml:space="preserve">     </t>
    </r>
    <r>
      <rPr>
        <b/>
        <sz val="10"/>
        <rFont val="Arial"/>
        <family val="2"/>
        <charset val="204"/>
      </rPr>
      <t xml:space="preserve">Способности: </t>
    </r>
    <r>
      <rPr>
        <sz val="10"/>
        <rFont val="Arial"/>
        <family val="2"/>
        <charset val="204"/>
      </rPr>
      <t>Нежить; Полёт; Боевой дух всех вражеских существ -1; Драконы-привидения при ударе имеют 20% шанс наложить на цель Старость (максимальный уровень здоровья снизится на 50%).</t>
    </r>
  </si>
  <si>
    <t xml:space="preserve">     Адские гончие и Церберы имеют огромный разброс урона, хоть верхний его предел и впечатляет. Лучшая атака  на уровне. Неплохие здоровье и скорость. Прирост кажется низковат, но вместе с Клетками он становится нормальным.</t>
  </si>
  <si>
    <t xml:space="preserve">     В целом по параметрам ифриты далеко не в лидерах среди существ 6 уровня, но и не в аутсайдерах. Основное их достоинство - высокая скорость, позволяющая часто получить первый ход и первым атаковать равного противника. Способность улучшенных Ифритов (Огненный щит) - одна из лучших в игре, ведь на каждый удар противника в ближнем бою, будет возвращаться 20% от нанесённого урона. При чём этот урон считается с учётом всех усиливающих факторов, но без учёта снижающих (Доспехов, бонусов, Щитов и штрафов).</t>
  </si>
  <si>
    <t xml:space="preserve">     Дьяволы и Архидьяволы имеют низкий урон, но в целом хорошие параметры атаки и защиты. Здоровье Архидьяволов самое низкое, а стоимость очень высока для таких характеристик.</t>
  </si>
  <si>
    <t xml:space="preserve">     Троглодиты имеют хорошие максимальный урон и атаку. Но в защите они средние. Скорость - худшая на уровне.</t>
  </si>
  <si>
    <t xml:space="preserve">     У гноллов отличные урон и защита для 1 уровня, но плохая атака и очень низкая скорость передвижения. Также низок прирост, что в принципе компенсируется Квартирой капитана. Здоровье не низкое.</t>
  </si>
  <si>
    <t xml:space="preserve">     В целом Змии и Стрекозы хорошие воины в тактическом плане. Они стойки, что позволяет им выдерживать средние удары (здоровья всё таки не много), и быстрые, что позволяет использовать их в качестве единичек или для отвлечения медленных нейтралов, а также при осадах. Способности Стрекоз крайне полезны. Снятие заклинаний нейтрализует только положительную магию, оставляя на цель все негативные эффекты, которые вы наложили до этого. А Слабость снижает параметр атаки, тем самым снижая ответный удар по Стрекозам.</t>
  </si>
  <si>
    <t xml:space="preserve">     Единственное существо Крепости универсального плана. В целом василиски подходят и для нападения и для обороны, т.к. имеют хорошие показатели атаки/защиты. В нападении урон будет не велик, но приправлен шансом окаменить цели, выведя её из битвы на 3 хода. Окаменение василисков - более частое явление, чем у медуз, т.к. последние вступают в ближний бой редко. В обороне василиски имеют хорошую защиту и приличное здоровье, так что они могут выдержать хороший удар, а ответом нанесут немало урона, опять же, с шансом Окаменения.</t>
  </si>
  <si>
    <t xml:space="preserve">     Горгоны имеют хороший урон, лучшие на уровне показатели защиты и здоровья. Из недостатков - низкая атака, свойственная Крепости, низкая скорость и дороговизна.</t>
  </si>
  <si>
    <t xml:space="preserve">     Горгоны являются одними из лучших существ на своём уровне. Мало того, что они хороши по параметрам, очень живучи и сильны, так ещё и улучшенный вариант имеет Смертельный взгляд - пожалуй, лучшую способность в игре. Могучих горгон полезно использовать против высокоуровневых существ. Грубо говоря 10 Могучих горгон гарантированно убьют Смертельным взглядом 1 Лазурного дракона, а при особом (нереальном) везении могут убить и 10. Эта же способность делает нейтральных Могучих горгон опасным противником. Так что нападать на них с высокоуровневыми существами надо крайне осторожно.</t>
  </si>
  <si>
    <t xml:space="preserve">     Для 6 уровня существ виверны очень слабы - низкий урон, самая низкая атака, низкая защита, самое низкое здоровье. Из плюсов лишь хорошая (но не лучшая) скорость и относительная дешевизна. Неулучшенная виверна сильно отстаёт по урону.</t>
  </si>
  <si>
    <t xml:space="preserve">     В целом виверны довольно плохи, как в нападении, так и в обороне. Плюсом является хорошая скорость и хорошая прибавка к урону при улучшении. Скорость позволяет использовать их аналогично Стрекозам. Кроме того очень полезен Яд (при срабатывании), особенно против высокоуровневых существ. Однако у виверн есть ещё 2 преимущества. Во-первых их строение в Крепости можно построить очень быстро, а во-вторых их бесплатно дают при захвате Ульев змиев на карте, которых бывает достаточно много. Это позволяет иногда скопить серьёзный отряд виверн и использовать его в качестве ударного.</t>
  </si>
  <si>
    <t xml:space="preserve">     Наездники на волках и Налётчики - очень сильные в нападении существа. Приличный урон и уровень атаки позволяют наносить ими большой урон. Скорость и многочисленность также позволяют им быть воинами атакующего плана. Основной и большой недостаток всадников - низкое здоровье, из-за которого они очень быстро умирают, даже от ответного удара. Налётчики имеют Двойной удар. В связи с вышеперечисленным, крайне полезно снять ответный удар до хода Налётчиков. Это можно сделать гоблинами. Безответный двойной удар Налётчика с таким уровнем атаки и уроном - страшная сила.</t>
  </si>
  <si>
    <t xml:space="preserve">     Птицы имеют не самые высокие, но хорошие показатели урона и атаке. Защита чуть низковата, но скорость - лучшая на 5 уровне. Улучшение до Птиц грома не добавляет ничего, кроме скорости. Стоимость самая высокая.</t>
  </si>
  <si>
    <t xml:space="preserve">     Циклопы - единственные стрелки 6 уровня и лучшие стрелки после Титанов. В следствие способности стрелять, их характеристики очень низки. Из плюсов - это традиционно хорошая атака. Хотя построить их здание очень тяжело, сами они стоят не дорого. В бою способны доставить врагу не мало хлопот, ведь достать до них трудно из-за стремительной атаки чудищ, наездников на волках и птиц грома. Способность атаковать стены очень полезна при осаде, когда единственные летающие Птицы грома могут легко погибнуть первыми. Можно поделить циклопов на несколько отрядов, тогда каждый из них сможет рушить стены и башни.</t>
  </si>
  <si>
    <r>
      <t xml:space="preserve">     </t>
    </r>
    <r>
      <rPr>
        <b/>
        <sz val="10"/>
        <rFont val="Arial"/>
        <family val="2"/>
        <charset val="204"/>
      </rPr>
      <t xml:space="preserve">Способности: </t>
    </r>
    <r>
      <rPr>
        <sz val="10"/>
        <rFont val="Arial"/>
        <family val="2"/>
        <charset val="204"/>
      </rPr>
      <t>При ударе чудища игнорируют 40% (80%) защиты цели.</t>
    </r>
  </si>
  <si>
    <t xml:space="preserve">     Элементали воды и льда имеют большой урон (в среднем как и у Элементалей воздуха, но разброс меньше), хороши в защите и по уровню здоровья. Скорость и прирост не высоки, а стоимость найма самая дорогая.</t>
  </si>
  <si>
    <t xml:space="preserve">     Максимальный урон элементалей огня и энергии ниже, чем у элементалей воздуха и воды, хотя средний такой же. Для своего уровня эти элементали имеют худший урон, плохие защиту и здоровье. Но они сильны в атаке и имеют хороший прирост.</t>
  </si>
  <si>
    <t xml:space="preserve">     Эти элементали уже приемлемы для своего уровня, хотя в целом они слабы. Очень малый урон с хорошей атакой не всегда показывает большое значение. Здоровья и защиты также не много, что не сильно способствует их применению в нападении. Хорошим плюсом является защита от магии огня и Магической стрелы, что помогает против не особо раскаченных вражеских героев-магов.</t>
  </si>
  <si>
    <t xml:space="preserve">     Огненные птицы и Фениксы имеют низкий урон и низкую защиту, а также худшее здоровье на 7 уровне. Однако они обладают самой высокой скоростью в игре, двойным приростом (по сравнению с другими существами 7 уровня) и невероятно дёшевы.</t>
  </si>
  <si>
    <t xml:space="preserve">     Не смотря на слабые боевые характеристики Огненных птиц и Фениксов, эти существа считаются одними из самых дисбаллансных, так как имеют большой прирост и максимальную скорость, которая практически гарантированно даёт им первый ход. Они очень дешевы при покупке, а способность возрождаться делает их ещё более стойкими и многочисленными. Очень полезна тактика ожидания и двойного хода. Либо можно использовать массовое ускорение и ринуться в бой Фениксами, Феями и Энергетическими элементалями.</t>
  </si>
  <si>
    <t xml:space="preserve">     Довольно непонятное существо-всадник. Скорость в принципе не плохая, наравне с Гарпиями или Каменными горгульями, но боевые характеристики не высокие. Можно сравнить их с Наездниками на волках, где они выигрывают лишь по уровню здоровья, но проигрывают по урону, атаке, приросту и стоимости. Способностей у Наездников на кабанах нет, поэтому они являются воинами чуть ниже средней силы. А пользы в армии героя не приносят и вовсе.</t>
  </si>
  <si>
    <t xml:space="preserve">     Кочевники имеют хорошие показатели в атаке и защита, а также в уроне, хоть и с большим разбросом. Уровень здоровья лучший на 3 уровне, наравне с Каменными големами и Элементалями воды.</t>
  </si>
  <si>
    <t xml:space="preserve">     Кочевники довольно хорошие войны, но, как и прочих нейтралов, их очень сложно накопить большое количество, способное заменить один из родных отрядов. Кочевники не плохо атакуют и хорошо защищаются. Могут пригодится в армии на начальной стадии игры. Не жалко будет и использовать их в качестве мяса, чтобы сохранить основные отряды. Полезна и их способность игнорировать штраф на песке (50%, как на снеге). Именно для этого их можно взять в армию в более поздней игре. Иногда, благодаря их "ширине", можно использовать Кочевников для прикрытия слабых стрелков - эльфов, орков или арбалетчиков, например.</t>
  </si>
  <si>
    <t xml:space="preserve">     Мумии довольно слабы в нападении - низкий урон и низкая атака. Однако здоровье очень хорошее. А вот стоимость найма самая дорогая на 3 уровне, наравне с Элементалями воды.</t>
  </si>
  <si>
    <t xml:space="preserve">     Мумии совершенно непотребны в любой армии, кроме Некрополиса, т.к. снижают боевой дух героя, как и любая нежить. К тому же в боевых характеристиках Мумии достаточно слабы. Однако полезна их способность проклинать. Полезно её срабатывание против существ с большим разбросом урона.</t>
  </si>
  <si>
    <t xml:space="preserve">     Для своего уровня Снайперы хороши в уроне и в атаке. В защите не слабы (для стрелков это редкость), но вот по здоровью сильно проигрывают. У них всего 15 жизней против 25 у Магов и Медуз или 40 у Огров. Скорость очень хорошая, а стоимость сильно высокая.</t>
  </si>
  <si>
    <t xml:space="preserve">     Первый более менее стоящий нейтрал. Здоровье смешно низкое, поэтому погибают они практически от любого слабенького удара. Однако в нападении, т.е. в стрельбе, Снайперы непревзойдённы. Они всегда стреляют с прямой стрелы и имеют хороший урон с атакой. Поэтому, если ваша армия способна уберечь Снайперов от ранней гибели в бою, то можно смело брать. Хороший стрелковый отряд редко бывает лишним. Стоит отметить и героя кампаний Джелу, который может превращать Арбалетчиков, Стрелков, Лесных и Великих эльфов в Снайперов (хоть он доступен лишь на пользовательских картах). Под его командованием может скопиться приличный отряд этих стрелков.</t>
  </si>
  <si>
    <t xml:space="preserve">     Золотые големы имеют довольно низкий урон с небольшим разбросом, однако все остальные параметры довольно средние.</t>
  </si>
  <si>
    <t xml:space="preserve">     Золотые големы являются идейным продолжением цепочки Каменный голем - Стальной голем. Они нанимаются на Фабрике големов, вместе с остальными тремя видами големов. Однако параметры Золотых големов гораздо выше, чем у Стальных. Схожа лишь скорость - 5 единиц. Также способность снижать получаемый урон от заклинаний сохранилась и усилилась до 85%. В целом Золотых големов редко можно встретить в армии героя, т.к. они не многочисленны, медлительны и не особо полезны по способностям.</t>
  </si>
  <si>
    <t xml:space="preserve">     Тролли имеют не высокий урон, но отличную атаку. Их защита самая низкая на 5 уровне, наравне с Монахами. Здоровье также не высоко, а вот скорость хороша - 7 единиц.</t>
  </si>
  <si>
    <t xml:space="preserve">     Тролли - типичные нейтралы. У них есть преимущества, но они достаточно слабы для основной армии героя и малочисленны. Здоровье и защита достаточно низки, поэтому если уж они есть в армии, то следует атаковать ими как можно скорее. Хорошая атака несколько повысит наносимый ими урон по каким-нибудь средним отрядам. Способность регенерации достаточно полезно (уж точно полезнее, чем у Стражей и Привидений), т.к. потенциально может восстановить гораздо большее количество здоровья. Также Регенерация делает нейтральных Троллей достаточно неприятным противником, ведь их достаточно сложно победить низкоуровневыми отрядами.</t>
  </si>
  <si>
    <t xml:space="preserve">     Алмазные големы являются идейным продолжением цепочки Каменный голем - Стальной голем - Золотой голем. Они нанимаются на Фабрике големов, вместе с остальными тремя видами големов. Однако параметры Алмазных големов слишком слабы для 6 уровня (не ясно как он на него попал). Если отбросить тот факт, что они являются 6 уровнем и прирастают очень медленно, то в целом Алмазные големы крепки. Они сильнее Золотых по урону и атаке, имеют чуть больше здоровья. А вот ударная магия на них практически бесполезна. Можно смело брать их в компанию к Чёрным драконам, Фениксам, Элементалям земли и пр., чтобы использовать тактику с Армагеддоном.</t>
  </si>
  <si>
    <r>
      <t xml:space="preserve">     </t>
    </r>
    <r>
      <rPr>
        <b/>
        <sz val="10"/>
        <rFont val="Arial"/>
        <family val="2"/>
        <charset val="204"/>
      </rPr>
      <t xml:space="preserve">Способности: </t>
    </r>
    <r>
      <rPr>
        <sz val="10"/>
        <rFont val="Arial"/>
        <family val="2"/>
        <charset val="204"/>
      </rPr>
      <t>Полёт; 5 раз за бой, вместо хода Сказочные драконы могут колдовать случайные ударные заклинания на Продвинутом уровне (Магическая стрела, Метеоритный дождь, Ледяная молния, Кольцо холода, Огненный шар, Инферно, Удар молнии, Цепная молния); 20% шанс Волшебного зеркала (являясь целью заклинания).</t>
    </r>
  </si>
  <si>
    <t xml:space="preserve">     Ржавые драконы имеют большой урон без разброса, наравне с Ангелами и Архангелами. Остальные их параметры ещё выше, чем у Сказочных драконов, как и стоимость найма.</t>
  </si>
  <si>
    <t xml:space="preserve">     Второй по порядку и третий по силе мегадракон-нейтрал. Атака, защита и урон рекордны и находятся на уровне Архангела. Здоровья 750 единиц - на 50% больше, чем у Сказочного дракона. Скорость выше лишь у Архангелов, Фениксов и  Лазурных драконов. Очень дороги в найме, но зато даже 1 такой дракон в армии представляет серьёзную угрозу для противника. Полёт, хорошая скорость и дыхание на 2 клетки делают его тактику типичной для драконов. Способность не слишком полезна, но всё же даёт ощутимый эффект при повторном наложении, т.е. эффекты Кислотного дыхания (как и Разрушающего луча) суммируются.</t>
  </si>
  <si>
    <t xml:space="preserve">     Все параметры Кристаллического дракона являются вторыми по величине, после Лазурного. Кроме скорости. Тут она равна всего 16 единицам. Здоровья чуть больше, чем у Ржавого дракона, стоимость по золоту выше, а по ресурсам наоборот ниже.</t>
  </si>
  <si>
    <r>
      <rPr>
        <b/>
        <sz val="10"/>
        <rFont val="Arial"/>
        <family val="2"/>
        <charset val="204"/>
      </rPr>
      <t xml:space="preserve">     Это интересно!</t>
    </r>
    <r>
      <rPr>
        <sz val="10"/>
        <rFont val="Arial"/>
        <family val="2"/>
        <charset val="204"/>
      </rPr>
      <t xml:space="preserve"> В сети часто спорят о том, кто победит - 1 Лазурный дракон или 1000 Крестьян. Ответ очевиден - 1 Лазурный дракон бесспорно выигрывает за счёт преимущества в атаке и скорости. Однако, чтобы дракон проиграл этот бой, требуется всего от 1295 Крестьян (если дракон всегда будет бить с минимальный уроном) до 1385 Крестьян (если урон всегда будет максимальный). Естественно, данные цифры актуальны при нулевых/равных характеристиках героя и без срабатывания Страха, Боевого духа и Удачи.</t>
    </r>
  </si>
  <si>
    <r>
      <t xml:space="preserve">     Данный калькулятор предназначен для теоретического расчета урона при атаке одного отряда существ другим. </t>
    </r>
    <r>
      <rPr>
        <b/>
        <sz val="10"/>
        <color rgb="FFFF0000"/>
        <rFont val="Arial"/>
        <family val="2"/>
        <charset val="204"/>
      </rPr>
      <t>Красные ячейки</t>
    </r>
    <r>
      <rPr>
        <sz val="10"/>
        <rFont val="Arial"/>
        <family val="2"/>
        <charset val="204"/>
      </rPr>
      <t xml:space="preserve"> предназначены для ввода чисел. </t>
    </r>
    <r>
      <rPr>
        <b/>
        <sz val="10"/>
        <color rgb="FF0066FF"/>
        <rFont val="Arial"/>
        <family val="2"/>
        <charset val="204"/>
      </rPr>
      <t>Синие ячейки</t>
    </r>
    <r>
      <rPr>
        <sz val="10"/>
        <rFont val="Arial"/>
        <family val="2"/>
        <charset val="204"/>
      </rPr>
      <t xml:space="preserve"> предназначены для выбора параметров из выпадающего списка. В</t>
    </r>
    <r>
      <rPr>
        <b/>
        <sz val="10"/>
        <color rgb="FF00B050"/>
        <rFont val="Arial"/>
        <family val="2"/>
        <charset val="204"/>
      </rPr>
      <t xml:space="preserve"> зелёных ячейках</t>
    </r>
    <r>
      <rPr>
        <sz val="10"/>
        <rFont val="Arial"/>
        <family val="2"/>
        <charset val="204"/>
      </rPr>
      <t xml:space="preserve"> будет выведен результат атаки, а в </t>
    </r>
    <r>
      <rPr>
        <b/>
        <sz val="10"/>
        <rFont val="Arial"/>
        <family val="2"/>
        <charset val="204"/>
      </rPr>
      <t>жёлтой</t>
    </r>
    <r>
      <rPr>
        <sz val="10"/>
        <rFont val="Arial"/>
        <family val="2"/>
        <charset val="204"/>
      </rPr>
      <t xml:space="preserve"> - сообщения об ошибках. </t>
    </r>
    <r>
      <rPr>
        <b/>
        <sz val="10"/>
        <rFont val="Arial"/>
        <family val="2"/>
        <charset val="204"/>
      </rPr>
      <t>Не забудьте отказаться от сохранения при закрытии файла!</t>
    </r>
  </si>
  <si>
    <r>
      <rPr>
        <b/>
        <sz val="10"/>
        <rFont val="Arial"/>
        <family val="2"/>
        <charset val="204"/>
      </rPr>
      <t xml:space="preserve">     Внимание!</t>
    </r>
    <r>
      <rPr>
        <sz val="10"/>
        <rFont val="Arial"/>
        <family val="2"/>
        <charset val="204"/>
      </rPr>
      <t xml:space="preserve"> В ~5% случаях расчетный результат может отличаться от реального на 1 единицу урона. Это связано с многочисленными внутренними округлениями в программе игры. В калькуляторе учесть все эти округления пока не представляется возможным. Также возможны не совсем точные результаты при совмещении большого количества опций (требуются тесты).</t>
    </r>
  </si>
  <si>
    <t>С вероятностью 20% при ударе Птица грома может нанести дополнительно 10 урона за каждую птицу от Удара молнии. Элементали воздуха и шторма получают двойной урон.</t>
  </si>
  <si>
    <t xml:space="preserve">     В этом разделе приведены некоторые тактические советы и наблюдения, которые помогут эффективнее побеждать ИИ-героев при прохождении сценариев.</t>
  </si>
  <si>
    <t xml:space="preserve">     5. Если в вашей армии имеются достаточно сильные стрелки – можно против небыстрой пехоты (или опять-таки ставшей медленной после применения магии) использовать тактику заманивания, когда наш одиночный воин встает недалеко от вражеского отряда (он должен быть на две клетки дальше его хода, если скорость врагов 3 – за 5 клеток, если 4 – за 6 и т.д.) и те бредут к тем, кто ближе. Скорость приманки желательна вдвое выше пехоты. Отменно выполняют эту работу, например, летучие змейки, улучшенные горгульи, и т.д., на худой конец даже хобгоблин может пригодиться. Если скорость одиночки недостаточна – что ж, приходится приносить её в жертву, всяко лучше потерять одного воина, чем добрый десяток.</t>
  </si>
  <si>
    <t xml:space="preserve">     6. При осаде замка полезно своих хилых стрелков поставить в левый (верхний) стек и выделить одиночных стрелков, забив ими правые (нижние) позиции. Очень часто башни на них ведутся. Всегда приятно, если выстрел мощностью 50 урона убивает всего-то одного лучника. </t>
  </si>
  <si>
    <t xml:space="preserve">     Перед началом любой игры всегда важно выбрать начальные настройки карты. От этого будет зависеть и интерес и сложность.</t>
  </si>
  <si>
    <t xml:space="preserve">     Практика показывает, что как правило ИИ-существа атакуют те отряды, которые могут нанести ему немедленный урон или находятся в пределах досягаемости. При прочих равных он атакует стрелков. То есть - когда его летуны/ходоки не достают никого, они стремятся приблизиться, стараясь остаться вне досягаемости моих рукопашников, если их скорость выше. Если до моих рядов достают, то блокируют стрелков в 100% случаев (исключений не припоминаю). Если мои войска ходили раньше компа, или благодаря Тактике кто-то стоит впереди стрелков, и до стрелков на первом ходу не достают - бьют тех, кого достанут. Стрелки почти всегда стреляют по моим стрелкам, если только при этом прямо перед ними не находится отряд, который на следующем ходу их явно заблокирует. Вот при рукопашке на половине противника приоритеты уже неясны. Чаще стреляют по ближним отрядам, но могут и по моим стрелкам запулить.
Отдельная песня - осада города. Там, по крайней мере в SOD, башни строго лупят по стрелковым отрядам, причем начинают почти всегда с более хилых здоровьем, а при одинаковом здоровье - с нижних. На этом комп обычно и ловят, выставляя лучников, эльфов, снайперов и т.п. три отряда по одному существу и теряя на первом ходу всего трех вместо 6-12 воинов. Еще заметными приоритетами башен являются летучие змейки, скелеты, кентавры, феи, и практически любой отряд слабых летунов, выдвинутый под стены (при игре за Оплот очень часто получается победить раньше, чем появятся драконы, основной триадой кентавры-эльфы-пегасы, и вот при такой армии, когда основной ударной силой служат эльфы, Тактика помогает сэкономить потери выдвижением кентавров вперед). Ну и, разумеется, башни переключаются почти на любой отряд, забравшийся внутрь замка (исключение - они отвлекаются почти на любой отряд, в котором можно добить раненое существо). Похоже, что самым большим приоритетом AI в бою является максимальное сокращение моей ударной мощи, причем именно той, которая грозит ему а этом/следующем ходу.</t>
  </si>
  <si>
    <r>
      <rPr>
        <b/>
        <sz val="10"/>
        <rFont val="Arial Cyr"/>
        <charset val="204"/>
      </rPr>
      <t xml:space="preserve">     Подробнее в видео (YouTube): </t>
    </r>
    <r>
      <rPr>
        <u/>
        <sz val="10"/>
        <color indexed="12"/>
        <rFont val="Arial Cyr"/>
        <charset val="204"/>
      </rPr>
      <t>тут</t>
    </r>
  </si>
  <si>
    <t>Нижней горгульей улетаем на 7-ую клетку справа нижнего ряда. В этой точке до неё не достанут ни мертвецы, ни Стражи. Верхней горгульей ждём. Вампиры подлетают. Гремлинами убиваем Скелетов. Стражи подлетают. Мертвецы подходят. Верхней горгульей улетаем влево и чуть вниз.</t>
  </si>
  <si>
    <t>Вампиры убивают левого Скелета. Стражи подлетают. Первым Скелетом встаём в правый нижний угол. Вторым и третьими Скелетами убегаем вверх влево. Используем Магическую стрелу на Стражах (1 убит. Если магии нет, то Скелетов потребуется чуть больше). Ударным стеком Скелетов атакуем Стражей (7 убито. Потери в этом бою зависят от того, сколько Стражей выживет после этой атаки). Мертвецы убивают нижнего Скелета.</t>
  </si>
  <si>
    <r>
      <rPr>
        <b/>
        <sz val="10"/>
        <rFont val="Arial"/>
        <family val="2"/>
        <charset val="204"/>
      </rPr>
      <t xml:space="preserve">     Дальнейшие действия:</t>
    </r>
    <r>
      <rPr>
        <sz val="10"/>
        <rFont val="Arial"/>
        <family val="2"/>
        <charset val="204"/>
      </rPr>
      <t xml:space="preserve"> Дальнейшая тактика - это водить Змием всех врагов вправо-влево, пока Ящеры их отстреливают. В третьем раунде Змием улетаем в правый нижний угол. Все вражеские отряды будут пытаться догнать его. Ящером стреляем по врагам пока не кончатся стрелы (стараемся только с прямой стрелы). Гноллов лучше приблизить к Ящерам. В четвёртом раунде улетаем Змием влево. Важно поставить его на в нижнем ряду, а во втором снизу, чтобы Стражи остались в зоне досягаемости прямой стрелы. И далее водим всю кучу вправо-влево, но отлетаем не на максимум, а так, чтобы враги не доставали.</t>
    </r>
  </si>
  <si>
    <r>
      <rPr>
        <b/>
        <sz val="10"/>
        <rFont val="Arial"/>
        <family val="2"/>
        <charset val="204"/>
      </rPr>
      <t xml:space="preserve">     Дальнейшие действия:</t>
    </r>
    <r>
      <rPr>
        <sz val="10"/>
        <rFont val="Arial"/>
        <family val="2"/>
        <charset val="204"/>
      </rPr>
      <t xml:space="preserve"> Змия уводим в нижний правый угол. Ящерами и Гноллами добиваем Вампиров (если выжили) и Стражей (если выжили). Чуть отводим мертвецов Гноллами влево и убиваем их, по возможности используем ожидание. Победа!</t>
    </r>
  </si>
  <si>
    <t xml:space="preserve">     Если принять зоны за вершины, а связи – связями между зонами, с определенными весами, то получится граф, который полностью определяет топологию карты, генерируемой по конкретному шаблону. Это означает, что при генерации одного и того же шаблона несколько раз, каждый раз будут сохраняться те же зоны, те же связи между ними, наполнение зон будет производиться из тех же диапазонов объектов. Зона никак не привязывается к координатам игровой карты, поэтому при повторной генерации одного шаблона, скорей всего, все зоны будут находится в других местах игровой карты.</t>
  </si>
  <si>
    <t xml:space="preserve">     - Слабые (коэффициент k~0,5)</t>
  </si>
  <si>
    <t xml:space="preserve">     - Средние (коэффициент k=1)</t>
  </si>
  <si>
    <t xml:space="preserve">     - Сильные (коэффициент k~1,5)</t>
  </si>
  <si>
    <t xml:space="preserve">     Почти симметричный шаблон :) Рассчитан на 8 игроков. Много городов и "вкусных" зон. Золотых шахт нет! Зоны 18, 17, 23, 24 по площади примерно в 2 раза меньше остальных.</t>
  </si>
  <si>
    <t xml:space="preserve">     Шаблон рассчитан на 8 игроков. Их зоны населены слабыми монстрами, что означает, что там будет много халявы т.е. кучки одного любого ресурса без охраны и т.п. 64 из 68 проходов слабые, т.е. путешествие по зонам будет быстрым, а следовательно и игра должна не сильно затянуться. Всего одна самая "вкусная" зона, начинка остальных зон похуже, но зоны [9-20] чуть лучше оставшихся. Куча городов - 8 и деревень - 12. </t>
  </si>
  <si>
    <r>
      <t xml:space="preserve">     Приведённые выше шаблоны являются наиболее популярными, однако помимо них существует много других: </t>
    </r>
    <r>
      <rPr>
        <b/>
        <sz val="10"/>
        <rFont val="Arial"/>
        <family val="2"/>
        <charset val="204"/>
      </rPr>
      <t>Panic</t>
    </r>
    <r>
      <rPr>
        <sz val="10"/>
        <rFont val="Arial"/>
        <family val="2"/>
        <charset val="204"/>
      </rPr>
      <t xml:space="preserve">, </t>
    </r>
    <r>
      <rPr>
        <b/>
        <sz val="10"/>
        <rFont val="Arial"/>
        <family val="2"/>
        <charset val="204"/>
      </rPr>
      <t>Balance</t>
    </r>
    <r>
      <rPr>
        <sz val="10"/>
        <rFont val="Arial"/>
        <family val="2"/>
        <charset val="204"/>
      </rPr>
      <t xml:space="preserve">, </t>
    </r>
    <r>
      <rPr>
        <b/>
        <sz val="10"/>
        <rFont val="Arial"/>
        <family val="2"/>
        <charset val="204"/>
      </rPr>
      <t>Spider</t>
    </r>
    <r>
      <rPr>
        <sz val="10"/>
        <rFont val="Arial"/>
        <family val="2"/>
        <charset val="204"/>
      </rPr>
      <t xml:space="preserve">, 8mm6a, 8xm8a, 6lm10a, 8xm12, 8xm12a, </t>
    </r>
    <r>
      <rPr>
        <b/>
        <sz val="10"/>
        <rFont val="Arial"/>
        <family val="2"/>
        <charset val="204"/>
      </rPr>
      <t>Diamond L+U</t>
    </r>
    <r>
      <rPr>
        <sz val="10"/>
        <rFont val="Arial"/>
        <family val="2"/>
        <charset val="204"/>
      </rPr>
      <t xml:space="preserve">, </t>
    </r>
    <r>
      <rPr>
        <b/>
        <sz val="10"/>
        <rFont val="Arial"/>
        <family val="2"/>
        <charset val="204"/>
      </rPr>
      <t>Speed</t>
    </r>
    <r>
      <rPr>
        <sz val="10"/>
        <rFont val="Arial"/>
        <family val="2"/>
        <charset val="204"/>
      </rPr>
      <t>.</t>
    </r>
  </si>
  <si>
    <r>
      <rPr>
        <sz val="10"/>
        <rFont val="Arial Cyr"/>
        <charset val="204"/>
      </rPr>
      <t xml:space="preserve">     Подробную информацию о шаблонах можно почитать на русском форуме heroesportal.net </t>
    </r>
    <r>
      <rPr>
        <b/>
        <u/>
        <sz val="10"/>
        <color indexed="12"/>
        <rFont val="Arial Cyr"/>
        <charset val="204"/>
      </rPr>
      <t>по этой ссылке.</t>
    </r>
  </si>
  <si>
    <t>№</t>
  </si>
  <si>
    <t>Кол-во очков</t>
  </si>
  <si>
    <t>398…500</t>
  </si>
  <si>
    <t>350…352</t>
  </si>
  <si>
    <t>302…304</t>
  </si>
  <si>
    <t>395…397</t>
  </si>
  <si>
    <t>347…349</t>
  </si>
  <si>
    <t>299…301</t>
  </si>
  <si>
    <t>392…394</t>
  </si>
  <si>
    <t>344…346</t>
  </si>
  <si>
    <t>296…298</t>
  </si>
  <si>
    <t>389…391</t>
  </si>
  <si>
    <t>341…343</t>
  </si>
  <si>
    <t>293…295</t>
  </si>
  <si>
    <t>386…388</t>
  </si>
  <si>
    <t>338…340</t>
  </si>
  <si>
    <t>290…292</t>
  </si>
  <si>
    <t>383…385</t>
  </si>
  <si>
    <t>335…337</t>
  </si>
  <si>
    <t>287…289</t>
  </si>
  <si>
    <t>380…382</t>
  </si>
  <si>
    <t>332…334</t>
  </si>
  <si>
    <t>284…286</t>
  </si>
  <si>
    <t>377…379</t>
  </si>
  <si>
    <t>329…331</t>
  </si>
  <si>
    <t>281…283</t>
  </si>
  <si>
    <t>374…376</t>
  </si>
  <si>
    <t>326…328</t>
  </si>
  <si>
    <t>278…280</t>
  </si>
  <si>
    <t>371…373</t>
  </si>
  <si>
    <t>323…325</t>
  </si>
  <si>
    <t>275…277</t>
  </si>
  <si>
    <t>368…370</t>
  </si>
  <si>
    <t>320…322</t>
  </si>
  <si>
    <t>272…274</t>
  </si>
  <si>
    <t>365…367</t>
  </si>
  <si>
    <t>317…319</t>
  </si>
  <si>
    <t>269…271</t>
  </si>
  <si>
    <t>362…364</t>
  </si>
  <si>
    <t>314…316</t>
  </si>
  <si>
    <t>266…268</t>
  </si>
  <si>
    <t>359…361</t>
  </si>
  <si>
    <t>311…313</t>
  </si>
  <si>
    <t>263…265</t>
  </si>
  <si>
    <t>356…358</t>
  </si>
  <si>
    <t>308…310</t>
  </si>
  <si>
    <t>260…262</t>
  </si>
  <si>
    <t>353…355</t>
  </si>
  <si>
    <t>305…307</t>
  </si>
  <si>
    <t>257…259</t>
  </si>
  <si>
    <t>254…256</t>
  </si>
  <si>
    <t>251…253</t>
  </si>
  <si>
    <t>248…250</t>
  </si>
  <si>
    <t>245…247</t>
  </si>
  <si>
    <t>242…244</t>
  </si>
  <si>
    <t>239…241</t>
  </si>
  <si>
    <t>236…238</t>
  </si>
  <si>
    <t>233…235</t>
  </si>
  <si>
    <t>230…232</t>
  </si>
  <si>
    <t>227…229</t>
  </si>
  <si>
    <t>224…226</t>
  </si>
  <si>
    <t>221…223</t>
  </si>
  <si>
    <t>218…220</t>
  </si>
  <si>
    <t>215…217</t>
  </si>
  <si>
    <t>212…214</t>
  </si>
  <si>
    <t>209…211</t>
  </si>
  <si>
    <r>
      <rPr>
        <i/>
        <sz val="8"/>
        <rFont val="Arial"/>
        <family val="2"/>
        <charset val="204"/>
      </rPr>
      <t xml:space="preserve">(Материал </t>
    </r>
    <r>
      <rPr>
        <b/>
        <i/>
        <sz val="8"/>
        <rFont val="Arial"/>
        <family val="2"/>
        <charset val="204"/>
      </rPr>
      <t>Серж Хао,</t>
    </r>
    <r>
      <rPr>
        <i/>
        <sz val="8"/>
        <rFont val="Arial"/>
        <family val="2"/>
        <charset val="204"/>
      </rPr>
      <t xml:space="preserve"> </t>
    </r>
    <r>
      <rPr>
        <i/>
        <u/>
        <sz val="8"/>
        <color rgb="FF0033CC"/>
        <rFont val="Arial"/>
        <family val="2"/>
        <charset val="204"/>
      </rPr>
      <t>vk.com</t>
    </r>
    <r>
      <rPr>
        <i/>
        <sz val="8"/>
        <rFont val="Arial"/>
        <family val="2"/>
        <charset val="204"/>
      </rPr>
      <t>).</t>
    </r>
  </si>
  <si>
    <t>206…208</t>
  </si>
  <si>
    <t>203…205</t>
  </si>
  <si>
    <t>200…202</t>
  </si>
  <si>
    <t>197…199</t>
  </si>
  <si>
    <t>194…196</t>
  </si>
  <si>
    <t>191…193</t>
  </si>
  <si>
    <t>188…190</t>
  </si>
  <si>
    <t>185…187</t>
  </si>
  <si>
    <t>181…184</t>
  </si>
  <si>
    <t>177…180</t>
  </si>
  <si>
    <t>173…176</t>
  </si>
  <si>
    <t>169…172</t>
  </si>
  <si>
    <t>165…168</t>
  </si>
  <si>
    <t>161…164</t>
  </si>
  <si>
    <t>157…160</t>
  </si>
  <si>
    <t>153…156</t>
  </si>
  <si>
    <t>149…152</t>
  </si>
  <si>
    <t>145…148</t>
  </si>
  <si>
    <t>141…144</t>
  </si>
  <si>
    <t>137…140</t>
  </si>
  <si>
    <t>133…136</t>
  </si>
  <si>
    <t>129…132</t>
  </si>
  <si>
    <t>125…128</t>
  </si>
  <si>
    <t>121…124</t>
  </si>
  <si>
    <t>117…120</t>
  </si>
  <si>
    <t>113…116</t>
  </si>
  <si>
    <t>109…112</t>
  </si>
  <si>
    <t>105…108</t>
  </si>
  <si>
    <t>101…104</t>
  </si>
  <si>
    <t>97…100</t>
  </si>
  <si>
    <t>93…96</t>
  </si>
  <si>
    <t>89…92</t>
  </si>
  <si>
    <t>85…88</t>
  </si>
  <si>
    <t>81…84</t>
  </si>
  <si>
    <t>77…80</t>
  </si>
  <si>
    <t>73…76</t>
  </si>
  <si>
    <t>69…72</t>
  </si>
  <si>
    <t>65…68</t>
  </si>
  <si>
    <t>61…64</t>
  </si>
  <si>
    <t>57…60</t>
  </si>
  <si>
    <t>53…56</t>
  </si>
  <si>
    <t>49…52</t>
  </si>
  <si>
    <t>45…48</t>
  </si>
  <si>
    <t>41…44</t>
  </si>
  <si>
    <t>37…40</t>
  </si>
  <si>
    <t>33…36</t>
  </si>
  <si>
    <t>29…32</t>
  </si>
  <si>
    <t>25…28</t>
  </si>
  <si>
    <t>21…24</t>
  </si>
  <si>
    <t>17…20</t>
  </si>
  <si>
    <t>13…16</t>
  </si>
  <si>
    <t>9…12</t>
  </si>
  <si>
    <t>&lt; 5</t>
  </si>
  <si>
    <t xml:space="preserve">     *Реальные боевые качества существ могут не соответствовать рангу этой таблицы.</t>
  </si>
  <si>
    <t xml:space="preserve">     *Нейтральные существа, кроме Золотых и Алмазных големов, и существа Сопряжения, кроме Элементалей воздуха, воды, огня и земли, не входят в таблицу.</t>
  </si>
  <si>
    <t xml:space="preserve">     *Соответствие уровня существа уровню игры – условное, но вполне реальное.</t>
  </si>
  <si>
    <t xml:space="preserve">     *В игре можно получить и отрицательное количество очков за прохождение. Для этого надо пройти карту более, чем за 995 дней на минимальной сложности и не захватить ни одного города.</t>
  </si>
  <si>
    <t xml:space="preserve">     *Если внимательно посмотреть на таблицу рангов, можно заметить, что последовательность существ практически идентична таблице AI Values. Единственное несоответствие - поменянные местами Бес и Гремлин.</t>
  </si>
  <si>
    <t xml:space="preserve">     *Не стоить забывать и о том, что компьютер не очень благосклонен к игроку, использующему чит-коды. Во всяком случае после набора кода на экране появляется надпись о том, что Вы мошенник, а также по факту завершения прохождения карты Ваш результат будет добавлен в таблицу рекордов на последнее место с унизительной записью о том, что Вы мошенник, не зависимо от набранных очков.</t>
  </si>
  <si>
    <r>
      <t xml:space="preserve">     Нажмите</t>
    </r>
    <r>
      <rPr>
        <b/>
        <sz val="9"/>
        <rFont val="Arial"/>
        <family val="2"/>
        <charset val="204"/>
      </rPr>
      <t xml:space="preserve"> "+" </t>
    </r>
    <r>
      <rPr>
        <sz val="9"/>
        <rFont val="Arial"/>
        <family val="2"/>
        <charset val="204"/>
      </rPr>
      <t>слева от листа, чтобы развернуть необходимый раздел. Нажмите</t>
    </r>
    <r>
      <rPr>
        <b/>
        <sz val="9"/>
        <rFont val="Arial"/>
        <family val="2"/>
        <charset val="204"/>
      </rPr>
      <t xml:space="preserve"> "-"</t>
    </r>
    <r>
      <rPr>
        <sz val="9"/>
        <rFont val="Arial"/>
        <family val="2"/>
        <charset val="204"/>
      </rPr>
      <t xml:space="preserve">, чтобы свернуть обратно. Нажмите </t>
    </r>
    <r>
      <rPr>
        <b/>
        <sz val="9"/>
        <rFont val="Arial"/>
        <family val="2"/>
        <charset val="204"/>
      </rPr>
      <t xml:space="preserve">2 </t>
    </r>
    <r>
      <rPr>
        <sz val="9"/>
        <rFont val="Arial"/>
        <family val="2"/>
        <charset val="204"/>
      </rPr>
      <t xml:space="preserve">слева от листа, чтобы развернуть все разделы. Нажмите </t>
    </r>
    <r>
      <rPr>
        <b/>
        <sz val="9"/>
        <rFont val="Arial"/>
        <family val="2"/>
        <charset val="204"/>
      </rPr>
      <t xml:space="preserve">1 </t>
    </r>
    <r>
      <rPr>
        <sz val="9"/>
        <rFont val="Arial"/>
        <family val="2"/>
        <charset val="204"/>
      </rPr>
      <t>, чтобы свернуть все разделы.</t>
    </r>
  </si>
  <si>
    <t xml:space="preserve">     13. В бою запрещается убегать и откупаться (нападающему - раньше третьего хода, защищающемуся раньше второго), если желающий убежать нанёс какое-либо повреждение войскам противника.</t>
  </si>
  <si>
    <t xml:space="preserve">     * добавлены кнопки из опций приключений (посмотреть мир, карта загадка, копать, информация о сценарии, посмотреть ход противника);</t>
  </si>
  <si>
    <t xml:space="preserve">     * добавлены 1+1 кнопки рюкзака, которые вызывают окно рюкзака героя;</t>
  </si>
  <si>
    <t xml:space="preserve">     * клик по иконке (теперь кнопке) замка - быстрый наем всех доступных существ:</t>
  </si>
  <si>
    <t xml:space="preserve">     * клик по иконке с приростом существ (теперь кнопке) - наем данного существа:</t>
  </si>
  <si>
    <t xml:space="preserve">     * Игра поддерживает ввод русских символов;</t>
  </si>
  <si>
    <t xml:space="preserve">     Всего в игре представлено 9 видов городов. Для каждого города существует 2 класса героев, условно разделяющихся на воинов и магов.</t>
  </si>
  <si>
    <t xml:space="preserve">     Каждый класс героев имеет свои начальные параметры и вероятности получения новых навыков.</t>
  </si>
  <si>
    <t xml:space="preserve">     Герои Замка, Оплота и Башни относятся к силам добра. Герои Инферно, Некрополиса и Темницы - к силам зла. Герои Крепости, Цитадели и Сопряжения нейтральны.</t>
  </si>
  <si>
    <t xml:space="preserve">     -При посещении Жертвенного алтаря герои добра могут менять артефакты на опыт, героя зла - существ на опыт, а нейтральные герои могут менять и то и другое.</t>
  </si>
  <si>
    <t xml:space="preserve">     -В битве на Святой земле существа добра получают +1 к боевому духу, а существа зла - -1 к боевому духу. В битве на Дьявольском тумане существа зла получают +1 к боевому духу, а существа добра - -1 к боевому духу. В битве на Клеверном поле нейтральные существа получают +2 к удаче.</t>
  </si>
  <si>
    <t xml:space="preserve">     -Альянс ангелов позволяет смешивать армию из существ добра, а также существ Крепости и Цитадели, без снижения Боевого духа.</t>
  </si>
  <si>
    <t>&gt;&gt; Калькулятор расчёта урона.</t>
  </si>
  <si>
    <t>&gt;&gt; Калькулятор количества очков за игру</t>
  </si>
  <si>
    <t>Скрывает армию героя от противников. Вместо этого они видят будто армия состоит из отрядов наиболее сильных существ героя. Количество существ в отрядах не меняется.</t>
  </si>
  <si>
    <r>
      <rPr>
        <sz val="10"/>
        <rFont val="Arial Cyr"/>
        <charset val="204"/>
      </rPr>
      <t xml:space="preserve">Подробнее о влиянии силы магии героя на эффект заклинаний см.в </t>
    </r>
    <r>
      <rPr>
        <b/>
        <u/>
        <sz val="10"/>
        <color indexed="12"/>
        <rFont val="Arial Cyr"/>
        <charset val="204"/>
      </rPr>
      <t>разделе 2.1</t>
    </r>
    <r>
      <rPr>
        <b/>
        <sz val="10"/>
        <rFont val="Arial Cyr"/>
        <charset val="204"/>
      </rPr>
      <t>.</t>
    </r>
  </si>
  <si>
    <t>Контроль над катапультой. Увеличены шансы попасть по цели (подробнее см.в разделе 5.7). Исключены промахи. 50% шанс двойного урона.</t>
  </si>
  <si>
    <t>Контроль над катапультой. Увеличены шансы попасть по цели (подробнее см.в разделе 5.7). Исключены промахи. Двойной выстрел. Двойной урон.</t>
  </si>
  <si>
    <t>Позволяет нанимать героев за 2500 золота, узнавать слухи и посетить Гильдию воров для того, чтобы узнать основную информацию о противнике.</t>
  </si>
  <si>
    <t>8.13</t>
  </si>
  <si>
    <t xml:space="preserve">     Возрождение Эрафии - оригинальная версия игры Герои Меча и Магии III. Данный справочник посвящён игре со всеми изменениями и дополнениями аддонов Клинок Армагеддона и Дыхание Смерти, однако, как оказалось, в оригинальную версию любят сыграть довольно много игроков - в основном ради перепрохождения кампаний. А ведь она имеет несколько существенных отличий от более поздних версий. В этом разделе мы начнём собирать информацию об отличиях Возрождения Эрафии от Дыхания Смерти.</t>
  </si>
  <si>
    <t>РАЗЛИЧИЯ ПАРАМЕТРОВ СУЩЕСТВ</t>
  </si>
  <si>
    <t>Версия</t>
  </si>
  <si>
    <t>RoE</t>
  </si>
  <si>
    <t>SoD</t>
  </si>
  <si>
    <t>РАЗЛИЧИЯ ВЕРОЯТНОСТЕЙ ПОЛУЧЕНИЯ ПЕРВИЧНЫХ НАВЫКОВ ГЕРОЯМИ</t>
  </si>
  <si>
    <t>© Copyright FizMiG, 2006-2016</t>
  </si>
  <si>
    <r>
      <t xml:space="preserve">     Рассмотрим пример:</t>
    </r>
    <r>
      <rPr>
        <sz val="10"/>
        <color indexed="8"/>
        <rFont val="Arial"/>
        <family val="2"/>
        <charset val="204"/>
      </rPr>
      <t xml:space="preserve">
Друид 88 уровня с первичными навыками - 15/19/27/28.
Процентная вероятность выпадения первичных навыков составляет 20%/20%/30%/30%.
При повышении уровня до 3732 разница равна 3644, поэтому первичные навыки увеличатся на 728/728/1094/1094 или, после вычисления остатков, на 216/216/70/70 и будут равны 0/0/97/98.</t>
    </r>
  </si>
  <si>
    <t>ВСЕ СУЩЕСТВА В ПОРЯДКЕ УВЕЛИЧЕНИЯ РЕЙТИНГА</t>
  </si>
  <si>
    <r>
      <t>а</t>
    </r>
    <r>
      <rPr>
        <b/>
        <sz val="10"/>
        <rFont val="Arial"/>
        <family val="2"/>
        <charset val="204"/>
      </rPr>
      <t xml:space="preserve"> тут</t>
    </r>
    <r>
      <rPr>
        <sz val="10"/>
        <rFont val="Arial"/>
        <family val="2"/>
        <charset val="204"/>
      </rPr>
      <t xml:space="preserve"> будет</t>
    </r>
    <r>
      <rPr>
        <b/>
        <sz val="10"/>
        <rFont val="Arial"/>
        <family val="2"/>
        <charset val="204"/>
      </rPr>
      <t xml:space="preserve"> результат </t>
    </r>
    <r>
      <rPr>
        <sz val="10"/>
        <rFont val="Arial"/>
        <family val="2"/>
        <charset val="204"/>
      </rPr>
      <t>▲</t>
    </r>
  </si>
  <si>
    <t xml:space="preserve">     Помимо перечисленного в Возрождении Эрафии, в отличии от более поздних версий:</t>
  </si>
  <si>
    <t xml:space="preserve">     4) Герои не имеют слота артефактов "Разное 5".</t>
  </si>
  <si>
    <t xml:space="preserve">     5) На карте приключений не работает горячая клавиша "пробел", для повторного посещения объектов.</t>
  </si>
  <si>
    <t xml:space="preserve">     6) Отсутствует герой Сэр Мюллих. Вместо него в Замке доступен Лорд Хаарт (рыцарь).</t>
  </si>
  <si>
    <t xml:space="preserve">     7) Отсутствуют артефакты: Клинок Армагеддона, Пузырёк с кровью дракона.</t>
  </si>
  <si>
    <t xml:space="preserve">     9) Если в городе построено улучшенное жилище существа, то нанимать неулучшенных существ нельзя.</t>
  </si>
  <si>
    <t xml:space="preserve">     10) Нет возможности оставлять охрану на шахтах ресурсов.</t>
  </si>
  <si>
    <t xml:space="preserve">     11) Городской ров не наносит урон, кроме мин Башни (у них урон считается по другой формуле).</t>
  </si>
  <si>
    <t xml:space="preserve">     2) Отсутствует Сопряжение, а следовательно и существа: Маленькие феи, Феи, Штормовые элементали, Ледяные элементали, Энергетические элементали, Магмовые элементали, Психические элементали, Магические элементали, Огненные птицы и Фениксы. Также отсутствуют все элементы Сопряжения, включая героев, кампании, объекты на карте приключений.</t>
  </si>
  <si>
    <t xml:space="preserve">     13) Отсутствует Генератор Случайных Карт (ГСК).</t>
  </si>
  <si>
    <t xml:space="preserve">     1) Отсутствуют сборные артефакты.</t>
  </si>
  <si>
    <t xml:space="preserve">     14) Навык Чародейства (Некромантии) поднимает всего 1/3 Скелетов-воинов, если в армии нет Скелетов и нет свободных слотов.</t>
  </si>
  <si>
    <t xml:space="preserve">     15) Некоторые артефакты на карте приключений можно было подобрать только победив "внезапную" охрану (например, 15 Церберов), заплатив "внезапному" стражнику (2000-3000 золота + 0-5 древесины) или необходимо иметь какой-либо навык (Мудрость, Лидерство).</t>
  </si>
  <si>
    <t xml:space="preserve">     16) В Пирамиде можно получить Бешенство, хоть оно и является заклинанием 4 уровня.</t>
  </si>
  <si>
    <t>С</t>
  </si>
  <si>
    <t>В течение СМ раундов все вражеские существа 1-4 уровня имеют 10% шанс пропустить ход.</t>
  </si>
  <si>
    <t>То же, но существа 1-6 уровня.</t>
  </si>
  <si>
    <t>То же, но существа 1-7 уровня.</t>
  </si>
  <si>
    <t xml:space="preserve">     3) Отсутствуют нейтральные существа: Крестьяне, Хоббиты, Воры, Наездники на кабанах, Мумии, Кочевники, Снайперы, Тролли, Чародеи, Сказочные драконы, Ржавые драконы, Кристаллические драконы и Лазурные драконы. Также отсутствуют их жилища на карте приключений.</t>
  </si>
  <si>
    <t xml:space="preserve">     8) На карте приключений отсутствуют: Пограничные ворота, Стражи прохода, Накладные ландшафты, включая Попутный ветер (есть только Проклятая земля и Магические равнины одного размера, однако Проклятая земля не даёт использовать магию и 1 уровня), Порталы (есть только по 3 вида одно- и двусторонних), некоторые декоративные объекты и вариации объектов на разных почвах.</t>
  </si>
  <si>
    <t xml:space="preserve">     18) Отсутствуют многие возможности Редактора карт.</t>
  </si>
  <si>
    <t xml:space="preserve">     12) Отсутствует возможность управления Стрелковыми башнями при обороне города (с навыком Артиллерии).</t>
  </si>
  <si>
    <t>Отличия версии Возрождение Эрафии (RoE).</t>
  </si>
  <si>
    <r>
      <rPr>
        <b/>
        <sz val="9"/>
        <rFont val="Arial"/>
        <family val="2"/>
        <charset val="204"/>
      </rPr>
      <t>Внимание!</t>
    </r>
    <r>
      <rPr>
        <sz val="9"/>
        <rFont val="Arial"/>
        <family val="2"/>
        <charset val="204"/>
      </rPr>
      <t xml:space="preserve"> Данное заклинание можно было встретить лишь в ранних версиях Возрождения Эрафии и лишь в Пирамидах (в Пирамидах можно было получать некоторые заклинания 4 уровня). По сути это заклинание разработчики вырезали из финальной версии, но про Пирамиды забыли. Описание эффекта в зависимости от уровня Магии земли предположительное, основанное на имеющейся информации из ресурсов игры. При попытке использовать это заклинание не происходило никакого эффекта (баг).</t>
    </r>
  </si>
  <si>
    <t>Скелеты, Гноллы - 12; Копейщики, Кентавры, Троглодиты - 14; Бесы, Гоблины, Хоббиты - 15; Гремлины - 16; Маленькие феи - 20; Крестьяне - 25.</t>
  </si>
  <si>
    <t>7.12</t>
  </si>
  <si>
    <t>7.13.1</t>
  </si>
  <si>
    <t>7.13.2</t>
  </si>
  <si>
    <t>7.13.3</t>
  </si>
  <si>
    <t>Герой может изучать заклинания 1, 2 и 3 уровня.</t>
  </si>
  <si>
    <r>
      <t xml:space="preserve">Это интересно! </t>
    </r>
    <r>
      <rPr>
        <sz val="9"/>
        <rFont val="Arial"/>
        <family val="2"/>
        <charset val="204"/>
      </rPr>
      <t>Гномы, Боевые гномы и Кристаллические драконы обладают врождённым сопротивлением магии, которое составляет 20%, 40% и 20% соответственно. При наличие навыка Сопротивление, эти проценты возрастают: Базовое - 25%, 45% и 25%; Продвинутое - 30%, 50% и 30%; Экспертное - 35%, 55% и 35%.</t>
    </r>
  </si>
  <si>
    <r>
      <rPr>
        <b/>
        <sz val="9"/>
        <rFont val="Arial"/>
        <family val="2"/>
        <charset val="204"/>
      </rPr>
      <t>Внимание!</t>
    </r>
    <r>
      <rPr>
        <sz val="9"/>
        <rFont val="Arial"/>
        <family val="2"/>
        <charset val="204"/>
      </rPr>
      <t xml:space="preserve">                                                                                                                                                                                               -Если в армии героя нет Скелетов или Скелетов-воинов, а также нет свободного места, то Чародейство не работает.
-Если в армии героя нет Скелетов, но есть Скелеты-воины и нет свободного места, то герой будет воскрешать 2/3 * N% убитых существ в виде Скелетов-воинов, где N - 10%, 20% или 30% в зависимости от уровня развития Чародейства.                                                                                                                           -Если в армии есть Склеты и Скелеты-воины, то добавляться будут только Скелеты.</t>
    </r>
  </si>
  <si>
    <t xml:space="preserve">     Разделение на силы добра, зла и нейтралов условно, и находит применение лишь в трёх случаях:</t>
  </si>
  <si>
    <r>
      <t xml:space="preserve">Внимание! </t>
    </r>
    <r>
      <rPr>
        <sz val="9"/>
        <rFont val="Arial"/>
        <family val="2"/>
        <charset val="204"/>
      </rPr>
      <t xml:space="preserve">Если убрать Стену огня при помощи Снятия заклинаний или Устранения преград, то после того, как закончилась бы длительность действия этой Стены огня, произойдёт аварийное завершение игры </t>
    </r>
    <r>
      <rPr>
        <i/>
        <sz val="9"/>
        <rFont val="Arial"/>
        <family val="2"/>
        <charset val="204"/>
      </rPr>
      <t xml:space="preserve">(Добавил </t>
    </r>
    <r>
      <rPr>
        <b/>
        <i/>
        <sz val="9"/>
        <rFont val="Arial"/>
        <family val="2"/>
        <charset val="204"/>
      </rPr>
      <t>Сергей Хаустов</t>
    </r>
    <r>
      <rPr>
        <i/>
        <sz val="9"/>
        <rFont val="Arial"/>
        <family val="2"/>
        <charset val="204"/>
      </rPr>
      <t xml:space="preserve">, </t>
    </r>
    <r>
      <rPr>
        <i/>
        <u/>
        <sz val="9"/>
        <color rgb="FF0033CC"/>
        <rFont val="Arial"/>
        <family val="2"/>
        <charset val="204"/>
      </rPr>
      <t>vk.com</t>
    </r>
    <r>
      <rPr>
        <i/>
        <sz val="9"/>
        <rFont val="Arial"/>
        <family val="2"/>
        <charset val="204"/>
      </rPr>
      <t xml:space="preserve">).                                                                                                           </t>
    </r>
    <r>
      <rPr>
        <b/>
        <sz val="9"/>
        <rFont val="Arial"/>
        <family val="2"/>
        <charset val="204"/>
      </rPr>
      <t xml:space="preserve">Внимание! </t>
    </r>
    <r>
      <rPr>
        <sz val="9"/>
        <rFont val="Arial"/>
        <family val="2"/>
        <charset val="204"/>
      </rPr>
      <t>Двухклеточные существа получают один урон при прохождении через огонь, а если они встанут одновременно на 2 огня, то получат двойной. Также нейтралы прекрасно видят Стену огня и легко её обходят, если есть такая возможность. Иногда нейтралы могут сменить приоритетную цель атаки, если к первой цели мешает подойти Стена огня.</t>
    </r>
  </si>
  <si>
    <t>Цель, во время своего очередного хода, 1 раз автоматически атакует ближайшее к ней существо или боевую машину.</t>
  </si>
  <si>
    <r>
      <rPr>
        <sz val="10"/>
        <rFont val="Arial Cyr"/>
        <charset val="204"/>
      </rPr>
      <t>Нанесенный цели урон не может быть больше, чем запас её здоровья.
Урон Огненного щита рассчитывается от расчётного урона атакующего, независимо от модификаторов защиты цели. Например, фактический урон атакующего может быть незначительным, если цель имеет хороший показатель защиты, но ответный урон от Огненного щита цели при этом будет вестись от расчётного урона атакующего.                                             Подробнее см.</t>
    </r>
    <r>
      <rPr>
        <b/>
        <u/>
        <sz val="10"/>
        <color indexed="12"/>
        <rFont val="Arial Cyr"/>
        <charset val="204"/>
      </rPr>
      <t>раздел 2.6</t>
    </r>
    <r>
      <rPr>
        <sz val="10"/>
        <rFont val="Arial Cyr"/>
        <charset val="204"/>
      </rPr>
      <t xml:space="preserve"> &gt;&gt;</t>
    </r>
  </si>
  <si>
    <r>
      <t xml:space="preserve">При попадании в песок он становится видим для игрока. Если игрок видит Зыбучий песок, то его существа при движении будут всегда составлять маршрут так, чтобы обойти его. При осаде города ИИ оценивает зыбучие пески так же, как и ров (даже если рва у города нет): если ИИ считает, что ров нанесёт отряду слишком сильный урон, он также испугается становиться и на Зыбучий песок </t>
    </r>
    <r>
      <rPr>
        <i/>
        <sz val="9"/>
        <rFont val="Arial"/>
        <family val="2"/>
        <charset val="204"/>
      </rPr>
      <t xml:space="preserve">(Основано на информации </t>
    </r>
    <r>
      <rPr>
        <b/>
        <i/>
        <sz val="9"/>
        <rFont val="Arial"/>
        <family val="2"/>
        <charset val="204"/>
      </rPr>
      <t>Sav</t>
    </r>
    <r>
      <rPr>
        <i/>
        <sz val="9"/>
        <rFont val="Arial"/>
        <family val="2"/>
        <charset val="204"/>
      </rPr>
      <t xml:space="preserve">, </t>
    </r>
    <r>
      <rPr>
        <i/>
        <u/>
        <sz val="9"/>
        <color rgb="FF0033CC"/>
        <rFont val="Arial"/>
        <family val="2"/>
        <charset val="204"/>
      </rPr>
      <t>forum.df2.ru</t>
    </r>
    <r>
      <rPr>
        <i/>
        <sz val="9"/>
        <rFont val="Arial"/>
        <family val="2"/>
        <charset val="204"/>
      </rPr>
      <t>)</t>
    </r>
    <r>
      <rPr>
        <sz val="9"/>
        <rFont val="Arial"/>
        <family val="2"/>
        <charset val="204"/>
      </rPr>
      <t>.</t>
    </r>
  </si>
  <si>
    <t>То же, но можно использовать 4 раза в день. Отнимает 200 очков движения (МР).</t>
  </si>
  <si>
    <r>
      <t xml:space="preserve">     Заклинания - неотъемлемый и один из самых главных элементов игры. Для интересной и эффективной игры всегда важно понимать, какой эффект произведёт то или иное заклинание, и поможет ли оно победить. Однако на заклинания влияет множество факторов: сила магии героя, его уровень, специализация и уровни развития соответствующей школы и Волшебства. Именно для того, чтобы учесть все эти факторы, был создан этот калькулятор. Он поможет представить эффект заклинания при заданных параметрах. Выбор данных происходит посредством списков из синих ячеек. В зелёных ячейках отображаются данные, основанные на выбранных параметрах, а в оранжевом поле выводится итоговый эффект заклинания. </t>
    </r>
    <r>
      <rPr>
        <b/>
        <sz val="10"/>
        <rFont val="Arial"/>
        <family val="2"/>
        <charset val="204"/>
      </rPr>
      <t>Не забудьте отказаться от сохранения при закрытии файла!</t>
    </r>
  </si>
  <si>
    <t>1) Двухклеточные существа получают один урон при прохождении через огонь, а если они встанут одновременно на 2 огня, то получат двойной. Также нейтралы прекрасно видят Стену огня и легко обходят, если есть такая возможность. Иногда нейтралы могут сменить приоритетную цель атаки, если к первой цели мешает подойти Стена огня. 2) Если убрать Стену огня при помощи Снятия заклинаний или Устранения преград, то после того, как закончилась бы длительность действия этой Стены огня, произойдёт аварийное завершение игры.</t>
  </si>
  <si>
    <t>Урон от Огненного щита наносится до ответного удара (если есть). % урона берётся после расчёта всех бонусов к атаке, но до расчёта всех штрафов. Т.е. рассчитывается от расчетного урона атакующего, независимо от модификаторов защиты цели. Например, фактический урон атакующего может быть незначительным, если цель имеет хороший показатель защиты, но ответный урон от Огненного щита цели при этом будет вестись от расчетного урона атакующего.</t>
  </si>
  <si>
    <t>При попадании существа в песок, он становится видимым. Пески видны только колдующему игроку и существам на родной земле. Существа игрока, который видит пески, обходят их при движении. При осаде города ИИ оценивает Зыбучие пески так же, как и ров (даже если рва у города нет): если ИИ считает, что ров нанесёт отряду слишком сильный урон, он также испугается становиться и на Зыбучий песок.</t>
  </si>
  <si>
    <r>
      <rPr>
        <b/>
        <sz val="10"/>
        <rFont val="Arial"/>
        <family val="2"/>
        <charset val="204"/>
      </rPr>
      <t xml:space="preserve">     Внимание!</t>
    </r>
    <r>
      <rPr>
        <sz val="10"/>
        <rFont val="Arial"/>
        <family val="2"/>
        <charset val="204"/>
      </rPr>
      <t xml:space="preserve"> Вероятности, указанные в таблице, измеряются в %. Указанные значения справедливы для каждого слота заклинаний в Гильдии магов. Так, например, для заклинаний 1 уровня сначала вычисляется вероятность для первого слота. Если определённое заклинание там не выпадает, то вычисляется вероятность для второго слота и так далее.</t>
    </r>
  </si>
  <si>
    <t xml:space="preserve">     Одним из наиболее эффективных в тактическом смысле заклинаний среди доступных герою во время боя является заклинание Клон. При достаточном запасе маны, герой имеет возможность практически удвоить ударную силу своей армии при относительно невысоких затратах маны, которую, в отличие от потерянной армии, без проблем можно восполнить к следующей битве. Однако, для эффективного использования этого заклинания требуется доскональное знание особенностей его функционирования и взаимодействия с другими заклинаниями.</t>
  </si>
  <si>
    <t>- Клон наследует все магические способности существа. Единственное исключение: у Клона Султана-ифрита не действует Огненный щит, так как фактически нанесенный Клону урон составляет нулевую величину - фактически Клон не имеет запаса здоровья (однако он отображается, как 1), следовательно, урон Огненного щита также отсутствует;</t>
  </si>
  <si>
    <t xml:space="preserve">     Известно, что существа под Берсерком иногда ведут себя достаточно странно, а именно: пропускают ход, когда могут атаковать. Это связано с тем, что любой отряд, находящийся под действием заклинания Берсерк, может атаковать только правую (для нападающей стороны) / левую (для защищающейся) клетку двухклеточных отрядов. На скриншоте, выделенный Чемпион, находящийся под Берсерком, сможет атаковать как Кавалериста, так и Чемпиона противника (расстояния до обоих существ равны). Цель выбирается случайно. Так вот, если будет выбран Чемпион, то атака будет произведена (правая клетка Чемпиона доступна для атаки). Если же ИИ выберет Кавалериста, то наш Чемпион просто пропустит ход, т.к. правая клетка Кавалериста, в данном случае, недоступна для атаки (Чемпиону не хватает скорости). Стоит убрать нашего второго Чемпиона, как пропуски ходов исчезнут (с вероятностью 50% Кавалерист противника будет атакован да ещё и с приличным бонусом к урону).</t>
  </si>
  <si>
    <t xml:space="preserve">     Урон от Огненного щита считается и производится одинаково для существа, на которое наложено соответствующее заклинание и для Султанов-ифритов. Если на Султанов-ифритов наложено заклинание Огненный щит (например, через Медаль уязвимости), то берётся модификатор - процент от урона, соответствующий заклинанию (20%, 25% или 30%, в зависимости от уровня развития Магии огня), иначе - всегда 20%.</t>
  </si>
  <si>
    <t xml:space="preserve">     После взятия нужного процента от урона, он обрабатывается функцией, которая модифицирует урон от магии. То есть, на урон от Огненного щита далее влияют:</t>
  </si>
  <si>
    <t>Элементаль, Окружающий удар, Слабый удар по существам с защитой от магии разума (-50%)</t>
  </si>
  <si>
    <t>Элементаль, Окружающий удар, Защита от магии, Слабый удар по существам с защитой от магии (-50%)</t>
  </si>
  <si>
    <t>Нежить. Безответность - цель атаки не отвечает на удар. Вампиризм - после удара здоровье вампира восстанавливается в соотношении 1 нанесённый урон = 1 здоровью. Погибшие вампиры могут воскреснуть. Действует только на живых.</t>
  </si>
  <si>
    <t>&gt;&gt; Подробнее о Смертельном взгляде</t>
  </si>
  <si>
    <t>10% шанс Смертельного взгляда (при ударе) - мгновенно убивает существ в целевом отряде. Не действует на существ Некрополиса, Мумий, горгулий и големов. Количество существ, которое может быть убито Смертельным взглядом зависит от количества Могучих горгон в атакующем отряде и может быть случайным в диапазоне от 1 до N/10 (округление вверх), где N – количество Могучих горгон.</t>
  </si>
  <si>
    <r>
      <t>Цель не может перемещаться, пока дендроид жив и находится на месте удара. Продолжительность эффекта этой способности не бесконечна. Если его не снять, предположительно 1024 хода — оно перестанет действовать.</t>
    </r>
    <r>
      <rPr>
        <i/>
        <sz val="9"/>
        <rFont val="Arial"/>
        <family val="2"/>
        <charset val="204"/>
      </rPr>
      <t xml:space="preserve"> (Добавил </t>
    </r>
    <r>
      <rPr>
        <b/>
        <i/>
        <sz val="9"/>
        <rFont val="Arial"/>
        <family val="2"/>
        <charset val="204"/>
      </rPr>
      <t>Лорд Хаарт</t>
    </r>
    <r>
      <rPr>
        <i/>
        <sz val="9"/>
        <rFont val="Arial"/>
        <family val="2"/>
        <charset val="204"/>
      </rPr>
      <t xml:space="preserve">, </t>
    </r>
    <r>
      <rPr>
        <i/>
        <u/>
        <sz val="9"/>
        <color rgb="FF0033CC"/>
        <rFont val="Arial"/>
        <family val="2"/>
        <charset val="204"/>
      </rPr>
      <t>forum.df2.ru</t>
    </r>
    <r>
      <rPr>
        <i/>
        <sz val="9"/>
        <rFont val="Arial"/>
        <family val="2"/>
        <charset val="204"/>
      </rPr>
      <t>)</t>
    </r>
  </si>
  <si>
    <t>Магическая способность 2 уровня Магии воздуха. Можно использовать только 3 раза вместо очередного хода.</t>
  </si>
  <si>
    <t>Магическая способность 1 уровня Магии воды. Можно использовать только 3 раза вместо очередного хода.</t>
  </si>
  <si>
    <t>Магическая способность 1 уровня Магии огня. Можно использовать только 3 раза вместо очередного хода. Не действует на существ с врождённой защитой от огня.</t>
  </si>
  <si>
    <r>
      <t xml:space="preserve">Магическая способность. Автоматически используется всеми Чародеями перед ходом первого из них каждые 3 раунда, начиная с первого. 
</t>
    </r>
    <r>
      <rPr>
        <b/>
        <sz val="8"/>
        <rFont val="Arial"/>
        <family val="2"/>
        <charset val="204"/>
      </rPr>
      <t>(1)</t>
    </r>
    <r>
      <rPr>
        <sz val="8"/>
        <rFont val="Arial"/>
        <family val="2"/>
        <charset val="204"/>
      </rPr>
      <t xml:space="preserve"> Колдует только если есть раненые существа.
</t>
    </r>
    <r>
      <rPr>
        <b/>
        <sz val="8"/>
        <rFont val="Arial"/>
        <family val="2"/>
        <charset val="204"/>
      </rPr>
      <t>(2)</t>
    </r>
    <r>
      <rPr>
        <sz val="8"/>
        <rFont val="Arial"/>
        <family val="2"/>
        <charset val="204"/>
      </rPr>
      <t xml:space="preserve"> Колдует только если есть вражеские стрелки, способные стрелять, т.е. имеющие запас выстрелов и не ослеплённые, окаменённые и не парализованные.
</t>
    </r>
    <r>
      <rPr>
        <b/>
        <sz val="8"/>
        <rFont val="Arial"/>
        <family val="2"/>
        <charset val="204"/>
      </rPr>
      <t>(3)</t>
    </r>
    <r>
      <rPr>
        <sz val="8"/>
        <rFont val="Arial"/>
        <family val="2"/>
        <charset val="204"/>
      </rPr>
      <t xml:space="preserve"> Колдует только если целевой отряд сейчас не может стрелять (заблокированный стрелок тоже считается) </t>
    </r>
    <r>
      <rPr>
        <i/>
        <sz val="8"/>
        <rFont val="Arial"/>
        <family val="2"/>
        <charset val="204"/>
      </rPr>
      <t xml:space="preserve">(Информация </t>
    </r>
    <r>
      <rPr>
        <b/>
        <i/>
        <sz val="8"/>
        <rFont val="Arial"/>
        <family val="2"/>
        <charset val="204"/>
      </rPr>
      <t>Sav</t>
    </r>
    <r>
      <rPr>
        <i/>
        <sz val="8"/>
        <rFont val="Arial"/>
        <family val="2"/>
        <charset val="204"/>
      </rPr>
      <t>,</t>
    </r>
    <r>
      <rPr>
        <i/>
        <u/>
        <sz val="8"/>
        <color rgb="FF0033CC"/>
        <rFont val="Arial"/>
        <family val="2"/>
        <charset val="204"/>
      </rPr>
      <t xml:space="preserve"> forum.df2.ru</t>
    </r>
    <r>
      <rPr>
        <i/>
        <sz val="8"/>
        <rFont val="Arial"/>
        <family val="2"/>
        <charset val="204"/>
      </rPr>
      <t>)</t>
    </r>
    <r>
      <rPr>
        <sz val="8"/>
        <rFont val="Arial"/>
        <family val="2"/>
        <charset val="204"/>
      </rPr>
      <t>.</t>
    </r>
  </si>
  <si>
    <t>- наличие/отсутствие у героя Книги магии;</t>
  </si>
  <si>
    <t>- наличие у героя достаточного количества маны;</t>
  </si>
  <si>
    <t>- знание героем того или иного заклинания;</t>
  </si>
  <si>
    <t>- уровень развития вторичных навыков героя.</t>
  </si>
  <si>
    <t>- ландшафт, на котором происходит бой;</t>
  </si>
  <si>
    <t>- наличие у любого из героев во время битвы артефактов, ограничивающих уровень применяемой магии;</t>
  </si>
  <si>
    <t>- бой в антимагическом гарнизоне.</t>
  </si>
  <si>
    <r>
      <rPr>
        <b/>
        <sz val="10"/>
        <rFont val="Arial"/>
        <family val="2"/>
        <charset val="204"/>
      </rPr>
      <t xml:space="preserve">     Пример 2: </t>
    </r>
    <r>
      <rPr>
        <sz val="10"/>
        <rFont val="Arial"/>
        <family val="2"/>
        <charset val="204"/>
      </rPr>
      <t>Количество Гремлинов в уничтоженном отряде равнялось 100. Общее суммарное здоровье отряда было 100*4 = 400 единиц. В армии имеется 25 Адских отродий в одном отряде. Герой имеет среди артефактов Эликсир жизни.</t>
    </r>
  </si>
  <si>
    <r>
      <t xml:space="preserve">     Пример: </t>
    </r>
    <r>
      <rPr>
        <sz val="10"/>
        <rFont val="Arial"/>
        <family val="2"/>
        <charset val="204"/>
      </rPr>
      <t>Количество Гремлинов в уничтоженном отряде равнялось 100. Общее суммарное здоровье отряда было 100*4 = 400 единиц. В армии имеется 25 Адских отродий в одном отряде</t>
    </r>
    <r>
      <rPr>
        <sz val="10"/>
        <color indexed="62"/>
        <rFont val="Arial"/>
        <family val="2"/>
        <charset val="204"/>
      </rPr>
      <t>.</t>
    </r>
  </si>
  <si>
    <t xml:space="preserve">     Тем не менее, иногда выгодно делить горгон на отряды. К примеру, у вас есть 2 горгоны. Вместе они обладают шансом 19% на то, чтобы убить 1 существо противника. Кажется, что если их разделить, то шансы не изменятся. Всё те же 19% на успех. Однако, это не совсем так. На самом деле, шанс уничтожить 1 существо будет равняться 18% и еще 1% на то чтобы уничтожить 2 существа. Вместе у горгон нет шанса уничтожить сразу два существа, а по отдельности - есть.</t>
  </si>
  <si>
    <t>Ноги легиона, Поясница легиона, Туловище легиона, Руки легиона и Голова легиона повышают прирост существ 2…6 уровня на 1…5 единиц. Герой с артефактами должен быть в городе на конец седьмого дня недели. Две одинаковые части легиона у одного героя не суммируют свои эффекты, т.е. действует только одна. Однако если одна из одинаковых частей легиона находится у героя-гостя, а другая у гарнизонного героя, то действовать будут обе.</t>
  </si>
  <si>
    <t>В англоязычной версии игры существуют термины, которые классифицируют существ по признаку "живой/не живой" (Alive/Undead).</t>
  </si>
  <si>
    <t>Не отвечают на атаки вражеских существ. Параметры зависят от навыков героя. Защита от Ускорения, Медлительности, Проклятия, Благословления, Палача (кроме Баллисты), Удачи (кроме Баллисты), Слепоты, Волны смерти, Гипноза, Забывчивости, Печали, Радости, Клона, Телепорта, Контрудара, Берсерка, Бешенства, Жертвы, Воскрешения, Взрыва, Уничтожения нежити, Оживления мертвецов, Болезни, Облака смерти, Старости, Паралича, Окаменения, Поднятия демонов, Смертельного взгляда, Яда, Вампиризма и Страха.</t>
  </si>
  <si>
    <t xml:space="preserve">     С вероятностью 40% к количеству отрядов, полученному по таблице, добавится или отнимется 1. Понятно, что количество отрядов не может быть больше 7. Один отряд может появиться только из 2-х отрядов с вычетом 1 с вероятностью 20%.</t>
  </si>
  <si>
    <r>
      <t xml:space="preserve">     Внимание!</t>
    </r>
    <r>
      <rPr>
        <sz val="10"/>
        <rFont val="Arial Cyr"/>
        <charset val="204"/>
      </rPr>
      <t xml:space="preserve"> При проведении offline турниров на игровых ресурсах данный прием уничтожения нейтралов (multidefeat), как правило является запрещенным.</t>
    </r>
  </si>
  <si>
    <t>Если существо идёт вниз-влево, то оно старается сначала идти по диагонали, остаток по горизонтали. Если существо идёт вверх-влево, то оно идёт сперва по прямой, остаток по диагонали и т.д.                                                                                                      На рисунке слева, выделены приоритетные направления.</t>
  </si>
  <si>
    <t>Т.е. дракон будет разворачиваться только в том случае, если он не может произвести ни основную ни дополнительную атаки.</t>
  </si>
  <si>
    <r>
      <rPr>
        <b/>
        <sz val="10"/>
        <rFont val="Arial Cyr"/>
        <charset val="204"/>
      </rPr>
      <t xml:space="preserve">     3.</t>
    </r>
    <r>
      <rPr>
        <sz val="10"/>
        <rFont val="Arial Cyr"/>
        <charset val="204"/>
      </rPr>
      <t>Отдельное место занимает существо первого уровня из Инферно - его появление возможно только лишь в случае установки Грааля в замке Инферно (Бог Огня). Причем, не имеет значение кто из игроков возведет это строение - действие распространяется на всех участников игры (в том числе и на компьютерных игроков). После возведения Бога Огня никакие другие существа в игре не появляются - каждый месяц в будущем становится "Месяцем Беса". В качестве бонуса для этого, стоящего особняком существа (тринадцатый по списку, что несколько символично) в игре предложено не удвоение невыкупленного количества, а увеличение прироста на 15 существ (как простых, так и улучшенных). Причем, помимо "Месяца Беса" все "Недели существ" отныне становятся "Неделей Беса" (дополнительный прирост также составляет 15 существ в неделю).</t>
    </r>
  </si>
  <si>
    <t xml:space="preserve">     Торговец артефактами предлагает героям ассортимент из 7 случайных артефактов (3 Сокровища, 3 Второстепенных и 1 Основной) по особой цене - в 5 раз выше базовой стоимости. Ассортимент торговцев одинаковый для всех игроков и всех городов. Т.е. если один из игроков первым отстроит Торговца артефактами и купит у него 2 артефакта, то остальные игроки, отстроив Торговца позже, обнаружат в его ассортименте 2 пустых слота. Однако ассортимент обновляется в начале каждого месяца. Хотя все же замечено, что наборы артефактов каким-то образом стандартизированы, и многократные перегрузки игры приводят к нескольким немногочисленным вариантам раскладки артефактов - по всей видимости, комбинации генерируются в начале игры. Кроме того, у Торговцев можно продать все свои артефакты, кроме слота Разное 5, который не отображается при продаже.</t>
  </si>
  <si>
    <r>
      <rPr>
        <b/>
        <sz val="10"/>
        <rFont val="Arial"/>
        <family val="2"/>
        <charset val="204"/>
      </rPr>
      <t xml:space="preserve">     Это интересно!</t>
    </r>
    <r>
      <rPr>
        <sz val="10"/>
        <rFont val="Arial"/>
        <family val="2"/>
        <charset val="204"/>
      </rPr>
      <t xml:space="preserve"> В игре существует такое понятие, как "Дерево Навыков" - например, если герой получает новый уровень, то ему предлагается на выбор 2 вторичных навыка. Если выбрав один из них снова повысить уровень героя, то предложат ещё 2 вторичных навыка и т.д. Если заново загрузить сохранение и начать улучшать вторичные навыки в той же последовательности, что и в первом случае, то все окна выбора будут идентичны тем, что были в первый раз! Т.о. можно нарисовать "Дерево Навыков". Например, "если на втором уровне выберу Логистику, то на следующем предложат выбрать Стрельбу или Нападение...". Рисование такого дерева полезно, когда нужно, например, обзавестись Экспертом Магии Земли за минимальное количество уровней.</t>
    </r>
  </si>
  <si>
    <r>
      <rPr>
        <b/>
        <sz val="10"/>
        <rFont val="Arial"/>
        <family val="2"/>
        <charset val="204"/>
      </rPr>
      <t xml:space="preserve">     Внимание!</t>
    </r>
    <r>
      <rPr>
        <sz val="10"/>
        <rFont val="Arial"/>
        <family val="2"/>
        <charset val="204"/>
      </rPr>
      <t xml:space="preserve"> На Учёного не распространяются классовые возможности изучения определённых вторичных навыков, т.е. герой любого класса может получить любой вторичный навык. Например, кто угодно может получить Чародейство, Ведьмы могут получить Сопротивление, Варвары - Магию воды, Боевые маги - Навигацию и т.д.</t>
    </r>
  </si>
  <si>
    <t xml:space="preserve">     Охрана в жилищах существ 5-7 уровней появляется также на 1 день новой недели. Т.е. если кто-то захватил такое жилище, победив охрану, то Ваш герой может перезахватить это жилище без боя до конца недели.</t>
  </si>
  <si>
    <t xml:space="preserve">     Таким образом, на седьмой день игрок может сохраниться, закончить ход, посмотреть, какие существа появились в Лагере беженцев, и, если не нравится - загрузить сохранение.</t>
  </si>
  <si>
    <r>
      <t xml:space="preserve">Это интересно: </t>
    </r>
    <r>
      <rPr>
        <sz val="10"/>
        <rFont val="Arial"/>
        <family val="2"/>
        <charset val="204"/>
      </rPr>
      <t>Если герой перебил охрану, но и ни одно из его существ не выжило (например, вследствие применения Армагеддона или Цепной молнии), то награду он не получит. Следующему вошедшему в такую сокровищницу герою остается только согласиться на бой, имея хотя бы одно существо в армии и, автоматически победив, получить награду.</t>
    </r>
  </si>
  <si>
    <t>&gt;&gt; Подробнее о Рынках и Торговцах артефактами.</t>
  </si>
  <si>
    <t>ТОРГОВЦЫ АРТЕФАКТАМИ и РЫНОК.</t>
  </si>
  <si>
    <t>На первый день недели приносит 10% золота от его запаса на конец седьмого дня недели. Округление вниз.</t>
  </si>
  <si>
    <t>Количество полученного опыта зависит от класса жертвуемого артефакта и того, имеет ли герой навык Обучение. Если у героя имеется навык Обучение, то количество полученного опыта увеличивается на 5% за каждый уровень навыка (105% от базового значения при Базовом Обучении, 110% - при Продвинутом и 115% - при Экспертном уровне).</t>
  </si>
  <si>
    <r>
      <t>Нейтрализует удачу, боевой дух и бонусы родной земли всех существ во время боя. Запрещает использование в бою любых заклинаний выше 1 уровня. Блокирует действие некоторых способностей существ (</t>
    </r>
    <r>
      <rPr>
        <b/>
        <u/>
        <sz val="10"/>
        <color rgb="FF0033CC"/>
        <rFont val="Arial Cyr"/>
        <charset val="204"/>
      </rPr>
      <t>&gt;&gt;подробнее см.раздел 3.2.3</t>
    </r>
    <r>
      <rPr>
        <sz val="10"/>
        <rFont val="Arial Cyr"/>
        <charset val="204"/>
      </rPr>
      <t>).</t>
    </r>
  </si>
  <si>
    <t>Восполняет запас маны героя до двойного значения от его максимума. Можно посещать только 1 раз в неделю только одним героем. Однако Магический ручей имеет 2 независимых друг от друга точки (слева и справа этого объекта), посетив которые герой может пополнить ману. Т.е. по сути один источник работает как два. При генерации случайной карты Магический ручей может появиться только на Камнях.</t>
  </si>
  <si>
    <t xml:space="preserve">     При посещении Монолита выхода ничего не происходит. Он предназначен для перемещения к нему героев, вошедших в соответствующий Монолит входа. Виды Монолитов выхода приведены на картинке справа (2 и 4 столбцы).</t>
  </si>
  <si>
    <t>- "Водный" - открывает всю территорию воды на поверхности и под землёй.</t>
  </si>
  <si>
    <t xml:space="preserve">     Пограничные ворота обладают аналогичным Стражу границы свойствами. Отличие состоит в том, что они занимают на карте 3 клетки и могут перекрыть собой более широкий проход. К тому же Пограничные ворота не исчезают после получения ключа, а остаются на карте, пропуская открывших их героев и блокируя путь противникам.</t>
  </si>
  <si>
    <t xml:space="preserve">     Этот объект использован в версии WoG, где он позволяет герою за 2000 золота забыть один из его вторичных навыков.</t>
  </si>
  <si>
    <t>Имеет 6 независимых точек посещения.</t>
  </si>
  <si>
    <r>
      <t xml:space="preserve">     * </t>
    </r>
    <r>
      <rPr>
        <sz val="10"/>
        <color indexed="8"/>
        <rFont val="Arial"/>
        <family val="2"/>
        <charset val="204"/>
      </rPr>
      <t>Следует помнить, что все указанные выше ландшафты являются накладными и их особенностью является то, что они проявляют свои свойства только во время боя на территории, укрытой этим ландшафтом, но никоим образом не влияют на логистику перемещения героя по карте, т.е., например, если под Магическими полями лежит пустыня (не видимая на карте), значит будут действовать стандартные штрафы на перемещение по пустыне. Если дорога, значит Ваш герой будет иметь бонус логистики.</t>
    </r>
  </si>
  <si>
    <r>
      <rPr>
        <i/>
        <sz val="9"/>
        <rFont val="Arial"/>
        <family val="2"/>
        <charset val="204"/>
      </rPr>
      <t>Состоит из Блэкшарда мёртвого рыцаря, Щита тоскующих мертвецов, Шлема-черепа и Доспехов из рёбер.</t>
    </r>
    <r>
      <rPr>
        <sz val="10"/>
        <rFont val="Arial"/>
        <family val="2"/>
        <charset val="204"/>
      </rPr>
      <t xml:space="preserve">                                                     Атака и Защита героя +3. Сила магии и Знание героя +2. Перед первым за бой ходом на вражеских существ автоматически колдуются Экспертные Медлительность, Проклятие, Слабость и Неудача (работают на Проклятой земле, в гарнизоне Антимагии и со Сферой запрещения).</t>
    </r>
  </si>
  <si>
    <r>
      <rPr>
        <i/>
        <sz val="9"/>
        <rFont val="Arial"/>
        <family val="2"/>
        <charset val="204"/>
      </rPr>
      <t>Состоит из Лука из вишнёвого дерева эльфов, Тетивы из волоса гривы единорога и Стрел из ангельских перьев.</t>
    </r>
    <r>
      <rPr>
        <sz val="10"/>
        <rFont val="Arial"/>
        <family val="2"/>
        <charset val="204"/>
      </rPr>
      <t xml:space="preserve">                                                           Усиливает навык Стрельбы, если он есть у героя, на 30%. Стрелки в армии героя не имеют штрафа за расстояние, при стрельбе через стены и в ближнем бою. Т.е. стрелки продолжают стрелять будучи "перекрытыми" вражескими существами.</t>
    </r>
  </si>
  <si>
    <r>
      <t xml:space="preserve">** В колонке </t>
    </r>
    <r>
      <rPr>
        <b/>
        <sz val="10"/>
        <rFont val="Arial"/>
        <family val="2"/>
        <charset val="204"/>
      </rPr>
      <t>Слот</t>
    </r>
    <r>
      <rPr>
        <sz val="10"/>
        <rFont val="Arial"/>
        <family val="2"/>
        <charset val="204"/>
      </rPr>
      <t xml:space="preserve"> приведены условные названия ячеек на "кукле" героя, которые занимает тот или иной артефакт. У героя имеется 2 слота Кольцо и 5 слотов Разное. При получении артефакта-кольца, игрок может поместить его в любой из слотов Кольцо. Аналогично и с артефактами типа Разное. Боевые машины и Книга магии имеют каждая свой индивидуальный слот. Любой артефакт, кроме боевых машин и Книги магии, может быть помещен в рюкзак, где он хранится, но не используется. Грааль может находиться только в рюкзаке. Сборные артефакты занимают несколько слотов, при этом сам артефакт находится только в одном, а остальные слоты закрыты для других артефактов. В таблице закрытые слоты обозначены как "под замком".</t>
    </r>
  </si>
  <si>
    <t xml:space="preserve">     Сюда относятся все артефакты дающие бонус к первичным или вторичным навыкам, к боевому духу или удаче, к скорости или здоровью существ, к длительности, силе заклинаний, разрешающие или запрещающие колдовать магию.</t>
  </si>
  <si>
    <r>
      <t>Плащ отречения</t>
    </r>
    <r>
      <rPr>
        <sz val="10"/>
        <color indexed="8"/>
        <rFont val="Arial"/>
        <family val="2"/>
        <charset val="204"/>
      </rPr>
      <t xml:space="preserve"> и </t>
    </r>
    <r>
      <rPr>
        <b/>
        <sz val="10"/>
        <color indexed="8"/>
        <rFont val="Arial"/>
        <family val="2"/>
        <charset val="204"/>
      </rPr>
      <t>Сфера запрещения</t>
    </r>
    <r>
      <rPr>
        <sz val="10"/>
        <color indexed="8"/>
        <rFont val="Arial"/>
        <family val="2"/>
        <charset val="204"/>
      </rPr>
      <t xml:space="preserve"> очень полезны не прокаченным по магической части героям или в битве против сильного мага. С Плащом ваш герой также сможет использовать только заклинания 1 и 2 уровня.</t>
    </r>
  </si>
  <si>
    <r>
      <t>Ноги легиона</t>
    </r>
    <r>
      <rPr>
        <sz val="10"/>
        <color indexed="8"/>
        <rFont val="Arial"/>
        <family val="2"/>
        <charset val="204"/>
      </rPr>
      <t xml:space="preserve">, </t>
    </r>
    <r>
      <rPr>
        <b/>
        <sz val="10"/>
        <color indexed="8"/>
        <rFont val="Arial"/>
        <family val="2"/>
        <charset val="204"/>
      </rPr>
      <t>Поясница легиона</t>
    </r>
    <r>
      <rPr>
        <sz val="10"/>
        <color indexed="8"/>
        <rFont val="Arial"/>
        <family val="2"/>
        <charset val="204"/>
      </rPr>
      <t>,</t>
    </r>
    <r>
      <rPr>
        <b/>
        <sz val="10"/>
        <color indexed="8"/>
        <rFont val="Arial"/>
        <family val="2"/>
        <charset val="204"/>
      </rPr>
      <t xml:space="preserve"> Туловище легиона</t>
    </r>
    <r>
      <rPr>
        <sz val="10"/>
        <color indexed="8"/>
        <rFont val="Arial"/>
        <family val="2"/>
        <charset val="204"/>
      </rPr>
      <t>,</t>
    </r>
    <r>
      <rPr>
        <b/>
        <sz val="10"/>
        <color indexed="8"/>
        <rFont val="Arial"/>
        <family val="2"/>
        <charset val="204"/>
      </rPr>
      <t xml:space="preserve"> Руки легиона</t>
    </r>
    <r>
      <rPr>
        <sz val="10"/>
        <color indexed="8"/>
        <rFont val="Arial"/>
        <family val="2"/>
        <charset val="204"/>
      </rPr>
      <t>,</t>
    </r>
    <r>
      <rPr>
        <b/>
        <sz val="10"/>
        <color indexed="8"/>
        <rFont val="Arial"/>
        <family val="2"/>
        <charset val="204"/>
      </rPr>
      <t xml:space="preserve"> Голова легиона</t>
    </r>
    <r>
      <rPr>
        <sz val="10"/>
        <color indexed="8"/>
        <rFont val="Arial"/>
        <family val="2"/>
        <charset val="204"/>
      </rPr>
      <t xml:space="preserve"> и </t>
    </r>
    <r>
      <rPr>
        <b/>
        <sz val="10"/>
        <color indexed="8"/>
        <rFont val="Arial"/>
        <family val="2"/>
        <charset val="204"/>
      </rPr>
      <t>Статуя легиона</t>
    </r>
    <r>
      <rPr>
        <sz val="10"/>
        <color indexed="8"/>
        <rFont val="Arial"/>
        <family val="2"/>
        <charset val="204"/>
      </rPr>
      <t xml:space="preserve"> пригодятся только в конце 7-го дня, и к началу 1-го уже дадут дополнительный прирост, если герой находится в городе. Помимо прироста от своих составляющих, Статуя легиона также даёт бонус прироста в 50% даже если не находится в городе. Одинаковые части легиона у одного героя в городе не суммируют свои эффекты, т.е. действует только одна. Но если одинаковые части легиона находятся у разных героев в городе (герой-гость и герой в городе), то действовать будут обе.</t>
    </r>
  </si>
  <si>
    <t xml:space="preserve">     Для того, чтобы выкопать Грааль необходимо встать любым героем точно над тем местом, где Грааль закопан. В день, когда герой прибыл на место выкопать Грааль он не может, для этого нужен полный запас хода. После раскопок Вы получите сообщение о том, что Грааль успешно выкопан. Сам же он появится в рюкзаке героя, который вел раскопки. Однако, для этого в рюкзаке должно быть хотя бы одно свободное место.</t>
  </si>
  <si>
    <r>
      <t xml:space="preserve">     Внимание! </t>
    </r>
    <r>
      <rPr>
        <sz val="10"/>
        <color indexed="8"/>
        <rFont val="Arial"/>
        <family val="2"/>
        <charset val="204"/>
      </rPr>
      <t>Если герой, имеющий выкопанный Грааль в рюкзаке, проиграет бой или сбежит, то Грааль у него не сохранится при повторном найме в Таверне, и пропадёт.</t>
    </r>
  </si>
  <si>
    <r>
      <rPr>
        <sz val="10"/>
        <rFont val="Arial Cyr"/>
        <charset val="204"/>
      </rPr>
      <t xml:space="preserve">     Баллиста не участвует при защите города. Вместо этого навык Артиллерии позволяет игроку управлять огнём Стрелковых башен (</t>
    </r>
    <r>
      <rPr>
        <b/>
        <u/>
        <sz val="10"/>
        <color rgb="FF0033CC"/>
        <rFont val="Arial Cyr"/>
        <charset val="204"/>
      </rPr>
      <t>&gt;&gt;подробнее см.в разделе 7.4.1</t>
    </r>
    <r>
      <rPr>
        <sz val="10"/>
        <rFont val="Arial Cyr"/>
        <charset val="204"/>
      </rPr>
      <t>).</t>
    </r>
  </si>
  <si>
    <r>
      <rPr>
        <sz val="10"/>
        <rFont val="Arial Cyr"/>
        <charset val="204"/>
      </rPr>
      <t>AI_Value - ценность типа существа (</t>
    </r>
    <r>
      <rPr>
        <b/>
        <u/>
        <sz val="10"/>
        <color rgb="FF0033CC"/>
        <rFont val="Arial Cyr"/>
        <charset val="204"/>
      </rPr>
      <t>&gt;&gt;см.раздел 3.10</t>
    </r>
    <r>
      <rPr>
        <sz val="10"/>
        <rFont val="Arial Cyr"/>
        <charset val="204"/>
      </rPr>
      <t>).</t>
    </r>
  </si>
  <si>
    <t>*Если базовое кол-во &lt;12, то итоговое = 2 * ((Базовое + 1) / 2).</t>
  </si>
  <si>
    <t xml:space="preserve">     Как известно, в игре есть ряд существ, не подверженным действию тех или иных заклинаний или типов магии. Эти существа, а также их свойства, хорошо известны, хотя некоторые нюансы постигаются лишь эмпирическим путём, так как в руководстве к игре и в официальной информации от NWC указано далеко не всё. Но это полбеды. Настоящая путаница начинается, когда на сцене появляется артефакт Медаль уязвимости, которая, как сказано в описании: "снимает естественный иммунитет всех существ на поле боя". Вот это определение полностью вводит пользователя в заблуждение.</t>
  </si>
  <si>
    <r>
      <t xml:space="preserve">     Во-первых, начнем с того, что Медаль действует неодинаково для её обладателя и противника: обладатель может насылать ранее не работавшие заклинания как на свои, так и на чужие войска. Противник также получает возможность насылать ранее не работавшие заклинания, но только на отряды владельца Медали. </t>
    </r>
    <r>
      <rPr>
        <b/>
        <sz val="10"/>
        <rFont val="Arial Cyr"/>
        <charset val="204"/>
      </rPr>
      <t>Пример:</t>
    </r>
    <r>
      <rPr>
        <sz val="10"/>
        <rFont val="Arial Cyr"/>
        <charset val="204"/>
      </rPr>
      <t xml:space="preserve"> красный имеет Медаль и нападает на синего. Синий сможет колдовать Слепоту на Титанов противника, но не может Воскресить (Благословить и т.д.) своих Чёрных драконов. Этот же принцип распространяется и на заклинания, насылаемые на свои войска существами (Архангел, Джинн, Чародей и т.д.) - только у носителя они начинают работать там, где не работали.</t>
    </r>
  </si>
  <si>
    <t xml:space="preserve">     В описании от NWC такого даже и близко не упоминается. А вообще это довольно странно: ведь, к примеру, Плащ отречения и Сфера запрещения действуют одинаково на обе стороны - о чём так и написано. Правда, по аналогии действует, скажем, Шар постоянства: Снятие заклинаний не действует только на существ владельца.</t>
  </si>
  <si>
    <r>
      <t>4. Логистика.</t>
    </r>
    <r>
      <rPr>
        <sz val="10"/>
        <rFont val="Arial"/>
        <family val="2"/>
        <charset val="204"/>
      </rPr>
      <t xml:space="preserve"> Этот вторичный навык оказывает постоянное влияние на базовый запас хода, увеличивая скорость героя, определенную скоростью самого медленного существа на 10%, 20% или 30%, соответственно своему уровню развития, т.е. если герой ночевал с существом со скоростью 11, то для Экспертной Логистики </t>
    </r>
    <r>
      <rPr>
        <b/>
        <sz val="10"/>
        <rFont val="Arial"/>
        <family val="2"/>
        <charset val="204"/>
      </rPr>
      <t xml:space="preserve">М </t>
    </r>
    <r>
      <rPr>
        <sz val="10"/>
        <rFont val="Arial"/>
        <family val="2"/>
        <charset val="204"/>
      </rPr>
      <t xml:space="preserve">= 2000 * 1,3 = 2600 МР. Посещение Оазиса даст </t>
    </r>
    <r>
      <rPr>
        <b/>
        <sz val="10"/>
        <rFont val="Arial"/>
        <family val="2"/>
        <charset val="204"/>
      </rPr>
      <t xml:space="preserve">М </t>
    </r>
    <r>
      <rPr>
        <sz val="10"/>
        <rFont val="Arial"/>
        <family val="2"/>
        <charset val="204"/>
      </rPr>
      <t xml:space="preserve">= 2600 + 800 = 3400 МР, однако, после открытия окна героя - </t>
    </r>
    <r>
      <rPr>
        <b/>
        <sz val="10"/>
        <rFont val="Arial"/>
        <family val="2"/>
        <charset val="204"/>
      </rPr>
      <t>M</t>
    </r>
    <r>
      <rPr>
        <sz val="10"/>
        <rFont val="Arial"/>
        <family val="2"/>
        <charset val="204"/>
      </rPr>
      <t xml:space="preserve"> освободится от бонуса Оазиса и станет равным 2600 МР. Бонус Логистики не обнуляется и останется неизменным (для расчетных целей).</t>
    </r>
  </si>
  <si>
    <r>
      <t xml:space="preserve">     В итоге получаем возможное количество существ, которые будут призваны после боя из каждого отряда (</t>
    </r>
    <r>
      <rPr>
        <b/>
        <sz val="10"/>
        <rFont val="Arial"/>
        <family val="2"/>
        <charset val="204"/>
      </rPr>
      <t>N1</t>
    </r>
    <r>
      <rPr>
        <sz val="10"/>
        <rFont val="Arial"/>
        <family val="2"/>
        <charset val="204"/>
      </rPr>
      <t>).</t>
    </r>
  </si>
  <si>
    <t>Восполняет ману и удваивает её сверх максимума. 1 раз в неделю только 1 герою.</t>
  </si>
  <si>
    <r>
      <rPr>
        <sz val="10"/>
        <rFont val="Arial Cyr"/>
        <charset val="204"/>
      </rPr>
      <t>Позволяет продавать существ из армии героя за ресурсы (</t>
    </r>
    <r>
      <rPr>
        <b/>
        <u/>
        <sz val="10"/>
        <color rgb="FF0033CC"/>
        <rFont val="Arial Cyr"/>
        <charset val="204"/>
      </rPr>
      <t>&gt;&gt;см.раздел 4.5</t>
    </r>
    <r>
      <rPr>
        <sz val="10"/>
        <rFont val="Arial Cyr"/>
        <charset val="204"/>
      </rPr>
      <t>).</t>
    </r>
  </si>
  <si>
    <t>Темница душ             (Грааль)</t>
  </si>
  <si>
    <t xml:space="preserve">     Гильдия воров - очень полезный игровой элемент. Каждый город получает доступ к Гильдии воров при постройке Таверны. Информация о противниках, показывающаяся в Гильдии воров, зависит от количества Таверн во всех городах игрока.</t>
  </si>
  <si>
    <r>
      <t xml:space="preserve">     Старт.</t>
    </r>
    <r>
      <rPr>
        <sz val="10"/>
        <rFont val="Arial"/>
        <family val="2"/>
        <charset val="204"/>
      </rPr>
      <t xml:space="preserve"> Если производится выбор героя и бонуса перед началом игры, стоит заранее решить, опираться первую пару недель на Арбалетчиков или Кавалеристов. Для стрелкового варианта лучше выбрать Валеску, которая приводит с собой десяток-два Арбалетчиков и обеспечивает им прирост скорости, бонусом лучше взять золото или артефакт. Для варианта кавалерийского предпочтительнее Турис (Tyris), которая помимо повышения скорости (что в случае Кавалеристов означает ещё и увеличение наносимого урона) сразу обладает Тактикой, что позволяет расставить конников наиболее выгодным образом, бонусом выгоднее выбрать ресурсы.
Универсальным героем для обеих тактик является Сэр Мюллих. Для опоры на Дипломатию нужна Адель. </t>
    </r>
  </si>
  <si>
    <t xml:space="preserve">     Наги и Королевские наги - невероятно сильные и "здоровые" существа. Огромный урон, вместе с хорошей атакой и безответностью наносит очень обидный для противника ущерб. Однако, чтобы применить эту силу нужно хорошо постараться. Во-первых скорость наг очень низка, а во-вторых они занимают 2 клетки, что снижает их манёвренность. Полезно брать Фафнера (+1 к скорости наг), использовать Ускорение, Телепорт, Молитву. Наги могут надолго стать основным ударным отрядом Башни при их появлении в армии. Многие битвы могут пройти и без участия других воинов армии.</t>
  </si>
  <si>
    <t xml:space="preserve">     Троглодиты - очень средние воины 1 уровня. Неплохи в нападении, но со слабой защитой и скоростью. Способность пригождается очень редко. Самое полезное - это наем Шакти, который приводит с собой кучу троглодитов и усиливает их, повышая атаку, защиту и скорость. В поздней игре троглодиты и вовсе теряют свою полезность, разве что их не скопится огромный отряд.</t>
  </si>
  <si>
    <t xml:space="preserve">     Орки - очень дешёвые и слабые существа 3 уровня. Имеют минимальный урон, самую слабую защиту, низкое здоровье и самую медленную скорость на уровне.</t>
  </si>
  <si>
    <t xml:space="preserve">     В целом эти элементали имеют невысокие боевые характеристики, однако безответный окружающий удар даёт им неоспоримый плюс. Они очень полезны в крупных тесных сражениях и, в отличие от гидр, занимают 1 гекс, что позволяет им лучше применять способность. Психических элементалей не эффективно брать в битвы против Башни, Некрополиса или Сопряжения. Лучше как можно быстрее их улучшить, чтобы избавиться от Слабого удара по целой куче существ. Защита от магии у Магических элементалей очень полезна против героев-магов и существ с магическими способностями.</t>
  </si>
  <si>
    <t xml:space="preserve">     Очень полезное существо в армии любого героя. Воры достаточно сильны и способны нанести хороший первый удар, главное предоставить им этот шанс. Жаль, что они крайне слабы в защите и очень быстро умирают. Однако основная ценность в армии героя заключается в их способности информировать игрока о составе и численности вражеских армий (радиус действия ограничен), и о намерениях нейтралов сбежать, сдаться или вступить в бой. Даже 1 Вор в армии даёт эту возможность. Однако на поздних стадиях игры для Воров в армии просто не достаточно места, а скопить большое их количество, способное заменить какой-нибудь родной отряд, очень сложно.</t>
  </si>
  <si>
    <t xml:space="preserve">     По параметрам Кристаллические драконы гораздо лучше Ржавых, но на деле они менее полезны и реже встречаются в армии. Во-первых, они стоят на 50% дороже по золоту. Во-вторых, их скорость на 1 ниже, а здоровье всего на 50 выше. В-третьих, они не умеют летать и не обладают Дыханием дракона. В связи с последним пунктом тактика их применения гораздо ограниченнее, а преимущество в нападении снижается. Доход кристаллов практически бесполезен (1 дракон окупится лишь через месяц). Но есть сопротивление магии, как у Гномов, что делает их неприятными нейтралами на карте.</t>
  </si>
  <si>
    <t xml:space="preserve">     Запас хода героя рассчитывается в начале игрового дня. Т.е., если герой начал день с Архангелами и Сапогами скорости, а потом отдал их другому герою и взял вместо них Гномов, на запасе хода это никак не отразится. За исключением случая, когда существует штраф местности, когда для существ в армии героя местность является не "родной" - т.е., если у героя в начале дня на болоте были Капитаны кентавров, для которых болото - чужая местность, то в начале дня можно уволить/передать кентавров и тем самым избавиться от штрафа на местности. Максимальный запас хода героя может составлять примерно 715500 единиц (выяснено экспериментальным путём со Шляпой адмирала), однако чит-код даёт 1 000 000 единиц.</t>
  </si>
  <si>
    <t xml:space="preserve">     Один шаг по горизонтали (вертикали) по непересечённой местности (трава, земля и т.д.) стоит 100 очков движения (MP), по диагонали - 141 очков (MP) (исключение: последний шаг, если у героя есть не менее 100 очков движения (MP), он сможет пойти и по диагонали - см.пункт 2.3 ниже). Округление вниз. Т.е. и герой с одним Кентавром, и герой с одной Феей смогут за день сделать 17 горизонтальных шагов по траве. Кстати, в мануале так и написано, и создаётся впечатление, что нет разницы между 3-й и 4-й скоростью, 6-й и 7-й, 9-й и 10-й. Но это не так! Если, скажем, герой должен начать с диагонального шага, то после него у героя с Кентавром (SCS=6) останется 1550 очков движения (MP), а у героя с Феей - 1610, т.е.в дальнейшем на один горизонтальный шаг больше. Также эта разница может проявиться при движении по пересечённой местности или, наоборот, по дороге.</t>
  </si>
  <si>
    <r>
      <t xml:space="preserve">     Примечание:</t>
    </r>
    <r>
      <rPr>
        <sz val="10"/>
        <rFont val="Arial"/>
        <family val="2"/>
        <charset val="204"/>
      </rPr>
      <t xml:space="preserve"> В случае, когда герой преодолевает границу между двумя типами ландшафта с различными по величине штрафами на перемещение, в расчете очков движения (MP) первого шага применяется штраф той клетки, с которой герой начинает его. Т.е., если герой движется с камней на болото и делает 5 ходов, то первый шаг имеет штраф передвижения по камням, и четыре шага - штраф болота. Это правило не распространяется на шаг с дороги на "бездорожье". В этом случает первый шаг сразу считается со штрафом.</t>
    </r>
  </si>
  <si>
    <t>- герой находится под действием заклинания Полет (однако это заклинание имеет свою собственную систему штрафов - см. пункт 2.4 ниже);</t>
  </si>
  <si>
    <t xml:space="preserve">     В бою на родственном для существ ландшафте герои видят все эффекты вражеских заклинаний, которые невидимы (Минное поле и Зыбучие пески); скорость существ в бою увеличивается на 1, причём, это относится именно к существам в армии героя, но не имеет значение класс героя, который управляет ими. Т.е., Хозяин зверей не увеличит скорость своим существам на болоте, если они будут не из Крепости. Примечательным также является тот факт, что при осаде города родной землей является не местность на которой город расположен, а тип самого города. Т.е., при осаде Оплота, стоящего на болоте, бонус будут иметь существа Оплота, а не существа Крепости.</t>
  </si>
  <si>
    <r>
      <t xml:space="preserve">     Ниже представлены коэффициенты, показывающие как различная степень развития вторичных навыков Логистика и Поиск пути изменяют длину хода героя на различных типах ландшафта. За единицу принят базовый ход героя при отсутствии у него этих вторичных навыков на местности, не имеющей штрафа. Т.е., </t>
    </r>
    <r>
      <rPr>
        <b/>
        <sz val="10"/>
        <rFont val="Arial"/>
        <family val="2"/>
        <charset val="204"/>
      </rPr>
      <t>указано сравнительное количество хода, которое останется у героя при определенном сочетании всех значимых условий</t>
    </r>
    <r>
      <rPr>
        <sz val="10"/>
        <rFont val="Arial"/>
        <family val="2"/>
        <charset val="204"/>
      </rPr>
      <t>.</t>
    </r>
  </si>
  <si>
    <r>
      <t xml:space="preserve">     * Важно понимать, что эффект штрафа пересечённой местности </t>
    </r>
    <r>
      <rPr>
        <b/>
        <sz val="10"/>
        <rFont val="Arial"/>
        <family val="2"/>
        <charset val="204"/>
      </rPr>
      <t>влияет</t>
    </r>
    <r>
      <rPr>
        <sz val="10"/>
        <rFont val="Arial"/>
        <family val="2"/>
        <charset val="204"/>
      </rPr>
      <t xml:space="preserve"> на запас хода и </t>
    </r>
    <r>
      <rPr>
        <b/>
        <sz val="10"/>
        <rFont val="Arial"/>
        <family val="2"/>
        <charset val="204"/>
      </rPr>
      <t>пересчитывает его в течение дня</t>
    </r>
    <r>
      <rPr>
        <sz val="10"/>
        <rFont val="Arial"/>
        <family val="2"/>
        <charset val="204"/>
      </rPr>
      <t>. Т.е., если на болоте никто из ваших существ не имеет штрафа местности, но в течение хода к Вам присоединится нейтральная армия НЕ болотных существ, остаток Вашего хода уменьшится сразу же, потому как включается действие штрафа местности. Однако, можно проявить хитрость - и оставить этих существ охранять ближайшую шахту, а забрать на обратном пути. Тут уж Вам решать, что важнее - скорость или мощь армии. Напомню, что в пустыне можно полностью избежать штрафа местности, если взять в армию хотя бы одного Кочевника. Также можно избежать штрафа местности, если у Вас в армии помимо существ, для которых данная местность является родной, имеются нейтралы (Снайпер, Мумия, Сказочный Дракон, Чародей и пр.). Они, естественно, несут штраф, так как являются чужеродными существами для данной местности. Однако, если поставить нейтрала левее всех остальных существ в окне героя (на поле боя нейтралы будут выше всех), то в этом случае можно избежать штрафа. Это недокументированная фишка в игре, но она действует во всех случаях, причем, компьютер также её может применить.</t>
    </r>
  </si>
  <si>
    <r>
      <t xml:space="preserve">     11. Стрелковые башни, часто, в первую очередь начинают атаку по стреляющим существам нападающего, тем самым наносят очень неприятный урон. Если в армии имеются незадействованные слоты, то можно применить одну уловку, позволяющую если не избежать, то по крайней мере существенно снизить потери в стрелковых частях. Для этого необходимо выставить до начала сражения в крайние справа слоты (на поле боя они будут нижними) всего по одному стрелку. В первом раунде боя потеряем только 3 существа, в силу того, что стрелковые башни начинают атаку стрелков снизу вверх </t>
    </r>
    <r>
      <rPr>
        <i/>
        <sz val="10"/>
        <rFont val="Arial Cyr"/>
        <charset val="204"/>
      </rPr>
      <t xml:space="preserve">(Предоставил </t>
    </r>
    <r>
      <rPr>
        <b/>
        <i/>
        <sz val="10"/>
        <rFont val="Arial Cyr"/>
        <charset val="204"/>
      </rPr>
      <t>Racot</t>
    </r>
    <r>
      <rPr>
        <i/>
        <sz val="10"/>
        <rFont val="Arial Cyr"/>
        <charset val="204"/>
      </rPr>
      <t>)</t>
    </r>
    <r>
      <rPr>
        <sz val="10"/>
        <rFont val="Arial Cyr"/>
        <charset val="204"/>
      </rPr>
      <t xml:space="preserve">. Также сохранить стрелковые отряды помогает выдвижение вперёд (предположительно на дистанцию менее 10 клеток от центральной Стрелковой башни) крупного пехотного отряда существ 1 уровня, например Кентавров. Также отвлечение срабатывает при выдвижении летающих отрядов </t>
    </r>
    <r>
      <rPr>
        <i/>
        <sz val="10"/>
        <rFont val="Arial Cyr"/>
        <charset val="204"/>
      </rPr>
      <t xml:space="preserve">(Предоставил </t>
    </r>
    <r>
      <rPr>
        <b/>
        <i/>
        <sz val="10"/>
        <rFont val="Arial Cyr"/>
        <charset val="204"/>
      </rPr>
      <t>ThatOne</t>
    </r>
    <r>
      <rPr>
        <i/>
        <sz val="10"/>
        <rFont val="Arial Cyr"/>
        <charset val="204"/>
      </rPr>
      <t xml:space="preserve">, </t>
    </r>
    <r>
      <rPr>
        <i/>
        <u/>
        <sz val="10"/>
        <color rgb="FF0033CC"/>
        <rFont val="Arial Cyr"/>
        <charset val="204"/>
      </rPr>
      <t>forums.ag.ru</t>
    </r>
    <r>
      <rPr>
        <i/>
        <sz val="10"/>
        <rFont val="Arial Cyr"/>
        <charset val="204"/>
      </rPr>
      <t>)</t>
    </r>
    <r>
      <rPr>
        <sz val="10"/>
        <rFont val="Arial Cyr"/>
        <charset val="204"/>
      </rPr>
      <t>.</t>
    </r>
  </si>
  <si>
    <t>Считать, что Боевой дух помогает присоединению - типичное заблуждение - не помогает.</t>
  </si>
  <si>
    <r>
      <t xml:space="preserve">     Помимо всего прочего, навык Дипломатии позволяет герою снизить критерий, необходимый для посещения </t>
    </r>
    <r>
      <rPr>
        <b/>
        <sz val="10"/>
        <rFont val="Arial Cyr"/>
        <charset val="204"/>
      </rPr>
      <t>Библиотеки просвещения</t>
    </r>
    <r>
      <rPr>
        <sz val="10"/>
        <rFont val="Arial Cyr"/>
        <charset val="204"/>
      </rPr>
      <t>: Базовая Дипломатия - достаточно иметь 8 уровень, Продвинутая - 6 уровень, Экспертная - 4 уровень.</t>
    </r>
  </si>
  <si>
    <t>Power_Factor = 11 если k ≥ 7;</t>
  </si>
  <si>
    <t>б) если Ch ≥ X, то:</t>
  </si>
  <si>
    <t>*нейтралы присоединятся бесплатно, если Sympathy + Уровень Дипломатии + 1 ≥ X;</t>
  </si>
  <si>
    <t>*если предыдущее условие не выполняется, то нейтралы присоединятся за золото, но только если Sympathy + 2*Уровень Дипломатии + 1 ≥ X;</t>
  </si>
  <si>
    <t>Power_Factor = -1 если 0,5 &lt; k ≤ 1;</t>
  </si>
  <si>
    <t>Power_Factor = -2 если 0,333 &lt; k ≤ 0.5;</t>
  </si>
  <si>
    <t>Power_Factor = -3 если k ≤ 0,333.</t>
  </si>
  <si>
    <t>7. Определяем "симпатию" нейтрального отряда (0 ≤ Sympathy ≤ 2):</t>
  </si>
  <si>
    <t xml:space="preserve">     На лёгком уровне сложности все герои имеют 1 уровень Дипломатии, даже если они не имеют её среди навыков. Однако Дипломатия не может быть выше 3 уровня, т.е. развивать её до Эксперта бесполезно.</t>
  </si>
  <si>
    <r>
      <rPr>
        <b/>
        <sz val="10"/>
        <color indexed="8"/>
        <rFont val="Arial"/>
        <family val="2"/>
        <charset val="204"/>
      </rPr>
      <t xml:space="preserve">     Внимание! </t>
    </r>
    <r>
      <rPr>
        <sz val="10"/>
        <color indexed="8"/>
        <rFont val="Arial"/>
        <family val="2"/>
        <charset val="204"/>
      </rPr>
      <t>Если существо находится под действием Каменной кожи и в это время на него наложить несколько Разрушающих лучей и/или Кислотных дыханий Ржавого дракона, то по окончании действия Каменной кожи защита этого существа станет отрицательной. Отрицательные баллы защиты корректно учитываются при расчете урона, т.е. урон по такому существу будет выше.</t>
    </r>
  </si>
  <si>
    <r>
      <rPr>
        <sz val="10"/>
        <rFont val="Arial Cyr"/>
        <charset val="204"/>
      </rPr>
      <t xml:space="preserve">     При расчете урона от существа, которое может атаковать сразу несколько отрядов врага удача применяется только к тому существу, которое имеет наивысший приоритет (</t>
    </r>
    <r>
      <rPr>
        <b/>
        <u/>
        <sz val="10"/>
        <color rgb="FF0033CC"/>
        <rFont val="Arial Cyr"/>
        <charset val="204"/>
      </rPr>
      <t>&gt;&gt;см.раздел 1.4</t>
    </r>
    <r>
      <rPr>
        <sz val="10"/>
        <rFont val="Arial Cyr"/>
        <charset val="204"/>
      </rPr>
      <t>). Остальные получают стандартный урон без учета модификатора удачи.</t>
    </r>
  </si>
  <si>
    <r>
      <rPr>
        <b/>
        <sz val="10"/>
        <rFont val="Arial Cyr"/>
        <charset val="204"/>
      </rPr>
      <t xml:space="preserve">     Тонкости Логистики</t>
    </r>
    <r>
      <rPr>
        <sz val="10"/>
        <rFont val="Arial Cyr"/>
        <charset val="204"/>
      </rPr>
      <t>. Эффект штрафа пересеченной местности влияет на запас хода и пересчитывает его в течение дня. Т.е., если на болоте никто из существ не имеет штрафа местности, но в течение хода к герою присоединится нейтральная армия не болотных существ, остаток хода героя уменьшится сразу же, потому как включается действие штрафа местности. Однако, можно проявить хитрость - и оставить этих существ охранять ближайшую шахту, а забрать на обратном пути. Тут уж Вам решать, что важнее - скорость или мощь армии. Стоит помнить, что на песке можно полностью избежать штрафа местности, если взять в армию хотя бы одного Кочевника. Также можно избежать штрафа местности, если в армии героя помимо существ, для которых данная местность является родной, имеются нейтралы. Они, естественно, несут штраф, так как являются чужеродными существами для данной местности. Однако, если поставить нейтрала левее всех остальных существ в окне героя (на поле боя нейтралы будут выше всех), то в этом случае можно избежать штрафа. Это недокументированная фишка в игре, но она действует во всех случаях, причем, компьютер также ее может применить.</t>
    </r>
  </si>
  <si>
    <r>
      <t xml:space="preserve">     </t>
    </r>
    <r>
      <rPr>
        <b/>
        <sz val="10"/>
        <rFont val="Arial Cyr"/>
        <charset val="204"/>
      </rPr>
      <t>1-2. СОПРЯЖЕНИЕ.</t>
    </r>
    <r>
      <rPr>
        <sz val="10"/>
        <rFont val="Arial Cyr"/>
        <charset val="204"/>
      </rPr>
      <t xml:space="preserve"> Самая опасная для игрока магия. Во-первых, Сопряжение почти всегда ставит первым зданием Гильдию магов, то есть все герои будут бегать с Магической стрелой. 7 стрел по 40 урона в исполнении элементалистов это не шутки. В случае с Циэлью всё еще печальнее. Во-вторых, у Фей и Элементалей воздуха в большинстве случаев будет первая скорость (то есть первый удар и первое использование магии). Это осложняет битву с ними. Плюс из путешественников есть четверо со стартовой Тактикой (которая к моменту встречи может прокачаться), особенно опасен Лакус - может первым нанести серьёзный урон к вашему ударному стеку, особенно больно если им окажутся стрелки. Да и остальные не подарок - могут использовать Ускорение и всё равно достать, Книгу магии то ИИ покупает даже героям-воинам. То есть, если ИИ-герой элементалист, лучше не лезть без намерения закончить битву в 1-2 раунда. Если герой-воин, то лезть можно, но если у вас стрелки, то желательно биться в городе, там только Феи угрозу представляют, а элементалей можно бить в воротах по одному. Еще вариант - подождать несколько дней, есть хорошая вероятность, что ИИ потратит ману на битвы с нейтралами. Хотя в случае элементалистов маны там много, а Магическая стрела дешевая. Особая фишка Сопряжения - Элементали огня. ИИ их поздно строит, поэтому если не удалось подманить его героя к городу, а убегать уже нужно, то ставим Цитадель с Элементалями огня, под управлением героя-мага они легко выдерживают осаду за счет иммунности к Магической стреле.</t>
    </r>
  </si>
  <si>
    <r>
      <t xml:space="preserve">     </t>
    </r>
    <r>
      <rPr>
        <b/>
        <sz val="10"/>
        <rFont val="Arial Cyr"/>
        <charset val="204"/>
      </rPr>
      <t>5. БАШНЯ.</t>
    </r>
    <r>
      <rPr>
        <sz val="10"/>
        <rFont val="Arial Cyr"/>
        <charset val="204"/>
      </rPr>
      <t xml:space="preserve"> Неулучшенных стрелков нету, войска не очень, поэтому единственная проблема - герои-маги со стартовой ударной магией. А их много. От Солмира лучше убегать сразу, ну или предварительно атаковать его второстепенным героем с единичками - чтобы тот потратил ману на Цепную молнию. Герои с Магической стрелой тоже не подарок, плюс еще Грамотность есть. Если героев с Магической стрелой не видно, то можно смело лезть, но рекомендуется вылавливать вражескую армию в чистом поле, не давая герою зайти в город - ИИ обычно ставит Гильдию магов на 3-5 день. То есть при битве с Башней всё зависит от того, есть ли у него Магическая стрела. Довольно часто есть. Также плохо, что обороняться в Башне некем - Магов строить долго и дорого, да и здоровья у них мало.</t>
    </r>
  </si>
  <si>
    <t xml:space="preserve">     Если гарнизонного героя нет, то его место займёт ваш герой. Армии будут объединены (по возможности), бонусы от строений (мораль от Таверны и прочие Серные тучи) работают нормально. После победы остатки армии остаются у героя, а не влезшие в бой слабые отряды переходят в гарнизон.</t>
  </si>
  <si>
    <r>
      <rPr>
        <b/>
        <sz val="10"/>
        <color indexed="12"/>
        <rFont val="Arial Cyr"/>
        <charset val="204"/>
      </rPr>
      <t xml:space="preserve">     </t>
    </r>
    <r>
      <rPr>
        <b/>
        <u/>
        <sz val="10"/>
        <color indexed="12"/>
        <rFont val="Arial Cyr"/>
        <charset val="204"/>
      </rPr>
      <t>&gt;&gt;Подробнее про слияние армий.</t>
    </r>
  </si>
  <si>
    <t xml:space="preserve">     Вторая ситуация - это контроль над героем союзника! Т.е., если союзного героя привести через Врата в свой город и выйти из города, союзный герой будет находиться под вашим контролем - до тех пор, пока он в статусе "текущий" (им можно биться, колдовать на карте, посещать объекты, управлять артефактами и войсками). Как только вы "отпустите" героя союзника (выберете своего героя или свой город), герой союзника перестанет быть доступным.</t>
  </si>
  <si>
    <t xml:space="preserve">     7.1.Если у двух существ одного игрока одинаковая скорость, то раньше ходит то, которое расположено левее в окне героя, т.е. выше в начальной расстановке (правило левого слота). Вызванные существа считаются так, как если бы они находились в восьмом, девятом и т.д. слотах героя, в порядке появления.</t>
  </si>
  <si>
    <t xml:space="preserve">     15.Ход существ, которые Ждали в свой ход. Порядок обратный скорости существ, т.е. у кого скорость ниже - ходит первее. Действует правило левого слота и правило преимущества того, кто не ходил только что.</t>
  </si>
  <si>
    <t>*Если с существа будет снята Слепота, Окаменение или оно будет воскрешено, то оно получит право хода в соответствии со своей скоростью в этой фазе (т.е. в свою обычную очередь). Действует правило левого слота и правило преимущества того, кто не ходил только что. Если идёт фаза ход существ, которые Ждали в свой ход, то такое существо сходит в обратном соответствии со своей скоростью.</t>
  </si>
  <si>
    <t>- ИИ-герои в бою не используют тактические приёмы существ, не ждут и всегда идут в атаку;</t>
  </si>
  <si>
    <t xml:space="preserve">     Все стартовые ресурсы игрока и его ежедневный доход всех ресурсов снижаются на 30% с округлением вниз.</t>
  </si>
  <si>
    <r>
      <t xml:space="preserve">     8. Если какой-то отряд игрока ни до кого не доходит в этот раунд, то ИИ будет минусовать урон от этого отряда игрока из ценности удара ИИ по тем существам игрока, при ударе по которым он подставится под этот отряд игрока. При этом из </t>
    </r>
    <r>
      <rPr>
        <b/>
        <sz val="10"/>
        <rFont val="Arial"/>
        <family val="2"/>
        <charset val="204"/>
      </rPr>
      <t>Кол-во_существ*Fight Value</t>
    </r>
    <r>
      <rPr>
        <sz val="10"/>
        <rFont val="Arial"/>
        <family val="2"/>
        <charset val="204"/>
      </rPr>
      <t xml:space="preserve"> (отряда игрока, по которому планируется удар) напрямую вычитается ценность урона (от другого отряда игрока, под который ИИ может подставиться, ударив первый отряд). Т.е., ценность тех существ, которые умирают от этого урона (их количество может быть дробным). А ценность 1 существа - уже есть </t>
    </r>
    <r>
      <rPr>
        <b/>
        <sz val="10"/>
        <rFont val="Arial"/>
        <family val="2"/>
        <charset val="204"/>
      </rPr>
      <t>Fight Value</t>
    </r>
    <r>
      <rPr>
        <sz val="10"/>
        <rFont val="Arial"/>
        <family val="2"/>
        <charset val="204"/>
      </rPr>
      <t>. При этом даётся плюс к ценности, если верхнее существо в отряде - с небольшим количеством здоровья и оно убивается.</t>
    </r>
  </si>
  <si>
    <t xml:space="preserve">     Далее приведены соответствия объектов и их ценностей в порядке возрастания. Запись "1000+" соответствует интервалу "от 1000 до бесконечности"
Запись "1000-1500" соответствует интервалу "от 1000 до 1500".</t>
  </si>
  <si>
    <r>
      <t xml:space="preserve">     Максимальное число результативных </t>
    </r>
    <r>
      <rPr>
        <b/>
        <sz val="10"/>
        <rFont val="Arial Cyr"/>
        <charset val="204"/>
      </rPr>
      <t>выстрелов катапульты</t>
    </r>
    <r>
      <rPr>
        <sz val="10"/>
        <rFont val="Arial Cyr"/>
        <charset val="204"/>
      </rPr>
      <t>, достаточное для полного гарантированного уничтожения фортификаций города - 12. При Экспертной Баллистике на полное разрушение потребуется всего 6 раундов.</t>
    </r>
  </si>
  <si>
    <t xml:space="preserve">     11. Запрещается не бить "сдвинутых" монстров. Т.е. если охраняемый артефакт или Ящик пандоры лежат так, что их можно взять нахаляву, минуя охрану, следует сперва победить охрану.</t>
  </si>
  <si>
    <t xml:space="preserve">     16. Производится рестарт в случае (рестарт возможен до 5-го дня первой недели), если:
- стартовый герой даётся не 1 уровня
- даётся стартовая деревня (без Форта)
- даётся больше 1 стартового города
- отсутствует Лесопилка или Шахта руды в радиусе 3 дней пути от стартового города, а также если заблокированы проходы к ним монстрами 3-го и выше уровня или стрелков 2-го и выше уровней
- один раз без объяснения причин.</t>
  </si>
  <si>
    <t xml:space="preserve">     Цветовой режим 32-bit True (stretchable) GDI (включен по умолчанию) позволяет масштабировать картинку от выбранного разрешения до разрешения вашего монитора, используя различные фильтры, которые отличаются качеством и производительностью. Разрешение (исходный размер), выставляемое по умолчанию в настройках, выбрано не случайно (для 1920х1080 монитора выставляется - 1180х664). С этим разрешением вы получите максимально крупные игровые элементы при полной расширенной функциональности интерфейса.</t>
  </si>
  <si>
    <t xml:space="preserve">        * [ALT] + Щелчок - собирает в слот войска того же типа из слотов героя/гарнизона</t>
  </si>
  <si>
    <t xml:space="preserve">     В игре можно запоминать наборы артефактов (костюмы), одетых на героя и быстро менять их (т.е. переодевать героя)  простым нажатием на кнопки клавиатуры.</t>
  </si>
  <si>
    <t xml:space="preserve">     [1], [2], ..., [9], [0]  - одевает ранее сохраненный костюм на героя. Работает в окне героя и в главном окне менеджера приключений. То есть, чтобы переодеть героя необязательно открывать его окно, достаточно просто выделить героя. В менеджере приключений операция  сопровождается звуковым оповещением (щелчок). При переодевании героя этим способом предыдущий набор артефактов (костюм)  запоминается в слот [0]. Таким образом нажатием на [0] можно отменить последнее переодевание.</t>
  </si>
  <si>
    <t xml:space="preserve">     При переодевании героя артефакты не появляются из ниоткуда и не исчезают. Все берется из рюкзака героя и складывается туда же. Если у героя не будет хватать каких-либо артефактов для ранее сохраненного костюма, то костюм оденется частично (из того что есть).</t>
  </si>
  <si>
    <t xml:space="preserve">     17) В Пирамиде можно получить заклинание Страх (только в ранних версиях): Fear, магия земли 4 уровня, стоимость - 16 маны. Предположительно должно действовать аналогично способности Лазурного дракона, заставляя существ пропускать ходы. При развитой Магии земли позволяло существам большего уровня пропускать ходы. В итоге было вырезано, оставшись лишь в Пирамидах. А позже и оттуда его убрали. При попытке колдовать его не происходило никакого эффекта (по сути баг).</t>
  </si>
  <si>
    <t>Доступен для строительства в Темнице. Восполняет запас маны героя до двойного значения от его максимума. Можно посещать только 1 раз в неделю только одним героем.</t>
  </si>
</sst>
</file>

<file path=xl/styles.xml><?xml version="1.0" encoding="utf-8"?>
<styleSheet xmlns="http://schemas.openxmlformats.org/spreadsheetml/2006/main">
  <numFmts count="5">
    <numFmt numFmtId="44" formatCode="_-* #,##0.00&quot;р.&quot;_-;\-* #,##0.00&quot;р.&quot;_-;_-* &quot;-&quot;??&quot;р.&quot;_-;_-@_-"/>
    <numFmt numFmtId="164" formatCode="#,##0.0"/>
    <numFmt numFmtId="165" formatCode="#,##0.000"/>
    <numFmt numFmtId="166" formatCode="0.0%"/>
    <numFmt numFmtId="167" formatCode="0.0"/>
  </numFmts>
  <fonts count="160">
    <font>
      <sz val="10"/>
      <name val="Arial Cyr"/>
      <charset val="204"/>
    </font>
    <font>
      <sz val="10"/>
      <name val="Arial Cyr"/>
      <charset val="204"/>
    </font>
    <font>
      <b/>
      <sz val="12"/>
      <color indexed="10"/>
      <name val="Arial"/>
      <family val="2"/>
      <charset val="204"/>
    </font>
    <font>
      <sz val="12"/>
      <name val="Arial"/>
      <family val="2"/>
      <charset val="204"/>
    </font>
    <font>
      <b/>
      <sz val="12"/>
      <name val="Arial"/>
      <family val="2"/>
      <charset val="204"/>
    </font>
    <font>
      <sz val="10"/>
      <name val="Arial"/>
      <family val="2"/>
      <charset val="204"/>
    </font>
    <font>
      <u/>
      <sz val="10"/>
      <color indexed="12"/>
      <name val="Arial Cyr"/>
      <charset val="204"/>
    </font>
    <font>
      <b/>
      <sz val="10"/>
      <name val="Arial Cyr"/>
      <charset val="204"/>
    </font>
    <font>
      <sz val="10"/>
      <color indexed="10"/>
      <name val="Arial Cyr"/>
      <charset val="204"/>
    </font>
    <font>
      <sz val="8"/>
      <name val="Arial Cyr"/>
      <charset val="204"/>
    </font>
    <font>
      <i/>
      <sz val="10"/>
      <name val="Arial Cyr"/>
      <charset val="204"/>
    </font>
    <font>
      <u/>
      <sz val="10"/>
      <name val="Arial Cyr"/>
      <charset val="204"/>
    </font>
    <font>
      <sz val="10"/>
      <name val="Times New Roman"/>
      <family val="1"/>
      <charset val="204"/>
    </font>
    <font>
      <b/>
      <sz val="10"/>
      <color indexed="12"/>
      <name val="Times New Roman"/>
      <family val="1"/>
      <charset val="204"/>
    </font>
    <font>
      <sz val="10"/>
      <color indexed="12"/>
      <name val="Arial Cyr"/>
      <charset val="204"/>
    </font>
    <font>
      <b/>
      <sz val="8"/>
      <color indexed="81"/>
      <name val="Tahoma"/>
      <family val="2"/>
      <charset val="204"/>
    </font>
    <font>
      <sz val="10"/>
      <color indexed="12"/>
      <name val="Times New Roman"/>
      <family val="1"/>
      <charset val="204"/>
    </font>
    <font>
      <sz val="10"/>
      <name val="Arial Cyr"/>
      <charset val="204"/>
    </font>
    <font>
      <sz val="9"/>
      <name val="Arial Cyr"/>
      <charset val="204"/>
    </font>
    <font>
      <b/>
      <sz val="10"/>
      <color indexed="12"/>
      <name val="Arial Cyr"/>
      <charset val="204"/>
    </font>
    <font>
      <b/>
      <sz val="10"/>
      <color indexed="8"/>
      <name val="Verdana"/>
      <family val="2"/>
      <charset val="204"/>
    </font>
    <font>
      <sz val="10"/>
      <name val="Arial Cyr"/>
      <charset val="204"/>
    </font>
    <font>
      <sz val="10"/>
      <color indexed="10"/>
      <name val="Times New Roman"/>
      <family val="1"/>
      <charset val="204"/>
    </font>
    <font>
      <b/>
      <sz val="10"/>
      <color indexed="44"/>
      <name val="Arial Cyr"/>
      <charset val="204"/>
    </font>
    <font>
      <sz val="10"/>
      <color indexed="9"/>
      <name val="Arial Cyr"/>
      <charset val="204"/>
    </font>
    <font>
      <b/>
      <sz val="10"/>
      <name val="Arial"/>
      <family val="2"/>
      <charset val="204"/>
    </font>
    <font>
      <sz val="10"/>
      <color indexed="8"/>
      <name val="Arial"/>
      <family val="2"/>
      <charset val="204"/>
    </font>
    <font>
      <u/>
      <sz val="10"/>
      <color indexed="12"/>
      <name val="Arial"/>
      <family val="2"/>
      <charset val="204"/>
    </font>
    <font>
      <sz val="9"/>
      <name val="Arial"/>
      <family val="2"/>
      <charset val="204"/>
    </font>
    <font>
      <b/>
      <sz val="9"/>
      <name val="Arial"/>
      <family val="2"/>
      <charset val="204"/>
    </font>
    <font>
      <b/>
      <sz val="10"/>
      <color indexed="10"/>
      <name val="Arial"/>
      <family val="2"/>
      <charset val="204"/>
    </font>
    <font>
      <b/>
      <i/>
      <sz val="10"/>
      <name val="Arial"/>
      <family val="2"/>
      <charset val="204"/>
    </font>
    <font>
      <b/>
      <sz val="10"/>
      <color indexed="18"/>
      <name val="Arial"/>
      <family val="2"/>
      <charset val="204"/>
    </font>
    <font>
      <b/>
      <sz val="10"/>
      <color indexed="8"/>
      <name val="Arial"/>
      <family val="2"/>
      <charset val="204"/>
    </font>
    <font>
      <u/>
      <sz val="10"/>
      <color indexed="8"/>
      <name val="Arial"/>
      <family val="2"/>
      <charset val="204"/>
    </font>
    <font>
      <sz val="8"/>
      <name val="Arial"/>
      <family val="2"/>
      <charset val="204"/>
    </font>
    <font>
      <sz val="10"/>
      <color indexed="12"/>
      <name val="Arial"/>
      <family val="2"/>
      <charset val="204"/>
    </font>
    <font>
      <i/>
      <sz val="10"/>
      <color indexed="8"/>
      <name val="Arial"/>
      <family val="2"/>
      <charset val="204"/>
    </font>
    <font>
      <sz val="10"/>
      <color indexed="10"/>
      <name val="Arial"/>
      <family val="2"/>
      <charset val="204"/>
    </font>
    <font>
      <b/>
      <sz val="10"/>
      <color indexed="12"/>
      <name val="Arial"/>
      <family val="2"/>
      <charset val="204"/>
    </font>
    <font>
      <b/>
      <sz val="8"/>
      <name val="Arial"/>
      <family val="2"/>
      <charset val="204"/>
    </font>
    <font>
      <u/>
      <sz val="10"/>
      <name val="Arial"/>
      <family val="2"/>
      <charset val="204"/>
    </font>
    <font>
      <i/>
      <sz val="10"/>
      <name val="Arial"/>
      <family val="2"/>
      <charset val="204"/>
    </font>
    <font>
      <b/>
      <sz val="10"/>
      <color indexed="44"/>
      <name val="Arial"/>
      <family val="2"/>
      <charset val="204"/>
    </font>
    <font>
      <sz val="10"/>
      <color indexed="9"/>
      <name val="Arial"/>
      <family val="2"/>
      <charset val="204"/>
    </font>
    <font>
      <b/>
      <sz val="10"/>
      <color indexed="9"/>
      <name val="Arial"/>
      <family val="2"/>
      <charset val="204"/>
    </font>
    <font>
      <sz val="10"/>
      <color indexed="63"/>
      <name val="Arial"/>
      <family val="2"/>
      <charset val="204"/>
    </font>
    <font>
      <b/>
      <u/>
      <sz val="10"/>
      <color indexed="8"/>
      <name val="Arial"/>
      <family val="2"/>
      <charset val="204"/>
    </font>
    <font>
      <b/>
      <sz val="13.5"/>
      <name val="Arial"/>
      <family val="2"/>
      <charset val="204"/>
    </font>
    <font>
      <sz val="13.5"/>
      <name val="Arial"/>
      <family val="2"/>
      <charset val="204"/>
    </font>
    <font>
      <b/>
      <sz val="9"/>
      <name val="Arial Cyr"/>
      <charset val="204"/>
    </font>
    <font>
      <b/>
      <sz val="9"/>
      <color indexed="8"/>
      <name val="Verdana"/>
      <family val="2"/>
      <charset val="204"/>
    </font>
    <font>
      <b/>
      <sz val="9"/>
      <color indexed="12"/>
      <name val="Arial Cyr"/>
      <charset val="204"/>
    </font>
    <font>
      <i/>
      <u/>
      <sz val="10"/>
      <color indexed="12"/>
      <name val="Arial"/>
      <family val="2"/>
      <charset val="204"/>
    </font>
    <font>
      <b/>
      <i/>
      <sz val="10"/>
      <color indexed="8"/>
      <name val="Arial"/>
      <family val="2"/>
      <charset val="204"/>
    </font>
    <font>
      <i/>
      <sz val="9"/>
      <name val="Arial"/>
      <family val="2"/>
      <charset val="204"/>
    </font>
    <font>
      <i/>
      <u/>
      <sz val="10"/>
      <color indexed="12"/>
      <name val="Arial Cyr"/>
      <charset val="204"/>
    </font>
    <font>
      <b/>
      <i/>
      <sz val="10"/>
      <name val="Arial Cyr"/>
      <charset val="204"/>
    </font>
    <font>
      <sz val="11"/>
      <color theme="1"/>
      <name val="Arial"/>
      <family val="2"/>
      <charset val="204"/>
    </font>
    <font>
      <sz val="9"/>
      <color theme="1"/>
      <name val="Arial"/>
      <family val="2"/>
      <charset val="204"/>
    </font>
    <font>
      <b/>
      <sz val="9"/>
      <color rgb="FFFF0000"/>
      <name val="Arial"/>
      <family val="2"/>
      <charset val="204"/>
    </font>
    <font>
      <sz val="10"/>
      <color rgb="FF00B050"/>
      <name val="Arial Cyr"/>
      <charset val="204"/>
    </font>
    <font>
      <sz val="10"/>
      <color rgb="FFFF0000"/>
      <name val="Arial"/>
      <family val="2"/>
      <charset val="204"/>
    </font>
    <font>
      <sz val="10"/>
      <color rgb="FF0070C0"/>
      <name val="Arial"/>
      <family val="2"/>
      <charset val="204"/>
    </font>
    <font>
      <b/>
      <sz val="10"/>
      <color rgb="FF0070C0"/>
      <name val="Arial"/>
      <family val="2"/>
      <charset val="204"/>
    </font>
    <font>
      <sz val="10"/>
      <color theme="1"/>
      <name val="Arial"/>
      <family val="2"/>
      <charset val="204"/>
    </font>
    <font>
      <b/>
      <sz val="10"/>
      <color theme="1"/>
      <name val="Arial"/>
      <family val="2"/>
      <charset val="204"/>
    </font>
    <font>
      <b/>
      <sz val="10"/>
      <color rgb="FF0070C0"/>
      <name val="Arial Cyr"/>
      <charset val="204"/>
    </font>
    <font>
      <b/>
      <sz val="10"/>
      <color rgb="FFFF0000"/>
      <name val="Arial"/>
      <family val="2"/>
      <charset val="204"/>
    </font>
    <font>
      <i/>
      <sz val="8"/>
      <name val="Arial Cyr"/>
      <charset val="204"/>
    </font>
    <font>
      <b/>
      <i/>
      <sz val="9"/>
      <name val="Arial"/>
      <family val="2"/>
      <charset val="204"/>
    </font>
    <font>
      <b/>
      <sz val="14"/>
      <name val="Arial"/>
      <family val="2"/>
      <charset val="204"/>
    </font>
    <font>
      <i/>
      <sz val="8"/>
      <name val="Arial"/>
      <family val="2"/>
      <charset val="204"/>
    </font>
    <font>
      <b/>
      <i/>
      <sz val="8"/>
      <name val="Arial"/>
      <family val="2"/>
      <charset val="204"/>
    </font>
    <font>
      <i/>
      <u/>
      <sz val="8"/>
      <color indexed="12"/>
      <name val="Arial"/>
      <family val="2"/>
      <charset val="204"/>
    </font>
    <font>
      <i/>
      <u/>
      <sz val="10"/>
      <color rgb="FF0033CC"/>
      <name val="Arial"/>
      <family val="2"/>
      <charset val="204"/>
    </font>
    <font>
      <b/>
      <sz val="10"/>
      <color rgb="FF0033CC"/>
      <name val="Arial Cyr"/>
      <charset val="204"/>
    </font>
    <font>
      <i/>
      <u/>
      <sz val="9"/>
      <color rgb="FF0033CC"/>
      <name val="Arial"/>
      <family val="2"/>
      <charset val="204"/>
    </font>
    <font>
      <sz val="10"/>
      <color rgb="FF0033CC"/>
      <name val="Arial"/>
      <family val="2"/>
      <charset val="204"/>
    </font>
    <font>
      <i/>
      <u/>
      <sz val="10"/>
      <color rgb="FF0033CC"/>
      <name val="Arial Cyr"/>
      <charset val="204"/>
    </font>
    <font>
      <b/>
      <i/>
      <sz val="8"/>
      <name val="Arial Cyr"/>
      <charset val="204"/>
    </font>
    <font>
      <i/>
      <u/>
      <sz val="8"/>
      <color indexed="12"/>
      <name val="Arial Cyr"/>
      <charset val="204"/>
    </font>
    <font>
      <i/>
      <u/>
      <sz val="8"/>
      <color rgb="FF0033CC"/>
      <name val="Arial"/>
      <family val="2"/>
      <charset val="204"/>
    </font>
    <font>
      <u/>
      <sz val="10"/>
      <color rgb="FF0033CC"/>
      <name val="Arial"/>
      <family val="2"/>
      <charset val="204"/>
    </font>
    <font>
      <i/>
      <sz val="8"/>
      <color indexed="12"/>
      <name val="Arial Cyr"/>
      <charset val="204"/>
    </font>
    <font>
      <b/>
      <u/>
      <sz val="22"/>
      <color indexed="10"/>
      <name val="Arial"/>
      <family val="2"/>
      <charset val="204"/>
    </font>
    <font>
      <sz val="10"/>
      <color theme="0" tint="-0.249977111117893"/>
      <name val="Arial"/>
      <family val="2"/>
      <charset val="204"/>
    </font>
    <font>
      <sz val="8"/>
      <color theme="0" tint="-0.249977111117893"/>
      <name val="Arial"/>
      <family val="2"/>
      <charset val="204"/>
    </font>
    <font>
      <sz val="9"/>
      <color theme="0" tint="-0.249977111117893"/>
      <name val="Arial"/>
      <family val="2"/>
      <charset val="204"/>
    </font>
    <font>
      <sz val="9"/>
      <color theme="0" tint="-0.249977111117893"/>
      <name val="Arial Cyr"/>
      <charset val="204"/>
    </font>
    <font>
      <i/>
      <u/>
      <sz val="8"/>
      <color rgb="FF0033CC"/>
      <name val="Arial Cyr"/>
      <charset val="204"/>
    </font>
    <font>
      <b/>
      <sz val="10"/>
      <color rgb="FF0033CC"/>
      <name val="Arial"/>
      <family val="2"/>
      <charset val="204"/>
    </font>
    <font>
      <sz val="10"/>
      <color indexed="62"/>
      <name val="Arial"/>
      <family val="2"/>
      <charset val="204"/>
    </font>
    <font>
      <b/>
      <sz val="8"/>
      <color theme="1"/>
      <name val="Arial"/>
      <family val="2"/>
      <charset val="204"/>
    </font>
    <font>
      <b/>
      <sz val="14"/>
      <color indexed="12"/>
      <name val="Arial"/>
      <family val="2"/>
      <charset val="204"/>
    </font>
    <font>
      <b/>
      <sz val="18"/>
      <color indexed="12"/>
      <name val="Arial"/>
      <family val="2"/>
      <charset val="204"/>
    </font>
    <font>
      <b/>
      <sz val="8"/>
      <color theme="0" tint="-0.249977111117893"/>
      <name val="Arial"/>
      <family val="2"/>
      <charset val="204"/>
    </font>
    <font>
      <b/>
      <sz val="8"/>
      <color indexed="22"/>
      <name val="Arial"/>
      <family val="2"/>
      <charset val="204"/>
    </font>
    <font>
      <sz val="8"/>
      <color indexed="22"/>
      <name val="Arial"/>
      <family val="2"/>
      <charset val="204"/>
    </font>
    <font>
      <b/>
      <sz val="9"/>
      <color rgb="FF0033CC"/>
      <name val="Arial Cyr"/>
      <charset val="204"/>
    </font>
    <font>
      <sz val="8"/>
      <color indexed="10"/>
      <name val="Arial"/>
      <family val="2"/>
      <charset val="204"/>
    </font>
    <font>
      <sz val="8"/>
      <name val="Times New Roman"/>
      <family val="1"/>
      <charset val="204"/>
    </font>
    <font>
      <b/>
      <sz val="10"/>
      <color rgb="FF0033CC"/>
      <name val="Times New Roman"/>
      <family val="1"/>
      <charset val="204"/>
    </font>
    <font>
      <b/>
      <sz val="8"/>
      <name val="Arial Cyr"/>
      <charset val="204"/>
    </font>
    <font>
      <u/>
      <sz val="12"/>
      <color rgb="FF0033CC"/>
      <name val="Arial"/>
      <family val="2"/>
      <charset val="204"/>
    </font>
    <font>
      <b/>
      <sz val="11"/>
      <name val="Arial"/>
      <family val="2"/>
      <charset val="204"/>
    </font>
    <font>
      <b/>
      <sz val="8"/>
      <color rgb="FFFF0000"/>
      <name val="Arial"/>
      <family val="2"/>
      <charset val="204"/>
    </font>
    <font>
      <b/>
      <sz val="8"/>
      <color rgb="FF00B050"/>
      <name val="Arial"/>
      <family val="2"/>
      <charset val="204"/>
    </font>
    <font>
      <b/>
      <sz val="8"/>
      <color rgb="FF0033CC"/>
      <name val="Arial"/>
      <family val="2"/>
      <charset val="204"/>
    </font>
    <font>
      <b/>
      <sz val="9"/>
      <color indexed="81"/>
      <name val="Tahoma"/>
      <family val="2"/>
      <charset val="204"/>
    </font>
    <font>
      <b/>
      <sz val="10"/>
      <color rgb="FFFF0000"/>
      <name val="Arial Cyr"/>
      <charset val="204"/>
    </font>
    <font>
      <sz val="9"/>
      <color indexed="81"/>
      <name val="Tahoma"/>
      <family val="2"/>
      <charset val="204"/>
    </font>
    <font>
      <i/>
      <sz val="9"/>
      <color indexed="81"/>
      <name val="Tahoma"/>
      <family val="2"/>
      <charset val="204"/>
    </font>
    <font>
      <b/>
      <i/>
      <sz val="9"/>
      <color indexed="81"/>
      <name val="Tahoma"/>
      <family val="2"/>
      <charset val="204"/>
    </font>
    <font>
      <i/>
      <u/>
      <sz val="9"/>
      <color indexed="81"/>
      <name val="Tahoma"/>
      <family val="2"/>
      <charset val="204"/>
    </font>
    <font>
      <b/>
      <i/>
      <sz val="10"/>
      <color rgb="FF0033CC"/>
      <name val="Arial Cyr"/>
      <charset val="204"/>
    </font>
    <font>
      <b/>
      <sz val="9"/>
      <color rgb="FF0033CC"/>
      <name val="Arial"/>
      <family val="2"/>
      <charset val="204"/>
    </font>
    <font>
      <u/>
      <sz val="9"/>
      <color indexed="12"/>
      <name val="Arial"/>
      <family val="2"/>
      <charset val="204"/>
    </font>
    <font>
      <u/>
      <sz val="10"/>
      <color rgb="FF362CFC"/>
      <name val="Arial Cyr"/>
      <charset val="204"/>
    </font>
    <font>
      <sz val="11"/>
      <name val="Calibri"/>
      <family val="2"/>
      <charset val="204"/>
      <scheme val="minor"/>
    </font>
    <font>
      <sz val="8"/>
      <color theme="1"/>
      <name val="Arial"/>
      <family val="2"/>
      <charset val="204"/>
    </font>
    <font>
      <i/>
      <u/>
      <sz val="8"/>
      <color rgb="FF362CFC"/>
      <name val="Arial Cyr"/>
      <charset val="204"/>
    </font>
    <font>
      <b/>
      <u/>
      <sz val="10"/>
      <color indexed="12"/>
      <name val="Arial Cyr"/>
      <charset val="204"/>
    </font>
    <font>
      <i/>
      <sz val="9"/>
      <name val="Arial Cyr"/>
      <charset val="204"/>
    </font>
    <font>
      <b/>
      <i/>
      <sz val="9"/>
      <name val="Arial Cyr"/>
      <charset val="204"/>
    </font>
    <font>
      <i/>
      <u/>
      <sz val="9"/>
      <color rgb="FF0033CC"/>
      <name val="Arial Cyr"/>
      <charset val="204"/>
    </font>
    <font>
      <i/>
      <u/>
      <sz val="10"/>
      <color rgb="FF0066FF"/>
      <name val="Arial"/>
      <family val="2"/>
      <charset val="204"/>
    </font>
    <font>
      <i/>
      <sz val="9"/>
      <color indexed="8"/>
      <name val="Arial"/>
      <family val="2"/>
      <charset val="204"/>
    </font>
    <font>
      <b/>
      <i/>
      <sz val="9"/>
      <color indexed="8"/>
      <name val="Arial"/>
      <family val="2"/>
      <charset val="204"/>
    </font>
    <font>
      <i/>
      <u/>
      <sz val="9"/>
      <color indexed="12"/>
      <name val="Arial"/>
      <family val="2"/>
      <charset val="204"/>
    </font>
    <font>
      <sz val="9"/>
      <color indexed="8"/>
      <name val="Arial"/>
      <family val="2"/>
      <charset val="204"/>
    </font>
    <font>
      <b/>
      <sz val="12"/>
      <color theme="1"/>
      <name val="Arial"/>
      <family val="2"/>
      <charset val="204"/>
    </font>
    <font>
      <u/>
      <sz val="10"/>
      <color rgb="FF0033CC"/>
      <name val="Arial Cyr"/>
      <charset val="204"/>
    </font>
    <font>
      <sz val="10"/>
      <color theme="0"/>
      <name val="Arial"/>
      <family val="2"/>
      <charset val="204"/>
    </font>
    <font>
      <b/>
      <sz val="72"/>
      <color rgb="FFFF0000"/>
      <name val="Arial"/>
      <family val="2"/>
      <charset val="204"/>
    </font>
    <font>
      <b/>
      <sz val="10"/>
      <color theme="0"/>
      <name val="Arial"/>
      <family val="2"/>
      <charset val="204"/>
    </font>
    <font>
      <b/>
      <sz val="18"/>
      <color theme="0"/>
      <name val="Arial"/>
      <family val="2"/>
      <charset val="204"/>
    </font>
    <font>
      <b/>
      <sz val="18"/>
      <name val="Arial"/>
      <family val="2"/>
      <charset val="204"/>
    </font>
    <font>
      <sz val="10"/>
      <color rgb="FFFF0000"/>
      <name val="Arial Cyr"/>
      <charset val="204"/>
    </font>
    <font>
      <b/>
      <sz val="20"/>
      <name val="Arial"/>
      <family val="2"/>
      <charset val="204"/>
    </font>
    <font>
      <sz val="16"/>
      <name val="Arial"/>
      <family val="2"/>
      <charset val="204"/>
    </font>
    <font>
      <b/>
      <sz val="16"/>
      <name val="Arial"/>
      <family val="2"/>
      <charset val="204"/>
    </font>
    <font>
      <i/>
      <sz val="14"/>
      <name val="Arial"/>
      <family val="2"/>
      <charset val="204"/>
    </font>
    <font>
      <b/>
      <sz val="9"/>
      <color theme="9" tint="0.39997558519241921"/>
      <name val="Arial"/>
      <family val="2"/>
      <charset val="204"/>
    </font>
    <font>
      <b/>
      <sz val="9"/>
      <color theme="4"/>
      <name val="Arial"/>
      <family val="2"/>
      <charset val="204"/>
    </font>
    <font>
      <b/>
      <sz val="9"/>
      <color theme="6" tint="-0.249977111117893"/>
      <name val="Arial"/>
      <family val="2"/>
      <charset val="204"/>
    </font>
    <font>
      <b/>
      <sz val="12"/>
      <color rgb="FFFF0000"/>
      <name val="Arial"/>
      <family val="2"/>
      <charset val="204"/>
    </font>
    <font>
      <b/>
      <sz val="10"/>
      <color rgb="FF0066FF"/>
      <name val="Arial"/>
      <family val="2"/>
      <charset val="204"/>
    </font>
    <font>
      <b/>
      <sz val="10"/>
      <color rgb="FF00B050"/>
      <name val="Arial"/>
      <family val="2"/>
      <charset val="204"/>
    </font>
    <font>
      <i/>
      <u/>
      <sz val="8"/>
      <color rgb="FF0066FF"/>
      <name val="Arial Cyr"/>
      <charset val="204"/>
    </font>
    <font>
      <b/>
      <sz val="14"/>
      <color indexed="8"/>
      <name val="Arial"/>
      <family val="2"/>
      <charset val="204"/>
    </font>
    <font>
      <sz val="10"/>
      <color theme="0" tint="-0.249977111117893"/>
      <name val="Arial Cyr"/>
      <charset val="204"/>
    </font>
    <font>
      <b/>
      <sz val="10"/>
      <color theme="0" tint="-0.499984740745262"/>
      <name val="Arial"/>
      <family val="2"/>
      <charset val="204"/>
    </font>
    <font>
      <b/>
      <sz val="10"/>
      <color theme="9" tint="-0.249977111117893"/>
      <name val="Arial"/>
      <family val="2"/>
      <charset val="204"/>
    </font>
    <font>
      <b/>
      <u/>
      <sz val="10"/>
      <color rgb="FF0033CC"/>
      <name val="Arial Cyr"/>
      <charset val="204"/>
    </font>
    <font>
      <i/>
      <u/>
      <sz val="8"/>
      <color rgb="FF0066FF"/>
      <name val="Arial"/>
      <family val="2"/>
      <charset val="204"/>
    </font>
    <font>
      <b/>
      <sz val="36"/>
      <name val="Arial"/>
      <family val="2"/>
      <charset val="204"/>
    </font>
    <font>
      <i/>
      <u/>
      <sz val="10"/>
      <name val="Arial"/>
      <family val="2"/>
      <charset val="204"/>
    </font>
    <font>
      <b/>
      <sz val="10"/>
      <color rgb="FFFF0000"/>
      <name val="Times New Roman"/>
      <family val="1"/>
      <charset val="204"/>
    </font>
    <font>
      <b/>
      <sz val="10"/>
      <color rgb="FF0066FF"/>
      <name val="Times New Roman"/>
      <family val="1"/>
      <charset val="204"/>
    </font>
  </fonts>
  <fills count="5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7"/>
        <bgColor indexed="64"/>
      </patternFill>
    </fill>
    <fill>
      <patternFill patternType="solid">
        <fgColor indexed="42"/>
        <bgColor indexed="64"/>
      </patternFill>
    </fill>
    <fill>
      <patternFill patternType="solid">
        <fgColor indexed="48"/>
        <bgColor indexed="64"/>
      </patternFill>
    </fill>
    <fill>
      <patternFill patternType="solid">
        <fgColor indexed="13"/>
        <bgColor indexed="64"/>
      </patternFill>
    </fill>
    <fill>
      <patternFill patternType="solid">
        <fgColor indexed="44"/>
        <bgColor indexed="64"/>
      </patternFill>
    </fill>
    <fill>
      <patternFill patternType="solid">
        <fgColor indexed="43"/>
        <bgColor indexed="64"/>
      </patternFill>
    </fill>
    <fill>
      <patternFill patternType="solid">
        <fgColor indexed="45"/>
        <bgColor indexed="64"/>
      </patternFill>
    </fill>
    <fill>
      <patternFill patternType="solid">
        <fgColor indexed="46"/>
        <bgColor indexed="64"/>
      </patternFill>
    </fill>
    <fill>
      <patternFill patternType="solid">
        <fgColor indexed="55"/>
        <bgColor indexed="64"/>
      </patternFill>
    </fill>
    <fill>
      <patternFill patternType="solid">
        <fgColor indexed="61"/>
        <bgColor indexed="64"/>
      </patternFill>
    </fill>
    <fill>
      <patternFill patternType="solid">
        <fgColor indexed="4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249977111117893"/>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1"/>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rgb="FF00B050"/>
        <bgColor indexed="64"/>
      </patternFill>
    </fill>
    <fill>
      <patternFill patternType="solid">
        <fgColor rgb="FFFF0000"/>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rgb="FF0033CC"/>
        <bgColor indexed="64"/>
      </patternFill>
    </fill>
    <fill>
      <patternFill patternType="solid">
        <fgColor theme="9" tint="-0.499984740745262"/>
        <bgColor indexed="64"/>
      </patternFill>
    </fill>
    <fill>
      <patternFill patternType="solid">
        <fgColor rgb="FFC00000"/>
        <bgColor indexed="64"/>
      </patternFill>
    </fill>
    <fill>
      <patternFill patternType="solid">
        <fgColor theme="7" tint="-0.249977111117893"/>
        <bgColor indexed="64"/>
      </patternFill>
    </fill>
    <fill>
      <patternFill patternType="solid">
        <fgColor theme="9" tint="-0.249977111117893"/>
        <bgColor indexed="64"/>
      </patternFill>
    </fill>
    <fill>
      <patternFill patternType="solid">
        <fgColor rgb="FFFBFBB5"/>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rgb="FF92D050"/>
        <bgColor indexed="64"/>
      </patternFill>
    </fill>
  </fills>
  <borders count="12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style="double">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bottom/>
      <diagonal/>
    </border>
    <border>
      <left/>
      <right style="medium">
        <color indexed="64"/>
      </right>
      <top/>
      <bottom/>
      <diagonal/>
    </border>
    <border>
      <left style="thin">
        <color indexed="64"/>
      </left>
      <right style="medium">
        <color indexed="64"/>
      </right>
      <top/>
      <bottom/>
      <diagonal/>
    </border>
    <border>
      <left/>
      <right style="medium">
        <color indexed="64"/>
      </right>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right/>
      <top style="medium">
        <color indexed="64"/>
      </top>
      <bottom/>
      <diagonal/>
    </border>
    <border>
      <left style="medium">
        <color indexed="64"/>
      </left>
      <right style="thin">
        <color indexed="64"/>
      </right>
      <top style="thin">
        <color indexed="64"/>
      </top>
      <bottom style="double">
        <color indexed="64"/>
      </bottom>
      <diagonal/>
    </border>
    <border>
      <left/>
      <right/>
      <top/>
      <bottom style="medium">
        <color indexed="64"/>
      </bottom>
      <diagonal/>
    </border>
    <border>
      <left style="medium">
        <color indexed="64"/>
      </left>
      <right/>
      <top/>
      <bottom style="thin">
        <color indexed="64"/>
      </bottom>
      <diagonal/>
    </border>
    <border>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64"/>
      </right>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64"/>
      </right>
      <top style="thin">
        <color indexed="8"/>
      </top>
      <bottom style="thin">
        <color indexed="8"/>
      </bottom>
      <diagonal/>
    </border>
    <border>
      <left style="medium">
        <color indexed="64"/>
      </left>
      <right style="medium">
        <color indexed="64"/>
      </right>
      <top style="medium">
        <color indexed="64"/>
      </top>
      <bottom style="thin">
        <color indexed="8"/>
      </bottom>
      <diagonal/>
    </border>
    <border>
      <left style="medium">
        <color indexed="64"/>
      </left>
      <right style="medium">
        <color indexed="64"/>
      </right>
      <top/>
      <bottom style="thin">
        <color indexed="8"/>
      </bottom>
      <diagonal/>
    </border>
    <border>
      <left style="thin">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thin">
        <color indexed="64"/>
      </top>
      <bottom/>
      <diagonal/>
    </border>
    <border>
      <left style="thin">
        <color indexed="64"/>
      </left>
      <right/>
      <top/>
      <bottom style="medium">
        <color indexed="64"/>
      </bottom>
      <diagonal/>
    </border>
    <border>
      <left style="medium">
        <color indexed="64"/>
      </left>
      <right/>
      <top/>
      <bottom/>
      <diagonal/>
    </border>
    <border>
      <left style="medium">
        <color indexed="64"/>
      </left>
      <right/>
      <top style="thin">
        <color indexed="64"/>
      </top>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diagonal/>
    </border>
    <border>
      <left/>
      <right style="thin">
        <color indexed="64"/>
      </right>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double">
        <color indexed="64"/>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medium">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indexed="64"/>
      </left>
      <right style="medium">
        <color indexed="64"/>
      </right>
      <top style="double">
        <color indexed="64"/>
      </top>
      <bottom/>
      <diagonal/>
    </border>
    <border>
      <left style="medium">
        <color indexed="64"/>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style="medium">
        <color indexed="64"/>
      </right>
      <top style="double">
        <color indexed="64"/>
      </top>
      <bottom/>
      <diagonal/>
    </border>
    <border>
      <left style="medium">
        <color indexed="64"/>
      </left>
      <right style="thin">
        <color indexed="64"/>
      </right>
      <top style="double">
        <color indexed="64"/>
      </top>
      <bottom style="double">
        <color indexed="64"/>
      </bottom>
      <diagonal/>
    </border>
    <border>
      <left style="thin">
        <color indexed="64"/>
      </left>
      <right style="medium">
        <color indexed="64"/>
      </right>
      <top style="double">
        <color indexed="64"/>
      </top>
      <bottom style="double">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medium">
        <color indexed="64"/>
      </left>
      <right style="medium">
        <color indexed="64"/>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8"/>
      </right>
      <top style="thin">
        <color indexed="8"/>
      </top>
      <bottom style="thin">
        <color indexed="64"/>
      </bottom>
      <diagonal/>
    </border>
    <border>
      <left style="thin">
        <color indexed="8"/>
      </left>
      <right style="medium">
        <color indexed="64"/>
      </right>
      <top style="thin">
        <color indexed="8"/>
      </top>
      <bottom style="thin">
        <color indexed="64"/>
      </bottom>
      <diagonal/>
    </border>
    <border>
      <left style="medium">
        <color indexed="64"/>
      </left>
      <right style="medium">
        <color indexed="64"/>
      </right>
      <top style="thin">
        <color indexed="64"/>
      </top>
      <bottom style="thin">
        <color indexed="8"/>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double">
        <color indexed="64"/>
      </bottom>
      <diagonal/>
    </border>
    <border>
      <left/>
      <right style="medium">
        <color indexed="64"/>
      </right>
      <top/>
      <bottom style="double">
        <color indexed="64"/>
      </bottom>
      <diagonal/>
    </border>
  </borders>
  <cellStyleXfs count="4">
    <xf numFmtId="0" fontId="0" fillId="0" borderId="0"/>
    <xf numFmtId="0" fontId="6" fillId="0" borderId="0" applyNumberFormat="0" applyFill="0" applyBorder="0" applyAlignment="0" applyProtection="0">
      <alignment vertical="top"/>
      <protection locked="0"/>
    </xf>
    <xf numFmtId="44" fontId="1" fillId="0" borderId="0" applyFont="0" applyFill="0" applyBorder="0" applyAlignment="0" applyProtection="0"/>
    <xf numFmtId="9" fontId="1" fillId="0" borderId="0" applyFont="0" applyFill="0" applyBorder="0" applyAlignment="0" applyProtection="0"/>
  </cellStyleXfs>
  <cellXfs count="4380">
    <xf numFmtId="0" fontId="0" fillId="0" borderId="0" xfId="0"/>
    <xf numFmtId="0" fontId="0" fillId="0" borderId="0" xfId="0" applyAlignment="1">
      <alignment vertical="center"/>
    </xf>
    <xf numFmtId="0" fontId="0" fillId="0" borderId="0" xfId="0" applyAlignment="1">
      <alignment horizontal="center" vertical="center"/>
    </xf>
    <xf numFmtId="0" fontId="0" fillId="0" borderId="15" xfId="0" applyBorder="1" applyAlignment="1">
      <alignment horizontal="center" vertical="center"/>
    </xf>
    <xf numFmtId="0" fontId="0" fillId="2" borderId="0" xfId="0" applyFill="1" applyAlignment="1">
      <alignment vertical="center" wrapText="1"/>
    </xf>
    <xf numFmtId="0" fontId="1" fillId="5" borderId="29" xfId="0" applyFont="1" applyFill="1" applyBorder="1" applyAlignment="1">
      <alignment horizontal="center" vertical="center" wrapText="1"/>
    </xf>
    <xf numFmtId="0" fontId="0" fillId="2" borderId="29" xfId="0" applyFill="1" applyBorder="1" applyAlignment="1">
      <alignment horizontal="center" vertical="center" wrapText="1"/>
    </xf>
    <xf numFmtId="0" fontId="0" fillId="3" borderId="29" xfId="0" applyFill="1" applyBorder="1" applyAlignment="1">
      <alignment horizontal="center" vertical="center" wrapText="1"/>
    </xf>
    <xf numFmtId="0" fontId="0" fillId="2" borderId="0" xfId="0" applyFill="1" applyBorder="1" applyAlignment="1">
      <alignment horizontal="center" vertical="center" wrapText="1"/>
    </xf>
    <xf numFmtId="0" fontId="23" fillId="6" borderId="29" xfId="0" applyFont="1" applyFill="1" applyBorder="1" applyAlignment="1">
      <alignment horizontal="center" vertical="center" wrapText="1"/>
    </xf>
    <xf numFmtId="0" fontId="0" fillId="7" borderId="29" xfId="0" applyFill="1" applyBorder="1" applyAlignment="1">
      <alignment horizontal="center" vertical="center" wrapText="1"/>
    </xf>
    <xf numFmtId="0" fontId="0" fillId="4" borderId="29" xfId="0" applyFill="1" applyBorder="1" applyAlignment="1">
      <alignment horizontal="center" vertical="center" wrapText="1"/>
    </xf>
    <xf numFmtId="0" fontId="1" fillId="2" borderId="0" xfId="0" applyFont="1" applyFill="1" applyAlignment="1">
      <alignment vertical="center" wrapText="1"/>
    </xf>
    <xf numFmtId="0" fontId="14" fillId="8" borderId="29" xfId="0" applyFont="1" applyFill="1" applyBorder="1" applyAlignment="1">
      <alignment horizontal="center" vertical="center" wrapText="1"/>
    </xf>
    <xf numFmtId="0" fontId="1" fillId="2" borderId="29" xfId="0" applyFont="1" applyFill="1" applyBorder="1" applyAlignment="1">
      <alignment horizontal="center" vertical="center" wrapText="1"/>
    </xf>
    <xf numFmtId="0" fontId="5" fillId="0" borderId="0" xfId="0" applyFont="1" applyAlignment="1">
      <alignment vertical="center"/>
    </xf>
    <xf numFmtId="0" fontId="5" fillId="0" borderId="0" xfId="0" applyFont="1" applyAlignment="1">
      <alignment vertical="center" wrapText="1"/>
    </xf>
    <xf numFmtId="0" fontId="5" fillId="2" borderId="0" xfId="0" applyFont="1" applyFill="1" applyAlignment="1">
      <alignment vertical="center" wrapText="1"/>
    </xf>
    <xf numFmtId="0" fontId="5" fillId="2" borderId="29" xfId="0" applyFont="1" applyFill="1" applyBorder="1" applyAlignment="1">
      <alignment horizontal="center" vertical="center" wrapText="1"/>
    </xf>
    <xf numFmtId="0" fontId="5" fillId="5" borderId="29" xfId="0" applyFont="1" applyFill="1" applyBorder="1" applyAlignment="1">
      <alignment horizontal="center" vertical="center" wrapText="1"/>
    </xf>
    <xf numFmtId="0" fontId="5" fillId="3" borderId="29"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43" fillId="6" borderId="29" xfId="0" applyFont="1" applyFill="1" applyBorder="1" applyAlignment="1">
      <alignment horizontal="center" vertical="center" wrapText="1"/>
    </xf>
    <xf numFmtId="0" fontId="5" fillId="7" borderId="29" xfId="0" applyFont="1" applyFill="1" applyBorder="1" applyAlignment="1">
      <alignment horizontal="center" vertical="center" wrapText="1"/>
    </xf>
    <xf numFmtId="0" fontId="5" fillId="8" borderId="29" xfId="0" applyFont="1" applyFill="1" applyBorder="1" applyAlignment="1">
      <alignment horizontal="center" vertical="center" wrapText="1"/>
    </xf>
    <xf numFmtId="0" fontId="5" fillId="4" borderId="29" xfId="0" applyFont="1" applyFill="1" applyBorder="1" applyAlignment="1">
      <alignment horizontal="center" vertical="center" wrapText="1"/>
    </xf>
    <xf numFmtId="0" fontId="5" fillId="0" borderId="0" xfId="0" applyFont="1" applyFill="1" applyAlignment="1">
      <alignment vertical="center"/>
    </xf>
    <xf numFmtId="0" fontId="7" fillId="15" borderId="16" xfId="0" applyFont="1" applyFill="1" applyBorder="1" applyAlignment="1">
      <alignment horizontal="center" vertical="center"/>
    </xf>
    <xf numFmtId="0" fontId="5" fillId="16" borderId="17" xfId="0" applyFont="1" applyFill="1" applyBorder="1" applyAlignment="1">
      <alignment horizontal="center" vertical="center"/>
    </xf>
    <xf numFmtId="0" fontId="5" fillId="16" borderId="3" xfId="0" applyFont="1" applyFill="1" applyBorder="1" applyAlignment="1">
      <alignment horizontal="center" vertical="center"/>
    </xf>
    <xf numFmtId="0" fontId="25" fillId="16" borderId="2" xfId="0" applyFont="1" applyFill="1" applyBorder="1" applyAlignment="1">
      <alignment horizontal="center" vertical="center"/>
    </xf>
    <xf numFmtId="0" fontId="25" fillId="16" borderId="4" xfId="0" applyFont="1" applyFill="1" applyBorder="1" applyAlignment="1">
      <alignment horizontal="center" vertical="center"/>
    </xf>
    <xf numFmtId="0" fontId="5" fillId="16" borderId="9" xfId="0" applyFont="1" applyFill="1" applyBorder="1" applyAlignment="1">
      <alignment horizontal="center" vertical="center"/>
    </xf>
    <xf numFmtId="0" fontId="25" fillId="16" borderId="9" xfId="0" applyFont="1" applyFill="1" applyBorder="1" applyAlignment="1">
      <alignment horizontal="center" vertical="center"/>
    </xf>
    <xf numFmtId="0" fontId="5" fillId="16" borderId="10" xfId="0" applyFont="1" applyFill="1" applyBorder="1" applyAlignment="1">
      <alignment horizontal="center" vertical="center"/>
    </xf>
    <xf numFmtId="0" fontId="25" fillId="16" borderId="3" xfId="0" applyFont="1" applyFill="1" applyBorder="1" applyAlignment="1">
      <alignment horizontal="center" vertical="center"/>
    </xf>
    <xf numFmtId="0" fontId="0" fillId="16" borderId="17" xfId="0" applyFill="1" applyBorder="1" applyAlignment="1">
      <alignment horizontal="center" vertical="center" wrapText="1"/>
    </xf>
    <xf numFmtId="0" fontId="0" fillId="16" borderId="32" xfId="0" applyFill="1" applyBorder="1" applyAlignment="1">
      <alignment horizontal="left" vertical="center" wrapText="1" indent="1"/>
    </xf>
    <xf numFmtId="0" fontId="7" fillId="15" borderId="14" xfId="0" applyFont="1" applyFill="1" applyBorder="1" applyAlignment="1">
      <alignment horizontal="center" vertical="center"/>
    </xf>
    <xf numFmtId="0" fontId="0" fillId="16" borderId="3" xfId="0" applyFill="1" applyBorder="1" applyAlignment="1">
      <alignment horizontal="left" vertical="center" wrapText="1" indent="1"/>
    </xf>
    <xf numFmtId="0" fontId="1" fillId="16" borderId="2" xfId="0" applyFont="1" applyFill="1" applyBorder="1" applyAlignment="1">
      <alignment horizontal="left" vertical="center" wrapText="1" indent="1"/>
    </xf>
    <xf numFmtId="0" fontId="7" fillId="15" borderId="26" xfId="0" applyFont="1" applyFill="1" applyBorder="1" applyAlignment="1">
      <alignment horizontal="center" vertical="center"/>
    </xf>
    <xf numFmtId="0" fontId="5" fillId="16" borderId="32" xfId="0" applyFont="1" applyFill="1" applyBorder="1" applyAlignment="1">
      <alignment horizontal="center" vertical="center"/>
    </xf>
    <xf numFmtId="0" fontId="5" fillId="16" borderId="86" xfId="0" applyFont="1" applyFill="1" applyBorder="1" applyAlignment="1">
      <alignment horizontal="center" vertical="center"/>
    </xf>
    <xf numFmtId="0" fontId="5" fillId="16" borderId="57" xfId="0" applyFont="1" applyFill="1" applyBorder="1" applyAlignment="1">
      <alignment horizontal="center" vertical="center"/>
    </xf>
    <xf numFmtId="0" fontId="5" fillId="16" borderId="85" xfId="0" applyFont="1" applyFill="1" applyBorder="1" applyAlignment="1">
      <alignment horizontal="center" vertical="center"/>
    </xf>
    <xf numFmtId="0" fontId="5" fillId="16" borderId="60" xfId="0" applyFont="1" applyFill="1" applyBorder="1" applyAlignment="1">
      <alignment horizontal="center" vertical="center"/>
    </xf>
    <xf numFmtId="0" fontId="5" fillId="16" borderId="83" xfId="0" applyFont="1" applyFill="1" applyBorder="1" applyAlignment="1">
      <alignment horizontal="center" vertical="center"/>
    </xf>
    <xf numFmtId="0" fontId="25" fillId="16" borderId="60" xfId="0" applyFont="1" applyFill="1" applyBorder="1" applyAlignment="1">
      <alignment horizontal="center" vertical="center"/>
    </xf>
    <xf numFmtId="0" fontId="5" fillId="16" borderId="50" xfId="0" applyFont="1" applyFill="1" applyBorder="1" applyAlignment="1">
      <alignment horizontal="center" vertical="center"/>
    </xf>
    <xf numFmtId="0" fontId="36" fillId="16" borderId="2" xfId="0" applyFont="1" applyFill="1" applyBorder="1" applyAlignment="1">
      <alignment horizontal="center" vertical="center"/>
    </xf>
    <xf numFmtId="0" fontId="36" fillId="16" borderId="3" xfId="0" applyFont="1" applyFill="1" applyBorder="1" applyAlignment="1">
      <alignment horizontal="center" vertical="center"/>
    </xf>
    <xf numFmtId="0" fontId="39" fillId="16" borderId="4" xfId="0" applyFont="1" applyFill="1" applyBorder="1" applyAlignment="1">
      <alignment horizontal="center" vertical="center"/>
    </xf>
    <xf numFmtId="0" fontId="39" fillId="16" borderId="5" xfId="0" applyFont="1" applyFill="1" applyBorder="1" applyAlignment="1">
      <alignment horizontal="center" vertical="center"/>
    </xf>
    <xf numFmtId="0" fontId="36" fillId="16" borderId="4" xfId="0" applyFont="1" applyFill="1" applyBorder="1" applyAlignment="1">
      <alignment horizontal="center" vertical="center"/>
    </xf>
    <xf numFmtId="0" fontId="36" fillId="16" borderId="5" xfId="0" applyFont="1" applyFill="1" applyBorder="1" applyAlignment="1">
      <alignment horizontal="center" vertical="center"/>
    </xf>
    <xf numFmtId="0" fontId="0" fillId="16" borderId="17" xfId="0" applyFill="1" applyBorder="1" applyAlignment="1">
      <alignment horizontal="left" vertical="center" wrapText="1" indent="1"/>
    </xf>
    <xf numFmtId="0" fontId="0" fillId="16" borderId="43" xfId="0" applyFill="1" applyBorder="1" applyAlignment="1">
      <alignment horizontal="left" vertical="center" wrapText="1" indent="1"/>
    </xf>
    <xf numFmtId="0" fontId="0" fillId="16" borderId="18" xfId="0" applyFill="1" applyBorder="1" applyAlignment="1">
      <alignment horizontal="center" vertical="center" wrapText="1"/>
    </xf>
    <xf numFmtId="0" fontId="1" fillId="16" borderId="27" xfId="0" applyFont="1" applyFill="1" applyBorder="1" applyAlignment="1">
      <alignment horizontal="center" vertical="center"/>
    </xf>
    <xf numFmtId="0" fontId="0" fillId="16" borderId="27" xfId="0" applyFill="1" applyBorder="1" applyAlignment="1">
      <alignment horizontal="center" vertical="center"/>
    </xf>
    <xf numFmtId="0" fontId="0" fillId="18" borderId="0" xfId="0" applyFill="1" applyAlignment="1">
      <alignment vertical="center" wrapText="1"/>
    </xf>
    <xf numFmtId="0" fontId="0" fillId="18" borderId="0" xfId="0" applyFill="1" applyAlignment="1">
      <alignment horizontal="left" vertical="center" wrapText="1" indent="1"/>
    </xf>
    <xf numFmtId="0" fontId="0" fillId="18" borderId="42" xfId="0" applyFill="1" applyBorder="1" applyAlignment="1">
      <alignment horizontal="left" vertical="center" wrapText="1" indent="1"/>
    </xf>
    <xf numFmtId="0" fontId="0" fillId="18" borderId="32" xfId="0" applyFill="1" applyBorder="1" applyAlignment="1">
      <alignment horizontal="left" vertical="center" wrapText="1" indent="1"/>
    </xf>
    <xf numFmtId="0" fontId="0" fillId="18" borderId="17" xfId="0" applyFill="1" applyBorder="1" applyAlignment="1">
      <alignment horizontal="center" vertical="center" wrapText="1"/>
    </xf>
    <xf numFmtId="0" fontId="0" fillId="18" borderId="68" xfId="0" applyFill="1" applyBorder="1" applyAlignment="1">
      <alignment horizontal="left" vertical="center" indent="1"/>
    </xf>
    <xf numFmtId="0" fontId="0" fillId="18" borderId="19" xfId="0" applyFill="1" applyBorder="1" applyAlignment="1">
      <alignment horizontal="center" vertical="center" wrapText="1"/>
    </xf>
    <xf numFmtId="0" fontId="0" fillId="18" borderId="57" xfId="0" applyFill="1" applyBorder="1" applyAlignment="1">
      <alignment horizontal="left" vertical="center" wrapText="1" indent="1"/>
    </xf>
    <xf numFmtId="0" fontId="7" fillId="15" borderId="30" xfId="0" applyFont="1" applyFill="1" applyBorder="1" applyAlignment="1">
      <alignment horizontal="left" vertical="center" wrapText="1" indent="1"/>
    </xf>
    <xf numFmtId="49" fontId="28" fillId="16" borderId="17" xfId="0" applyNumberFormat="1" applyFont="1" applyFill="1" applyBorder="1" applyAlignment="1">
      <alignment horizontal="center" vertical="center" wrapText="1"/>
    </xf>
    <xf numFmtId="49" fontId="28" fillId="16" borderId="21" xfId="0" applyNumberFormat="1" applyFont="1" applyFill="1" applyBorder="1" applyAlignment="1">
      <alignment horizontal="center" vertical="center" wrapText="1"/>
    </xf>
    <xf numFmtId="49" fontId="28" fillId="16" borderId="1" xfId="0" applyNumberFormat="1" applyFont="1" applyFill="1" applyBorder="1" applyAlignment="1">
      <alignment horizontal="center" vertical="center" wrapText="1"/>
    </xf>
    <xf numFmtId="49" fontId="28" fillId="16" borderId="3" xfId="0" applyNumberFormat="1" applyFont="1" applyFill="1" applyBorder="1" applyAlignment="1">
      <alignment horizontal="center" vertical="center" wrapText="1"/>
    </xf>
    <xf numFmtId="49" fontId="28" fillId="16" borderId="17" xfId="1" applyNumberFormat="1" applyFont="1" applyFill="1" applyBorder="1" applyAlignment="1" applyProtection="1">
      <alignment horizontal="center" vertical="center" wrapText="1"/>
    </xf>
    <xf numFmtId="49" fontId="28" fillId="16" borderId="21" xfId="1" applyNumberFormat="1" applyFont="1" applyFill="1" applyBorder="1" applyAlignment="1" applyProtection="1">
      <alignment horizontal="center" vertical="center" wrapText="1"/>
    </xf>
    <xf numFmtId="49" fontId="28" fillId="16" borderId="1" xfId="1" applyNumberFormat="1" applyFont="1" applyFill="1" applyBorder="1" applyAlignment="1" applyProtection="1">
      <alignment horizontal="center" vertical="center" wrapText="1"/>
    </xf>
    <xf numFmtId="49" fontId="28" fillId="16" borderId="3" xfId="1" applyNumberFormat="1" applyFont="1" applyFill="1" applyBorder="1" applyAlignment="1" applyProtection="1">
      <alignment horizontal="center" vertical="center" wrapText="1"/>
    </xf>
    <xf numFmtId="49" fontId="25" fillId="15" borderId="0" xfId="0" applyNumberFormat="1" applyFont="1" applyFill="1" applyAlignment="1">
      <alignment horizontal="center" vertical="center" wrapText="1"/>
    </xf>
    <xf numFmtId="0" fontId="25" fillId="16" borderId="2" xfId="0" applyFont="1" applyFill="1" applyBorder="1" applyAlignment="1">
      <alignment horizontal="left" vertical="center" wrapText="1" indent="1"/>
    </xf>
    <xf numFmtId="0" fontId="59" fillId="16" borderId="17" xfId="0" applyFont="1" applyFill="1" applyBorder="1" applyAlignment="1">
      <alignment horizontal="center" vertical="center" wrapText="1"/>
    </xf>
    <xf numFmtId="9" fontId="59" fillId="16" borderId="1" xfId="0" applyNumberFormat="1" applyFont="1" applyFill="1" applyBorder="1" applyAlignment="1">
      <alignment horizontal="center" vertical="center" wrapText="1"/>
    </xf>
    <xf numFmtId="9" fontId="60" fillId="16" borderId="1" xfId="0" applyNumberFormat="1" applyFont="1" applyFill="1" applyBorder="1" applyAlignment="1">
      <alignment horizontal="center" vertical="center" wrapText="1"/>
    </xf>
    <xf numFmtId="0" fontId="59" fillId="16" borderId="1" xfId="0" applyFont="1" applyFill="1" applyBorder="1" applyAlignment="1">
      <alignment horizontal="center" vertical="center" wrapText="1"/>
    </xf>
    <xf numFmtId="0" fontId="59" fillId="16" borderId="18" xfId="0" applyFont="1" applyFill="1" applyBorder="1" applyAlignment="1">
      <alignment horizontal="center" vertical="center" wrapText="1"/>
    </xf>
    <xf numFmtId="0" fontId="59" fillId="16" borderId="13" xfId="0" applyFont="1" applyFill="1" applyBorder="1" applyAlignment="1">
      <alignment horizontal="center" vertical="center" wrapText="1"/>
    </xf>
    <xf numFmtId="9" fontId="60" fillId="16" borderId="13" xfId="0" applyNumberFormat="1" applyFont="1" applyFill="1" applyBorder="1" applyAlignment="1">
      <alignment horizontal="center" vertical="center" wrapText="1"/>
    </xf>
    <xf numFmtId="0" fontId="5" fillId="16" borderId="41" xfId="0" applyFont="1" applyFill="1" applyBorder="1" applyAlignment="1">
      <alignment horizontal="center" vertical="center"/>
    </xf>
    <xf numFmtId="0" fontId="5" fillId="16" borderId="37" xfId="0" applyFont="1" applyFill="1" applyBorder="1" applyAlignment="1">
      <alignment horizontal="center" vertical="center"/>
    </xf>
    <xf numFmtId="49" fontId="5" fillId="16" borderId="47" xfId="0" applyNumberFormat="1" applyFont="1" applyFill="1" applyBorder="1" applyAlignment="1">
      <alignment horizontal="left" vertical="center" wrapText="1"/>
    </xf>
    <xf numFmtId="0" fontId="5" fillId="16" borderId="22" xfId="0" applyFont="1" applyFill="1" applyBorder="1" applyAlignment="1">
      <alignment horizontal="center" vertical="center"/>
    </xf>
    <xf numFmtId="49" fontId="5" fillId="16" borderId="5" xfId="0" applyNumberFormat="1" applyFont="1" applyFill="1" applyBorder="1" applyAlignment="1">
      <alignment horizontal="left" vertical="center" wrapText="1"/>
    </xf>
    <xf numFmtId="0" fontId="5" fillId="16" borderId="47" xfId="0" applyNumberFormat="1" applyFont="1" applyFill="1" applyBorder="1" applyAlignment="1">
      <alignment horizontal="left" vertical="center" wrapText="1"/>
    </xf>
    <xf numFmtId="0" fontId="25" fillId="16" borderId="42" xfId="0" applyFont="1" applyFill="1" applyBorder="1" applyAlignment="1">
      <alignment vertical="center"/>
    </xf>
    <xf numFmtId="0" fontId="25" fillId="16" borderId="89" xfId="0" applyFont="1" applyFill="1" applyBorder="1" applyAlignment="1">
      <alignment vertical="center"/>
    </xf>
    <xf numFmtId="0" fontId="25" fillId="16" borderId="43" xfId="0" applyFont="1" applyFill="1" applyBorder="1" applyAlignment="1">
      <alignment vertical="center"/>
    </xf>
    <xf numFmtId="0" fontId="30" fillId="16" borderId="42" xfId="0" applyFont="1" applyFill="1" applyBorder="1" applyAlignment="1">
      <alignment vertical="center"/>
    </xf>
    <xf numFmtId="0" fontId="5" fillId="16" borderId="32" xfId="0" applyNumberFormat="1" applyFont="1" applyFill="1" applyBorder="1" applyAlignment="1">
      <alignment horizontal="left" vertical="center" wrapText="1"/>
    </xf>
    <xf numFmtId="0" fontId="5" fillId="16" borderId="33" xfId="0" applyNumberFormat="1" applyFont="1" applyFill="1" applyBorder="1" applyAlignment="1">
      <alignment horizontal="left" vertical="center" wrapText="1"/>
    </xf>
    <xf numFmtId="0" fontId="25" fillId="16" borderId="84" xfId="0" applyFont="1" applyFill="1" applyBorder="1" applyAlignment="1">
      <alignment vertical="center"/>
    </xf>
    <xf numFmtId="0" fontId="5" fillId="16" borderId="59" xfId="0" applyFont="1" applyFill="1" applyBorder="1" applyAlignment="1">
      <alignment horizontal="center" vertical="center"/>
    </xf>
    <xf numFmtId="0" fontId="5" fillId="16" borderId="85" xfId="0" applyNumberFormat="1" applyFont="1" applyFill="1" applyBorder="1" applyAlignment="1">
      <alignment horizontal="left" vertical="center" wrapText="1"/>
    </xf>
    <xf numFmtId="0" fontId="5" fillId="16" borderId="33" xfId="0" applyFont="1" applyFill="1" applyBorder="1" applyAlignment="1">
      <alignment horizontal="center" vertical="center" wrapText="1"/>
    </xf>
    <xf numFmtId="49" fontId="33" fillId="15" borderId="6" xfId="0" applyNumberFormat="1" applyFont="1" applyFill="1" applyBorder="1" applyAlignment="1">
      <alignment horizontal="center" vertical="center" wrapText="1"/>
    </xf>
    <xf numFmtId="49" fontId="33" fillId="15" borderId="90" xfId="0" applyNumberFormat="1" applyFont="1" applyFill="1" applyBorder="1" applyAlignment="1">
      <alignment horizontal="center" vertical="center" wrapText="1"/>
    </xf>
    <xf numFmtId="49" fontId="33" fillId="15" borderId="7" xfId="0" applyNumberFormat="1" applyFont="1" applyFill="1" applyBorder="1" applyAlignment="1">
      <alignment horizontal="center" vertical="center" wrapText="1"/>
    </xf>
    <xf numFmtId="49" fontId="33" fillId="15" borderId="34" xfId="0" applyNumberFormat="1" applyFont="1" applyFill="1" applyBorder="1" applyAlignment="1">
      <alignment horizontal="center" vertical="center" wrapText="1"/>
    </xf>
    <xf numFmtId="49" fontId="26" fillId="19" borderId="9" xfId="0" applyNumberFormat="1" applyFont="1" applyFill="1" applyBorder="1" applyAlignment="1">
      <alignment horizontal="center" vertical="center" wrapText="1"/>
    </xf>
    <xf numFmtId="49" fontId="26" fillId="19" borderId="2" xfId="0" applyNumberFormat="1" applyFont="1" applyFill="1" applyBorder="1" applyAlignment="1">
      <alignment horizontal="center" vertical="center" wrapText="1"/>
    </xf>
    <xf numFmtId="0" fontId="5" fillId="16" borderId="18" xfId="0" applyFont="1" applyFill="1" applyBorder="1" applyAlignment="1">
      <alignment horizontal="center" vertical="center" wrapText="1"/>
    </xf>
    <xf numFmtId="0" fontId="5" fillId="16" borderId="28" xfId="0" applyFont="1" applyFill="1" applyBorder="1" applyAlignment="1">
      <alignment horizontal="center" vertical="center" wrapText="1"/>
    </xf>
    <xf numFmtId="0" fontId="28" fillId="16" borderId="13" xfId="0" applyFont="1" applyFill="1" applyBorder="1" applyAlignment="1">
      <alignment horizontal="center" vertical="center" wrapText="1"/>
    </xf>
    <xf numFmtId="0" fontId="28" fillId="16" borderId="5" xfId="0" applyFont="1" applyFill="1" applyBorder="1" applyAlignment="1">
      <alignment horizontal="center" vertical="center" wrapText="1"/>
    </xf>
    <xf numFmtId="0" fontId="5" fillId="16" borderId="17" xfId="0" applyFont="1" applyFill="1" applyBorder="1" applyAlignment="1">
      <alignment horizontal="center" vertical="center" wrapText="1"/>
    </xf>
    <xf numFmtId="0" fontId="5" fillId="16" borderId="27" xfId="0" applyFont="1" applyFill="1" applyBorder="1" applyAlignment="1">
      <alignment horizontal="center" vertical="center" wrapText="1"/>
    </xf>
    <xf numFmtId="0" fontId="0" fillId="16" borderId="42" xfId="0" applyFill="1" applyBorder="1" applyAlignment="1">
      <alignment horizontal="center" vertical="center"/>
    </xf>
    <xf numFmtId="0" fontId="28" fillId="16" borderId="42" xfId="0" applyFont="1" applyFill="1" applyBorder="1" applyAlignment="1">
      <alignment horizontal="center" vertical="center"/>
    </xf>
    <xf numFmtId="0" fontId="28" fillId="16" borderId="1" xfId="0" applyFont="1" applyFill="1" applyBorder="1" applyAlignment="1">
      <alignment horizontal="center" vertical="center"/>
    </xf>
    <xf numFmtId="0" fontId="28" fillId="16" borderId="3" xfId="0" applyFont="1" applyFill="1" applyBorder="1" applyAlignment="1">
      <alignment horizontal="center" vertical="center"/>
    </xf>
    <xf numFmtId="0" fontId="28" fillId="16" borderId="21" xfId="0" applyFont="1" applyFill="1" applyBorder="1" applyAlignment="1">
      <alignment horizontal="center" vertical="center"/>
    </xf>
    <xf numFmtId="0" fontId="28" fillId="16" borderId="5" xfId="0" applyFont="1" applyFill="1" applyBorder="1" applyAlignment="1">
      <alignment horizontal="center" vertical="center"/>
    </xf>
    <xf numFmtId="0" fontId="0" fillId="16" borderId="2" xfId="0" applyFill="1" applyBorder="1" applyAlignment="1">
      <alignment horizontal="center"/>
    </xf>
    <xf numFmtId="0" fontId="0" fillId="16" borderId="57" xfId="0" applyFill="1" applyBorder="1" applyAlignment="1">
      <alignment horizontal="center"/>
    </xf>
    <xf numFmtId="0" fontId="1" fillId="16" borderId="1" xfId="0" applyFont="1" applyFill="1" applyBorder="1" applyAlignment="1">
      <alignment horizontal="center"/>
    </xf>
    <xf numFmtId="9" fontId="0" fillId="16" borderId="32" xfId="0" applyNumberFormat="1" applyFill="1" applyBorder="1" applyAlignment="1">
      <alignment horizontal="center"/>
    </xf>
    <xf numFmtId="0" fontId="19" fillId="16" borderId="17" xfId="0" applyFont="1" applyFill="1" applyBorder="1" applyAlignment="1">
      <alignment horizontal="center" vertical="center" wrapText="1"/>
    </xf>
    <xf numFmtId="0" fontId="0" fillId="16" borderId="27" xfId="0" applyFill="1" applyBorder="1" applyAlignment="1">
      <alignment horizontal="center" vertical="center" wrapText="1"/>
    </xf>
    <xf numFmtId="49" fontId="13" fillId="16" borderId="2" xfId="0" applyNumberFormat="1" applyFont="1" applyFill="1" applyBorder="1" applyAlignment="1">
      <alignment horizontal="center" vertical="center" wrapText="1"/>
    </xf>
    <xf numFmtId="49" fontId="12" fillId="16" borderId="1" xfId="0" applyNumberFormat="1" applyFont="1" applyFill="1" applyBorder="1" applyAlignment="1">
      <alignment horizontal="center" vertical="center" wrapText="1"/>
    </xf>
    <xf numFmtId="3" fontId="13" fillId="16" borderId="1" xfId="0" applyNumberFormat="1" applyFont="1" applyFill="1" applyBorder="1" applyAlignment="1">
      <alignment horizontal="center" vertical="center" wrapText="1"/>
    </xf>
    <xf numFmtId="3" fontId="12" fillId="16" borderId="1" xfId="0" applyNumberFormat="1" applyFont="1" applyFill="1" applyBorder="1" applyAlignment="1">
      <alignment horizontal="center" vertical="center" wrapText="1"/>
    </xf>
    <xf numFmtId="3" fontId="12" fillId="16" borderId="3" xfId="0" applyNumberFormat="1" applyFont="1" applyFill="1" applyBorder="1" applyAlignment="1">
      <alignment horizontal="center" vertical="center" wrapText="1"/>
    </xf>
    <xf numFmtId="0" fontId="1" fillId="16" borderId="17" xfId="0" applyFont="1" applyFill="1" applyBorder="1" applyAlignment="1">
      <alignment horizontal="center" vertical="center" wrapText="1"/>
    </xf>
    <xf numFmtId="49" fontId="12" fillId="16" borderId="2" xfId="0" applyNumberFormat="1" applyFont="1" applyFill="1" applyBorder="1" applyAlignment="1">
      <alignment horizontal="center" vertical="center" wrapText="1"/>
    </xf>
    <xf numFmtId="3" fontId="12" fillId="16" borderId="3" xfId="0" quotePrefix="1" applyNumberFormat="1" applyFont="1" applyFill="1" applyBorder="1" applyAlignment="1">
      <alignment horizontal="center" vertical="center" wrapText="1"/>
    </xf>
    <xf numFmtId="49" fontId="13" fillId="16" borderId="1" xfId="0" applyNumberFormat="1" applyFont="1" applyFill="1" applyBorder="1" applyAlignment="1">
      <alignment horizontal="center" vertical="center" wrapText="1"/>
    </xf>
    <xf numFmtId="0" fontId="19" fillId="16" borderId="82" xfId="0" applyFont="1" applyFill="1" applyBorder="1" applyAlignment="1">
      <alignment horizontal="center" vertical="center" wrapText="1"/>
    </xf>
    <xf numFmtId="0" fontId="0" fillId="16" borderId="92" xfId="0" applyFill="1" applyBorder="1" applyAlignment="1">
      <alignment horizontal="center" vertical="center" wrapText="1"/>
    </xf>
    <xf numFmtId="49" fontId="12" fillId="16" borderId="61" xfId="0" applyNumberFormat="1" applyFont="1" applyFill="1" applyBorder="1" applyAlignment="1">
      <alignment horizontal="center" vertical="center" wrapText="1"/>
    </xf>
    <xf numFmtId="49" fontId="12" fillId="16" borderId="37" xfId="0" applyNumberFormat="1" applyFont="1" applyFill="1" applyBorder="1" applyAlignment="1">
      <alignment horizontal="center" vertical="center" wrapText="1"/>
    </xf>
    <xf numFmtId="3" fontId="13" fillId="16" borderId="37" xfId="0" applyNumberFormat="1" applyFont="1" applyFill="1" applyBorder="1" applyAlignment="1">
      <alignment horizontal="center" vertical="center" wrapText="1"/>
    </xf>
    <xf numFmtId="3" fontId="12" fillId="16" borderId="47" xfId="0" applyNumberFormat="1" applyFont="1" applyFill="1" applyBorder="1" applyAlignment="1">
      <alignment horizontal="center" vertical="center" wrapText="1"/>
    </xf>
    <xf numFmtId="0" fontId="19" fillId="16" borderId="18" xfId="0" applyFont="1" applyFill="1" applyBorder="1" applyAlignment="1">
      <alignment horizontal="center" vertical="center" wrapText="1"/>
    </xf>
    <xf numFmtId="49" fontId="12" fillId="16" borderId="4" xfId="0" applyNumberFormat="1" applyFont="1" applyFill="1" applyBorder="1" applyAlignment="1">
      <alignment horizontal="center" vertical="center" wrapText="1"/>
    </xf>
    <xf numFmtId="49" fontId="12" fillId="16" borderId="13" xfId="0" applyNumberFormat="1" applyFont="1" applyFill="1" applyBorder="1" applyAlignment="1">
      <alignment horizontal="center" vertical="center" wrapText="1"/>
    </xf>
    <xf numFmtId="3" fontId="13" fillId="16" borderId="13" xfId="0" applyNumberFormat="1" applyFont="1" applyFill="1" applyBorder="1" applyAlignment="1">
      <alignment horizontal="center" vertical="center" wrapText="1"/>
    </xf>
    <xf numFmtId="3" fontId="12" fillId="16" borderId="5" xfId="0" applyNumberFormat="1" applyFont="1" applyFill="1" applyBorder="1" applyAlignment="1">
      <alignment horizontal="center" vertical="center" wrapText="1"/>
    </xf>
    <xf numFmtId="0" fontId="17" fillId="16" borderId="17" xfId="0" applyFont="1" applyFill="1" applyBorder="1" applyAlignment="1">
      <alignment horizontal="center" vertical="center" wrapText="1"/>
    </xf>
    <xf numFmtId="0" fontId="17" fillId="16" borderId="27" xfId="0" applyFont="1" applyFill="1" applyBorder="1" applyAlignment="1">
      <alignment horizontal="center" vertical="center" wrapText="1"/>
    </xf>
    <xf numFmtId="3" fontId="12" fillId="16" borderId="21" xfId="0" applyNumberFormat="1" applyFont="1" applyFill="1" applyBorder="1" applyAlignment="1">
      <alignment horizontal="center" vertical="center" wrapText="1"/>
    </xf>
    <xf numFmtId="0" fontId="5" fillId="16" borderId="3" xfId="0" applyFont="1" applyFill="1" applyBorder="1" applyAlignment="1">
      <alignment vertical="center" wrapText="1"/>
    </xf>
    <xf numFmtId="0" fontId="28" fillId="16" borderId="3" xfId="0" applyFont="1" applyFill="1" applyBorder="1" applyAlignment="1">
      <alignment horizontal="left" vertical="center" wrapText="1"/>
    </xf>
    <xf numFmtId="0" fontId="28" fillId="16" borderId="47" xfId="0" applyFont="1" applyFill="1" applyBorder="1" applyAlignment="1">
      <alignment horizontal="left" vertical="center" wrapText="1"/>
    </xf>
    <xf numFmtId="0" fontId="28" fillId="16" borderId="3" xfId="0" applyFont="1" applyFill="1" applyBorder="1" applyAlignment="1">
      <alignment vertical="center" wrapText="1"/>
    </xf>
    <xf numFmtId="0" fontId="28" fillId="16" borderId="5" xfId="0" applyFont="1" applyFill="1" applyBorder="1" applyAlignment="1">
      <alignment horizontal="left" vertical="center" wrapText="1"/>
    </xf>
    <xf numFmtId="0" fontId="25" fillId="16" borderId="17" xfId="0" applyFont="1" applyFill="1" applyBorder="1" applyAlignment="1">
      <alignment horizontal="center" vertical="center" wrapText="1"/>
    </xf>
    <xf numFmtId="16" fontId="5" fillId="16" borderId="17" xfId="0" quotePrefix="1" applyNumberFormat="1" applyFont="1" applyFill="1" applyBorder="1" applyAlignment="1">
      <alignment horizontal="center" vertical="center" wrapText="1"/>
    </xf>
    <xf numFmtId="9" fontId="5" fillId="16" borderId="2" xfId="0" applyNumberFormat="1" applyFont="1" applyFill="1" applyBorder="1" applyAlignment="1">
      <alignment horizontal="center" vertical="center"/>
    </xf>
    <xf numFmtId="9" fontId="5" fillId="16" borderId="4" xfId="0" applyNumberFormat="1" applyFont="1" applyFill="1" applyBorder="1" applyAlignment="1">
      <alignment horizontal="center" vertical="center"/>
    </xf>
    <xf numFmtId="9" fontId="26" fillId="16" borderId="10" xfId="0" applyNumberFormat="1" applyFont="1" applyFill="1" applyBorder="1" applyAlignment="1">
      <alignment horizontal="center" vertical="center" wrapText="1"/>
    </xf>
    <xf numFmtId="9" fontId="26" fillId="16" borderId="2" xfId="0" applyNumberFormat="1" applyFont="1" applyFill="1" applyBorder="1" applyAlignment="1">
      <alignment horizontal="center" vertical="center" wrapText="1"/>
    </xf>
    <xf numFmtId="9" fontId="26" fillId="16" borderId="4" xfId="0" applyNumberFormat="1" applyFont="1" applyFill="1" applyBorder="1" applyAlignment="1">
      <alignment horizontal="center" vertical="center" wrapText="1"/>
    </xf>
    <xf numFmtId="0" fontId="25" fillId="15" borderId="25" xfId="0" applyFont="1" applyFill="1" applyBorder="1" applyAlignment="1">
      <alignment horizontal="center" vertical="center"/>
    </xf>
    <xf numFmtId="0" fontId="25" fillId="15" borderId="29" xfId="0" applyFont="1" applyFill="1" applyBorder="1" applyAlignment="1">
      <alignment horizontal="center" vertical="center"/>
    </xf>
    <xf numFmtId="0" fontId="5" fillId="16" borderId="42" xfId="0" applyFont="1" applyFill="1" applyBorder="1" applyAlignment="1">
      <alignment horizontal="center" vertical="center" wrapText="1"/>
    </xf>
    <xf numFmtId="0" fontId="25" fillId="16" borderId="42" xfId="0" applyFont="1" applyFill="1" applyBorder="1" applyAlignment="1">
      <alignment horizontal="center" vertical="center" wrapText="1"/>
    </xf>
    <xf numFmtId="49" fontId="5" fillId="16" borderId="17" xfId="0" applyNumberFormat="1" applyFont="1" applyFill="1" applyBorder="1" applyAlignment="1">
      <alignment horizontal="center" vertical="center" wrapText="1"/>
    </xf>
    <xf numFmtId="9" fontId="5" fillId="16" borderId="2" xfId="0" applyNumberFormat="1" applyFont="1" applyFill="1" applyBorder="1" applyAlignment="1">
      <alignment horizontal="center" vertical="center" wrapText="1"/>
    </xf>
    <xf numFmtId="9" fontId="5" fillId="16" borderId="4" xfId="0" applyNumberFormat="1" applyFont="1" applyFill="1" applyBorder="1" applyAlignment="1">
      <alignment horizontal="center" vertical="center" wrapText="1"/>
    </xf>
    <xf numFmtId="9" fontId="5" fillId="16" borderId="9" xfId="0" applyNumberFormat="1" applyFont="1" applyFill="1" applyBorder="1" applyAlignment="1">
      <alignment horizontal="center" vertical="center" wrapText="1"/>
    </xf>
    <xf numFmtId="9" fontId="5" fillId="16" borderId="10" xfId="0" applyNumberFormat="1" applyFont="1" applyFill="1" applyBorder="1" applyAlignment="1">
      <alignment horizontal="center" vertical="center" wrapText="1"/>
    </xf>
    <xf numFmtId="0" fontId="25" fillId="15" borderId="25" xfId="0" applyFont="1" applyFill="1" applyBorder="1" applyAlignment="1">
      <alignment horizontal="center" vertical="center" wrapText="1"/>
    </xf>
    <xf numFmtId="0" fontId="25" fillId="15" borderId="29" xfId="0" applyFont="1" applyFill="1" applyBorder="1" applyAlignment="1">
      <alignment horizontal="center" vertical="center" wrapText="1"/>
    </xf>
    <xf numFmtId="9" fontId="5" fillId="16" borderId="2" xfId="0" applyNumberFormat="1" applyFont="1" applyFill="1" applyBorder="1" applyAlignment="1">
      <alignment horizontal="left" vertical="center" wrapText="1"/>
    </xf>
    <xf numFmtId="9" fontId="25" fillId="15" borderId="6" xfId="0" applyNumberFormat="1" applyFont="1" applyFill="1" applyBorder="1" applyAlignment="1">
      <alignment horizontal="center" vertical="center" wrapText="1"/>
    </xf>
    <xf numFmtId="9" fontId="25" fillId="15" borderId="7" xfId="0" applyNumberFormat="1" applyFont="1" applyFill="1" applyBorder="1" applyAlignment="1">
      <alignment horizontal="center" vertical="center" wrapText="1"/>
    </xf>
    <xf numFmtId="166" fontId="0" fillId="16" borderId="32" xfId="0" applyNumberFormat="1" applyFill="1" applyBorder="1" applyAlignment="1">
      <alignment horizontal="left" vertical="center" wrapText="1" indent="1"/>
    </xf>
    <xf numFmtId="9" fontId="0" fillId="16" borderId="33" xfId="0" applyNumberFormat="1" applyFill="1" applyBorder="1" applyAlignment="1">
      <alignment horizontal="left" vertical="center" wrapText="1" indent="1"/>
    </xf>
    <xf numFmtId="166" fontId="0" fillId="16" borderId="57" xfId="0" applyNumberFormat="1" applyFill="1" applyBorder="1" applyAlignment="1">
      <alignment horizontal="left" vertical="center" wrapText="1" indent="1"/>
    </xf>
    <xf numFmtId="9" fontId="0" fillId="16" borderId="57" xfId="0" applyNumberFormat="1" applyFill="1" applyBorder="1" applyAlignment="1">
      <alignment horizontal="left" vertical="center" wrapText="1" indent="1"/>
    </xf>
    <xf numFmtId="0" fontId="5" fillId="16" borderId="18" xfId="0" applyFont="1" applyFill="1" applyBorder="1" applyAlignment="1">
      <alignment horizontal="center" vertical="center"/>
    </xf>
    <xf numFmtId="9" fontId="5" fillId="16" borderId="4" xfId="0" applyNumberFormat="1" applyFont="1" applyFill="1" applyBorder="1" applyAlignment="1">
      <alignment horizontal="left" vertical="center" wrapText="1"/>
    </xf>
    <xf numFmtId="0" fontId="5" fillId="16" borderId="51" xfId="0" applyFont="1" applyFill="1" applyBorder="1" applyAlignment="1">
      <alignment horizontal="left" vertical="center" wrapText="1" indent="1"/>
    </xf>
    <xf numFmtId="0" fontId="5" fillId="16" borderId="83" xfId="0" applyFont="1" applyFill="1" applyBorder="1" applyAlignment="1">
      <alignment horizontal="left" vertical="center" wrapText="1" indent="1"/>
    </xf>
    <xf numFmtId="0" fontId="5" fillId="16" borderId="33" xfId="0" applyFont="1" applyFill="1" applyBorder="1" applyAlignment="1">
      <alignment horizontal="left" vertical="center" wrapText="1" indent="1"/>
    </xf>
    <xf numFmtId="0" fontId="5" fillId="16" borderId="60" xfId="0" applyFont="1" applyFill="1" applyBorder="1" applyAlignment="1">
      <alignment horizontal="left" vertical="center" wrapText="1" indent="1"/>
    </xf>
    <xf numFmtId="0" fontId="5" fillId="16" borderId="17" xfId="0" applyFont="1" applyFill="1" applyBorder="1" applyAlignment="1">
      <alignment horizontal="left" vertical="center" wrapText="1" indent="1"/>
    </xf>
    <xf numFmtId="0" fontId="5" fillId="16" borderId="13" xfId="0" applyFont="1" applyFill="1" applyBorder="1" applyAlignment="1">
      <alignment horizontal="center" vertical="center"/>
    </xf>
    <xf numFmtId="0" fontId="5" fillId="16" borderId="5" xfId="0" applyFont="1" applyFill="1" applyBorder="1" applyAlignment="1">
      <alignment horizontal="center" vertical="center"/>
    </xf>
    <xf numFmtId="0" fontId="5" fillId="16" borderId="33" xfId="0" applyFont="1" applyFill="1" applyBorder="1" applyAlignment="1">
      <alignment horizontal="center" vertical="center"/>
    </xf>
    <xf numFmtId="0" fontId="5" fillId="16" borderId="18" xfId="0" applyFont="1" applyFill="1" applyBorder="1" applyAlignment="1">
      <alignment horizontal="left" vertical="center" wrapText="1" indent="1"/>
    </xf>
    <xf numFmtId="0" fontId="5" fillId="16" borderId="1" xfId="0" applyFont="1" applyFill="1" applyBorder="1" applyAlignment="1">
      <alignment horizontal="center" vertical="center"/>
    </xf>
    <xf numFmtId="0" fontId="5" fillId="16" borderId="2" xfId="0" applyFont="1" applyFill="1" applyBorder="1" applyAlignment="1">
      <alignment horizontal="left" vertical="center" wrapText="1" indent="1"/>
    </xf>
    <xf numFmtId="0" fontId="7" fillId="15" borderId="5" xfId="0" applyFont="1" applyFill="1" applyBorder="1" applyAlignment="1">
      <alignment horizontal="center" vertical="center"/>
    </xf>
    <xf numFmtId="0" fontId="5" fillId="18" borderId="17" xfId="0" applyFont="1" applyFill="1" applyBorder="1" applyAlignment="1">
      <alignment horizontal="left" vertical="center"/>
    </xf>
    <xf numFmtId="3" fontId="5" fillId="18" borderId="21" xfId="0" applyNumberFormat="1" applyFont="1" applyFill="1" applyBorder="1" applyAlignment="1">
      <alignment horizontal="center" vertical="center"/>
    </xf>
    <xf numFmtId="0" fontId="5" fillId="18" borderId="1" xfId="0" applyFont="1" applyFill="1" applyBorder="1" applyAlignment="1">
      <alignment horizontal="center" vertical="center"/>
    </xf>
    <xf numFmtId="0" fontId="5" fillId="18" borderId="3" xfId="0" applyFont="1" applyFill="1" applyBorder="1" applyAlignment="1">
      <alignment horizontal="center" vertical="center"/>
    </xf>
    <xf numFmtId="0" fontId="5" fillId="16" borderId="17" xfId="0" applyFont="1" applyFill="1" applyBorder="1" applyAlignment="1">
      <alignment horizontal="left" vertical="center"/>
    </xf>
    <xf numFmtId="3" fontId="5" fillId="16" borderId="21" xfId="0" applyNumberFormat="1" applyFont="1" applyFill="1" applyBorder="1" applyAlignment="1">
      <alignment horizontal="center" vertical="center"/>
    </xf>
    <xf numFmtId="0" fontId="5" fillId="16" borderId="17" xfId="0" applyFont="1" applyFill="1" applyBorder="1" applyAlignment="1">
      <alignment horizontal="left" vertical="center" wrapText="1"/>
    </xf>
    <xf numFmtId="0" fontId="5" fillId="16" borderId="62" xfId="0" applyFont="1" applyFill="1" applyBorder="1" applyAlignment="1">
      <alignment horizontal="left" vertical="center"/>
    </xf>
    <xf numFmtId="3" fontId="5" fillId="16" borderId="63" xfId="0" applyNumberFormat="1" applyFont="1" applyFill="1" applyBorder="1" applyAlignment="1">
      <alignment horizontal="center" vertical="center"/>
    </xf>
    <xf numFmtId="0" fontId="5" fillId="16" borderId="35" xfId="0" applyFont="1" applyFill="1" applyBorder="1" applyAlignment="1">
      <alignment horizontal="center" vertical="center"/>
    </xf>
    <xf numFmtId="0" fontId="5" fillId="16" borderId="64" xfId="0" applyFont="1" applyFill="1" applyBorder="1" applyAlignment="1">
      <alignment horizontal="center" vertical="center"/>
    </xf>
    <xf numFmtId="0" fontId="5" fillId="16" borderId="62" xfId="0" applyFont="1" applyFill="1" applyBorder="1" applyAlignment="1">
      <alignment horizontal="left" vertical="center" wrapText="1"/>
    </xf>
    <xf numFmtId="0" fontId="5" fillId="16" borderId="19" xfId="0" applyFont="1" applyFill="1" applyBorder="1" applyAlignment="1">
      <alignment horizontal="left" vertical="center"/>
    </xf>
    <xf numFmtId="0" fontId="5" fillId="16" borderId="19" xfId="0" applyFont="1" applyFill="1" applyBorder="1" applyAlignment="1">
      <alignment horizontal="left" vertical="center" wrapText="1"/>
    </xf>
    <xf numFmtId="0" fontId="5" fillId="16" borderId="18" xfId="0" applyFont="1" applyFill="1" applyBorder="1" applyAlignment="1">
      <alignment horizontal="left" vertical="center"/>
    </xf>
    <xf numFmtId="0" fontId="5" fillId="16" borderId="18" xfId="0" applyFont="1" applyFill="1" applyBorder="1" applyAlignment="1">
      <alignment horizontal="left" vertical="center" wrapText="1"/>
    </xf>
    <xf numFmtId="0" fontId="5" fillId="18" borderId="19" xfId="0" applyFont="1" applyFill="1" applyBorder="1" applyAlignment="1">
      <alignment horizontal="left" vertical="center"/>
    </xf>
    <xf numFmtId="3" fontId="5" fillId="18" borderId="23" xfId="0" applyNumberFormat="1" applyFont="1" applyFill="1" applyBorder="1" applyAlignment="1">
      <alignment horizontal="center" vertical="center"/>
    </xf>
    <xf numFmtId="0" fontId="5" fillId="18" borderId="15" xfId="0" applyFont="1" applyFill="1" applyBorder="1" applyAlignment="1">
      <alignment horizontal="center" vertical="center"/>
    </xf>
    <xf numFmtId="0" fontId="5" fillId="18" borderId="8" xfId="0" applyFont="1" applyFill="1" applyBorder="1" applyAlignment="1">
      <alignment horizontal="center" vertical="center"/>
    </xf>
    <xf numFmtId="0" fontId="5" fillId="18" borderId="19" xfId="0" applyFont="1" applyFill="1" applyBorder="1" applyAlignment="1">
      <alignment horizontal="left" vertical="center" wrapText="1"/>
    </xf>
    <xf numFmtId="0" fontId="5" fillId="18" borderId="18" xfId="0" applyFont="1" applyFill="1" applyBorder="1" applyAlignment="1">
      <alignment horizontal="left" vertical="center"/>
    </xf>
    <xf numFmtId="3" fontId="5" fillId="18" borderId="22" xfId="0" applyNumberFormat="1" applyFont="1" applyFill="1" applyBorder="1" applyAlignment="1">
      <alignment horizontal="center" vertical="center"/>
    </xf>
    <xf numFmtId="0" fontId="5" fillId="18" borderId="18" xfId="0" applyFont="1" applyFill="1" applyBorder="1" applyAlignment="1">
      <alignment horizontal="left" vertical="center" wrapText="1"/>
    </xf>
    <xf numFmtId="3" fontId="5" fillId="16" borderId="2" xfId="0" applyNumberFormat="1" applyFont="1" applyFill="1" applyBorder="1" applyAlignment="1">
      <alignment horizontal="center" vertical="center"/>
    </xf>
    <xf numFmtId="3" fontId="5" fillId="16" borderId="66" xfId="0" applyNumberFormat="1" applyFont="1" applyFill="1" applyBorder="1" applyAlignment="1">
      <alignment horizontal="center" vertical="center"/>
    </xf>
    <xf numFmtId="3" fontId="5" fillId="16" borderId="4" xfId="0" applyNumberFormat="1" applyFont="1" applyFill="1" applyBorder="1" applyAlignment="1">
      <alignment horizontal="center" vertical="center"/>
    </xf>
    <xf numFmtId="49" fontId="5" fillId="16" borderId="17" xfId="0" applyNumberFormat="1" applyFont="1" applyFill="1" applyBorder="1" applyAlignment="1">
      <alignment horizontal="left" vertical="center" wrapText="1"/>
    </xf>
    <xf numFmtId="0" fontId="30" fillId="16" borderId="1" xfId="0" applyFont="1" applyFill="1" applyBorder="1" applyAlignment="1">
      <alignment horizontal="center" vertical="center"/>
    </xf>
    <xf numFmtId="3" fontId="30" fillId="16" borderId="2" xfId="0" applyNumberFormat="1" applyFont="1" applyFill="1" applyBorder="1" applyAlignment="1">
      <alignment horizontal="center" vertical="center"/>
    </xf>
    <xf numFmtId="0" fontId="64" fillId="16" borderId="1" xfId="0" applyFont="1" applyFill="1" applyBorder="1" applyAlignment="1">
      <alignment horizontal="center" vertical="center"/>
    </xf>
    <xf numFmtId="3" fontId="64" fillId="16" borderId="2" xfId="0" applyNumberFormat="1" applyFont="1" applyFill="1" applyBorder="1" applyAlignment="1">
      <alignment horizontal="center" vertical="center"/>
    </xf>
    <xf numFmtId="0" fontId="5" fillId="16" borderId="2" xfId="0" applyFont="1" applyFill="1" applyBorder="1" applyAlignment="1">
      <alignment horizontal="left" vertical="center" indent="1"/>
    </xf>
    <xf numFmtId="0" fontId="25" fillId="15" borderId="30" xfId="0" applyFont="1" applyFill="1" applyBorder="1" applyAlignment="1">
      <alignment horizontal="center" vertical="center" wrapText="1"/>
    </xf>
    <xf numFmtId="0" fontId="0" fillId="0" borderId="0" xfId="0" applyFill="1" applyAlignment="1">
      <alignment vertical="center"/>
    </xf>
    <xf numFmtId="0" fontId="0" fillId="16" borderId="17" xfId="0" applyNumberFormat="1" applyFill="1" applyBorder="1" applyAlignment="1">
      <alignment horizontal="center" vertical="center"/>
    </xf>
    <xf numFmtId="0" fontId="5" fillId="16" borderId="21" xfId="0" applyFont="1" applyFill="1" applyBorder="1" applyAlignment="1">
      <alignment horizontal="center" vertical="center"/>
    </xf>
    <xf numFmtId="0" fontId="36" fillId="16" borderId="2" xfId="0" applyFont="1" applyFill="1" applyBorder="1" applyAlignment="1">
      <alignment vertical="center" wrapText="1"/>
    </xf>
    <xf numFmtId="0" fontId="25" fillId="15" borderId="94" xfId="0" applyFont="1" applyFill="1" applyBorder="1" applyAlignment="1">
      <alignment horizontal="center" vertical="center"/>
    </xf>
    <xf numFmtId="0" fontId="0" fillId="16" borderId="43" xfId="0" applyFill="1" applyBorder="1" applyAlignment="1">
      <alignment horizontal="center" vertical="center"/>
    </xf>
    <xf numFmtId="0" fontId="5" fillId="16" borderId="3" xfId="0" applyFont="1" applyFill="1" applyBorder="1" applyAlignment="1">
      <alignment horizontal="left" vertical="center" indent="1"/>
    </xf>
    <xf numFmtId="0" fontId="39" fillId="16" borderId="2" xfId="0" applyFont="1" applyFill="1" applyBorder="1" applyAlignment="1">
      <alignment horizontal="center" vertical="center"/>
    </xf>
    <xf numFmtId="0" fontId="39" fillId="16" borderId="61" xfId="0" applyFont="1" applyFill="1" applyBorder="1" applyAlignment="1">
      <alignment horizontal="center" vertical="center"/>
    </xf>
    <xf numFmtId="0" fontId="5" fillId="16" borderId="47" xfId="0" applyFont="1" applyFill="1" applyBorder="1" applyAlignment="1">
      <alignment horizontal="left" vertical="center" indent="1"/>
    </xf>
    <xf numFmtId="0" fontId="25" fillId="16" borderId="47" xfId="0" applyFont="1" applyFill="1" applyBorder="1" applyAlignment="1">
      <alignment horizontal="left" vertical="center" indent="1"/>
    </xf>
    <xf numFmtId="0" fontId="36" fillId="16" borderId="61" xfId="0" applyFont="1" applyFill="1" applyBorder="1" applyAlignment="1">
      <alignment horizontal="center" vertical="center"/>
    </xf>
    <xf numFmtId="0" fontId="5" fillId="16" borderId="47" xfId="0" applyFont="1" applyFill="1" applyBorder="1" applyAlignment="1">
      <alignment horizontal="left" vertical="center" wrapText="1" indent="1"/>
    </xf>
    <xf numFmtId="0" fontId="39" fillId="16" borderId="61" xfId="0" applyFont="1" applyFill="1" applyBorder="1" applyAlignment="1">
      <alignment horizontal="center" vertical="center" wrapText="1"/>
    </xf>
    <xf numFmtId="0" fontId="5" fillId="16" borderId="5" xfId="0" applyFont="1" applyFill="1" applyBorder="1" applyAlignment="1">
      <alignment horizontal="left" vertical="center" indent="1"/>
    </xf>
    <xf numFmtId="0" fontId="25" fillId="15" borderId="6" xfId="0" applyFont="1" applyFill="1" applyBorder="1" applyAlignment="1">
      <alignment horizontal="center" vertical="center" wrapText="1"/>
    </xf>
    <xf numFmtId="9" fontId="5" fillId="16" borderId="3" xfId="0" applyNumberFormat="1" applyFont="1" applyFill="1" applyBorder="1" applyAlignment="1">
      <alignment horizontal="center" vertical="center" wrapText="1"/>
    </xf>
    <xf numFmtId="9" fontId="5" fillId="16" borderId="5" xfId="0" applyNumberFormat="1" applyFont="1" applyFill="1" applyBorder="1" applyAlignment="1">
      <alignment horizontal="center" vertical="center" wrapText="1"/>
    </xf>
    <xf numFmtId="0" fontId="5" fillId="16" borderId="82" xfId="0" applyFont="1" applyFill="1" applyBorder="1" applyAlignment="1">
      <alignment horizontal="center" vertical="center"/>
    </xf>
    <xf numFmtId="0" fontId="5" fillId="16" borderId="54" xfId="0" applyFont="1" applyFill="1" applyBorder="1" applyAlignment="1">
      <alignment horizontal="center" vertical="center"/>
    </xf>
    <xf numFmtId="0" fontId="5" fillId="16" borderId="49" xfId="0" applyFont="1" applyFill="1" applyBorder="1" applyAlignment="1">
      <alignment horizontal="center" vertical="center"/>
    </xf>
    <xf numFmtId="0" fontId="36" fillId="16" borderId="47" xfId="0" applyFont="1" applyFill="1" applyBorder="1" applyAlignment="1">
      <alignment horizontal="center" vertical="center"/>
    </xf>
    <xf numFmtId="0" fontId="5" fillId="16" borderId="27" xfId="0" applyFont="1" applyFill="1" applyBorder="1" applyAlignment="1">
      <alignment horizontal="center" vertical="center"/>
    </xf>
    <xf numFmtId="0" fontId="36" fillId="16" borderId="21" xfId="0" applyFont="1" applyFill="1" applyBorder="1" applyAlignment="1">
      <alignment horizontal="center" vertical="center"/>
    </xf>
    <xf numFmtId="0" fontId="25" fillId="16" borderId="21" xfId="0" applyFont="1" applyFill="1" applyBorder="1" applyAlignment="1">
      <alignment horizontal="center" vertical="center"/>
    </xf>
    <xf numFmtId="9" fontId="28" fillId="16" borderId="3" xfId="0" applyNumberFormat="1" applyFont="1" applyFill="1" applyBorder="1" applyAlignment="1">
      <alignment horizontal="center" vertical="center" wrapText="1"/>
    </xf>
    <xf numFmtId="0" fontId="7" fillId="15" borderId="29" xfId="0" applyFont="1" applyFill="1" applyBorder="1" applyAlignment="1">
      <alignment horizontal="center" vertical="center" wrapText="1"/>
    </xf>
    <xf numFmtId="0" fontId="5" fillId="16" borderId="32" xfId="0" applyFont="1" applyFill="1" applyBorder="1" applyAlignment="1">
      <alignment horizontal="center" vertical="center" wrapText="1"/>
    </xf>
    <xf numFmtId="0" fontId="28" fillId="15" borderId="14" xfId="0" applyFont="1" applyFill="1" applyBorder="1" applyAlignment="1">
      <alignment horizontal="center" vertical="center" textRotation="90"/>
    </xf>
    <xf numFmtId="0" fontId="28" fillId="15" borderId="14" xfId="0" applyFont="1" applyFill="1" applyBorder="1" applyAlignment="1">
      <alignment horizontal="center" vertical="center" textRotation="90" wrapText="1"/>
    </xf>
    <xf numFmtId="0" fontId="28" fillId="15" borderId="7" xfId="0" applyFont="1" applyFill="1" applyBorder="1" applyAlignment="1">
      <alignment horizontal="center" vertical="center" textRotation="90"/>
    </xf>
    <xf numFmtId="0" fontId="0" fillId="16" borderId="42" xfId="0" applyFill="1" applyBorder="1" applyAlignment="1">
      <alignment horizontal="left" vertical="center" wrapText="1" indent="1"/>
    </xf>
    <xf numFmtId="0" fontId="0" fillId="16" borderId="2" xfId="0" applyFill="1" applyBorder="1" applyAlignment="1">
      <alignment horizontal="left" vertical="center" wrapText="1" indent="1"/>
    </xf>
    <xf numFmtId="0" fontId="25" fillId="15" borderId="99" xfId="0" applyFont="1" applyFill="1" applyBorder="1" applyAlignment="1">
      <alignment horizontal="center" vertical="center"/>
    </xf>
    <xf numFmtId="0" fontId="25" fillId="15" borderId="100" xfId="0" applyFont="1" applyFill="1" applyBorder="1" applyAlignment="1">
      <alignment horizontal="center" vertical="center"/>
    </xf>
    <xf numFmtId="0" fontId="40" fillId="17" borderId="102" xfId="0" applyFont="1" applyFill="1" applyBorder="1" applyAlignment="1">
      <alignment horizontal="center" vertical="center"/>
    </xf>
    <xf numFmtId="0" fontId="40" fillId="17" borderId="101" xfId="0" applyFont="1" applyFill="1" applyBorder="1" applyAlignment="1">
      <alignment horizontal="center" vertical="center"/>
    </xf>
    <xf numFmtId="0" fontId="40" fillId="17" borderId="103" xfId="0" applyFont="1" applyFill="1" applyBorder="1" applyAlignment="1">
      <alignment horizontal="center" vertical="center"/>
    </xf>
    <xf numFmtId="0" fontId="5" fillId="16" borderId="5" xfId="0" applyFont="1" applyFill="1" applyBorder="1" applyAlignment="1">
      <alignment vertical="center" wrapText="1"/>
    </xf>
    <xf numFmtId="0" fontId="40" fillId="17" borderId="29" xfId="0" applyFont="1" applyFill="1" applyBorder="1" applyAlignment="1">
      <alignment horizontal="center" vertical="center" wrapText="1"/>
    </xf>
    <xf numFmtId="0" fontId="40" fillId="17" borderId="30" xfId="0" applyFont="1" applyFill="1" applyBorder="1" applyAlignment="1">
      <alignment horizontal="center" vertical="center" wrapText="1"/>
    </xf>
    <xf numFmtId="0" fontId="0" fillId="16" borderId="28" xfId="0" applyFill="1" applyBorder="1" applyAlignment="1">
      <alignment horizontal="center" vertical="center"/>
    </xf>
    <xf numFmtId="0" fontId="0" fillId="16" borderId="18" xfId="0" applyFill="1" applyBorder="1" applyAlignment="1">
      <alignment horizontal="left" vertical="center" wrapText="1" indent="1"/>
    </xf>
    <xf numFmtId="0" fontId="7" fillId="15" borderId="29" xfId="0" applyFont="1" applyFill="1" applyBorder="1" applyAlignment="1">
      <alignment horizontal="center" vertical="center"/>
    </xf>
    <xf numFmtId="0" fontId="28" fillId="15" borderId="6" xfId="0" applyFont="1" applyFill="1" applyBorder="1" applyAlignment="1">
      <alignment horizontal="center" vertical="center" textRotation="90"/>
    </xf>
    <xf numFmtId="9" fontId="60" fillId="16" borderId="2" xfId="0" applyNumberFormat="1" applyFont="1" applyFill="1" applyBorder="1" applyAlignment="1">
      <alignment horizontal="center" vertical="center" wrapText="1"/>
    </xf>
    <xf numFmtId="9" fontId="59" fillId="16" borderId="3" xfId="0" applyNumberFormat="1" applyFont="1" applyFill="1" applyBorder="1" applyAlignment="1">
      <alignment horizontal="center" vertical="center" wrapText="1"/>
    </xf>
    <xf numFmtId="9" fontId="59" fillId="16" borderId="2" xfId="0" applyNumberFormat="1" applyFont="1" applyFill="1" applyBorder="1" applyAlignment="1">
      <alignment horizontal="center" vertical="center" wrapText="1"/>
    </xf>
    <xf numFmtId="0" fontId="59" fillId="16" borderId="3" xfId="0" applyFont="1" applyFill="1" applyBorder="1" applyAlignment="1">
      <alignment horizontal="center" vertical="center" wrapText="1"/>
    </xf>
    <xf numFmtId="0" fontId="59" fillId="16" borderId="4" xfId="0" applyFont="1" applyFill="1" applyBorder="1" applyAlignment="1">
      <alignment horizontal="center" vertical="center" wrapText="1"/>
    </xf>
    <xf numFmtId="0" fontId="59" fillId="16" borderId="5" xfId="0" applyFont="1" applyFill="1" applyBorder="1" applyAlignment="1">
      <alignment horizontal="center" vertical="center" wrapText="1"/>
    </xf>
    <xf numFmtId="0" fontId="5" fillId="18" borderId="0" xfId="0" applyFont="1" applyFill="1" applyAlignment="1">
      <alignment horizontal="center" vertical="center" wrapText="1"/>
    </xf>
    <xf numFmtId="0" fontId="25" fillId="15" borderId="7" xfId="0" applyFont="1" applyFill="1" applyBorder="1" applyAlignment="1">
      <alignment horizontal="center" vertical="center"/>
    </xf>
    <xf numFmtId="0" fontId="25" fillId="15" borderId="34" xfId="0" applyFont="1" applyFill="1" applyBorder="1" applyAlignment="1">
      <alignment horizontal="center" vertical="center"/>
    </xf>
    <xf numFmtId="0" fontId="25" fillId="15" borderId="6" xfId="0" applyFont="1" applyFill="1" applyBorder="1" applyAlignment="1">
      <alignment horizontal="center" vertical="center"/>
    </xf>
    <xf numFmtId="0" fontId="25" fillId="15" borderId="38" xfId="0" applyFont="1" applyFill="1" applyBorder="1" applyAlignment="1">
      <alignment horizontal="center" vertical="center"/>
    </xf>
    <xf numFmtId="0" fontId="25" fillId="15" borderId="39" xfId="0" applyFont="1" applyFill="1" applyBorder="1" applyAlignment="1">
      <alignment horizontal="center" vertical="center"/>
    </xf>
    <xf numFmtId="0" fontId="5" fillId="0" borderId="0" xfId="0" applyFont="1" applyFill="1" applyAlignment="1">
      <alignment horizontal="left" vertical="center" wrapText="1"/>
    </xf>
    <xf numFmtId="0" fontId="27" fillId="18" borderId="0" xfId="1" applyFont="1" applyFill="1" applyAlignment="1" applyProtection="1">
      <alignment horizontal="center" vertical="center" wrapText="1"/>
    </xf>
    <xf numFmtId="0" fontId="25" fillId="18" borderId="0" xfId="0" applyFont="1" applyFill="1" applyAlignment="1">
      <alignment horizontal="center" vertical="center" wrapText="1"/>
    </xf>
    <xf numFmtId="0" fontId="5" fillId="18" borderId="0" xfId="0" applyFont="1" applyFill="1" applyAlignment="1">
      <alignment vertical="center" wrapText="1"/>
    </xf>
    <xf numFmtId="0" fontId="5" fillId="16" borderId="2" xfId="0" applyFont="1" applyFill="1" applyBorder="1" applyAlignment="1">
      <alignment horizontal="left" vertical="center"/>
    </xf>
    <xf numFmtId="0" fontId="5" fillId="16" borderId="3" xfId="0" applyFont="1" applyFill="1" applyBorder="1" applyAlignment="1">
      <alignment horizontal="left" vertical="center"/>
    </xf>
    <xf numFmtId="0" fontId="5" fillId="18" borderId="0" xfId="0" applyFont="1" applyFill="1" applyAlignment="1">
      <alignment horizontal="left" vertical="center" wrapText="1"/>
    </xf>
    <xf numFmtId="0" fontId="5" fillId="18" borderId="0" xfId="0" applyFont="1" applyFill="1" applyAlignment="1">
      <alignment vertical="center"/>
    </xf>
    <xf numFmtId="0" fontId="5" fillId="18" borderId="0" xfId="0" applyFont="1" applyFill="1" applyAlignment="1">
      <alignment horizontal="left" vertical="center" wrapText="1"/>
    </xf>
    <xf numFmtId="0" fontId="25" fillId="18" borderId="0" xfId="0" applyFont="1" applyFill="1" applyAlignment="1">
      <alignment horizontal="right" vertical="center"/>
    </xf>
    <xf numFmtId="0" fontId="25" fillId="18" borderId="0" xfId="0" applyFont="1" applyFill="1" applyAlignment="1">
      <alignment horizontal="left" vertical="center"/>
    </xf>
    <xf numFmtId="0" fontId="25" fillId="18" borderId="0" xfId="0" applyFont="1" applyFill="1" applyAlignment="1">
      <alignment vertical="center"/>
    </xf>
    <xf numFmtId="16" fontId="25" fillId="18" borderId="0" xfId="0" applyNumberFormat="1" applyFont="1" applyFill="1" applyAlignment="1">
      <alignment horizontal="right" vertical="center"/>
    </xf>
    <xf numFmtId="0" fontId="27" fillId="24" borderId="0" xfId="1" applyFont="1" applyFill="1" applyAlignment="1" applyProtection="1">
      <alignment horizontal="center" vertical="center" wrapText="1"/>
    </xf>
    <xf numFmtId="0" fontId="5" fillId="18" borderId="0" xfId="0" applyFont="1" applyFill="1"/>
    <xf numFmtId="0" fontId="39" fillId="18" borderId="11" xfId="0" applyFont="1" applyFill="1" applyBorder="1" applyAlignment="1">
      <alignment horizontal="center" vertical="center"/>
    </xf>
    <xf numFmtId="0" fontId="5" fillId="18" borderId="24" xfId="0" applyFont="1" applyFill="1" applyBorder="1" applyAlignment="1">
      <alignment horizontal="left" vertical="center" indent="1"/>
    </xf>
    <xf numFmtId="0" fontId="39" fillId="18" borderId="2" xfId="0" applyFont="1" applyFill="1" applyBorder="1" applyAlignment="1">
      <alignment horizontal="center" vertical="center"/>
    </xf>
    <xf numFmtId="0" fontId="5" fillId="18" borderId="3" xfId="0" applyFont="1" applyFill="1" applyBorder="1" applyAlignment="1">
      <alignment horizontal="left" vertical="center" indent="1"/>
    </xf>
    <xf numFmtId="0" fontId="39" fillId="18" borderId="61" xfId="0" applyFont="1" applyFill="1" applyBorder="1" applyAlignment="1">
      <alignment horizontal="center" vertical="center"/>
    </xf>
    <xf numFmtId="0" fontId="5" fillId="18" borderId="47" xfId="0" applyFont="1" applyFill="1" applyBorder="1" applyAlignment="1">
      <alignment horizontal="left" vertical="center" indent="1"/>
    </xf>
    <xf numFmtId="0" fontId="36" fillId="18" borderId="61" xfId="0" applyFont="1" applyFill="1" applyBorder="1" applyAlignment="1">
      <alignment horizontal="center" vertical="center"/>
    </xf>
    <xf numFmtId="0" fontId="25" fillId="18" borderId="47" xfId="0" applyFont="1" applyFill="1" applyBorder="1" applyAlignment="1">
      <alignment horizontal="left" vertical="center" indent="1"/>
    </xf>
    <xf numFmtId="0" fontId="39" fillId="18" borderId="38" xfId="0" applyFont="1" applyFill="1" applyBorder="1" applyAlignment="1">
      <alignment horizontal="center" vertical="center"/>
    </xf>
    <xf numFmtId="0" fontId="5" fillId="18" borderId="39" xfId="0" applyFont="1" applyFill="1" applyBorder="1" applyAlignment="1">
      <alignment horizontal="left" vertical="center" indent="1"/>
    </xf>
    <xf numFmtId="0" fontId="39" fillId="18" borderId="61" xfId="0" applyFont="1" applyFill="1" applyBorder="1" applyAlignment="1">
      <alignment horizontal="center" vertical="center" wrapText="1"/>
    </xf>
    <xf numFmtId="0" fontId="25" fillId="18" borderId="0" xfId="0" applyFont="1" applyFill="1"/>
    <xf numFmtId="0" fontId="5" fillId="18" borderId="5" xfId="0" applyFont="1" applyFill="1" applyBorder="1" applyAlignment="1">
      <alignment horizontal="left" vertical="center" indent="1"/>
    </xf>
    <xf numFmtId="0" fontId="27" fillId="24" borderId="0" xfId="1" applyFont="1" applyFill="1" applyAlignment="1" applyProtection="1">
      <alignment horizontal="center" vertical="center"/>
    </xf>
    <xf numFmtId="0" fontId="5" fillId="18" borderId="0" xfId="0" applyFont="1" applyFill="1" applyAlignment="1">
      <alignment horizontal="left" vertical="center"/>
    </xf>
    <xf numFmtId="0" fontId="5" fillId="18" borderId="0" xfId="0" applyFont="1" applyFill="1" applyAlignment="1">
      <alignment horizontal="center" vertical="center"/>
    </xf>
    <xf numFmtId="0" fontId="5" fillId="18" borderId="2" xfId="0" applyFont="1" applyFill="1" applyBorder="1" applyAlignment="1">
      <alignment horizontal="left" vertical="center" indent="1"/>
    </xf>
    <xf numFmtId="0" fontId="5" fillId="18" borderId="4" xfId="0" applyFont="1" applyFill="1" applyBorder="1" applyAlignment="1">
      <alignment horizontal="left" vertical="center" indent="1"/>
    </xf>
    <xf numFmtId="0" fontId="5" fillId="18" borderId="0" xfId="0" applyFont="1" applyFill="1" applyAlignment="1">
      <alignment horizontal="left" vertical="center" indent="1"/>
    </xf>
    <xf numFmtId="0" fontId="5" fillId="16" borderId="4" xfId="0" applyFont="1" applyFill="1" applyBorder="1" applyAlignment="1">
      <alignment horizontal="left" vertical="center"/>
    </xf>
    <xf numFmtId="0" fontId="5" fillId="16" borderId="5" xfId="0" applyFont="1" applyFill="1" applyBorder="1" applyAlignment="1">
      <alignment horizontal="left" vertical="center"/>
    </xf>
    <xf numFmtId="0" fontId="5" fillId="18" borderId="11" xfId="0" applyFont="1" applyFill="1" applyBorder="1" applyAlignment="1">
      <alignment horizontal="left" vertical="center"/>
    </xf>
    <xf numFmtId="0" fontId="5" fillId="18" borderId="24" xfId="0" applyFont="1" applyFill="1" applyBorder="1" applyAlignment="1">
      <alignment horizontal="left" vertical="center"/>
    </xf>
    <xf numFmtId="0" fontId="5" fillId="18" borderId="2" xfId="0" applyFont="1" applyFill="1" applyBorder="1" applyAlignment="1">
      <alignment horizontal="left" vertical="center"/>
    </xf>
    <xf numFmtId="0" fontId="5" fillId="18" borderId="3" xfId="0" applyFont="1" applyFill="1" applyBorder="1" applyAlignment="1">
      <alignment horizontal="left" vertical="center"/>
    </xf>
    <xf numFmtId="0" fontId="5" fillId="18" borderId="4" xfId="0" applyFont="1" applyFill="1" applyBorder="1" applyAlignment="1">
      <alignment horizontal="left" vertical="center"/>
    </xf>
    <xf numFmtId="0" fontId="5" fillId="18" borderId="5" xfId="0" applyFont="1" applyFill="1" applyBorder="1" applyAlignment="1">
      <alignment horizontal="left" vertical="center"/>
    </xf>
    <xf numFmtId="0" fontId="5" fillId="18" borderId="0" xfId="0" applyFont="1" applyFill="1" applyBorder="1" applyAlignment="1">
      <alignment horizontal="left" vertical="center"/>
    </xf>
    <xf numFmtId="0" fontId="5" fillId="18" borderId="9" xfId="0" applyFont="1" applyFill="1" applyBorder="1" applyAlignment="1">
      <alignment horizontal="left" vertical="center"/>
    </xf>
    <xf numFmtId="0" fontId="5" fillId="18" borderId="8" xfId="0" applyFont="1" applyFill="1" applyBorder="1" applyAlignment="1">
      <alignment horizontal="left" vertical="center"/>
    </xf>
    <xf numFmtId="0" fontId="26" fillId="18" borderId="0" xfId="0" applyFont="1" applyFill="1" applyAlignment="1">
      <alignment horizontal="left" vertical="center" wrapText="1"/>
    </xf>
    <xf numFmtId="0" fontId="33" fillId="18" borderId="0" xfId="0" applyFont="1" applyFill="1" applyAlignment="1">
      <alignment horizontal="left" vertical="center" wrapText="1"/>
    </xf>
    <xf numFmtId="0" fontId="26" fillId="18" borderId="0" xfId="0" applyFont="1" applyFill="1" applyAlignment="1">
      <alignment vertical="center" wrapText="1"/>
    </xf>
    <xf numFmtId="0" fontId="5" fillId="25" borderId="1" xfId="0" applyFont="1" applyFill="1" applyBorder="1" applyAlignment="1">
      <alignment horizontal="left" vertical="center"/>
    </xf>
    <xf numFmtId="0" fontId="25" fillId="15" borderId="45" xfId="0" applyFont="1" applyFill="1" applyBorder="1" applyAlignment="1">
      <alignment horizontal="center" vertical="center"/>
    </xf>
    <xf numFmtId="0" fontId="25" fillId="15" borderId="6" xfId="0" applyFont="1" applyFill="1" applyBorder="1" applyAlignment="1">
      <alignment horizontal="center" vertical="center"/>
    </xf>
    <xf numFmtId="0" fontId="5" fillId="18" borderId="0" xfId="0" applyFont="1" applyFill="1" applyAlignment="1">
      <alignment horizontal="left" vertical="center" wrapText="1"/>
    </xf>
    <xf numFmtId="0" fontId="19" fillId="0" borderId="0" xfId="0" applyFont="1" applyAlignment="1">
      <alignment vertical="center"/>
    </xf>
    <xf numFmtId="0" fontId="7" fillId="0" borderId="1" xfId="0" applyFont="1" applyBorder="1" applyAlignment="1">
      <alignment horizontal="center" vertical="center"/>
    </xf>
    <xf numFmtId="0" fontId="19" fillId="0" borderId="1" xfId="0" applyFont="1" applyBorder="1" applyAlignment="1">
      <alignment horizontal="center" vertical="center"/>
    </xf>
    <xf numFmtId="0" fontId="7" fillId="0" borderId="0" xfId="0" applyFont="1" applyAlignment="1">
      <alignment horizontal="center" vertical="center"/>
    </xf>
    <xf numFmtId="0" fontId="0" fillId="9" borderId="1" xfId="0" applyFill="1" applyBorder="1" applyAlignment="1">
      <alignment horizontal="center" vertical="center"/>
    </xf>
    <xf numFmtId="0" fontId="1" fillId="0" borderId="1" xfId="0" applyFont="1" applyBorder="1" applyAlignment="1">
      <alignment horizontal="left" vertical="center"/>
    </xf>
    <xf numFmtId="0" fontId="0" fillId="0" borderId="1" xfId="0" applyBorder="1" applyAlignment="1">
      <alignment horizontal="center" vertical="center"/>
    </xf>
    <xf numFmtId="0" fontId="0" fillId="5" borderId="1" xfId="0" applyFill="1" applyBorder="1" applyAlignment="1">
      <alignment horizontal="center" vertical="center"/>
    </xf>
    <xf numFmtId="0" fontId="7" fillId="0" borderId="35" xfId="0" applyFont="1" applyBorder="1" applyAlignment="1">
      <alignment horizontal="center" vertical="center"/>
    </xf>
    <xf numFmtId="0" fontId="19" fillId="0" borderId="35" xfId="0" applyFont="1" applyBorder="1" applyAlignment="1">
      <alignment horizontal="center" vertical="center"/>
    </xf>
    <xf numFmtId="0" fontId="0" fillId="5" borderId="35" xfId="0" applyFill="1" applyBorder="1" applyAlignment="1">
      <alignment horizontal="center" vertical="center"/>
    </xf>
    <xf numFmtId="0" fontId="0" fillId="9" borderId="35" xfId="0" applyFill="1" applyBorder="1" applyAlignment="1">
      <alignment horizontal="center" vertical="center"/>
    </xf>
    <xf numFmtId="0" fontId="0" fillId="0" borderId="35" xfId="0" applyBorder="1" applyAlignment="1">
      <alignment horizontal="center" vertical="center"/>
    </xf>
    <xf numFmtId="0" fontId="7" fillId="0" borderId="15" xfId="0" applyFont="1" applyBorder="1" applyAlignment="1">
      <alignment horizontal="center" vertical="center"/>
    </xf>
    <xf numFmtId="0" fontId="19" fillId="0" borderId="15" xfId="0" applyFont="1" applyBorder="1" applyAlignment="1">
      <alignment horizontal="center" vertical="center"/>
    </xf>
    <xf numFmtId="0" fontId="0" fillId="5" borderId="15" xfId="0" applyFill="1" applyBorder="1" applyAlignment="1">
      <alignment horizontal="center" vertical="center"/>
    </xf>
    <xf numFmtId="0" fontId="0" fillId="9" borderId="15" xfId="0" applyFill="1" applyBorder="1" applyAlignment="1">
      <alignment horizontal="center" vertical="center"/>
    </xf>
    <xf numFmtId="0" fontId="0" fillId="8" borderId="35" xfId="0" applyFill="1" applyBorder="1" applyAlignment="1">
      <alignment horizontal="center" vertical="center"/>
    </xf>
    <xf numFmtId="0" fontId="0" fillId="8" borderId="15" xfId="0" applyFill="1" applyBorder="1" applyAlignment="1">
      <alignment horizontal="center" vertical="center"/>
    </xf>
    <xf numFmtId="0" fontId="0" fillId="8" borderId="1" xfId="0" applyFill="1" applyBorder="1" applyAlignment="1">
      <alignment horizontal="center" vertical="center"/>
    </xf>
    <xf numFmtId="0" fontId="0" fillId="11" borderId="1" xfId="0" applyFill="1" applyBorder="1" applyAlignment="1">
      <alignment horizontal="center" vertical="center"/>
    </xf>
    <xf numFmtId="0" fontId="0" fillId="11" borderId="35" xfId="0" applyFill="1" applyBorder="1" applyAlignment="1">
      <alignment horizontal="center" vertical="center"/>
    </xf>
    <xf numFmtId="0" fontId="0" fillId="11" borderId="15" xfId="0" applyFill="1" applyBorder="1" applyAlignment="1">
      <alignment horizontal="center" vertical="center"/>
    </xf>
    <xf numFmtId="0" fontId="0" fillId="4" borderId="1" xfId="0" applyFill="1" applyBorder="1" applyAlignment="1">
      <alignment horizontal="center" vertical="center"/>
    </xf>
    <xf numFmtId="0" fontId="0" fillId="4" borderId="35" xfId="0" applyFill="1" applyBorder="1" applyAlignment="1">
      <alignment horizontal="center" vertical="center"/>
    </xf>
    <xf numFmtId="0" fontId="0" fillId="4" borderId="15" xfId="0" applyFill="1" applyBorder="1" applyAlignment="1">
      <alignment horizontal="center" vertical="center"/>
    </xf>
    <xf numFmtId="0" fontId="0" fillId="10" borderId="1" xfId="0" applyFill="1" applyBorder="1" applyAlignment="1">
      <alignment horizontal="center" vertical="center"/>
    </xf>
    <xf numFmtId="0" fontId="0" fillId="10" borderId="35" xfId="0" applyFill="1" applyBorder="1" applyAlignment="1">
      <alignment horizontal="center" vertical="center"/>
    </xf>
    <xf numFmtId="0" fontId="0" fillId="10" borderId="15" xfId="0" applyFill="1" applyBorder="1" applyAlignment="1">
      <alignment horizontal="center" vertical="center"/>
    </xf>
    <xf numFmtId="0" fontId="0" fillId="3" borderId="1" xfId="0" applyFill="1" applyBorder="1" applyAlignment="1">
      <alignment horizontal="center" vertical="center"/>
    </xf>
    <xf numFmtId="0" fontId="0" fillId="3" borderId="35" xfId="0" applyFill="1" applyBorder="1" applyAlignment="1">
      <alignment horizontal="center" vertical="center"/>
    </xf>
    <xf numFmtId="0" fontId="0" fillId="3" borderId="15" xfId="0" applyFill="1" applyBorder="1" applyAlignment="1">
      <alignment horizontal="center" vertical="center"/>
    </xf>
    <xf numFmtId="0" fontId="0" fillId="12" borderId="1" xfId="0" applyFill="1" applyBorder="1" applyAlignment="1">
      <alignment horizontal="center" vertical="center"/>
    </xf>
    <xf numFmtId="0" fontId="0" fillId="12" borderId="35" xfId="0" applyFill="1" applyBorder="1" applyAlignment="1">
      <alignment horizontal="center" vertical="center"/>
    </xf>
    <xf numFmtId="0" fontId="0" fillId="13" borderId="15" xfId="0" applyFill="1" applyBorder="1" applyAlignment="1">
      <alignment horizontal="center" vertical="center"/>
    </xf>
    <xf numFmtId="0" fontId="0" fillId="13" borderId="1" xfId="0" applyFill="1" applyBorder="1" applyAlignment="1">
      <alignment horizontal="center" vertical="center"/>
    </xf>
    <xf numFmtId="0" fontId="0" fillId="12" borderId="15" xfId="0" applyFill="1" applyBorder="1" applyAlignment="1">
      <alignment horizontal="center" vertical="center"/>
    </xf>
    <xf numFmtId="0" fontId="0" fillId="6" borderId="35" xfId="0" applyFill="1" applyBorder="1" applyAlignment="1">
      <alignment horizontal="center" vertical="center"/>
    </xf>
    <xf numFmtId="0" fontId="39" fillId="18" borderId="0" xfId="0" applyFont="1" applyFill="1" applyAlignment="1">
      <alignment vertical="center"/>
    </xf>
    <xf numFmtId="0" fontId="27" fillId="24" borderId="0" xfId="1" applyFont="1" applyFill="1" applyAlignment="1" applyProtection="1">
      <alignment horizontal="center" vertical="center" wrapText="1"/>
    </xf>
    <xf numFmtId="0" fontId="0" fillId="18" borderId="0" xfId="0" applyFill="1" applyAlignment="1">
      <alignment vertical="center"/>
    </xf>
    <xf numFmtId="0" fontId="19" fillId="18" borderId="0" xfId="0" applyFont="1" applyFill="1" applyAlignment="1">
      <alignment vertical="center"/>
    </xf>
    <xf numFmtId="0" fontId="0" fillId="18" borderId="0" xfId="0" applyFill="1" applyAlignment="1">
      <alignment horizontal="center" vertical="center"/>
    </xf>
    <xf numFmtId="0" fontId="7" fillId="18" borderId="0" xfId="0" applyFont="1" applyFill="1" applyAlignment="1">
      <alignment horizontal="center" vertical="center"/>
    </xf>
    <xf numFmtId="0" fontId="0" fillId="0" borderId="0" xfId="0" applyFill="1" applyAlignment="1">
      <alignment horizontal="center" vertical="center"/>
    </xf>
    <xf numFmtId="0" fontId="7" fillId="0" borderId="0" xfId="0" applyFont="1" applyFill="1" applyAlignment="1">
      <alignment horizontal="center" vertical="center"/>
    </xf>
    <xf numFmtId="0" fontId="19" fillId="0" borderId="0" xfId="0" applyFont="1" applyFill="1" applyAlignment="1">
      <alignment vertical="center"/>
    </xf>
    <xf numFmtId="0" fontId="26" fillId="18" borderId="0" xfId="0" applyFont="1" applyFill="1" applyAlignment="1">
      <alignment horizontal="right" vertical="center"/>
    </xf>
    <xf numFmtId="0" fontId="26" fillId="18" borderId="0" xfId="0" applyFont="1" applyFill="1" applyAlignment="1">
      <alignment vertical="center"/>
    </xf>
    <xf numFmtId="0" fontId="25" fillId="18" borderId="0" xfId="0" applyFont="1" applyFill="1" applyAlignment="1">
      <alignment horizontal="center" vertical="center"/>
    </xf>
    <xf numFmtId="0" fontId="35" fillId="18" borderId="0" xfId="0" applyFont="1" applyFill="1" applyAlignment="1">
      <alignment vertical="center"/>
    </xf>
    <xf numFmtId="0" fontId="9" fillId="18" borderId="0" xfId="0" applyFont="1" applyFill="1" applyAlignment="1">
      <alignment vertical="center" wrapText="1"/>
    </xf>
    <xf numFmtId="0" fontId="0" fillId="18" borderId="16" xfId="0" applyFill="1" applyBorder="1" applyAlignment="1">
      <alignment horizontal="center" vertical="center" wrapText="1"/>
    </xf>
    <xf numFmtId="0" fontId="0" fillId="18" borderId="18" xfId="0" applyFill="1" applyBorder="1" applyAlignment="1">
      <alignment horizontal="center" vertical="center" wrapText="1"/>
    </xf>
    <xf numFmtId="0" fontId="0" fillId="18" borderId="0" xfId="0" applyFill="1" applyBorder="1" applyAlignment="1">
      <alignment horizontal="left" vertical="center" wrapText="1"/>
    </xf>
    <xf numFmtId="0" fontId="0" fillId="18" borderId="0" xfId="0" applyFill="1" applyBorder="1" applyAlignment="1">
      <alignment vertical="center" wrapText="1"/>
    </xf>
    <xf numFmtId="0" fontId="0" fillId="18" borderId="0" xfId="0" applyFill="1" applyAlignment="1">
      <alignment horizontal="left" vertical="center" wrapText="1"/>
    </xf>
    <xf numFmtId="0" fontId="0" fillId="16" borderId="16" xfId="0" applyFill="1" applyBorder="1" applyAlignment="1">
      <alignment horizontal="center" vertical="center" wrapText="1"/>
    </xf>
    <xf numFmtId="0" fontId="7" fillId="18" borderId="0" xfId="0" applyFont="1" applyFill="1" applyAlignment="1">
      <alignment horizontal="center" vertical="center" wrapText="1"/>
    </xf>
    <xf numFmtId="0" fontId="7" fillId="18" borderId="0" xfId="0" applyFont="1" applyFill="1" applyAlignment="1">
      <alignment vertical="center"/>
    </xf>
    <xf numFmtId="0" fontId="42" fillId="18" borderId="0" xfId="0" applyFont="1" applyFill="1" applyAlignment="1">
      <alignment horizontal="center" vertical="center" wrapText="1"/>
    </xf>
    <xf numFmtId="0" fontId="7" fillId="18" borderId="0" xfId="0" applyFont="1" applyFill="1" applyAlignment="1">
      <alignment horizontal="left" vertical="center"/>
    </xf>
    <xf numFmtId="0" fontId="0" fillId="18" borderId="0" xfId="0" applyFill="1" applyAlignment="1">
      <alignment horizontal="left" vertical="center"/>
    </xf>
    <xf numFmtId="0" fontId="42" fillId="18" borderId="0" xfId="0" applyFont="1" applyFill="1" applyAlignment="1">
      <alignment vertical="center"/>
    </xf>
    <xf numFmtId="0" fontId="5" fillId="18" borderId="0" xfId="0" applyFont="1" applyFill="1" applyAlignment="1">
      <alignment horizontal="center" vertical="center"/>
    </xf>
    <xf numFmtId="0" fontId="1" fillId="18" borderId="0" xfId="0" applyFont="1" applyFill="1" applyAlignment="1">
      <alignment horizontal="left" vertical="center" wrapText="1"/>
    </xf>
    <xf numFmtId="0" fontId="0" fillId="18" borderId="19" xfId="0" applyFill="1" applyBorder="1" applyAlignment="1">
      <alignment horizontal="center" vertical="center"/>
    </xf>
    <xf numFmtId="0" fontId="0" fillId="18" borderId="23" xfId="0" applyFill="1" applyBorder="1" applyAlignment="1">
      <alignment horizontal="center" vertical="center"/>
    </xf>
    <xf numFmtId="0" fontId="0" fillId="18" borderId="15" xfId="0" applyFill="1" applyBorder="1" applyAlignment="1">
      <alignment horizontal="center" vertical="center"/>
    </xf>
    <xf numFmtId="0" fontId="0" fillId="18" borderId="8" xfId="0" applyFill="1" applyBorder="1" applyAlignment="1">
      <alignment horizontal="center" vertical="center"/>
    </xf>
    <xf numFmtId="0" fontId="0" fillId="18" borderId="18" xfId="0" applyNumberFormat="1" applyFill="1" applyBorder="1" applyAlignment="1">
      <alignment horizontal="center" vertical="center" wrapText="1"/>
    </xf>
    <xf numFmtId="0" fontId="0" fillId="18" borderId="22" xfId="0" applyNumberFormat="1" applyFill="1" applyBorder="1" applyAlignment="1">
      <alignment horizontal="center" vertical="center" wrapText="1"/>
    </xf>
    <xf numFmtId="0" fontId="0" fillId="18" borderId="13" xfId="0" applyNumberFormat="1" applyFill="1" applyBorder="1" applyAlignment="1">
      <alignment horizontal="center" vertical="center" wrapText="1"/>
    </xf>
    <xf numFmtId="0" fontId="0" fillId="18" borderId="5" xfId="0" applyNumberFormat="1" applyFill="1" applyBorder="1" applyAlignment="1">
      <alignment horizontal="center" vertical="center" wrapText="1"/>
    </xf>
    <xf numFmtId="0" fontId="1" fillId="18" borderId="0" xfId="0" applyFont="1" applyFill="1" applyAlignment="1">
      <alignment vertical="center"/>
    </xf>
    <xf numFmtId="0" fontId="7" fillId="15" borderId="34" xfId="0" applyFont="1" applyFill="1" applyBorder="1" applyAlignment="1">
      <alignment horizontal="center" vertical="center"/>
    </xf>
    <xf numFmtId="0" fontId="7" fillId="15" borderId="7" xfId="0" applyFont="1" applyFill="1" applyBorder="1" applyAlignment="1">
      <alignment horizontal="center" vertical="center"/>
    </xf>
    <xf numFmtId="0" fontId="0" fillId="18" borderId="42" xfId="0" applyFill="1" applyBorder="1" applyAlignment="1">
      <alignment horizontal="center" vertical="center"/>
    </xf>
    <xf numFmtId="0" fontId="17" fillId="18" borderId="0" xfId="0" applyFont="1" applyFill="1" applyAlignment="1">
      <alignment horizontal="left" vertical="center" wrapText="1"/>
    </xf>
    <xf numFmtId="0" fontId="0" fillId="18" borderId="9" xfId="0" applyFill="1" applyBorder="1" applyAlignment="1">
      <alignment horizontal="center" vertical="center"/>
    </xf>
    <xf numFmtId="0" fontId="0" fillId="18" borderId="21" xfId="0" applyFill="1" applyBorder="1" applyAlignment="1">
      <alignment horizontal="center" vertical="center"/>
    </xf>
    <xf numFmtId="0" fontId="0" fillId="18" borderId="22" xfId="0" applyFill="1" applyBorder="1" applyAlignment="1">
      <alignment horizontal="center" vertical="center"/>
    </xf>
    <xf numFmtId="0" fontId="0" fillId="18" borderId="0" xfId="0" applyFill="1" applyBorder="1" applyAlignment="1">
      <alignment vertical="center"/>
    </xf>
    <xf numFmtId="0" fontId="0" fillId="18" borderId="0" xfId="0" applyFill="1" applyBorder="1" applyAlignment="1">
      <alignment horizontal="center" vertical="center"/>
    </xf>
    <xf numFmtId="9" fontId="0" fillId="18" borderId="0" xfId="0" applyNumberFormat="1" applyFill="1" applyBorder="1" applyAlignment="1">
      <alignment horizontal="center" vertical="center"/>
    </xf>
    <xf numFmtId="0" fontId="5" fillId="18" borderId="68" xfId="0" applyFont="1" applyFill="1" applyBorder="1" applyAlignment="1">
      <alignment horizontal="center" vertical="center"/>
    </xf>
    <xf numFmtId="0" fontId="5" fillId="18" borderId="9" xfId="0" applyFont="1" applyFill="1" applyBorder="1" applyAlignment="1">
      <alignment horizontal="center" vertical="center"/>
    </xf>
    <xf numFmtId="0" fontId="5" fillId="18" borderId="23" xfId="0" applyFont="1" applyFill="1" applyBorder="1" applyAlignment="1">
      <alignment horizontal="center" vertical="center"/>
    </xf>
    <xf numFmtId="9" fontId="5" fillId="18" borderId="15" xfId="0" quotePrefix="1" applyNumberFormat="1" applyFont="1" applyFill="1" applyBorder="1" applyAlignment="1">
      <alignment horizontal="center" vertical="center"/>
    </xf>
    <xf numFmtId="9" fontId="5" fillId="18" borderId="8" xfId="0" applyNumberFormat="1" applyFont="1" applyFill="1" applyBorder="1" applyAlignment="1">
      <alignment horizontal="center" vertical="center"/>
    </xf>
    <xf numFmtId="0" fontId="5" fillId="18" borderId="42" xfId="0" applyFont="1" applyFill="1" applyBorder="1" applyAlignment="1">
      <alignment horizontal="center" vertical="center"/>
    </xf>
    <xf numFmtId="9" fontId="5" fillId="18" borderId="3" xfId="0" applyNumberFormat="1" applyFont="1" applyFill="1" applyBorder="1" applyAlignment="1">
      <alignment horizontal="center" vertical="center"/>
    </xf>
    <xf numFmtId="0" fontId="5" fillId="18" borderId="21" xfId="0" applyFont="1" applyFill="1" applyBorder="1" applyAlignment="1">
      <alignment horizontal="center" vertical="center"/>
    </xf>
    <xf numFmtId="9" fontId="5" fillId="18" borderId="1" xfId="0" quotePrefix="1" applyNumberFormat="1" applyFont="1" applyFill="1" applyBorder="1" applyAlignment="1">
      <alignment horizontal="center" vertical="center"/>
    </xf>
    <xf numFmtId="0" fontId="5" fillId="18" borderId="0" xfId="0" applyFont="1" applyFill="1" applyBorder="1" applyAlignment="1">
      <alignment vertical="center"/>
    </xf>
    <xf numFmtId="0" fontId="5" fillId="18" borderId="0" xfId="0" applyFont="1" applyFill="1" applyBorder="1" applyAlignment="1">
      <alignment horizontal="center" vertical="center"/>
    </xf>
    <xf numFmtId="9" fontId="5" fillId="18" borderId="0" xfId="0" applyNumberFormat="1" applyFont="1" applyFill="1" applyBorder="1" applyAlignment="1">
      <alignment horizontal="center" vertical="center"/>
    </xf>
    <xf numFmtId="9" fontId="5" fillId="18" borderId="0" xfId="0" quotePrefix="1" applyNumberFormat="1" applyFont="1" applyFill="1" applyBorder="1" applyAlignment="1">
      <alignment horizontal="center" vertical="center"/>
    </xf>
    <xf numFmtId="0" fontId="5" fillId="18" borderId="0" xfId="0" quotePrefix="1" applyFont="1" applyFill="1" applyAlignment="1">
      <alignment vertical="center"/>
    </xf>
    <xf numFmtId="0" fontId="5" fillId="18" borderId="0" xfId="0" applyNumberFormat="1" applyFont="1" applyFill="1" applyAlignment="1">
      <alignment horizontal="left" vertical="center" wrapText="1"/>
    </xf>
    <xf numFmtId="0" fontId="25" fillId="18" borderId="0" xfId="0" quotePrefix="1" applyNumberFormat="1" applyFont="1" applyFill="1" applyAlignment="1">
      <alignment horizontal="left" vertical="center" wrapText="1"/>
    </xf>
    <xf numFmtId="0" fontId="5" fillId="16" borderId="42" xfId="0" applyFont="1" applyFill="1" applyBorder="1" applyAlignment="1">
      <alignment horizontal="center" vertical="center"/>
    </xf>
    <xf numFmtId="0" fontId="5" fillId="16" borderId="43" xfId="0" applyFont="1" applyFill="1" applyBorder="1" applyAlignment="1">
      <alignment horizontal="center" vertical="center"/>
    </xf>
    <xf numFmtId="9" fontId="5" fillId="16" borderId="5" xfId="0" applyNumberFormat="1" applyFont="1" applyFill="1" applyBorder="1" applyAlignment="1">
      <alignment horizontal="center" vertical="center"/>
    </xf>
    <xf numFmtId="9" fontId="5" fillId="16" borderId="13" xfId="0" quotePrefix="1" applyNumberFormat="1" applyFont="1" applyFill="1" applyBorder="1" applyAlignment="1">
      <alignment horizontal="center" vertical="center"/>
    </xf>
    <xf numFmtId="9" fontId="5" fillId="16" borderId="3" xfId="0" applyNumberFormat="1" applyFont="1" applyFill="1" applyBorder="1" applyAlignment="1">
      <alignment horizontal="center" vertical="center"/>
    </xf>
    <xf numFmtId="9" fontId="5" fillId="16" borderId="1" xfId="0" quotePrefix="1" applyNumberFormat="1" applyFont="1" applyFill="1" applyBorder="1" applyAlignment="1">
      <alignment horizontal="center" vertical="center"/>
    </xf>
    <xf numFmtId="0" fontId="6" fillId="18" borderId="0" xfId="1" applyFont="1" applyFill="1" applyAlignment="1" applyProtection="1">
      <alignment horizontal="left" vertical="center" wrapText="1"/>
    </xf>
    <xf numFmtId="3" fontId="17" fillId="18" borderId="0" xfId="0" applyNumberFormat="1" applyFont="1" applyFill="1" applyAlignment="1">
      <alignment horizontal="left" vertical="center" wrapText="1"/>
    </xf>
    <xf numFmtId="0" fontId="0" fillId="18" borderId="2" xfId="0" applyFill="1" applyBorder="1" applyAlignment="1">
      <alignment horizontal="center" vertical="center"/>
    </xf>
    <xf numFmtId="0" fontId="0" fillId="18" borderId="4" xfId="0" applyFill="1" applyBorder="1" applyAlignment="1">
      <alignment horizontal="center" vertical="center"/>
    </xf>
    <xf numFmtId="0" fontId="0" fillId="18" borderId="50" xfId="0" applyFill="1" applyBorder="1" applyAlignment="1">
      <alignment horizontal="left" vertical="center"/>
    </xf>
    <xf numFmtId="0" fontId="0" fillId="18" borderId="60" xfId="0" applyFill="1" applyBorder="1" applyAlignment="1">
      <alignment horizontal="left" vertical="center"/>
    </xf>
    <xf numFmtId="0" fontId="0" fillId="18" borderId="83" xfId="0" applyFill="1" applyBorder="1" applyAlignment="1">
      <alignment horizontal="left" vertical="center"/>
    </xf>
    <xf numFmtId="0" fontId="0" fillId="18" borderId="44" xfId="0" applyFill="1" applyBorder="1" applyAlignment="1">
      <alignment horizontal="center" vertical="center"/>
    </xf>
    <xf numFmtId="9" fontId="0" fillId="18" borderId="11" xfId="0" applyNumberFormat="1" applyFill="1" applyBorder="1" applyAlignment="1">
      <alignment horizontal="center" vertical="center"/>
    </xf>
    <xf numFmtId="9" fontId="0" fillId="18" borderId="12" xfId="0" applyNumberFormat="1" applyFill="1" applyBorder="1" applyAlignment="1">
      <alignment horizontal="center" vertical="center"/>
    </xf>
    <xf numFmtId="9" fontId="0" fillId="18" borderId="24" xfId="0" applyNumberFormat="1" applyFill="1" applyBorder="1" applyAlignment="1">
      <alignment horizontal="center" vertical="center"/>
    </xf>
    <xf numFmtId="9" fontId="0" fillId="18" borderId="2" xfId="0" applyNumberFormat="1" applyFill="1" applyBorder="1" applyAlignment="1">
      <alignment horizontal="center" vertical="center"/>
    </xf>
    <xf numFmtId="0" fontId="0" fillId="18" borderId="3" xfId="0" applyFill="1" applyBorder="1" applyAlignment="1">
      <alignment horizontal="center" vertical="center"/>
    </xf>
    <xf numFmtId="0" fontId="0" fillId="18" borderId="1" xfId="0" applyFill="1" applyBorder="1" applyAlignment="1">
      <alignment horizontal="center" vertical="center"/>
    </xf>
    <xf numFmtId="0" fontId="0" fillId="18" borderId="13" xfId="0" applyFill="1" applyBorder="1" applyAlignment="1">
      <alignment horizontal="center" vertical="center"/>
    </xf>
    <xf numFmtId="49" fontId="0" fillId="18" borderId="0" xfId="0" applyNumberFormat="1" applyFill="1" applyAlignment="1">
      <alignment horizontal="left" vertical="center"/>
    </xf>
    <xf numFmtId="0" fontId="6" fillId="24" borderId="0" xfId="1" applyFont="1" applyFill="1" applyAlignment="1" applyProtection="1">
      <alignment horizontal="center" vertical="center" wrapText="1"/>
    </xf>
    <xf numFmtId="0" fontId="0" fillId="18" borderId="5" xfId="0" applyFill="1" applyBorder="1" applyAlignment="1">
      <alignment horizontal="center" vertical="center"/>
    </xf>
    <xf numFmtId="0" fontId="0" fillId="16" borderId="2" xfId="0" applyFill="1" applyBorder="1" applyAlignment="1">
      <alignment horizontal="center" vertical="center"/>
    </xf>
    <xf numFmtId="0" fontId="0" fillId="16" borderId="1" xfId="0" applyFill="1" applyBorder="1" applyAlignment="1">
      <alignment horizontal="center" vertical="center"/>
    </xf>
    <xf numFmtId="0" fontId="0" fillId="16" borderId="3" xfId="0" applyFill="1" applyBorder="1" applyAlignment="1">
      <alignment horizontal="center" vertical="center"/>
    </xf>
    <xf numFmtId="0" fontId="0" fillId="16" borderId="60" xfId="0" applyFill="1" applyBorder="1" applyAlignment="1">
      <alignment horizontal="left" vertical="center"/>
    </xf>
    <xf numFmtId="0" fontId="7" fillId="15" borderId="41" xfId="0" applyFont="1" applyFill="1" applyBorder="1" applyAlignment="1">
      <alignment horizontal="center" vertical="center"/>
    </xf>
    <xf numFmtId="0" fontId="7" fillId="15" borderId="37" xfId="0" applyFont="1" applyFill="1" applyBorder="1" applyAlignment="1">
      <alignment horizontal="center" vertical="center"/>
    </xf>
    <xf numFmtId="0" fontId="7" fillId="15" borderId="47" xfId="0" applyFont="1" applyFill="1" applyBorder="1" applyAlignment="1">
      <alignment horizontal="center" vertical="center"/>
    </xf>
    <xf numFmtId="9" fontId="0" fillId="16" borderId="2" xfId="0" applyNumberFormat="1" applyFill="1" applyBorder="1" applyAlignment="1">
      <alignment horizontal="center" vertical="center"/>
    </xf>
    <xf numFmtId="9" fontId="0" fillId="16" borderId="1" xfId="0" applyNumberFormat="1" applyFill="1" applyBorder="1" applyAlignment="1">
      <alignment horizontal="center" vertical="center"/>
    </xf>
    <xf numFmtId="9" fontId="0" fillId="16" borderId="4" xfId="0" applyNumberFormat="1" applyFill="1" applyBorder="1" applyAlignment="1">
      <alignment horizontal="center" vertical="center"/>
    </xf>
    <xf numFmtId="0" fontId="0" fillId="16" borderId="13" xfId="0" applyFill="1" applyBorder="1" applyAlignment="1">
      <alignment horizontal="center" vertical="center"/>
    </xf>
    <xf numFmtId="9" fontId="0" fillId="16" borderId="5" xfId="0" applyNumberFormat="1" applyFill="1" applyBorder="1" applyAlignment="1">
      <alignment horizontal="center" vertical="center"/>
    </xf>
    <xf numFmtId="0" fontId="0" fillId="18" borderId="0" xfId="0" applyFill="1" applyBorder="1" applyAlignment="1">
      <alignment horizontal="left" vertical="center"/>
    </xf>
    <xf numFmtId="0" fontId="0" fillId="25" borderId="13" xfId="0" applyFill="1" applyBorder="1" applyAlignment="1">
      <alignment horizontal="center" vertical="center"/>
    </xf>
    <xf numFmtId="0" fontId="0" fillId="25" borderId="5" xfId="0" applyFill="1" applyBorder="1" applyAlignment="1">
      <alignment horizontal="center" vertical="center"/>
    </xf>
    <xf numFmtId="0" fontId="5" fillId="16" borderId="1" xfId="0" applyFont="1" applyFill="1" applyBorder="1" applyAlignment="1">
      <alignment horizontal="center" vertical="center" wrapText="1"/>
    </xf>
    <xf numFmtId="0" fontId="5" fillId="16" borderId="13" xfId="0" applyFont="1" applyFill="1" applyBorder="1" applyAlignment="1">
      <alignment horizontal="center" vertical="center" wrapText="1"/>
    </xf>
    <xf numFmtId="0" fontId="5" fillId="16" borderId="3" xfId="0" applyFont="1" applyFill="1" applyBorder="1" applyAlignment="1">
      <alignment horizontal="center" vertical="center" wrapText="1"/>
    </xf>
    <xf numFmtId="0" fontId="5" fillId="16" borderId="4"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25" fillId="15" borderId="14" xfId="0" applyFont="1" applyFill="1" applyBorder="1" applyAlignment="1">
      <alignment horizontal="center" vertical="center" wrapText="1"/>
    </xf>
    <xf numFmtId="0" fontId="25" fillId="15" borderId="7" xfId="0" applyFont="1" applyFill="1" applyBorder="1" applyAlignment="1">
      <alignment horizontal="center" vertical="center" wrapText="1"/>
    </xf>
    <xf numFmtId="0" fontId="5" fillId="16" borderId="1" xfId="0" applyFont="1" applyFill="1" applyBorder="1" applyAlignment="1">
      <alignment horizontal="left" vertical="center" wrapText="1"/>
    </xf>
    <xf numFmtId="0" fontId="5" fillId="18" borderId="0" xfId="0" applyFont="1" applyFill="1" applyAlignment="1">
      <alignment horizontal="left" vertical="center"/>
    </xf>
    <xf numFmtId="0" fontId="25" fillId="18" borderId="0" xfId="0" applyFont="1" applyFill="1" applyAlignment="1">
      <alignment horizontal="left" vertical="center" wrapText="1"/>
    </xf>
    <xf numFmtId="0" fontId="5" fillId="18" borderId="0" xfId="0" applyFont="1" applyFill="1" applyAlignment="1">
      <alignment horizontal="left" vertical="center" wrapText="1"/>
    </xf>
    <xf numFmtId="0" fontId="5" fillId="18" borderId="0" xfId="0" applyFont="1" applyFill="1" applyAlignment="1">
      <alignment horizontal="center" vertical="center"/>
    </xf>
    <xf numFmtId="0" fontId="7" fillId="15" borderId="25" xfId="0" applyFont="1" applyFill="1" applyBorder="1" applyAlignment="1">
      <alignment horizontal="center" vertical="center" wrapText="1"/>
    </xf>
    <xf numFmtId="0" fontId="5" fillId="16" borderId="43" xfId="0" applyFont="1" applyFill="1" applyBorder="1" applyAlignment="1">
      <alignment horizontal="center" vertical="center" wrapText="1"/>
    </xf>
    <xf numFmtId="0" fontId="7" fillId="18" borderId="0" xfId="0" applyFont="1" applyFill="1" applyAlignment="1">
      <alignment horizontal="left" vertical="center" wrapText="1"/>
    </xf>
    <xf numFmtId="0" fontId="0" fillId="18" borderId="0" xfId="0" applyFill="1" applyAlignment="1">
      <alignment horizontal="left" vertical="center" wrapText="1"/>
    </xf>
    <xf numFmtId="0" fontId="7" fillId="15" borderId="25" xfId="0" applyFont="1" applyFill="1" applyBorder="1" applyAlignment="1">
      <alignment horizontal="center" vertical="center"/>
    </xf>
    <xf numFmtId="0" fontId="7" fillId="15" borderId="22" xfId="0" applyFont="1" applyFill="1" applyBorder="1" applyAlignment="1">
      <alignment horizontal="center" vertical="center"/>
    </xf>
    <xf numFmtId="9" fontId="0" fillId="18" borderId="20" xfId="0" applyNumberFormat="1" applyFill="1" applyBorder="1" applyAlignment="1">
      <alignment horizontal="center" vertical="center"/>
    </xf>
    <xf numFmtId="9" fontId="0" fillId="16" borderId="22" xfId="0" applyNumberFormat="1" applyFill="1" applyBorder="1" applyAlignment="1">
      <alignment horizontal="center" vertical="center"/>
    </xf>
    <xf numFmtId="0" fontId="5" fillId="18" borderId="0" xfId="0" quotePrefix="1" applyFont="1" applyFill="1" applyAlignment="1">
      <alignment horizontal="left" vertical="center" wrapText="1"/>
    </xf>
    <xf numFmtId="0" fontId="0" fillId="16" borderId="42" xfId="0" applyFill="1" applyBorder="1" applyAlignment="1">
      <alignment horizontal="center" vertical="center" wrapText="1"/>
    </xf>
    <xf numFmtId="0" fontId="5" fillId="16" borderId="42" xfId="0" applyFont="1" applyFill="1" applyBorder="1" applyAlignment="1">
      <alignment horizontal="left" vertical="center"/>
    </xf>
    <xf numFmtId="165" fontId="5" fillId="16" borderId="17" xfId="0" applyNumberFormat="1" applyFont="1" applyFill="1" applyBorder="1" applyAlignment="1">
      <alignment horizontal="center" vertical="center"/>
    </xf>
    <xf numFmtId="164" fontId="5" fillId="16" borderId="32" xfId="0" applyNumberFormat="1" applyFont="1" applyFill="1" applyBorder="1" applyAlignment="1">
      <alignment horizontal="center" vertical="center"/>
    </xf>
    <xf numFmtId="0" fontId="5" fillId="16" borderId="43" xfId="0" applyFont="1" applyFill="1" applyBorder="1" applyAlignment="1">
      <alignment horizontal="left" vertical="center"/>
    </xf>
    <xf numFmtId="165" fontId="5" fillId="16" borderId="18" xfId="0" applyNumberFormat="1" applyFont="1" applyFill="1" applyBorder="1" applyAlignment="1">
      <alignment horizontal="center" vertical="center"/>
    </xf>
    <xf numFmtId="164" fontId="5" fillId="16" borderId="33" xfId="0" applyNumberFormat="1" applyFont="1" applyFill="1" applyBorder="1" applyAlignment="1">
      <alignment horizontal="center" vertical="center"/>
    </xf>
    <xf numFmtId="49" fontId="5" fillId="18" borderId="0" xfId="0" applyNumberFormat="1" applyFont="1" applyFill="1" applyAlignment="1">
      <alignment vertical="center"/>
    </xf>
    <xf numFmtId="0" fontId="5" fillId="18" borderId="44" xfId="0" applyFont="1" applyFill="1" applyBorder="1" applyAlignment="1">
      <alignment horizontal="left" vertical="center"/>
    </xf>
    <xf numFmtId="0" fontId="5" fillId="18" borderId="16" xfId="0" applyFont="1" applyFill="1" applyBorder="1" applyAlignment="1">
      <alignment horizontal="center" vertical="center"/>
    </xf>
    <xf numFmtId="165" fontId="5" fillId="18" borderId="16" xfId="0" applyNumberFormat="1" applyFont="1" applyFill="1" applyBorder="1" applyAlignment="1">
      <alignment horizontal="center" vertical="center"/>
    </xf>
    <xf numFmtId="3" fontId="5" fillId="18" borderId="31" xfId="0" applyNumberFormat="1" applyFont="1" applyFill="1" applyBorder="1" applyAlignment="1">
      <alignment horizontal="center" vertical="center"/>
    </xf>
    <xf numFmtId="0" fontId="5" fillId="18" borderId="42" xfId="0" applyFont="1" applyFill="1" applyBorder="1" applyAlignment="1">
      <alignment horizontal="left" vertical="center"/>
    </xf>
    <xf numFmtId="0" fontId="5" fillId="18" borderId="17" xfId="0" applyFont="1" applyFill="1" applyBorder="1" applyAlignment="1">
      <alignment horizontal="center" vertical="center"/>
    </xf>
    <xf numFmtId="165" fontId="5" fillId="18" borderId="17" xfId="0" applyNumberFormat="1" applyFont="1" applyFill="1" applyBorder="1" applyAlignment="1">
      <alignment horizontal="center" vertical="center"/>
    </xf>
    <xf numFmtId="3" fontId="5" fillId="18" borderId="32" xfId="0" applyNumberFormat="1" applyFont="1" applyFill="1" applyBorder="1" applyAlignment="1">
      <alignment horizontal="center" vertical="center"/>
    </xf>
    <xf numFmtId="0" fontId="9" fillId="18" borderId="0" xfId="0" applyFont="1" applyFill="1" applyAlignment="1">
      <alignment horizontal="center" vertical="center" wrapText="1"/>
    </xf>
    <xf numFmtId="0" fontId="5" fillId="18" borderId="15" xfId="0" applyFont="1" applyFill="1" applyBorder="1" applyAlignment="1">
      <alignment horizontal="left" vertical="center" wrapText="1"/>
    </xf>
    <xf numFmtId="0" fontId="5" fillId="18" borderId="1" xfId="0" applyFont="1" applyFill="1" applyBorder="1" applyAlignment="1">
      <alignment horizontal="left" vertical="center" wrapText="1"/>
    </xf>
    <xf numFmtId="0" fontId="25" fillId="18" borderId="17" xfId="0" applyFont="1" applyFill="1" applyBorder="1" applyAlignment="1">
      <alignment horizontal="left" vertical="center"/>
    </xf>
    <xf numFmtId="0" fontId="5" fillId="18" borderId="13" xfId="0" applyFont="1" applyFill="1" applyBorder="1" applyAlignment="1">
      <alignment horizontal="left" vertical="center" wrapText="1"/>
    </xf>
    <xf numFmtId="0" fontId="36" fillId="18" borderId="9" xfId="0" applyFont="1" applyFill="1" applyBorder="1" applyAlignment="1">
      <alignment vertical="center" wrapText="1"/>
    </xf>
    <xf numFmtId="0" fontId="36" fillId="18" borderId="2" xfId="0" applyFont="1" applyFill="1" applyBorder="1" applyAlignment="1">
      <alignment vertical="center" wrapText="1"/>
    </xf>
    <xf numFmtId="0" fontId="36" fillId="18" borderId="4" xfId="0" applyFont="1" applyFill="1" applyBorder="1" applyAlignment="1">
      <alignment vertical="center" wrapText="1"/>
    </xf>
    <xf numFmtId="0" fontId="9" fillId="18" borderId="0" xfId="0" applyFont="1" applyFill="1" applyAlignment="1">
      <alignment horizontal="left" vertical="center" wrapText="1"/>
    </xf>
    <xf numFmtId="0" fontId="25" fillId="18" borderId="19" xfId="0" applyFont="1" applyFill="1" applyBorder="1" applyAlignment="1">
      <alignment horizontal="left" vertical="center"/>
    </xf>
    <xf numFmtId="0" fontId="25" fillId="18" borderId="29" xfId="0" applyFont="1" applyFill="1" applyBorder="1" applyAlignment="1">
      <alignment horizontal="left" vertical="center"/>
    </xf>
    <xf numFmtId="0" fontId="25" fillId="18" borderId="82" xfId="0" applyFont="1" applyFill="1" applyBorder="1" applyAlignment="1">
      <alignment horizontal="left" vertical="center"/>
    </xf>
    <xf numFmtId="0" fontId="5" fillId="18" borderId="0" xfId="0" applyFont="1" applyFill="1" applyAlignment="1">
      <alignment horizontal="left" vertical="center" wrapText="1"/>
    </xf>
    <xf numFmtId="0" fontId="25" fillId="18" borderId="0" xfId="0" applyFont="1" applyFill="1" applyAlignment="1">
      <alignment horizontal="left" vertical="center" wrapText="1"/>
    </xf>
    <xf numFmtId="0" fontId="5" fillId="18" borderId="0" xfId="0" applyFont="1" applyFill="1" applyAlignment="1">
      <alignment horizontal="right" vertical="center"/>
    </xf>
    <xf numFmtId="0" fontId="93" fillId="21" borderId="29" xfId="0" applyFont="1" applyFill="1" applyBorder="1" applyAlignment="1">
      <alignment horizontal="center" vertical="center"/>
    </xf>
    <xf numFmtId="0" fontId="93" fillId="15" borderId="34" xfId="0" applyFont="1" applyFill="1" applyBorder="1" applyAlignment="1">
      <alignment horizontal="center" vertical="center"/>
    </xf>
    <xf numFmtId="0" fontId="93" fillId="15" borderId="14" xfId="0" applyFont="1" applyFill="1" applyBorder="1" applyAlignment="1">
      <alignment horizontal="center" vertical="center"/>
    </xf>
    <xf numFmtId="0" fontId="93" fillId="15" borderId="7" xfId="0" applyFont="1" applyFill="1" applyBorder="1" applyAlignment="1">
      <alignment horizontal="center" vertical="center"/>
    </xf>
    <xf numFmtId="0" fontId="93" fillId="15" borderId="19" xfId="0" applyFont="1" applyFill="1" applyBorder="1" applyAlignment="1">
      <alignment horizontal="center" vertical="center"/>
    </xf>
    <xf numFmtId="0" fontId="35" fillId="0" borderId="23" xfId="0" applyFont="1" applyBorder="1" applyAlignment="1">
      <alignment horizontal="center" vertical="center"/>
    </xf>
    <xf numFmtId="0" fontId="35" fillId="0" borderId="15" xfId="0" applyFont="1" applyBorder="1" applyAlignment="1">
      <alignment horizontal="center" vertical="center"/>
    </xf>
    <xf numFmtId="0" fontId="35" fillId="22" borderId="15" xfId="0" applyFont="1" applyFill="1" applyBorder="1" applyAlignment="1">
      <alignment horizontal="center" vertical="center"/>
    </xf>
    <xf numFmtId="0" fontId="35" fillId="0" borderId="8" xfId="0" applyFont="1" applyBorder="1" applyAlignment="1">
      <alignment horizontal="center" vertical="center"/>
    </xf>
    <xf numFmtId="0" fontId="93" fillId="15" borderId="17" xfId="0" applyFont="1" applyFill="1" applyBorder="1" applyAlignment="1">
      <alignment horizontal="center" vertical="center"/>
    </xf>
    <xf numFmtId="0" fontId="35" fillId="16" borderId="21" xfId="0" applyFont="1" applyFill="1" applyBorder="1" applyAlignment="1">
      <alignment horizontal="center" vertical="center"/>
    </xf>
    <xf numFmtId="0" fontId="35" fillId="16" borderId="1" xfId="0" applyFont="1" applyFill="1" applyBorder="1" applyAlignment="1">
      <alignment horizontal="center" vertical="center"/>
    </xf>
    <xf numFmtId="0" fontId="35" fillId="22" borderId="1" xfId="0" applyFont="1" applyFill="1" applyBorder="1" applyAlignment="1">
      <alignment horizontal="center" vertical="center"/>
    </xf>
    <xf numFmtId="0" fontId="35" fillId="16" borderId="3" xfId="0" applyFont="1" applyFill="1" applyBorder="1" applyAlignment="1">
      <alignment horizontal="center" vertical="center"/>
    </xf>
    <xf numFmtId="0" fontId="35" fillId="0" borderId="21" xfId="0" applyFont="1" applyBorder="1" applyAlignment="1">
      <alignment horizontal="center" vertical="center"/>
    </xf>
    <xf numFmtId="0" fontId="35" fillId="0" borderId="1" xfId="0" applyFont="1" applyBorder="1" applyAlignment="1">
      <alignment horizontal="center" vertical="center"/>
    </xf>
    <xf numFmtId="0" fontId="35" fillId="0" borderId="3" xfId="0" applyFont="1" applyBorder="1" applyAlignment="1">
      <alignment horizontal="center" vertical="center"/>
    </xf>
    <xf numFmtId="0" fontId="35" fillId="22" borderId="3" xfId="0" applyFont="1" applyFill="1" applyBorder="1" applyAlignment="1">
      <alignment horizontal="center" vertical="center"/>
    </xf>
    <xf numFmtId="0" fontId="93" fillId="15" borderId="18" xfId="0" applyFont="1" applyFill="1" applyBorder="1" applyAlignment="1">
      <alignment horizontal="center" vertical="center"/>
    </xf>
    <xf numFmtId="0" fontId="35" fillId="0" borderId="22" xfId="0" applyFont="1" applyBorder="1" applyAlignment="1">
      <alignment horizontal="center" vertical="center"/>
    </xf>
    <xf numFmtId="0" fontId="35" fillId="0" borderId="13" xfId="0" applyFont="1" applyBorder="1" applyAlignment="1">
      <alignment horizontal="center" vertical="center"/>
    </xf>
    <xf numFmtId="0" fontId="35" fillId="22" borderId="13" xfId="0" applyFont="1" applyFill="1" applyBorder="1" applyAlignment="1">
      <alignment horizontal="center" vertical="center"/>
    </xf>
    <xf numFmtId="0" fontId="35" fillId="0" borderId="5" xfId="0" applyFont="1" applyBorder="1" applyAlignment="1">
      <alignment horizontal="center" vertical="center"/>
    </xf>
    <xf numFmtId="0" fontId="93" fillId="0" borderId="0" xfId="0" applyFont="1" applyAlignment="1">
      <alignment horizontal="center" vertical="center"/>
    </xf>
    <xf numFmtId="0" fontId="35" fillId="0" borderId="0" xfId="0" applyFont="1" applyAlignment="1">
      <alignment horizontal="center" vertical="center"/>
    </xf>
    <xf numFmtId="0" fontId="93" fillId="18" borderId="0" xfId="0" applyFont="1" applyFill="1" applyAlignment="1">
      <alignment horizontal="center" vertical="center"/>
    </xf>
    <xf numFmtId="0" fontId="35" fillId="18" borderId="0" xfId="0" applyFont="1" applyFill="1" applyAlignment="1">
      <alignment horizontal="center" vertical="center"/>
    </xf>
    <xf numFmtId="0" fontId="0" fillId="18" borderId="68" xfId="0" applyFill="1" applyBorder="1" applyAlignment="1">
      <alignment horizontal="center" vertical="center" wrapText="1"/>
    </xf>
    <xf numFmtId="0" fontId="0" fillId="18" borderId="42" xfId="0" applyFill="1" applyBorder="1" applyAlignment="1">
      <alignment horizontal="center" vertical="center" wrapText="1"/>
    </xf>
    <xf numFmtId="0" fontId="0" fillId="18" borderId="43" xfId="0" applyFill="1" applyBorder="1" applyAlignment="1">
      <alignment horizontal="center" vertical="center" wrapText="1"/>
    </xf>
    <xf numFmtId="0" fontId="0" fillId="18" borderId="16" xfId="0" applyNumberFormat="1" applyFill="1" applyBorder="1" applyAlignment="1">
      <alignment horizontal="center" vertical="center"/>
    </xf>
    <xf numFmtId="0" fontId="0" fillId="18" borderId="17" xfId="0" applyNumberFormat="1" applyFill="1" applyBorder="1" applyAlignment="1">
      <alignment horizontal="center" vertical="center"/>
    </xf>
    <xf numFmtId="0" fontId="0" fillId="18" borderId="18" xfId="0" applyNumberFormat="1" applyFill="1" applyBorder="1" applyAlignment="1">
      <alignment horizontal="center" vertical="center"/>
    </xf>
    <xf numFmtId="0" fontId="6" fillId="24" borderId="0" xfId="1" applyFill="1" applyAlignment="1" applyProtection="1">
      <alignment horizontal="center" vertical="center"/>
    </xf>
    <xf numFmtId="0" fontId="0" fillId="18" borderId="0" xfId="0" applyFill="1" applyAlignment="1">
      <alignment horizontal="right" vertical="center" wrapText="1"/>
    </xf>
    <xf numFmtId="0" fontId="0" fillId="18" borderId="42" xfId="0" applyFill="1" applyBorder="1" applyAlignment="1">
      <alignment vertical="center"/>
    </xf>
    <xf numFmtId="0" fontId="7" fillId="18" borderId="17" xfId="0" applyFont="1" applyFill="1" applyBorder="1" applyAlignment="1">
      <alignment horizontal="center" vertical="center"/>
    </xf>
    <xf numFmtId="0" fontId="0" fillId="18" borderId="43" xfId="0" applyFill="1" applyBorder="1" applyAlignment="1">
      <alignment vertical="center"/>
    </xf>
    <xf numFmtId="0" fontId="7" fillId="18" borderId="18" xfId="0" applyFont="1" applyFill="1" applyBorder="1" applyAlignment="1">
      <alignment horizontal="center" vertical="center"/>
    </xf>
    <xf numFmtId="0" fontId="0" fillId="18" borderId="16" xfId="0" applyFill="1" applyBorder="1" applyAlignment="1">
      <alignment horizontal="left" vertical="center"/>
    </xf>
    <xf numFmtId="0" fontId="0" fillId="18" borderId="26" xfId="0" applyFill="1" applyBorder="1" applyAlignment="1">
      <alignment horizontal="center" vertical="center"/>
    </xf>
    <xf numFmtId="9" fontId="0" fillId="18" borderId="0" xfId="0" applyNumberFormat="1" applyFill="1" applyAlignment="1">
      <alignment horizontal="center" vertical="center"/>
    </xf>
    <xf numFmtId="0" fontId="0" fillId="18" borderId="17" xfId="0" applyFill="1" applyBorder="1" applyAlignment="1">
      <alignment horizontal="left" vertical="center"/>
    </xf>
    <xf numFmtId="0" fontId="0" fillId="18" borderId="27" xfId="0" applyFill="1" applyBorder="1" applyAlignment="1">
      <alignment horizontal="center" vertical="center"/>
    </xf>
    <xf numFmtId="9" fontId="0" fillId="18" borderId="1" xfId="0" applyNumberFormat="1" applyFill="1" applyBorder="1" applyAlignment="1">
      <alignment horizontal="center" vertical="center"/>
    </xf>
    <xf numFmtId="9" fontId="0" fillId="18" borderId="3" xfId="0" applyNumberFormat="1" applyFill="1" applyBorder="1" applyAlignment="1">
      <alignment horizontal="center" vertical="center"/>
    </xf>
    <xf numFmtId="9" fontId="0" fillId="18" borderId="21" xfId="0" applyNumberFormat="1" applyFill="1" applyBorder="1" applyAlignment="1">
      <alignment horizontal="center" vertical="center"/>
    </xf>
    <xf numFmtId="0" fontId="0" fillId="16" borderId="42" xfId="0" applyFill="1" applyBorder="1" applyAlignment="1">
      <alignment vertical="center"/>
    </xf>
    <xf numFmtId="0" fontId="7" fillId="16" borderId="17" xfId="0" applyFont="1" applyFill="1" applyBorder="1" applyAlignment="1">
      <alignment horizontal="center" vertical="center"/>
    </xf>
    <xf numFmtId="0" fontId="7" fillId="15" borderId="13" xfId="0" applyFont="1" applyFill="1" applyBorder="1" applyAlignment="1">
      <alignment horizontal="center" vertical="center"/>
    </xf>
    <xf numFmtId="0" fontId="0" fillId="16" borderId="17" xfId="0" applyFill="1" applyBorder="1" applyAlignment="1">
      <alignment horizontal="left" vertical="center"/>
    </xf>
    <xf numFmtId="9" fontId="0" fillId="16" borderId="3" xfId="0" applyNumberFormat="1" applyFill="1" applyBorder="1" applyAlignment="1">
      <alignment horizontal="center" vertical="center"/>
    </xf>
    <xf numFmtId="9" fontId="0" fillId="16" borderId="21" xfId="0" applyNumberFormat="1" applyFill="1" applyBorder="1" applyAlignment="1">
      <alignment horizontal="center" vertical="center"/>
    </xf>
    <xf numFmtId="0" fontId="0" fillId="16" borderId="18" xfId="0" applyFill="1" applyBorder="1" applyAlignment="1">
      <alignment horizontal="left" vertical="center"/>
    </xf>
    <xf numFmtId="9" fontId="0" fillId="16" borderId="13" xfId="0" applyNumberFormat="1" applyFill="1" applyBorder="1" applyAlignment="1">
      <alignment horizontal="center" vertical="center"/>
    </xf>
    <xf numFmtId="0" fontId="0" fillId="15" borderId="22" xfId="0" applyFont="1" applyFill="1" applyBorder="1" applyAlignment="1">
      <alignment horizontal="center" vertical="center"/>
    </xf>
    <xf numFmtId="0" fontId="0" fillId="15" borderId="13" xfId="0" applyFont="1" applyFill="1" applyBorder="1" applyAlignment="1">
      <alignment horizontal="center" vertical="center"/>
    </xf>
    <xf numFmtId="0" fontId="0" fillId="15" borderId="5" xfId="0" applyFont="1" applyFill="1" applyBorder="1" applyAlignment="1">
      <alignment horizontal="center" vertical="center"/>
    </xf>
    <xf numFmtId="0" fontId="0" fillId="15" borderId="4" xfId="0" applyFont="1" applyFill="1" applyBorder="1" applyAlignment="1">
      <alignment horizontal="center" vertical="center"/>
    </xf>
    <xf numFmtId="0" fontId="5" fillId="18" borderId="68" xfId="0" applyFont="1" applyFill="1" applyBorder="1" applyAlignment="1">
      <alignment horizontal="center" vertical="center" wrapText="1"/>
    </xf>
    <xf numFmtId="0" fontId="5" fillId="18" borderId="19" xfId="0" applyFont="1" applyFill="1" applyBorder="1" applyAlignment="1">
      <alignment horizontal="center" vertical="center" wrapText="1"/>
    </xf>
    <xf numFmtId="0" fontId="5" fillId="18" borderId="57" xfId="0" applyFont="1" applyFill="1" applyBorder="1" applyAlignment="1">
      <alignment horizontal="center" vertical="center" wrapText="1"/>
    </xf>
    <xf numFmtId="0" fontId="5" fillId="18" borderId="42" xfId="0" applyFont="1" applyFill="1" applyBorder="1" applyAlignment="1">
      <alignment horizontal="center" vertical="center" wrapText="1"/>
    </xf>
    <xf numFmtId="0" fontId="5" fillId="18" borderId="17" xfId="0" applyFont="1" applyFill="1" applyBorder="1" applyAlignment="1">
      <alignment horizontal="center" vertical="center" wrapText="1"/>
    </xf>
    <xf numFmtId="0" fontId="5" fillId="18" borderId="32" xfId="0" applyFont="1" applyFill="1" applyBorder="1" applyAlignment="1">
      <alignment horizontal="center" vertical="center" wrapText="1"/>
    </xf>
    <xf numFmtId="0" fontId="5" fillId="18" borderId="18" xfId="0" applyFont="1" applyFill="1" applyBorder="1" applyAlignment="1">
      <alignment horizontal="center" vertical="center" wrapText="1"/>
    </xf>
    <xf numFmtId="0" fontId="5" fillId="18" borderId="0" xfId="0" applyNumberFormat="1" applyFont="1" applyFill="1" applyAlignment="1">
      <alignment vertical="center" wrapText="1"/>
    </xf>
    <xf numFmtId="0" fontId="5" fillId="18" borderId="8" xfId="0" applyFont="1" applyFill="1" applyBorder="1" applyAlignment="1">
      <alignment horizontal="center" vertical="center" wrapText="1"/>
    </xf>
    <xf numFmtId="0" fontId="5" fillId="18" borderId="3" xfId="0" applyFont="1" applyFill="1" applyBorder="1" applyAlignment="1">
      <alignment horizontal="center" vertical="center" wrapText="1"/>
    </xf>
    <xf numFmtId="0" fontId="5" fillId="18" borderId="5" xfId="0" applyFont="1" applyFill="1" applyBorder="1" applyAlignment="1">
      <alignment horizontal="center" vertical="center" wrapText="1"/>
    </xf>
    <xf numFmtId="0" fontId="28" fillId="18" borderId="0" xfId="0" applyFont="1" applyFill="1" applyAlignment="1">
      <alignment horizontal="center" vertical="center" wrapText="1"/>
    </xf>
    <xf numFmtId="0" fontId="5" fillId="18" borderId="0" xfId="0" applyFont="1" applyFill="1" applyBorder="1" applyAlignment="1">
      <alignment horizontal="center" vertical="center" wrapText="1"/>
    </xf>
    <xf numFmtId="9" fontId="5" fillId="18" borderId="57" xfId="0" applyNumberFormat="1" applyFont="1" applyFill="1" applyBorder="1" applyAlignment="1">
      <alignment horizontal="center" vertical="center" wrapText="1"/>
    </xf>
    <xf numFmtId="9" fontId="5" fillId="18" borderId="33" xfId="0" applyNumberFormat="1" applyFont="1" applyFill="1" applyBorder="1" applyAlignment="1">
      <alignment horizontal="center" vertical="center" wrapText="1"/>
    </xf>
    <xf numFmtId="9" fontId="5" fillId="18" borderId="0" xfId="0" applyNumberFormat="1" applyFont="1" applyFill="1" applyAlignment="1">
      <alignment horizontal="center" vertical="center" wrapText="1"/>
    </xf>
    <xf numFmtId="0" fontId="30" fillId="18" borderId="9" xfId="0" applyFont="1" applyFill="1" applyBorder="1" applyAlignment="1">
      <alignment horizontal="center" vertical="center" wrapText="1"/>
    </xf>
    <xf numFmtId="0" fontId="5" fillId="18" borderId="15" xfId="0" applyFont="1" applyFill="1" applyBorder="1" applyAlignment="1">
      <alignment horizontal="center" vertical="center" wrapText="1"/>
    </xf>
    <xf numFmtId="0" fontId="5" fillId="18" borderId="2" xfId="0" applyFont="1" applyFill="1" applyBorder="1" applyAlignment="1">
      <alignment horizontal="center" vertical="center" wrapText="1"/>
    </xf>
    <xf numFmtId="0" fontId="5" fillId="18" borderId="1" xfId="0" applyFont="1" applyFill="1" applyBorder="1" applyAlignment="1">
      <alignment horizontal="center" vertical="center" wrapText="1"/>
    </xf>
    <xf numFmtId="0" fontId="5" fillId="18" borderId="3" xfId="0" quotePrefix="1" applyFont="1" applyFill="1" applyBorder="1" applyAlignment="1">
      <alignment horizontal="center" vertical="center" wrapText="1"/>
    </xf>
    <xf numFmtId="0" fontId="5" fillId="18" borderId="68" xfId="0" applyNumberFormat="1" applyFont="1" applyFill="1" applyBorder="1" applyAlignment="1">
      <alignment horizontal="left" vertical="center" wrapText="1"/>
    </xf>
    <xf numFmtId="0" fontId="5" fillId="18" borderId="42" xfId="0" applyNumberFormat="1" applyFont="1" applyFill="1" applyBorder="1" applyAlignment="1">
      <alignment horizontal="left" vertical="center" wrapText="1"/>
    </xf>
    <xf numFmtId="0" fontId="5" fillId="18" borderId="43" xfId="0" applyNumberFormat="1" applyFont="1" applyFill="1" applyBorder="1" applyAlignment="1">
      <alignment horizontal="left" vertical="center" wrapText="1"/>
    </xf>
    <xf numFmtId="0" fontId="5" fillId="18" borderId="68" xfId="0" applyFont="1" applyFill="1" applyBorder="1" applyAlignment="1">
      <alignment horizontal="left" vertical="center" wrapText="1"/>
    </xf>
    <xf numFmtId="9" fontId="5" fillId="18" borderId="19" xfId="0" applyNumberFormat="1" applyFont="1" applyFill="1" applyBorder="1" applyAlignment="1">
      <alignment horizontal="center" vertical="center" wrapText="1"/>
    </xf>
    <xf numFmtId="9" fontId="5" fillId="18" borderId="23" xfId="0" applyNumberFormat="1" applyFont="1" applyFill="1" applyBorder="1" applyAlignment="1">
      <alignment horizontal="center" vertical="center" wrapText="1"/>
    </xf>
    <xf numFmtId="9" fontId="5" fillId="18" borderId="15" xfId="0" applyNumberFormat="1" applyFont="1" applyFill="1" applyBorder="1" applyAlignment="1">
      <alignment horizontal="center" vertical="center" wrapText="1"/>
    </xf>
    <xf numFmtId="9" fontId="5" fillId="18" borderId="8" xfId="0" applyNumberFormat="1" applyFont="1" applyFill="1" applyBorder="1" applyAlignment="1">
      <alignment horizontal="center" vertical="center" wrapText="1"/>
    </xf>
    <xf numFmtId="0" fontId="5" fillId="18" borderId="42" xfId="0" applyFont="1" applyFill="1" applyBorder="1" applyAlignment="1">
      <alignment horizontal="left" vertical="center" wrapText="1"/>
    </xf>
    <xf numFmtId="9" fontId="5" fillId="18" borderId="17" xfId="0" applyNumberFormat="1" applyFont="1" applyFill="1" applyBorder="1" applyAlignment="1">
      <alignment horizontal="center" vertical="center" wrapText="1"/>
    </xf>
    <xf numFmtId="9" fontId="5" fillId="18" borderId="21" xfId="0" applyNumberFormat="1" applyFont="1" applyFill="1" applyBorder="1" applyAlignment="1">
      <alignment horizontal="center" vertical="center" wrapText="1"/>
    </xf>
    <xf numFmtId="9" fontId="5" fillId="18" borderId="1" xfId="0" applyNumberFormat="1" applyFont="1" applyFill="1" applyBorder="1" applyAlignment="1">
      <alignment horizontal="center" vertical="center" wrapText="1"/>
    </xf>
    <xf numFmtId="9" fontId="5" fillId="18" borderId="3" xfId="0" applyNumberFormat="1" applyFont="1" applyFill="1" applyBorder="1" applyAlignment="1">
      <alignment horizontal="center" vertical="center" wrapText="1"/>
    </xf>
    <xf numFmtId="0" fontId="5" fillId="18" borderId="9" xfId="0" applyFont="1" applyFill="1" applyBorder="1" applyAlignment="1">
      <alignment horizontal="left" vertical="center" wrapText="1"/>
    </xf>
    <xf numFmtId="0" fontId="5" fillId="18" borderId="2" xfId="0" applyFont="1" applyFill="1" applyBorder="1" applyAlignment="1">
      <alignment horizontal="left" vertical="center" wrapText="1"/>
    </xf>
    <xf numFmtId="0" fontId="5" fillId="18" borderId="4" xfId="0" applyFont="1" applyFill="1" applyBorder="1" applyAlignment="1">
      <alignment horizontal="left" vertical="center" wrapText="1"/>
    </xf>
    <xf numFmtId="0" fontId="42" fillId="18" borderId="0" xfId="0" applyFont="1" applyFill="1" applyAlignment="1">
      <alignment horizontal="left" vertical="center" wrapText="1"/>
    </xf>
    <xf numFmtId="2" fontId="5" fillId="18" borderId="23" xfId="0" applyNumberFormat="1" applyFont="1" applyFill="1" applyBorder="1" applyAlignment="1">
      <alignment horizontal="center" vertical="center" wrapText="1"/>
    </xf>
    <xf numFmtId="2" fontId="0" fillId="18" borderId="15" xfId="0" applyNumberFormat="1" applyFill="1" applyBorder="1" applyAlignment="1">
      <alignment horizontal="center" vertical="center"/>
    </xf>
    <xf numFmtId="2" fontId="14" fillId="18" borderId="8" xfId="0" applyNumberFormat="1" applyFont="1" applyFill="1" applyBorder="1" applyAlignment="1">
      <alignment horizontal="center" vertical="center"/>
    </xf>
    <xf numFmtId="2" fontId="5" fillId="18" borderId="21" xfId="0" applyNumberFormat="1" applyFont="1" applyFill="1" applyBorder="1" applyAlignment="1">
      <alignment horizontal="center" vertical="center" wrapText="1"/>
    </xf>
    <xf numFmtId="2" fontId="0" fillId="18" borderId="1" xfId="0" applyNumberFormat="1" applyFill="1" applyBorder="1" applyAlignment="1">
      <alignment horizontal="center" vertical="center"/>
    </xf>
    <xf numFmtId="2" fontId="0" fillId="18" borderId="3" xfId="0" applyNumberFormat="1" applyFill="1" applyBorder="1" applyAlignment="1">
      <alignment horizontal="center" vertical="center"/>
    </xf>
    <xf numFmtId="2" fontId="5" fillId="18" borderId="22" xfId="0" applyNumberFormat="1" applyFont="1" applyFill="1" applyBorder="1" applyAlignment="1">
      <alignment horizontal="center" vertical="center" wrapText="1"/>
    </xf>
    <xf numFmtId="2" fontId="14" fillId="18" borderId="15" xfId="0" applyNumberFormat="1" applyFont="1" applyFill="1" applyBorder="1" applyAlignment="1">
      <alignment horizontal="center" vertical="center"/>
    </xf>
    <xf numFmtId="2" fontId="14" fillId="18" borderId="3" xfId="0" applyNumberFormat="1" applyFont="1" applyFill="1" applyBorder="1" applyAlignment="1">
      <alignment horizontal="center" vertical="center"/>
    </xf>
    <xf numFmtId="2" fontId="14" fillId="18" borderId="1" xfId="0" applyNumberFormat="1" applyFont="1" applyFill="1" applyBorder="1" applyAlignment="1">
      <alignment horizontal="center" vertical="center"/>
    </xf>
    <xf numFmtId="2" fontId="14" fillId="18" borderId="5" xfId="0" applyNumberFormat="1" applyFont="1" applyFill="1" applyBorder="1" applyAlignment="1">
      <alignment horizontal="center" vertical="center"/>
    </xf>
    <xf numFmtId="2" fontId="14" fillId="18" borderId="13" xfId="0" applyNumberFormat="1" applyFont="1" applyFill="1" applyBorder="1" applyAlignment="1">
      <alignment horizontal="center" vertical="center"/>
    </xf>
    <xf numFmtId="0" fontId="4" fillId="18" borderId="0" xfId="0" applyFont="1" applyFill="1" applyAlignment="1">
      <alignment horizontal="left" vertical="center" wrapText="1"/>
    </xf>
    <xf numFmtId="3" fontId="5" fillId="18" borderId="8" xfId="0" applyNumberFormat="1" applyFont="1" applyFill="1" applyBorder="1" applyAlignment="1">
      <alignment horizontal="center" vertical="center" wrapText="1"/>
    </xf>
    <xf numFmtId="3" fontId="5" fillId="18" borderId="3" xfId="0" applyNumberFormat="1" applyFont="1" applyFill="1" applyBorder="1" applyAlignment="1">
      <alignment horizontal="center" vertical="center" wrapText="1"/>
    </xf>
    <xf numFmtId="0" fontId="35" fillId="18" borderId="0" xfId="0" applyFont="1" applyFill="1" applyAlignment="1">
      <alignment vertical="center" wrapText="1"/>
    </xf>
    <xf numFmtId="9" fontId="5" fillId="16" borderId="32" xfId="0" applyNumberFormat="1" applyFont="1" applyFill="1" applyBorder="1" applyAlignment="1">
      <alignment horizontal="center" vertical="center" wrapText="1"/>
    </xf>
    <xf numFmtId="0" fontId="5" fillId="16" borderId="3" xfId="0" quotePrefix="1" applyFont="1" applyFill="1" applyBorder="1" applyAlignment="1">
      <alignment horizontal="center" vertical="center" wrapText="1"/>
    </xf>
    <xf numFmtId="0" fontId="5" fillId="16" borderId="5" xfId="0" quotePrefix="1" applyFont="1" applyFill="1" applyBorder="1" applyAlignment="1">
      <alignment horizontal="center" vertical="center" wrapText="1"/>
    </xf>
    <xf numFmtId="0" fontId="25" fillId="15" borderId="25" xfId="0" applyNumberFormat="1" applyFont="1" applyFill="1" applyBorder="1" applyAlignment="1">
      <alignment horizontal="center" vertical="center" wrapText="1"/>
    </xf>
    <xf numFmtId="0" fontId="25" fillId="15" borderId="29" xfId="0" applyNumberFormat="1" applyFont="1" applyFill="1" applyBorder="1" applyAlignment="1">
      <alignment horizontal="center" vertical="center" wrapText="1"/>
    </xf>
    <xf numFmtId="0" fontId="5" fillId="16" borderId="42" xfId="0" applyNumberFormat="1" applyFont="1" applyFill="1" applyBorder="1" applyAlignment="1">
      <alignment horizontal="left" vertical="center" wrapText="1"/>
    </xf>
    <xf numFmtId="49" fontId="5" fillId="18" borderId="19" xfId="0" applyNumberFormat="1" applyFont="1" applyFill="1" applyBorder="1" applyAlignment="1">
      <alignment horizontal="center" vertical="center" wrapText="1"/>
    </xf>
    <xf numFmtId="49" fontId="5" fillId="18" borderId="17" xfId="0" applyNumberFormat="1" applyFont="1" applyFill="1" applyBorder="1" applyAlignment="1">
      <alignment horizontal="center" vertical="center" wrapText="1"/>
    </xf>
    <xf numFmtId="49" fontId="5" fillId="18" borderId="18" xfId="0" applyNumberFormat="1" applyFont="1" applyFill="1" applyBorder="1" applyAlignment="1">
      <alignment horizontal="center" vertical="center" wrapText="1"/>
    </xf>
    <xf numFmtId="0" fontId="25" fillId="15" borderId="22" xfId="0" applyFont="1" applyFill="1" applyBorder="1" applyAlignment="1">
      <alignment horizontal="center" vertical="center" wrapText="1"/>
    </xf>
    <xf numFmtId="0" fontId="25" fillId="15" borderId="13" xfId="0" applyFont="1" applyFill="1" applyBorder="1" applyAlignment="1">
      <alignment horizontal="center" vertical="center" wrapText="1"/>
    </xf>
    <xf numFmtId="0" fontId="25" fillId="15" borderId="5" xfId="0" applyFont="1" applyFill="1" applyBorder="1" applyAlignment="1">
      <alignment horizontal="center" vertical="center" wrapText="1"/>
    </xf>
    <xf numFmtId="0" fontId="5" fillId="16" borderId="42" xfId="0" applyFont="1" applyFill="1" applyBorder="1" applyAlignment="1">
      <alignment horizontal="left" vertical="center" wrapText="1"/>
    </xf>
    <xf numFmtId="9" fontId="5" fillId="16" borderId="17" xfId="0" applyNumberFormat="1" applyFont="1" applyFill="1" applyBorder="1" applyAlignment="1">
      <alignment horizontal="center" vertical="center" wrapText="1"/>
    </xf>
    <xf numFmtId="9" fontId="5" fillId="16" borderId="21" xfId="0" applyNumberFormat="1" applyFont="1" applyFill="1" applyBorder="1" applyAlignment="1">
      <alignment horizontal="center" vertical="center" wrapText="1"/>
    </xf>
    <xf numFmtId="9" fontId="5" fillId="16" borderId="1" xfId="0" applyNumberFormat="1" applyFont="1" applyFill="1" applyBorder="1" applyAlignment="1">
      <alignment horizontal="center" vertical="center" wrapText="1"/>
    </xf>
    <xf numFmtId="0" fontId="5" fillId="16" borderId="43" xfId="0" applyFont="1" applyFill="1" applyBorder="1" applyAlignment="1">
      <alignment horizontal="left" vertical="center" wrapText="1"/>
    </xf>
    <xf numFmtId="9" fontId="5" fillId="16" borderId="18" xfId="0" applyNumberFormat="1" applyFont="1" applyFill="1" applyBorder="1" applyAlignment="1">
      <alignment horizontal="center" vertical="center" wrapText="1"/>
    </xf>
    <xf numFmtId="9" fontId="5" fillId="16" borderId="22" xfId="0" applyNumberFormat="1" applyFont="1" applyFill="1" applyBorder="1" applyAlignment="1">
      <alignment horizontal="center" vertical="center" wrapText="1"/>
    </xf>
    <xf numFmtId="9" fontId="5" fillId="16" borderId="13" xfId="0" applyNumberFormat="1" applyFont="1" applyFill="1" applyBorder="1" applyAlignment="1">
      <alignment horizontal="center" vertical="center" wrapText="1"/>
    </xf>
    <xf numFmtId="0" fontId="25" fillId="15" borderId="52" xfId="0" applyFont="1" applyFill="1" applyBorder="1" applyAlignment="1">
      <alignment horizontal="center" vertical="center" wrapText="1"/>
    </xf>
    <xf numFmtId="0" fontId="25" fillId="15" borderId="48" xfId="0" applyFont="1" applyFill="1" applyBorder="1" applyAlignment="1">
      <alignment horizontal="center" vertical="center" wrapText="1"/>
    </xf>
    <xf numFmtId="0" fontId="25" fillId="15" borderId="53" xfId="0" applyFont="1" applyFill="1" applyBorder="1" applyAlignment="1">
      <alignment horizontal="center" vertical="center" wrapText="1"/>
    </xf>
    <xf numFmtId="0" fontId="5" fillId="16" borderId="2" xfId="0" applyFont="1" applyFill="1" applyBorder="1" applyAlignment="1">
      <alignment horizontal="left" vertical="center" wrapText="1"/>
    </xf>
    <xf numFmtId="0" fontId="5" fillId="18" borderId="0" xfId="0" applyFont="1" applyFill="1" applyBorder="1" applyAlignment="1">
      <alignment horizontal="left" vertical="center" wrapText="1"/>
    </xf>
    <xf numFmtId="2" fontId="5" fillId="16" borderId="21" xfId="0" applyNumberFormat="1" applyFont="1" applyFill="1" applyBorder="1" applyAlignment="1">
      <alignment horizontal="center" vertical="center" wrapText="1"/>
    </xf>
    <xf numFmtId="2" fontId="0" fillId="16" borderId="1" xfId="0" applyNumberFormat="1" applyFill="1" applyBorder="1" applyAlignment="1">
      <alignment horizontal="center" vertical="center"/>
    </xf>
    <xf numFmtId="2" fontId="0" fillId="16" borderId="3" xfId="0" applyNumberFormat="1" applyFill="1" applyBorder="1" applyAlignment="1">
      <alignment horizontal="center" vertical="center"/>
    </xf>
    <xf numFmtId="2" fontId="5" fillId="16" borderId="22" xfId="0" applyNumberFormat="1" applyFont="1" applyFill="1" applyBorder="1" applyAlignment="1">
      <alignment horizontal="center" vertical="center" wrapText="1"/>
    </xf>
    <xf numFmtId="2" fontId="0" fillId="16" borderId="13" xfId="0" applyNumberFormat="1" applyFill="1" applyBorder="1" applyAlignment="1">
      <alignment horizontal="center" vertical="center"/>
    </xf>
    <xf numFmtId="2" fontId="0" fillId="16" borderId="5" xfId="0" applyNumberFormat="1" applyFill="1" applyBorder="1" applyAlignment="1">
      <alignment horizontal="center" vertical="center"/>
    </xf>
    <xf numFmtId="2" fontId="14" fillId="16" borderId="3" xfId="0" applyNumberFormat="1" applyFont="1" applyFill="1" applyBorder="1" applyAlignment="1">
      <alignment horizontal="center" vertical="center"/>
    </xf>
    <xf numFmtId="2" fontId="14" fillId="16" borderId="1" xfId="0" applyNumberFormat="1" applyFont="1" applyFill="1" applyBorder="1" applyAlignment="1">
      <alignment horizontal="center" vertical="center"/>
    </xf>
    <xf numFmtId="2" fontId="14" fillId="16" borderId="5" xfId="0" applyNumberFormat="1" applyFont="1" applyFill="1" applyBorder="1" applyAlignment="1">
      <alignment horizontal="center" vertical="center"/>
    </xf>
    <xf numFmtId="3" fontId="5" fillId="16" borderId="3" xfId="0" applyNumberFormat="1" applyFont="1" applyFill="1" applyBorder="1" applyAlignment="1">
      <alignment horizontal="center" vertical="center" wrapText="1"/>
    </xf>
    <xf numFmtId="3" fontId="5" fillId="16" borderId="5" xfId="0" applyNumberFormat="1" applyFont="1" applyFill="1" applyBorder="1" applyAlignment="1">
      <alignment horizontal="center" vertical="center" wrapText="1"/>
    </xf>
    <xf numFmtId="0" fontId="4" fillId="18" borderId="0" xfId="0" applyFont="1" applyFill="1" applyAlignment="1">
      <alignment horizontal="justify" vertical="center" wrapText="1"/>
    </xf>
    <xf numFmtId="0" fontId="44" fillId="2" borderId="0" xfId="0" applyFont="1" applyFill="1" applyAlignment="1">
      <alignment horizontal="left" vertical="center" wrapText="1"/>
    </xf>
    <xf numFmtId="0" fontId="5" fillId="16" borderId="19" xfId="0" applyFont="1" applyFill="1" applyBorder="1" applyAlignment="1">
      <alignment horizontal="center" vertical="center" wrapText="1"/>
    </xf>
    <xf numFmtId="0" fontId="5" fillId="18" borderId="0" xfId="0" applyFont="1" applyFill="1" applyAlignment="1">
      <alignment horizontal="left" vertical="center" wrapText="1"/>
    </xf>
    <xf numFmtId="0" fontId="25" fillId="18" borderId="0" xfId="0" applyFont="1" applyFill="1" applyAlignment="1">
      <alignment horizontal="left" vertical="center" wrapText="1"/>
    </xf>
    <xf numFmtId="0" fontId="25" fillId="15" borderId="22" xfId="0" applyFont="1" applyFill="1" applyBorder="1" applyAlignment="1">
      <alignment horizontal="center" vertical="center"/>
    </xf>
    <xf numFmtId="0" fontId="5" fillId="18" borderId="0" xfId="0" applyFont="1" applyFill="1" applyAlignment="1">
      <alignment horizontal="center" vertical="center"/>
    </xf>
    <xf numFmtId="0" fontId="72" fillId="18" borderId="0" xfId="0" applyFont="1" applyFill="1" applyAlignment="1">
      <alignment horizontal="center" vertical="center"/>
    </xf>
    <xf numFmtId="0" fontId="5" fillId="16" borderId="2" xfId="0" applyFont="1" applyFill="1" applyBorder="1" applyAlignment="1">
      <alignment horizontal="center" vertical="center"/>
    </xf>
    <xf numFmtId="0" fontId="5" fillId="16" borderId="4" xfId="0" applyFont="1" applyFill="1" applyBorder="1" applyAlignment="1">
      <alignment horizontal="center" vertical="center"/>
    </xf>
    <xf numFmtId="0" fontId="5" fillId="15" borderId="5" xfId="0" applyFont="1" applyFill="1" applyBorder="1" applyAlignment="1">
      <alignment horizontal="center" vertical="center"/>
    </xf>
    <xf numFmtId="0" fontId="5" fillId="15" borderId="13" xfId="0" applyFont="1" applyFill="1" applyBorder="1" applyAlignment="1">
      <alignment horizontal="center" vertical="center"/>
    </xf>
    <xf numFmtId="0" fontId="5" fillId="18" borderId="0" xfId="0" applyFont="1" applyFill="1" applyAlignment="1">
      <alignment horizontal="left" vertical="center" wrapText="1" indent="1"/>
    </xf>
    <xf numFmtId="0" fontId="27" fillId="18" borderId="0" xfId="1" applyFont="1" applyFill="1" applyAlignment="1" applyProtection="1">
      <alignment horizontal="left" vertical="center" wrapText="1" indent="1"/>
    </xf>
    <xf numFmtId="0" fontId="30" fillId="18" borderId="0" xfId="0" applyFont="1" applyFill="1" applyAlignment="1">
      <alignment horizontal="left" vertical="center" wrapText="1" indent="1"/>
    </xf>
    <xf numFmtId="3" fontId="5" fillId="18" borderId="0" xfId="0" applyNumberFormat="1" applyFont="1" applyFill="1" applyAlignment="1">
      <alignment horizontal="left" vertical="center" wrapText="1" indent="1"/>
    </xf>
    <xf numFmtId="0" fontId="31" fillId="18" borderId="0" xfId="0" applyFont="1" applyFill="1" applyAlignment="1">
      <alignment horizontal="left" vertical="center" wrapText="1" indent="1"/>
    </xf>
    <xf numFmtId="0" fontId="31" fillId="18" borderId="0" xfId="0" applyFont="1" applyFill="1"/>
    <xf numFmtId="0" fontId="5" fillId="18" borderId="0" xfId="0" applyFont="1" applyFill="1" applyBorder="1" applyAlignment="1">
      <alignment horizontal="left" vertical="center" wrapText="1" indent="1"/>
    </xf>
    <xf numFmtId="0" fontId="27" fillId="18" borderId="0" xfId="1" applyFont="1" applyFill="1" applyAlignment="1" applyProtection="1">
      <alignment horizontal="left" vertical="center" wrapText="1"/>
    </xf>
    <xf numFmtId="0" fontId="30" fillId="18" borderId="0" xfId="0" applyFont="1" applyFill="1" applyAlignment="1">
      <alignment horizontal="left" vertical="center" wrapText="1"/>
    </xf>
    <xf numFmtId="3" fontId="5" fillId="18" borderId="0" xfId="0" applyNumberFormat="1" applyFont="1" applyFill="1" applyAlignment="1">
      <alignment horizontal="left" vertical="center" wrapText="1"/>
    </xf>
    <xf numFmtId="0" fontId="31" fillId="18" borderId="0" xfId="0" applyFont="1" applyFill="1" applyAlignment="1">
      <alignment horizontal="left" vertical="center" wrapText="1"/>
    </xf>
    <xf numFmtId="0" fontId="31" fillId="18" borderId="0" xfId="0" applyFont="1" applyFill="1" applyAlignment="1">
      <alignment vertical="center"/>
    </xf>
    <xf numFmtId="0" fontId="35" fillId="18" borderId="0" xfId="0" applyFont="1" applyFill="1" applyAlignment="1">
      <alignment horizontal="left" vertical="center" wrapText="1"/>
    </xf>
    <xf numFmtId="0" fontId="5" fillId="18" borderId="0" xfId="0" applyFont="1" applyFill="1" applyAlignment="1">
      <alignment horizontal="left" vertical="center" wrapText="1"/>
    </xf>
    <xf numFmtId="0" fontId="5" fillId="16" borderId="21"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5" fillId="16" borderId="3" xfId="0" applyFont="1" applyFill="1" applyBorder="1" applyAlignment="1">
      <alignment horizontal="center" vertical="center" wrapText="1"/>
    </xf>
    <xf numFmtId="0" fontId="5" fillId="16" borderId="3" xfId="0" applyFont="1" applyFill="1" applyBorder="1" applyAlignment="1">
      <alignment horizontal="left" vertical="center" wrapText="1" indent="1"/>
    </xf>
    <xf numFmtId="0" fontId="28" fillId="16" borderId="33" xfId="0" applyFont="1" applyFill="1" applyBorder="1" applyAlignment="1">
      <alignment horizontal="left" vertical="center" wrapText="1" indent="1"/>
    </xf>
    <xf numFmtId="0" fontId="5" fillId="16" borderId="32" xfId="0" applyFont="1" applyFill="1" applyBorder="1" applyAlignment="1">
      <alignment horizontal="left" vertical="center" wrapText="1" indent="1"/>
    </xf>
    <xf numFmtId="0" fontId="25" fillId="15" borderId="7" xfId="0" applyFont="1" applyFill="1" applyBorder="1" applyAlignment="1">
      <alignment horizontal="center" vertical="center" wrapText="1"/>
    </xf>
    <xf numFmtId="0" fontId="5" fillId="16" borderId="22" xfId="0" applyFont="1" applyFill="1" applyBorder="1" applyAlignment="1">
      <alignment horizontal="left" vertical="center" wrapText="1"/>
    </xf>
    <xf numFmtId="0" fontId="5" fillId="16" borderId="21" xfId="0" applyFont="1" applyFill="1" applyBorder="1" applyAlignment="1">
      <alignment horizontal="left" vertical="center" wrapText="1"/>
    </xf>
    <xf numFmtId="0" fontId="5" fillId="16" borderId="1" xfId="0" applyFont="1" applyFill="1" applyBorder="1" applyAlignment="1">
      <alignment horizontal="left" vertical="center" wrapText="1"/>
    </xf>
    <xf numFmtId="0" fontId="5" fillId="16" borderId="3" xfId="0" applyFont="1" applyFill="1" applyBorder="1" applyAlignment="1">
      <alignment horizontal="left" vertical="center" wrapText="1"/>
    </xf>
    <xf numFmtId="0" fontId="5" fillId="18" borderId="0" xfId="0" applyFont="1" applyFill="1" applyAlignment="1">
      <alignment horizontal="center" vertical="center"/>
    </xf>
    <xf numFmtId="0" fontId="26" fillId="18" borderId="0" xfId="0" applyFont="1" applyFill="1" applyAlignment="1">
      <alignment horizontal="left" vertical="center" wrapText="1"/>
    </xf>
    <xf numFmtId="0" fontId="5" fillId="18" borderId="0" xfId="0" applyFont="1" applyFill="1" applyAlignment="1">
      <alignment horizontal="left" vertical="center"/>
    </xf>
    <xf numFmtId="0" fontId="33" fillId="18" borderId="0" xfId="0" applyFont="1" applyFill="1" applyAlignment="1">
      <alignment horizontal="left" vertical="center" wrapText="1"/>
    </xf>
    <xf numFmtId="0" fontId="26" fillId="18" borderId="0" xfId="0" applyFont="1" applyFill="1" applyAlignment="1">
      <alignment vertical="center" wrapText="1"/>
    </xf>
    <xf numFmtId="0" fontId="0" fillId="18" borderId="0" xfId="0" applyFill="1" applyAlignment="1">
      <alignment horizontal="left" vertical="center" wrapText="1"/>
    </xf>
    <xf numFmtId="0" fontId="1" fillId="18" borderId="0" xfId="0" applyFont="1" applyFill="1" applyAlignment="1">
      <alignment horizontal="left" vertical="center" wrapText="1"/>
    </xf>
    <xf numFmtId="9" fontId="0" fillId="16" borderId="1" xfId="0" applyNumberFormat="1" applyFill="1" applyBorder="1" applyAlignment="1">
      <alignment horizontal="center" vertical="center" wrapText="1"/>
    </xf>
    <xf numFmtId="0" fontId="0" fillId="18" borderId="0" xfId="0" applyFill="1" applyBorder="1" applyAlignment="1">
      <alignment horizontal="left" vertical="center" wrapText="1"/>
    </xf>
    <xf numFmtId="0" fontId="5" fillId="18" borderId="13" xfId="0" applyFont="1" applyFill="1" applyBorder="1" applyAlignment="1">
      <alignment horizontal="left" vertical="center" wrapText="1"/>
    </xf>
    <xf numFmtId="0" fontId="5" fillId="18" borderId="1" xfId="0" applyFont="1" applyFill="1" applyBorder="1" applyAlignment="1">
      <alignment horizontal="left" vertical="center" wrapText="1"/>
    </xf>
    <xf numFmtId="0" fontId="5" fillId="18" borderId="3" xfId="0" applyFont="1" applyFill="1" applyBorder="1" applyAlignment="1">
      <alignment horizontal="left" vertical="center" wrapText="1"/>
    </xf>
    <xf numFmtId="0" fontId="5" fillId="18" borderId="12" xfId="0" applyFont="1" applyFill="1" applyBorder="1" applyAlignment="1">
      <alignment horizontal="left" vertical="center" wrapText="1"/>
    </xf>
    <xf numFmtId="0" fontId="5" fillId="18" borderId="24" xfId="0" applyFont="1" applyFill="1" applyBorder="1" applyAlignment="1">
      <alignment horizontal="left" vertical="center" wrapText="1"/>
    </xf>
    <xf numFmtId="0" fontId="5" fillId="15" borderId="13" xfId="0" applyFont="1" applyFill="1" applyBorder="1" applyAlignment="1">
      <alignment horizontal="center" vertical="center"/>
    </xf>
    <xf numFmtId="0" fontId="5" fillId="15" borderId="5" xfId="0" applyFont="1" applyFill="1" applyBorder="1" applyAlignment="1">
      <alignment horizontal="center" vertical="center"/>
    </xf>
    <xf numFmtId="0" fontId="27" fillId="24" borderId="0" xfId="1" applyFont="1" applyFill="1" applyAlignment="1" applyProtection="1">
      <alignment horizontal="center" vertical="center" wrapText="1"/>
    </xf>
    <xf numFmtId="0" fontId="5" fillId="18" borderId="0" xfId="0" applyFont="1" applyFill="1" applyAlignment="1">
      <alignment horizontal="left" vertical="center" wrapText="1" indent="1"/>
    </xf>
    <xf numFmtId="0" fontId="25" fillId="18" borderId="0" xfId="0" applyFont="1" applyFill="1" applyAlignment="1">
      <alignment horizontal="center" vertical="center"/>
    </xf>
    <xf numFmtId="0" fontId="7" fillId="18" borderId="0" xfId="0" applyFont="1" applyFill="1" applyBorder="1" applyAlignment="1">
      <alignment horizontal="center" vertical="center" wrapText="1"/>
    </xf>
    <xf numFmtId="0" fontId="27" fillId="18" borderId="0" xfId="1" applyFont="1" applyFill="1" applyAlignment="1" applyProtection="1">
      <alignment horizontal="center" vertical="center"/>
    </xf>
    <xf numFmtId="3" fontId="5" fillId="18" borderId="0" xfId="0" applyNumberFormat="1" applyFont="1" applyFill="1" applyAlignment="1">
      <alignment vertical="center"/>
    </xf>
    <xf numFmtId="0" fontId="5" fillId="18" borderId="21" xfId="0" applyFont="1" applyFill="1" applyBorder="1" applyAlignment="1">
      <alignment horizontal="left" vertical="center" wrapText="1"/>
    </xf>
    <xf numFmtId="0" fontId="88" fillId="18" borderId="0" xfId="0" applyFont="1" applyFill="1" applyAlignment="1">
      <alignment horizontal="left" vertical="center" wrapText="1"/>
    </xf>
    <xf numFmtId="0" fontId="6" fillId="18" borderId="0" xfId="1" applyFill="1" applyAlignment="1" applyProtection="1">
      <alignment horizontal="center" vertical="center"/>
    </xf>
    <xf numFmtId="0" fontId="89" fillId="18" borderId="0" xfId="0" applyFont="1" applyFill="1" applyAlignment="1">
      <alignment horizontal="left" vertical="center" wrapText="1"/>
    </xf>
    <xf numFmtId="0" fontId="5" fillId="2" borderId="0" xfId="0" applyFont="1" applyFill="1"/>
    <xf numFmtId="0" fontId="28" fillId="2" borderId="29" xfId="0" applyFont="1" applyFill="1" applyBorder="1" applyAlignment="1">
      <alignment horizontal="center" vertical="center" wrapText="1"/>
    </xf>
    <xf numFmtId="0" fontId="36" fillId="8" borderId="29" xfId="0" applyFont="1" applyFill="1" applyBorder="1" applyAlignment="1">
      <alignment horizontal="center" vertical="center" wrapText="1"/>
    </xf>
    <xf numFmtId="0" fontId="5" fillId="18" borderId="31" xfId="0" applyFont="1" applyFill="1" applyBorder="1" applyAlignment="1">
      <alignment horizontal="center" vertical="center"/>
    </xf>
    <xf numFmtId="0" fontId="5" fillId="18" borderId="32" xfId="0" applyFont="1" applyFill="1" applyBorder="1" applyAlignment="1">
      <alignment horizontal="center" vertical="center"/>
    </xf>
    <xf numFmtId="0" fontId="5" fillId="18" borderId="57" xfId="0" applyFont="1" applyFill="1" applyBorder="1" applyAlignment="1">
      <alignment horizontal="center" vertical="center"/>
    </xf>
    <xf numFmtId="0" fontId="68" fillId="18" borderId="11" xfId="0" applyFont="1" applyFill="1" applyBorder="1" applyAlignment="1">
      <alignment horizontal="center" vertical="center"/>
    </xf>
    <xf numFmtId="0" fontId="64" fillId="18" borderId="12" xfId="0" applyFont="1" applyFill="1" applyBorder="1" applyAlignment="1">
      <alignment horizontal="center" vertical="center"/>
    </xf>
    <xf numFmtId="0" fontId="5" fillId="18" borderId="12" xfId="0" applyFont="1" applyFill="1" applyBorder="1" applyAlignment="1">
      <alignment horizontal="center" vertical="center"/>
    </xf>
    <xf numFmtId="0" fontId="68" fillId="18" borderId="12" xfId="0" applyFont="1" applyFill="1" applyBorder="1" applyAlignment="1">
      <alignment horizontal="center" vertical="center"/>
    </xf>
    <xf numFmtId="0" fontId="5" fillId="18" borderId="24" xfId="0" applyFont="1" applyFill="1" applyBorder="1" applyAlignment="1">
      <alignment horizontal="center" vertical="center"/>
    </xf>
    <xf numFmtId="0" fontId="5" fillId="18" borderId="2" xfId="0" applyFont="1" applyFill="1" applyBorder="1" applyAlignment="1">
      <alignment horizontal="center" vertical="center"/>
    </xf>
    <xf numFmtId="0" fontId="64" fillId="18" borderId="1" xfId="0" applyFont="1" applyFill="1" applyBorder="1" applyAlignment="1">
      <alignment horizontal="center" vertical="center"/>
    </xf>
    <xf numFmtId="0" fontId="68" fillId="18" borderId="1" xfId="0" applyFont="1" applyFill="1" applyBorder="1" applyAlignment="1">
      <alignment horizontal="center" vertical="center"/>
    </xf>
    <xf numFmtId="0" fontId="5" fillId="18" borderId="19" xfId="0" applyFont="1" applyFill="1" applyBorder="1" applyAlignment="1">
      <alignment horizontal="center" vertical="center"/>
    </xf>
    <xf numFmtId="0" fontId="68" fillId="18" borderId="2" xfId="0" applyFont="1" applyFill="1" applyBorder="1" applyAlignment="1">
      <alignment horizontal="center" vertical="center"/>
    </xf>
    <xf numFmtId="0" fontId="68" fillId="18" borderId="19" xfId="0" applyFont="1" applyFill="1" applyBorder="1" applyAlignment="1">
      <alignment horizontal="center" vertical="center"/>
    </xf>
    <xf numFmtId="0" fontId="64" fillId="18" borderId="19" xfId="0" applyFont="1" applyFill="1" applyBorder="1" applyAlignment="1">
      <alignment horizontal="center" vertical="center"/>
    </xf>
    <xf numFmtId="0" fontId="64" fillId="18" borderId="3" xfId="0" applyFont="1" applyFill="1" applyBorder="1" applyAlignment="1">
      <alignment horizontal="center" vertical="center"/>
    </xf>
    <xf numFmtId="0" fontId="68" fillId="18" borderId="3" xfId="0" applyFont="1" applyFill="1" applyBorder="1" applyAlignment="1">
      <alignment horizontal="center" vertical="center"/>
    </xf>
    <xf numFmtId="0" fontId="5" fillId="18" borderId="11" xfId="0" applyFont="1" applyFill="1" applyBorder="1" applyAlignment="1">
      <alignment horizontal="center" vertical="center"/>
    </xf>
    <xf numFmtId="0" fontId="64" fillId="18" borderId="2" xfId="0" applyFont="1" applyFill="1" applyBorder="1" applyAlignment="1">
      <alignment horizontal="center" vertical="center"/>
    </xf>
    <xf numFmtId="0" fontId="64" fillId="18" borderId="11" xfId="0" applyFont="1" applyFill="1" applyBorder="1" applyAlignment="1">
      <alignment horizontal="center" vertical="center"/>
    </xf>
    <xf numFmtId="0" fontId="5" fillId="18" borderId="20" xfId="0" applyFont="1" applyFill="1" applyBorder="1" applyAlignment="1">
      <alignment horizontal="center" vertical="center"/>
    </xf>
    <xf numFmtId="0" fontId="5" fillId="18" borderId="12" xfId="0" applyFont="1" applyFill="1" applyBorder="1" applyAlignment="1">
      <alignment horizontal="center" vertical="center"/>
    </xf>
    <xf numFmtId="0" fontId="5" fillId="18" borderId="24" xfId="0" applyFont="1" applyFill="1" applyBorder="1" applyAlignment="1">
      <alignment horizontal="center" vertical="center"/>
    </xf>
    <xf numFmtId="0" fontId="5" fillId="18" borderId="1" xfId="0" applyFont="1" applyFill="1" applyBorder="1" applyAlignment="1">
      <alignment horizontal="center" vertical="center"/>
    </xf>
    <xf numFmtId="0" fontId="5" fillId="18" borderId="3" xfId="0" applyFont="1" applyFill="1" applyBorder="1" applyAlignment="1">
      <alignment horizontal="center" vertical="center"/>
    </xf>
    <xf numFmtId="0" fontId="5" fillId="18" borderId="22" xfId="0" applyFont="1" applyFill="1" applyBorder="1" applyAlignment="1">
      <alignment horizontal="center" vertical="center"/>
    </xf>
    <xf numFmtId="0" fontId="5" fillId="18" borderId="13" xfId="0" applyFont="1" applyFill="1" applyBorder="1" applyAlignment="1">
      <alignment horizontal="center" vertical="center"/>
    </xf>
    <xf numFmtId="0" fontId="5" fillId="18" borderId="5" xfId="0" applyFont="1" applyFill="1" applyBorder="1" applyAlignment="1">
      <alignment horizontal="center" vertical="center"/>
    </xf>
    <xf numFmtId="3" fontId="5" fillId="15" borderId="4" xfId="0" applyNumberFormat="1" applyFont="1" applyFill="1" applyBorder="1" applyAlignment="1">
      <alignment horizontal="center" vertical="center"/>
    </xf>
    <xf numFmtId="0" fontId="35" fillId="17" borderId="54" xfId="0" applyFont="1" applyFill="1" applyBorder="1" applyAlignment="1">
      <alignment horizontal="center" vertical="center"/>
    </xf>
    <xf numFmtId="0" fontId="35" fillId="17" borderId="55" xfId="0" applyFont="1" applyFill="1" applyBorder="1" applyAlignment="1">
      <alignment horizontal="center" vertical="center"/>
    </xf>
    <xf numFmtId="0" fontId="35" fillId="17" borderId="0" xfId="0" applyFont="1" applyFill="1" applyBorder="1" applyAlignment="1">
      <alignment horizontal="center" vertical="center"/>
    </xf>
    <xf numFmtId="3" fontId="35" fillId="17" borderId="54" xfId="0" applyNumberFormat="1" applyFont="1" applyFill="1" applyBorder="1" applyAlignment="1">
      <alignment horizontal="center" vertical="center"/>
    </xf>
    <xf numFmtId="0" fontId="35" fillId="17" borderId="36" xfId="0" applyFont="1" applyFill="1" applyBorder="1" applyAlignment="1">
      <alignment horizontal="center" vertical="center"/>
    </xf>
    <xf numFmtId="0" fontId="35" fillId="17" borderId="56" xfId="0" applyFont="1" applyFill="1" applyBorder="1" applyAlignment="1">
      <alignment horizontal="center" vertical="center"/>
    </xf>
    <xf numFmtId="0" fontId="35" fillId="17" borderId="46" xfId="0" applyFont="1" applyFill="1" applyBorder="1" applyAlignment="1">
      <alignment horizontal="center" vertical="center" wrapText="1"/>
    </xf>
    <xf numFmtId="0" fontId="5" fillId="18" borderId="26" xfId="0" applyFont="1" applyFill="1" applyBorder="1" applyAlignment="1">
      <alignment horizontal="center" vertical="center"/>
    </xf>
    <xf numFmtId="0" fontId="5" fillId="18" borderId="27" xfId="0" applyFont="1" applyFill="1" applyBorder="1" applyAlignment="1">
      <alignment horizontal="center" vertical="center"/>
    </xf>
    <xf numFmtId="0" fontId="5" fillId="18" borderId="58" xfId="0" applyFont="1" applyFill="1" applyBorder="1" applyAlignment="1">
      <alignment horizontal="center" vertical="center"/>
    </xf>
    <xf numFmtId="0" fontId="68" fillId="16" borderId="1" xfId="0" applyFont="1" applyFill="1" applyBorder="1" applyAlignment="1">
      <alignment horizontal="center" vertical="center"/>
    </xf>
    <xf numFmtId="0" fontId="5" fillId="16" borderId="19" xfId="0" applyFont="1" applyFill="1" applyBorder="1" applyAlignment="1">
      <alignment horizontal="center" vertical="center"/>
    </xf>
    <xf numFmtId="0" fontId="68" fillId="16" borderId="19" xfId="0" applyFont="1" applyFill="1" applyBorder="1" applyAlignment="1">
      <alignment horizontal="center" vertical="center"/>
    </xf>
    <xf numFmtId="0" fontId="64" fillId="16" borderId="3" xfId="0" applyFont="1" applyFill="1" applyBorder="1" applyAlignment="1">
      <alignment horizontal="center" vertical="center"/>
    </xf>
    <xf numFmtId="0" fontId="64" fillId="16" borderId="19" xfId="0" applyFont="1" applyFill="1" applyBorder="1" applyAlignment="1">
      <alignment horizontal="center" vertical="center"/>
    </xf>
    <xf numFmtId="0" fontId="5" fillId="16" borderId="28" xfId="0" applyFont="1" applyFill="1" applyBorder="1" applyAlignment="1">
      <alignment horizontal="center" vertical="center"/>
    </xf>
    <xf numFmtId="0" fontId="30" fillId="16" borderId="4" xfId="0" applyFont="1" applyFill="1" applyBorder="1" applyAlignment="1">
      <alignment horizontal="center" vertical="center"/>
    </xf>
    <xf numFmtId="0" fontId="64" fillId="16" borderId="13" xfId="0" applyFont="1" applyFill="1" applyBorder="1" applyAlignment="1">
      <alignment horizontal="center" vertical="center"/>
    </xf>
    <xf numFmtId="0" fontId="68" fillId="16" borderId="3" xfId="0" applyFont="1" applyFill="1" applyBorder="1" applyAlignment="1">
      <alignment horizontal="center" vertical="center"/>
    </xf>
    <xf numFmtId="0" fontId="30" fillId="16" borderId="13" xfId="0" applyFont="1" applyFill="1" applyBorder="1" applyAlignment="1">
      <alignment horizontal="center" vertical="center"/>
    </xf>
    <xf numFmtId="0" fontId="5" fillId="16" borderId="61" xfId="0" applyFont="1" applyFill="1" applyBorder="1" applyAlignment="1">
      <alignment horizontal="left" vertical="center"/>
    </xf>
    <xf numFmtId="0" fontId="5" fillId="16" borderId="61" xfId="0" applyFont="1" applyFill="1" applyBorder="1" applyAlignment="1">
      <alignment horizontal="center" vertical="center"/>
    </xf>
    <xf numFmtId="0" fontId="64" fillId="16" borderId="2" xfId="0" applyFont="1" applyFill="1" applyBorder="1" applyAlignment="1">
      <alignment horizontal="center" vertical="center"/>
    </xf>
    <xf numFmtId="0" fontId="5" fillId="16" borderId="47" xfId="0" applyFont="1" applyFill="1" applyBorder="1" applyAlignment="1">
      <alignment horizontal="center" vertical="center"/>
    </xf>
    <xf numFmtId="0" fontId="68" fillId="16" borderId="2" xfId="0" applyFont="1" applyFill="1" applyBorder="1" applyAlignment="1">
      <alignment horizontal="center" vertical="center"/>
    </xf>
    <xf numFmtId="0" fontId="64" fillId="16" borderId="4" xfId="0" applyFont="1" applyFill="1" applyBorder="1" applyAlignment="1">
      <alignment horizontal="center" vertical="center"/>
    </xf>
    <xf numFmtId="0" fontId="64" fillId="16" borderId="5" xfId="0" applyFont="1" applyFill="1" applyBorder="1" applyAlignment="1">
      <alignment horizontal="center" vertical="center"/>
    </xf>
    <xf numFmtId="0" fontId="64" fillId="16" borderId="59" xfId="0" applyFont="1" applyFill="1" applyBorder="1" applyAlignment="1">
      <alignment horizontal="center" vertical="center"/>
    </xf>
    <xf numFmtId="0" fontId="5" fillId="16" borderId="1" xfId="0" applyFont="1" applyFill="1" applyBorder="1" applyAlignment="1">
      <alignment horizontal="center" vertical="center"/>
    </xf>
    <xf numFmtId="0" fontId="5" fillId="16" borderId="3" xfId="0" applyFont="1" applyFill="1" applyBorder="1" applyAlignment="1">
      <alignment horizontal="center" vertical="center"/>
    </xf>
    <xf numFmtId="3" fontId="5" fillId="18" borderId="0" xfId="0" applyNumberFormat="1" applyFont="1" applyFill="1" applyAlignment="1">
      <alignment horizontal="center" vertical="center"/>
    </xf>
    <xf numFmtId="0" fontId="5" fillId="18" borderId="16" xfId="0" applyFont="1" applyFill="1" applyBorder="1" applyAlignment="1">
      <alignment horizontal="left" vertical="center"/>
    </xf>
    <xf numFmtId="0" fontId="5" fillId="18" borderId="16" xfId="0" applyFont="1" applyFill="1" applyBorder="1" applyAlignment="1">
      <alignment horizontal="left" vertical="center" wrapText="1"/>
    </xf>
    <xf numFmtId="0" fontId="5" fillId="18" borderId="17" xfId="0" applyFont="1" applyFill="1" applyBorder="1" applyAlignment="1">
      <alignment horizontal="left" vertical="center" wrapText="1"/>
    </xf>
    <xf numFmtId="0" fontId="5" fillId="18" borderId="62" xfId="0" applyFont="1" applyFill="1" applyBorder="1" applyAlignment="1">
      <alignment horizontal="left" vertical="center"/>
    </xf>
    <xf numFmtId="3" fontId="5" fillId="18" borderId="63" xfId="0" applyNumberFormat="1" applyFont="1" applyFill="1" applyBorder="1" applyAlignment="1">
      <alignment horizontal="center" vertical="center"/>
    </xf>
    <xf numFmtId="0" fontId="5" fillId="18" borderId="35" xfId="0" applyFont="1" applyFill="1" applyBorder="1" applyAlignment="1">
      <alignment horizontal="center" vertical="center"/>
    </xf>
    <xf numFmtId="0" fontId="5" fillId="18" borderId="64" xfId="0" applyFont="1" applyFill="1" applyBorder="1" applyAlignment="1">
      <alignment horizontal="center" vertical="center"/>
    </xf>
    <xf numFmtId="0" fontId="5" fillId="18" borderId="62" xfId="0" applyFont="1" applyFill="1" applyBorder="1" applyAlignment="1">
      <alignment horizontal="left" vertical="center" wrapText="1"/>
    </xf>
    <xf numFmtId="0" fontId="30" fillId="18" borderId="0" xfId="0" applyFont="1" applyFill="1" applyAlignment="1">
      <alignment horizontal="center" vertical="center"/>
    </xf>
    <xf numFmtId="3" fontId="30" fillId="18" borderId="0" xfId="0" applyNumberFormat="1" applyFont="1" applyFill="1" applyAlignment="1">
      <alignment horizontal="center" vertical="center"/>
    </xf>
    <xf numFmtId="0" fontId="30" fillId="18" borderId="0" xfId="0" applyFont="1" applyFill="1" applyAlignment="1">
      <alignment vertical="center"/>
    </xf>
    <xf numFmtId="3" fontId="5" fillId="18" borderId="11" xfId="0" applyNumberFormat="1" applyFont="1" applyFill="1" applyBorder="1" applyAlignment="1">
      <alignment horizontal="center" vertical="center"/>
    </xf>
    <xf numFmtId="3" fontId="5" fillId="18" borderId="2" xfId="0" applyNumberFormat="1" applyFont="1" applyFill="1" applyBorder="1" applyAlignment="1">
      <alignment horizontal="center" vertical="center"/>
    </xf>
    <xf numFmtId="3" fontId="5" fillId="18" borderId="4" xfId="0" applyNumberFormat="1" applyFont="1" applyFill="1" applyBorder="1" applyAlignment="1">
      <alignment horizontal="center" vertical="center"/>
    </xf>
    <xf numFmtId="0" fontId="45" fillId="18" borderId="0" xfId="0" applyFont="1" applyFill="1" applyAlignment="1">
      <alignment vertical="center"/>
    </xf>
    <xf numFmtId="0" fontId="38" fillId="18" borderId="0" xfId="0" applyFont="1" applyFill="1" applyAlignment="1">
      <alignment vertical="center"/>
    </xf>
    <xf numFmtId="0" fontId="30" fillId="18" borderId="1" xfId="0" applyFont="1" applyFill="1" applyBorder="1" applyAlignment="1">
      <alignment horizontal="center" vertical="center"/>
    </xf>
    <xf numFmtId="0" fontId="30" fillId="18" borderId="3" xfId="0" applyFont="1" applyFill="1" applyBorder="1" applyAlignment="1">
      <alignment horizontal="center" vertical="center"/>
    </xf>
    <xf numFmtId="0" fontId="46" fillId="18" borderId="0" xfId="0" applyFont="1" applyFill="1" applyAlignment="1">
      <alignment vertical="center"/>
    </xf>
    <xf numFmtId="3" fontId="5" fillId="15" borderId="22" xfId="0" applyNumberFormat="1" applyFont="1" applyFill="1" applyBorder="1" applyAlignment="1">
      <alignment horizontal="center" vertical="center"/>
    </xf>
    <xf numFmtId="3" fontId="5" fillId="15" borderId="61" xfId="0" applyNumberFormat="1" applyFont="1" applyFill="1" applyBorder="1" applyAlignment="1">
      <alignment horizontal="center" vertical="center"/>
    </xf>
    <xf numFmtId="0" fontId="5" fillId="15" borderId="37" xfId="0" applyFont="1" applyFill="1" applyBorder="1" applyAlignment="1">
      <alignment horizontal="center" vertical="center"/>
    </xf>
    <xf numFmtId="0" fontId="5" fillId="15" borderId="47" xfId="0" applyFont="1" applyFill="1" applyBorder="1" applyAlignment="1">
      <alignment horizontal="center" vertical="center"/>
    </xf>
    <xf numFmtId="0" fontId="5" fillId="18" borderId="2" xfId="0" applyFont="1" applyFill="1" applyBorder="1" applyAlignment="1">
      <alignment horizontal="left" vertical="center" wrapText="1" indent="1"/>
    </xf>
    <xf numFmtId="0" fontId="5" fillId="18" borderId="20" xfId="0" applyFont="1" applyFill="1" applyBorder="1" applyAlignment="1">
      <alignment horizontal="left" vertical="center" wrapText="1"/>
    </xf>
    <xf numFmtId="0" fontId="5" fillId="18" borderId="42" xfId="0" applyFont="1" applyFill="1" applyBorder="1" applyAlignment="1">
      <alignment horizontal="left" vertical="center" wrapText="1" indent="1"/>
    </xf>
    <xf numFmtId="0" fontId="5" fillId="18" borderId="69" xfId="0" applyFont="1" applyFill="1" applyBorder="1" applyAlignment="1">
      <alignment horizontal="center" vertical="center" wrapText="1"/>
    </xf>
    <xf numFmtId="0" fontId="5" fillId="18" borderId="70" xfId="0" applyFont="1" applyFill="1" applyBorder="1" applyAlignment="1">
      <alignment horizontal="center" vertical="center" wrapText="1"/>
    </xf>
    <xf numFmtId="0" fontId="5" fillId="18" borderId="71" xfId="0" applyFont="1" applyFill="1" applyBorder="1" applyAlignment="1">
      <alignment horizontal="center" vertical="center" wrapText="1"/>
    </xf>
    <xf numFmtId="0" fontId="5" fillId="18" borderId="72" xfId="0" applyFont="1" applyFill="1" applyBorder="1" applyAlignment="1">
      <alignment horizontal="center" vertical="center" wrapText="1"/>
    </xf>
    <xf numFmtId="0" fontId="5" fillId="18" borderId="73" xfId="0" applyFont="1" applyFill="1" applyBorder="1" applyAlignment="1">
      <alignment horizontal="center" vertical="center" wrapText="1"/>
    </xf>
    <xf numFmtId="0" fontId="5" fillId="18" borderId="74" xfId="0" applyFont="1" applyFill="1" applyBorder="1" applyAlignment="1">
      <alignment horizontal="center" vertical="center" wrapText="1"/>
    </xf>
    <xf numFmtId="0" fontId="5" fillId="18" borderId="75" xfId="0" applyFont="1" applyFill="1" applyBorder="1" applyAlignment="1">
      <alignment horizontal="center" vertical="center" wrapText="1"/>
    </xf>
    <xf numFmtId="0" fontId="5" fillId="18" borderId="76" xfId="0" applyFont="1" applyFill="1" applyBorder="1" applyAlignment="1">
      <alignment horizontal="center" vertical="center" wrapText="1"/>
    </xf>
    <xf numFmtId="0" fontId="5" fillId="18" borderId="77" xfId="0" applyFont="1" applyFill="1" applyBorder="1" applyAlignment="1">
      <alignment horizontal="center" vertical="center" wrapText="1"/>
    </xf>
    <xf numFmtId="0" fontId="5" fillId="18" borderId="22" xfId="0" applyFont="1" applyFill="1" applyBorder="1" applyAlignment="1">
      <alignment horizontal="center" vertical="center" wrapText="1"/>
    </xf>
    <xf numFmtId="0" fontId="5" fillId="18" borderId="13" xfId="0" applyFont="1" applyFill="1" applyBorder="1" applyAlignment="1">
      <alignment horizontal="center" vertical="center" wrapText="1"/>
    </xf>
    <xf numFmtId="0" fontId="5" fillId="18" borderId="43" xfId="0" applyFont="1" applyFill="1" applyBorder="1" applyAlignment="1">
      <alignment horizontal="left" vertical="center" wrapText="1"/>
    </xf>
    <xf numFmtId="0" fontId="5" fillId="16" borderId="4" xfId="0" applyFont="1" applyFill="1" applyBorder="1" applyAlignment="1">
      <alignment horizontal="left" vertical="center" wrapText="1"/>
    </xf>
    <xf numFmtId="0" fontId="33" fillId="18" borderId="0" xfId="0" applyFont="1" applyFill="1" applyAlignment="1">
      <alignment vertical="center" wrapText="1"/>
    </xf>
    <xf numFmtId="0" fontId="33" fillId="18" borderId="0" xfId="0" applyFont="1" applyFill="1" applyAlignment="1">
      <alignment horizontal="center" vertical="center" wrapText="1"/>
    </xf>
    <xf numFmtId="0" fontId="26" fillId="18" borderId="0" xfId="0" applyFont="1" applyFill="1" applyAlignment="1">
      <alignment horizontal="center" vertical="center" wrapText="1"/>
    </xf>
    <xf numFmtId="0" fontId="25" fillId="15" borderId="4" xfId="0" applyFont="1" applyFill="1" applyBorder="1" applyAlignment="1">
      <alignment horizontal="center" vertical="center" wrapText="1"/>
    </xf>
    <xf numFmtId="0" fontId="5" fillId="16" borderId="72" xfId="0" applyFont="1" applyFill="1" applyBorder="1" applyAlignment="1">
      <alignment horizontal="center" vertical="center" wrapText="1"/>
    </xf>
    <xf numFmtId="0" fontId="5" fillId="16" borderId="73" xfId="0" applyFont="1" applyFill="1" applyBorder="1" applyAlignment="1">
      <alignment horizontal="center" vertical="center" wrapText="1"/>
    </xf>
    <xf numFmtId="0" fontId="5" fillId="16" borderId="74" xfId="0" applyFont="1" applyFill="1" applyBorder="1" applyAlignment="1">
      <alignment horizontal="center" vertical="center" wrapText="1"/>
    </xf>
    <xf numFmtId="0" fontId="5" fillId="16" borderId="75" xfId="0" applyFont="1" applyFill="1" applyBorder="1" applyAlignment="1">
      <alignment horizontal="center" vertical="center" wrapText="1"/>
    </xf>
    <xf numFmtId="0" fontId="5" fillId="16" borderId="76" xfId="0" applyFont="1" applyFill="1" applyBorder="1" applyAlignment="1">
      <alignment horizontal="center" vertical="center" wrapText="1"/>
    </xf>
    <xf numFmtId="0" fontId="5" fillId="16" borderId="77" xfId="0" applyFont="1" applyFill="1" applyBorder="1" applyAlignment="1">
      <alignment horizontal="center" vertical="center" wrapText="1"/>
    </xf>
    <xf numFmtId="0" fontId="25" fillId="18" borderId="78" xfId="0" applyFont="1" applyFill="1" applyBorder="1" applyAlignment="1">
      <alignment horizontal="left" vertical="center" wrapText="1" indent="7"/>
    </xf>
    <xf numFmtId="0" fontId="25" fillId="16" borderId="79" xfId="0" applyFont="1" applyFill="1" applyBorder="1" applyAlignment="1">
      <alignment horizontal="left" vertical="center" wrapText="1" indent="7"/>
    </xf>
    <xf numFmtId="0" fontId="25" fillId="18" borderId="79" xfId="0" applyFont="1" applyFill="1" applyBorder="1" applyAlignment="1">
      <alignment horizontal="left" vertical="center" wrapText="1" indent="7"/>
    </xf>
    <xf numFmtId="0" fontId="25" fillId="18" borderId="59" xfId="0" applyFont="1" applyFill="1" applyBorder="1" applyAlignment="1">
      <alignment horizontal="left" vertical="center" wrapText="1" indent="7"/>
    </xf>
    <xf numFmtId="0" fontId="0" fillId="18" borderId="0" xfId="0" applyFill="1"/>
    <xf numFmtId="0" fontId="1" fillId="18" borderId="0" xfId="0" applyFont="1" applyFill="1" applyBorder="1" applyAlignment="1">
      <alignment vertical="center" wrapText="1"/>
    </xf>
    <xf numFmtId="9" fontId="0" fillId="18" borderId="0" xfId="0" applyNumberFormat="1" applyFill="1" applyBorder="1" applyAlignment="1">
      <alignment horizontal="center" vertical="center" wrapText="1"/>
    </xf>
    <xf numFmtId="0" fontId="0" fillId="18" borderId="0" xfId="0" applyFill="1" applyBorder="1" applyAlignment="1">
      <alignment horizontal="center" vertical="center" wrapText="1"/>
    </xf>
    <xf numFmtId="0" fontId="0" fillId="18" borderId="68" xfId="0" applyFill="1" applyBorder="1" applyAlignment="1">
      <alignment horizontal="center" vertical="center"/>
    </xf>
    <xf numFmtId="9" fontId="0" fillId="18" borderId="9" xfId="0" applyNumberFormat="1" applyFill="1" applyBorder="1" applyAlignment="1">
      <alignment horizontal="center" vertical="center" wrapText="1"/>
    </xf>
    <xf numFmtId="9" fontId="0" fillId="18" borderId="15" xfId="0" applyNumberFormat="1" applyFill="1" applyBorder="1" applyAlignment="1">
      <alignment horizontal="center" vertical="center" wrapText="1"/>
    </xf>
    <xf numFmtId="9" fontId="0" fillId="18" borderId="8" xfId="0" applyNumberFormat="1" applyFill="1" applyBorder="1" applyAlignment="1">
      <alignment horizontal="center" vertical="center" wrapText="1"/>
    </xf>
    <xf numFmtId="9" fontId="1" fillId="18" borderId="23" xfId="0" applyNumberFormat="1" applyFont="1" applyFill="1" applyBorder="1" applyAlignment="1">
      <alignment horizontal="center" vertical="center"/>
    </xf>
    <xf numFmtId="9" fontId="1" fillId="18" borderId="8" xfId="0" applyNumberFormat="1" applyFont="1" applyFill="1" applyBorder="1" applyAlignment="1">
      <alignment horizontal="center" vertical="center"/>
    </xf>
    <xf numFmtId="0" fontId="0" fillId="18" borderId="43" xfId="0" applyFill="1" applyBorder="1" applyAlignment="1">
      <alignment horizontal="center" vertical="center"/>
    </xf>
    <xf numFmtId="9" fontId="0" fillId="18" borderId="4" xfId="0" applyNumberFormat="1" applyFill="1" applyBorder="1" applyAlignment="1">
      <alignment horizontal="center" vertical="center" wrapText="1"/>
    </xf>
    <xf numFmtId="9" fontId="0" fillId="18" borderId="13" xfId="0" applyNumberFormat="1" applyFill="1" applyBorder="1" applyAlignment="1">
      <alignment horizontal="center" vertical="center" wrapText="1"/>
    </xf>
    <xf numFmtId="9" fontId="0" fillId="18" borderId="5" xfId="0" applyNumberFormat="1" applyFill="1" applyBorder="1" applyAlignment="1">
      <alignment horizontal="center" vertical="center" wrapText="1"/>
    </xf>
    <xf numFmtId="9" fontId="1" fillId="18" borderId="22" xfId="0" applyNumberFormat="1" applyFont="1" applyFill="1" applyBorder="1" applyAlignment="1">
      <alignment horizontal="center" vertical="center"/>
    </xf>
    <xf numFmtId="9" fontId="1" fillId="18" borderId="5" xfId="0" applyNumberFormat="1" applyFont="1" applyFill="1" applyBorder="1" applyAlignment="1">
      <alignment horizontal="center" vertical="center"/>
    </xf>
    <xf numFmtId="9" fontId="1" fillId="18" borderId="0" xfId="0" applyNumberFormat="1" applyFont="1" applyFill="1" applyBorder="1" applyAlignment="1">
      <alignment horizontal="center" vertical="center"/>
    </xf>
    <xf numFmtId="0" fontId="1" fillId="18" borderId="0" xfId="0" applyFont="1" applyFill="1" applyBorder="1" applyAlignment="1">
      <alignment horizontal="center" vertical="center" wrapText="1"/>
    </xf>
    <xf numFmtId="0" fontId="1" fillId="18" borderId="0" xfId="0" applyFont="1" applyFill="1" applyAlignment="1">
      <alignment horizontal="center" vertical="center" wrapText="1"/>
    </xf>
    <xf numFmtId="0" fontId="17" fillId="18" borderId="0" xfId="0" applyFont="1" applyFill="1" applyAlignment="1">
      <alignment vertical="center" wrapText="1"/>
    </xf>
    <xf numFmtId="3" fontId="6" fillId="18" borderId="0" xfId="1" applyNumberFormat="1" applyFont="1" applyFill="1" applyAlignment="1" applyProtection="1">
      <alignment horizontal="center" vertical="center" wrapText="1"/>
    </xf>
    <xf numFmtId="3" fontId="17" fillId="18" borderId="0" xfId="0" applyNumberFormat="1" applyFont="1" applyFill="1" applyAlignment="1">
      <alignment horizontal="center" vertical="center" wrapText="1"/>
    </xf>
    <xf numFmtId="0" fontId="17" fillId="18" borderId="0" xfId="0" applyFont="1" applyFill="1" applyAlignment="1">
      <alignment horizontal="center" vertical="center" wrapText="1"/>
    </xf>
    <xf numFmtId="49" fontId="17" fillId="18" borderId="0" xfId="0" applyNumberFormat="1" applyFont="1" applyFill="1" applyAlignment="1">
      <alignment horizontal="center" vertical="center" wrapText="1"/>
    </xf>
    <xf numFmtId="0" fontId="1" fillId="18" borderId="0" xfId="0" applyFont="1" applyFill="1" applyBorder="1" applyAlignment="1">
      <alignment horizontal="left" vertical="center"/>
    </xf>
    <xf numFmtId="0" fontId="0" fillId="18" borderId="16" xfId="0" applyFill="1" applyBorder="1" applyAlignment="1">
      <alignment vertical="center"/>
    </xf>
    <xf numFmtId="0" fontId="0" fillId="18" borderId="17" xfId="0" applyFill="1" applyBorder="1" applyAlignment="1">
      <alignment vertical="center"/>
    </xf>
    <xf numFmtId="0" fontId="0" fillId="18" borderId="18" xfId="0" applyFill="1" applyBorder="1" applyAlignment="1">
      <alignment vertical="center"/>
    </xf>
    <xf numFmtId="0" fontId="1" fillId="18" borderId="0" xfId="0" applyFont="1" applyFill="1" applyBorder="1" applyAlignment="1">
      <alignment vertical="center"/>
    </xf>
    <xf numFmtId="0" fontId="0" fillId="16" borderId="17" xfId="0" applyFill="1" applyBorder="1" applyAlignment="1">
      <alignment vertical="center"/>
    </xf>
    <xf numFmtId="0" fontId="0" fillId="16" borderId="18" xfId="0" applyFill="1" applyBorder="1" applyAlignment="1">
      <alignment vertical="center"/>
    </xf>
    <xf numFmtId="9" fontId="0" fillId="16" borderId="2" xfId="0" applyNumberFormat="1" applyFill="1" applyBorder="1" applyAlignment="1">
      <alignment horizontal="center" vertical="center" wrapText="1"/>
    </xf>
    <xf numFmtId="9" fontId="0" fillId="16" borderId="3" xfId="0" applyNumberFormat="1" applyFill="1" applyBorder="1" applyAlignment="1">
      <alignment horizontal="center" vertical="center" wrapText="1"/>
    </xf>
    <xf numFmtId="9" fontId="1" fillId="16" borderId="21" xfId="0" applyNumberFormat="1" applyFont="1" applyFill="1" applyBorder="1" applyAlignment="1">
      <alignment horizontal="center" vertical="center"/>
    </xf>
    <xf numFmtId="9" fontId="1" fillId="16" borderId="3" xfId="0" applyNumberFormat="1" applyFont="1" applyFill="1" applyBorder="1" applyAlignment="1">
      <alignment horizontal="center" vertical="center"/>
    </xf>
    <xf numFmtId="0" fontId="0" fillId="15" borderId="4" xfId="0" applyFont="1" applyFill="1" applyBorder="1" applyAlignment="1">
      <alignment horizontal="center" vertical="center" wrapText="1"/>
    </xf>
    <xf numFmtId="0" fontId="0" fillId="15" borderId="13" xfId="0" applyFont="1" applyFill="1" applyBorder="1" applyAlignment="1">
      <alignment horizontal="center" vertical="center" wrapText="1"/>
    </xf>
    <xf numFmtId="9" fontId="0" fillId="15" borderId="13" xfId="0" applyNumberFormat="1" applyFont="1" applyFill="1" applyBorder="1" applyAlignment="1">
      <alignment horizontal="center" vertical="center" wrapText="1"/>
    </xf>
    <xf numFmtId="0" fontId="0" fillId="15" borderId="5" xfId="0" applyFont="1" applyFill="1" applyBorder="1" applyAlignment="1">
      <alignment horizontal="center" vertical="center" wrapText="1"/>
    </xf>
    <xf numFmtId="0" fontId="5" fillId="18" borderId="0" xfId="0" applyFont="1" applyFill="1" applyAlignment="1">
      <alignment horizontal="justify" vertical="center"/>
    </xf>
    <xf numFmtId="0" fontId="5" fillId="18" borderId="11" xfId="0" applyFont="1" applyFill="1" applyBorder="1" applyAlignment="1">
      <alignment horizontal="left" vertical="center" wrapText="1" indent="1"/>
    </xf>
    <xf numFmtId="0" fontId="5" fillId="18" borderId="11" xfId="0" applyFont="1" applyFill="1" applyBorder="1" applyAlignment="1">
      <alignment horizontal="left" vertical="center" wrapText="1"/>
    </xf>
    <xf numFmtId="1" fontId="5" fillId="18" borderId="1" xfId="0" applyNumberFormat="1" applyFont="1" applyFill="1" applyBorder="1" applyAlignment="1">
      <alignment horizontal="center" vertical="center"/>
    </xf>
    <xf numFmtId="0" fontId="5" fillId="18" borderId="4" xfId="0" applyFont="1" applyFill="1" applyBorder="1" applyAlignment="1">
      <alignment horizontal="center" vertical="center"/>
    </xf>
    <xf numFmtId="0" fontId="5" fillId="18" borderId="67" xfId="0" applyFont="1" applyFill="1" applyBorder="1" applyAlignment="1">
      <alignment horizontal="center" vertical="center"/>
    </xf>
    <xf numFmtId="0" fontId="26" fillId="18" borderId="19" xfId="0" applyFont="1" applyFill="1" applyBorder="1" applyAlignment="1">
      <alignment horizontal="left" vertical="center"/>
    </xf>
    <xf numFmtId="0" fontId="5" fillId="18" borderId="50" xfId="0" applyFont="1" applyFill="1" applyBorder="1" applyAlignment="1">
      <alignment horizontal="center" vertical="center"/>
    </xf>
    <xf numFmtId="0" fontId="26" fillId="18" borderId="17" xfId="0" applyFont="1" applyFill="1" applyBorder="1" applyAlignment="1">
      <alignment horizontal="left" vertical="center"/>
    </xf>
    <xf numFmtId="0" fontId="5" fillId="18" borderId="60" xfId="0" applyFont="1" applyFill="1" applyBorder="1" applyAlignment="1">
      <alignment horizontal="center" vertical="center"/>
    </xf>
    <xf numFmtId="1" fontId="5" fillId="18" borderId="15" xfId="0" applyNumberFormat="1" applyFont="1" applyFill="1" applyBorder="1" applyAlignment="1">
      <alignment horizontal="center" vertical="center"/>
    </xf>
    <xf numFmtId="0" fontId="35" fillId="17" borderId="16" xfId="0" applyFont="1" applyFill="1" applyBorder="1" applyAlignment="1">
      <alignment vertical="center"/>
    </xf>
    <xf numFmtId="0" fontId="25" fillId="18" borderId="0" xfId="0" applyFont="1" applyFill="1" applyBorder="1" applyAlignment="1">
      <alignment horizontal="center" vertical="center"/>
    </xf>
    <xf numFmtId="0" fontId="35" fillId="18" borderId="0" xfId="0" applyFont="1" applyFill="1" applyAlignment="1">
      <alignment horizontal="left" vertical="center" indent="1"/>
    </xf>
    <xf numFmtId="0" fontId="5" fillId="18" borderId="19" xfId="0" applyFont="1" applyFill="1" applyBorder="1" applyAlignment="1">
      <alignment horizontal="left" vertical="center" wrapText="1" indent="1"/>
    </xf>
    <xf numFmtId="0" fontId="5" fillId="18" borderId="57" xfId="0" applyFont="1" applyFill="1" applyBorder="1" applyAlignment="1">
      <alignment horizontal="left" vertical="center" wrapText="1" indent="1"/>
    </xf>
    <xf numFmtId="0" fontId="5" fillId="18" borderId="17" xfId="0" applyFont="1" applyFill="1" applyBorder="1" applyAlignment="1">
      <alignment horizontal="left" vertical="center" wrapText="1" indent="1"/>
    </xf>
    <xf numFmtId="0" fontId="5" fillId="18" borderId="32" xfId="0" applyFont="1" applyFill="1" applyBorder="1" applyAlignment="1">
      <alignment horizontal="left" vertical="center" wrapText="1" indent="1"/>
    </xf>
    <xf numFmtId="0" fontId="0" fillId="18" borderId="17" xfId="0" applyFill="1" applyBorder="1" applyAlignment="1">
      <alignment horizontal="left" vertical="center" indent="1"/>
    </xf>
    <xf numFmtId="0" fontId="5" fillId="18" borderId="18" xfId="0" applyFont="1" applyFill="1" applyBorder="1" applyAlignment="1">
      <alignment horizontal="left" vertical="center" wrapText="1" indent="1"/>
    </xf>
    <xf numFmtId="0" fontId="5" fillId="18" borderId="33" xfId="0" applyFont="1" applyFill="1" applyBorder="1" applyAlignment="1">
      <alignment horizontal="left" vertical="center" wrapText="1" indent="1"/>
    </xf>
    <xf numFmtId="0" fontId="0" fillId="18" borderId="0" xfId="0" applyFill="1" applyAlignment="1">
      <alignment horizontal="center"/>
    </xf>
    <xf numFmtId="0" fontId="33" fillId="18" borderId="0" xfId="0" applyFont="1" applyFill="1" applyAlignment="1">
      <alignment horizontal="left" vertical="center" wrapText="1" indent="1"/>
    </xf>
    <xf numFmtId="0" fontId="5" fillId="18" borderId="88" xfId="0" applyFont="1" applyFill="1" applyBorder="1" applyAlignment="1">
      <alignment horizontal="left" vertical="center" wrapText="1" indent="1"/>
    </xf>
    <xf numFmtId="0" fontId="5" fillId="18" borderId="51" xfId="0" applyFont="1" applyFill="1" applyBorder="1" applyAlignment="1">
      <alignment horizontal="left" vertical="center" wrapText="1" indent="1"/>
    </xf>
    <xf numFmtId="0" fontId="5" fillId="18" borderId="27" xfId="0" applyFont="1" applyFill="1" applyBorder="1" applyAlignment="1">
      <alignment horizontal="center" vertical="center" wrapText="1"/>
    </xf>
    <xf numFmtId="0" fontId="5" fillId="18" borderId="84" xfId="0" applyFont="1" applyFill="1" applyBorder="1" applyAlignment="1">
      <alignment horizontal="left" vertical="center" wrapText="1" indent="1"/>
    </xf>
    <xf numFmtId="0" fontId="5" fillId="18" borderId="83" xfId="0" applyFont="1" applyFill="1" applyBorder="1" applyAlignment="1">
      <alignment horizontal="left" vertical="center" wrapText="1" indent="1"/>
    </xf>
    <xf numFmtId="0" fontId="5" fillId="18" borderId="28" xfId="0" applyFont="1" applyFill="1" applyBorder="1" applyAlignment="1">
      <alignment horizontal="center" vertical="center" wrapText="1"/>
    </xf>
    <xf numFmtId="0" fontId="5" fillId="18" borderId="16" xfId="0" applyFont="1" applyFill="1" applyBorder="1" applyAlignment="1">
      <alignment horizontal="center" vertical="center" wrapText="1"/>
    </xf>
    <xf numFmtId="0" fontId="5" fillId="18" borderId="88" xfId="0" applyFont="1" applyFill="1" applyBorder="1" applyAlignment="1">
      <alignment horizontal="left" vertical="center" indent="1"/>
    </xf>
    <xf numFmtId="0" fontId="5" fillId="18" borderId="0" xfId="0" applyFont="1" applyFill="1" applyBorder="1" applyAlignment="1">
      <alignment horizontal="left" vertical="center" indent="1"/>
    </xf>
    <xf numFmtId="0" fontId="5" fillId="18" borderId="84" xfId="0" applyFont="1" applyFill="1" applyBorder="1" applyAlignment="1">
      <alignment horizontal="left" vertical="center" indent="1"/>
    </xf>
    <xf numFmtId="0" fontId="5" fillId="18" borderId="67" xfId="0" applyFont="1" applyFill="1" applyBorder="1" applyAlignment="1">
      <alignment horizontal="left" vertical="center" indent="1"/>
    </xf>
    <xf numFmtId="0" fontId="25" fillId="15" borderId="91" xfId="0" applyFont="1" applyFill="1" applyBorder="1" applyAlignment="1">
      <alignment horizontal="center" vertical="center" wrapText="1"/>
    </xf>
    <xf numFmtId="0" fontId="5" fillId="18" borderId="9" xfId="0" applyFont="1" applyFill="1" applyBorder="1" applyAlignment="1">
      <alignment horizontal="left" vertical="center" wrapText="1" indent="1"/>
    </xf>
    <xf numFmtId="0" fontId="5" fillId="16" borderId="84" xfId="0" applyFont="1" applyFill="1" applyBorder="1" applyAlignment="1">
      <alignment horizontal="left" vertical="center" wrapText="1" indent="1"/>
    </xf>
    <xf numFmtId="0" fontId="5" fillId="16" borderId="88" xfId="0" applyFont="1" applyFill="1" applyBorder="1" applyAlignment="1">
      <alignment horizontal="left" vertical="center" wrapText="1" indent="1"/>
    </xf>
    <xf numFmtId="49" fontId="7" fillId="15" borderId="29" xfId="0" applyNumberFormat="1" applyFont="1" applyFill="1" applyBorder="1" applyAlignment="1">
      <alignment horizontal="center" vertical="center" wrapText="1"/>
    </xf>
    <xf numFmtId="0" fontId="5" fillId="18" borderId="0" xfId="0" applyFont="1" applyFill="1" applyAlignment="1"/>
    <xf numFmtId="49" fontId="1" fillId="2" borderId="0" xfId="0" applyNumberFormat="1" applyFont="1" applyFill="1" applyAlignment="1">
      <alignment horizontal="left" vertical="center"/>
    </xf>
    <xf numFmtId="0" fontId="0" fillId="2" borderId="0" xfId="0" applyFill="1" applyAlignment="1">
      <alignment vertical="center"/>
    </xf>
    <xf numFmtId="0" fontId="8" fillId="2" borderId="0" xfId="0" applyFont="1" applyFill="1" applyAlignment="1">
      <alignment horizontal="center" vertical="center"/>
    </xf>
    <xf numFmtId="0" fontId="22" fillId="2" borderId="0" xfId="0" applyFont="1" applyFill="1" applyAlignment="1">
      <alignment horizontal="center" vertical="center"/>
    </xf>
    <xf numFmtId="0" fontId="16" fillId="2" borderId="0" xfId="0" applyFont="1" applyFill="1" applyAlignment="1">
      <alignment vertical="center"/>
    </xf>
    <xf numFmtId="49" fontId="7" fillId="3" borderId="0" xfId="0" applyNumberFormat="1" applyFont="1" applyFill="1" applyAlignment="1">
      <alignment horizontal="center" vertical="center"/>
    </xf>
    <xf numFmtId="49" fontId="7" fillId="2" borderId="0" xfId="0" applyNumberFormat="1" applyFont="1" applyFill="1" applyAlignment="1">
      <alignment horizontal="center" vertical="center"/>
    </xf>
    <xf numFmtId="0" fontId="7" fillId="2" borderId="0" xfId="0" applyFont="1" applyFill="1" applyAlignment="1">
      <alignment vertical="center"/>
    </xf>
    <xf numFmtId="0" fontId="1" fillId="2" borderId="0" xfId="0" applyFont="1" applyFill="1" applyAlignment="1">
      <alignment vertical="center"/>
    </xf>
    <xf numFmtId="49" fontId="0" fillId="2" borderId="0" xfId="0" applyNumberFormat="1" applyFill="1" applyAlignment="1">
      <alignment horizontal="left" vertical="center"/>
    </xf>
    <xf numFmtId="0" fontId="61" fillId="2" borderId="0" xfId="0" applyFont="1" applyFill="1" applyAlignment="1">
      <alignment horizontal="center" vertical="center"/>
    </xf>
    <xf numFmtId="49" fontId="1" fillId="18" borderId="0" xfId="0" applyNumberFormat="1" applyFont="1" applyFill="1" applyAlignment="1">
      <alignment horizontal="left" vertical="center"/>
    </xf>
    <xf numFmtId="0" fontId="5" fillId="18" borderId="3" xfId="0" applyFont="1" applyFill="1" applyBorder="1" applyAlignment="1">
      <alignment horizontal="left" vertical="center"/>
    </xf>
    <xf numFmtId="9" fontId="26" fillId="16" borderId="60" xfId="0" applyNumberFormat="1" applyFont="1" applyFill="1" applyBorder="1" applyAlignment="1">
      <alignment horizontal="center"/>
    </xf>
    <xf numFmtId="9" fontId="26" fillId="16" borderId="1" xfId="0" applyNumberFormat="1" applyFont="1" applyFill="1" applyBorder="1" applyAlignment="1">
      <alignment horizontal="center"/>
    </xf>
    <xf numFmtId="0" fontId="25" fillId="16" borderId="18" xfId="0" applyFont="1" applyFill="1" applyBorder="1" applyAlignment="1">
      <alignment horizontal="center" vertical="center" wrapText="1"/>
    </xf>
    <xf numFmtId="0" fontId="5" fillId="18" borderId="0" xfId="0" applyFont="1" applyFill="1" applyAlignment="1">
      <alignment horizontal="left" vertical="center" wrapText="1"/>
    </xf>
    <xf numFmtId="0" fontId="25" fillId="18" borderId="0" xfId="0" applyFont="1" applyFill="1" applyAlignment="1">
      <alignment horizontal="left" vertical="center" wrapText="1"/>
    </xf>
    <xf numFmtId="0" fontId="5" fillId="16" borderId="1" xfId="0" applyFont="1" applyFill="1" applyBorder="1" applyAlignment="1">
      <alignment horizontal="center" vertical="center" wrapText="1"/>
    </xf>
    <xf numFmtId="0" fontId="5" fillId="16" borderId="13" xfId="0" applyFont="1" applyFill="1" applyBorder="1" applyAlignment="1">
      <alignment horizontal="center" vertical="center" wrapText="1"/>
    </xf>
    <xf numFmtId="0" fontId="25" fillId="15" borderId="14" xfId="0" applyFont="1" applyFill="1" applyBorder="1" applyAlignment="1">
      <alignment horizontal="center" vertical="center"/>
    </xf>
    <xf numFmtId="0" fontId="25" fillId="15" borderId="7" xfId="0" applyFont="1" applyFill="1" applyBorder="1" applyAlignment="1">
      <alignment horizontal="center" vertical="center"/>
    </xf>
    <xf numFmtId="0" fontId="5" fillId="16" borderId="5" xfId="0" applyFont="1" applyFill="1" applyBorder="1" applyAlignment="1">
      <alignment horizontal="center" vertical="center" wrapText="1"/>
    </xf>
    <xf numFmtId="0" fontId="5" fillId="16" borderId="3" xfId="0" applyFont="1" applyFill="1" applyBorder="1" applyAlignment="1">
      <alignment horizontal="center" vertical="center" wrapText="1"/>
    </xf>
    <xf numFmtId="0" fontId="5" fillId="18" borderId="0" xfId="0" applyFont="1" applyFill="1" applyBorder="1" applyAlignment="1">
      <alignment horizontal="left" vertical="center" wrapText="1"/>
    </xf>
    <xf numFmtId="0" fontId="25" fillId="15" borderId="25" xfId="0" applyFont="1" applyFill="1" applyBorder="1" applyAlignment="1">
      <alignment horizontal="center" vertical="center" wrapText="1"/>
    </xf>
    <xf numFmtId="0" fontId="26" fillId="18" borderId="0" xfId="0" applyFont="1" applyFill="1" applyAlignment="1">
      <alignment horizontal="left" vertical="center" wrapText="1"/>
    </xf>
    <xf numFmtId="0" fontId="25" fillId="15" borderId="14" xfId="0" applyFont="1" applyFill="1" applyBorder="1" applyAlignment="1">
      <alignment horizontal="center" vertical="center" wrapText="1"/>
    </xf>
    <xf numFmtId="0" fontId="25" fillId="15" borderId="7" xfId="0" applyFont="1" applyFill="1" applyBorder="1" applyAlignment="1">
      <alignment horizontal="center" vertical="center" wrapText="1"/>
    </xf>
    <xf numFmtId="0" fontId="35" fillId="18" borderId="0" xfId="0" applyFont="1" applyFill="1" applyAlignment="1">
      <alignment horizontal="center" vertical="center"/>
    </xf>
    <xf numFmtId="0" fontId="5" fillId="18" borderId="0" xfId="0" applyFont="1" applyFill="1" applyAlignment="1">
      <alignment horizontal="left" vertical="center"/>
    </xf>
    <xf numFmtId="0" fontId="25" fillId="18" borderId="0" xfId="0" applyFont="1" applyFill="1" applyAlignment="1">
      <alignment horizontal="center" vertical="center"/>
    </xf>
    <xf numFmtId="0" fontId="5" fillId="18" borderId="3" xfId="0" applyFont="1" applyFill="1" applyBorder="1" applyAlignment="1">
      <alignment horizontal="left" vertical="center" wrapText="1"/>
    </xf>
    <xf numFmtId="0" fontId="5" fillId="18" borderId="0" xfId="0" applyFont="1" applyFill="1" applyAlignment="1">
      <alignment horizontal="center" vertical="center"/>
    </xf>
    <xf numFmtId="0" fontId="25" fillId="18" borderId="0" xfId="0" applyFont="1" applyFill="1" applyAlignment="1">
      <alignment horizontal="left" vertical="center"/>
    </xf>
    <xf numFmtId="0" fontId="26" fillId="18" borderId="0" xfId="0" applyFont="1" applyFill="1" applyBorder="1" applyAlignment="1">
      <alignment horizontal="left" vertical="center" wrapText="1"/>
    </xf>
    <xf numFmtId="0" fontId="5" fillId="18" borderId="2" xfId="0" applyFont="1" applyFill="1" applyBorder="1" applyAlignment="1">
      <alignment horizontal="center" vertical="center" wrapText="1"/>
    </xf>
    <xf numFmtId="0" fontId="5" fillId="18" borderId="3" xfId="0" applyFont="1" applyFill="1" applyBorder="1" applyAlignment="1">
      <alignment horizontal="center" vertical="center" wrapText="1"/>
    </xf>
    <xf numFmtId="0" fontId="5" fillId="18" borderId="4" xfId="0" applyFont="1" applyFill="1" applyBorder="1" applyAlignment="1">
      <alignment horizontal="center" vertical="center" wrapText="1"/>
    </xf>
    <xf numFmtId="0" fontId="5" fillId="18" borderId="5" xfId="0" applyFont="1" applyFill="1" applyBorder="1" applyAlignment="1">
      <alignment horizontal="center" vertical="center" wrapText="1"/>
    </xf>
    <xf numFmtId="0" fontId="25" fillId="15" borderId="6" xfId="0" applyFont="1" applyFill="1" applyBorder="1" applyAlignment="1">
      <alignment horizontal="center" vertical="center" wrapText="1"/>
    </xf>
    <xf numFmtId="0" fontId="5" fillId="18" borderId="9" xfId="0" applyFont="1" applyFill="1" applyBorder="1" applyAlignment="1">
      <alignment horizontal="center" vertical="center" wrapText="1"/>
    </xf>
    <xf numFmtId="0" fontId="5" fillId="18" borderId="8" xfId="0" applyFont="1" applyFill="1" applyBorder="1" applyAlignment="1">
      <alignment horizontal="center" vertical="center" wrapText="1"/>
    </xf>
    <xf numFmtId="0" fontId="0" fillId="18" borderId="0" xfId="0" applyFill="1" applyAlignment="1">
      <alignment horizontal="left" vertical="center" wrapText="1"/>
    </xf>
    <xf numFmtId="0" fontId="5" fillId="16" borderId="3" xfId="0" applyFont="1" applyFill="1" applyBorder="1" applyAlignment="1">
      <alignment horizontal="center" vertical="center"/>
    </xf>
    <xf numFmtId="0" fontId="5" fillId="18" borderId="5" xfId="0" applyFont="1" applyFill="1" applyBorder="1" applyAlignment="1">
      <alignment horizontal="center" vertical="center"/>
    </xf>
    <xf numFmtId="0" fontId="5" fillId="18" borderId="1" xfId="0" applyFont="1" applyFill="1" applyBorder="1" applyAlignment="1">
      <alignment horizontal="center" vertical="center"/>
    </xf>
    <xf numFmtId="0" fontId="5" fillId="18" borderId="3" xfId="0" applyFont="1" applyFill="1" applyBorder="1" applyAlignment="1">
      <alignment horizontal="center" vertical="center"/>
    </xf>
    <xf numFmtId="0" fontId="25" fillId="15" borderId="6" xfId="0" applyFont="1" applyFill="1" applyBorder="1" applyAlignment="1">
      <alignment horizontal="center" vertical="center"/>
    </xf>
    <xf numFmtId="0" fontId="5" fillId="18" borderId="0" xfId="0" applyFont="1" applyFill="1" applyAlignment="1">
      <alignment horizontal="center" vertical="center" wrapText="1"/>
    </xf>
    <xf numFmtId="0" fontId="0" fillId="18" borderId="0" xfId="0" applyFill="1" applyBorder="1" applyAlignment="1">
      <alignment horizontal="left" vertical="center" wrapText="1"/>
    </xf>
    <xf numFmtId="0" fontId="27" fillId="24" borderId="0" xfId="1" applyFont="1" applyFill="1" applyAlignment="1" applyProtection="1">
      <alignment horizontal="center" vertical="center" wrapText="1"/>
    </xf>
    <xf numFmtId="0" fontId="35" fillId="18" borderId="0" xfId="0" applyFont="1" applyFill="1" applyAlignment="1">
      <alignment horizontal="center" vertical="center" wrapText="1"/>
    </xf>
    <xf numFmtId="0" fontId="0" fillId="18" borderId="3" xfId="0" applyFill="1" applyBorder="1" applyAlignment="1">
      <alignment horizontal="left" vertical="center"/>
    </xf>
    <xf numFmtId="0" fontId="5" fillId="18" borderId="24" xfId="0" applyFont="1" applyFill="1" applyBorder="1" applyAlignment="1">
      <alignment horizontal="left" vertical="center" wrapText="1"/>
    </xf>
    <xf numFmtId="0" fontId="5" fillId="18" borderId="0" xfId="0" applyFont="1" applyFill="1" applyBorder="1" applyAlignment="1">
      <alignment horizontal="left" vertical="center"/>
    </xf>
    <xf numFmtId="0" fontId="5" fillId="16" borderId="2" xfId="0" applyFont="1" applyFill="1" applyBorder="1" applyAlignment="1">
      <alignment horizontal="center" vertical="center"/>
    </xf>
    <xf numFmtId="0" fontId="5" fillId="16" borderId="4" xfId="0" applyFont="1" applyFill="1" applyBorder="1" applyAlignment="1">
      <alignment horizontal="center" vertical="center"/>
    </xf>
    <xf numFmtId="0" fontId="0" fillId="18" borderId="0" xfId="0" quotePrefix="1" applyFill="1" applyAlignment="1">
      <alignment horizontal="left" vertical="center" wrapText="1"/>
    </xf>
    <xf numFmtId="0" fontId="42" fillId="18" borderId="0" xfId="0" applyFont="1" applyFill="1" applyAlignment="1">
      <alignment horizontal="left" vertical="center" wrapText="1"/>
    </xf>
    <xf numFmtId="0" fontId="5" fillId="18" borderId="0" xfId="0" applyNumberFormat="1" applyFont="1" applyFill="1" applyAlignment="1">
      <alignment horizontal="left" vertical="center" wrapText="1"/>
    </xf>
    <xf numFmtId="0" fontId="5" fillId="16" borderId="21"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5" fillId="16" borderId="13" xfId="0" applyFont="1" applyFill="1" applyBorder="1" applyAlignment="1">
      <alignment horizontal="center" vertical="center" wrapText="1"/>
    </xf>
    <xf numFmtId="0" fontId="25" fillId="15" borderId="25" xfId="0" applyFont="1" applyFill="1" applyBorder="1" applyAlignment="1">
      <alignment horizontal="center" vertical="center" wrapText="1"/>
    </xf>
    <xf numFmtId="0" fontId="5" fillId="18" borderId="67" xfId="0" applyFont="1" applyFill="1" applyBorder="1" applyAlignment="1">
      <alignment horizontal="left" vertical="center" wrapText="1"/>
    </xf>
    <xf numFmtId="0" fontId="25" fillId="15" borderId="34" xfId="0" applyFont="1" applyFill="1" applyBorder="1" applyAlignment="1">
      <alignment horizontal="center" vertical="center" wrapText="1"/>
    </xf>
    <xf numFmtId="0" fontId="25" fillId="15" borderId="14" xfId="0" applyFont="1" applyFill="1" applyBorder="1" applyAlignment="1">
      <alignment horizontal="center" vertical="center" wrapText="1"/>
    </xf>
    <xf numFmtId="0" fontId="26" fillId="18" borderId="0" xfId="0" applyFont="1" applyFill="1" applyAlignment="1">
      <alignment horizontal="left" vertical="center" wrapText="1"/>
    </xf>
    <xf numFmtId="0" fontId="35" fillId="18" borderId="0" xfId="0" applyFont="1" applyFill="1" applyAlignment="1">
      <alignment horizontal="center" vertical="center"/>
    </xf>
    <xf numFmtId="0" fontId="25" fillId="18" borderId="0" xfId="0" applyFont="1" applyFill="1" applyAlignment="1">
      <alignment horizontal="center" vertical="center"/>
    </xf>
    <xf numFmtId="0" fontId="5" fillId="18" borderId="0" xfId="0" applyFont="1" applyFill="1" applyAlignment="1">
      <alignment horizontal="left" vertical="center"/>
    </xf>
    <xf numFmtId="0" fontId="5" fillId="16" borderId="5" xfId="0" applyFont="1" applyFill="1" applyBorder="1" applyAlignment="1">
      <alignment horizontal="left" vertical="center" wrapText="1"/>
    </xf>
    <xf numFmtId="0" fontId="5" fillId="18" borderId="3" xfId="0" applyFont="1" applyFill="1" applyBorder="1" applyAlignment="1">
      <alignment horizontal="left" vertical="center" wrapText="1"/>
    </xf>
    <xf numFmtId="0" fontId="5" fillId="16" borderId="3" xfId="0" applyFont="1" applyFill="1" applyBorder="1" applyAlignment="1">
      <alignment horizontal="left" vertical="center" wrapText="1"/>
    </xf>
    <xf numFmtId="0" fontId="5" fillId="18" borderId="0" xfId="0" applyFont="1" applyFill="1" applyAlignment="1">
      <alignment horizontal="center" vertical="center"/>
    </xf>
    <xf numFmtId="0" fontId="5" fillId="16" borderId="43" xfId="0" applyFont="1" applyFill="1" applyBorder="1" applyAlignment="1">
      <alignment horizontal="center" vertical="center" wrapText="1"/>
    </xf>
    <xf numFmtId="0" fontId="5" fillId="18" borderId="0" xfId="0" applyFont="1" applyFill="1" applyAlignment="1">
      <alignment horizontal="center" vertical="center" wrapText="1"/>
    </xf>
    <xf numFmtId="0" fontId="5" fillId="15" borderId="22" xfId="0" applyFont="1" applyFill="1" applyBorder="1" applyAlignment="1">
      <alignment horizontal="center" vertical="center" wrapText="1"/>
    </xf>
    <xf numFmtId="0" fontId="0" fillId="16" borderId="1" xfId="0" applyFill="1" applyBorder="1" applyAlignment="1">
      <alignment horizontal="center"/>
    </xf>
    <xf numFmtId="9" fontId="0" fillId="16" borderId="1" xfId="0" quotePrefix="1" applyNumberFormat="1" applyFill="1" applyBorder="1" applyAlignment="1">
      <alignment horizontal="center"/>
    </xf>
    <xf numFmtId="0" fontId="0" fillId="16" borderId="3" xfId="0" applyFill="1" applyBorder="1" applyAlignment="1">
      <alignment horizontal="center"/>
    </xf>
    <xf numFmtId="0" fontId="39" fillId="18" borderId="0" xfId="0" applyFont="1" applyFill="1" applyAlignment="1">
      <alignment horizontal="left" vertical="center" wrapText="1"/>
    </xf>
    <xf numFmtId="0" fontId="0" fillId="18" borderId="0" xfId="0" applyFill="1" applyAlignment="1">
      <alignment horizontal="center" vertical="center" wrapText="1"/>
    </xf>
    <xf numFmtId="9" fontId="5" fillId="18" borderId="2" xfId="0" applyNumberFormat="1" applyFont="1" applyFill="1" applyBorder="1" applyAlignment="1">
      <alignment horizontal="left" vertical="center" wrapText="1"/>
    </xf>
    <xf numFmtId="9" fontId="5" fillId="18" borderId="4" xfId="0" applyNumberFormat="1" applyFont="1" applyFill="1" applyBorder="1" applyAlignment="1">
      <alignment horizontal="left" vertical="center" wrapText="1"/>
    </xf>
    <xf numFmtId="9" fontId="5" fillId="18" borderId="9" xfId="0" applyNumberFormat="1" applyFont="1" applyFill="1" applyBorder="1" applyAlignment="1">
      <alignment horizontal="left" vertical="center" wrapText="1"/>
    </xf>
    <xf numFmtId="0" fontId="5" fillId="18" borderId="5" xfId="0" applyFont="1" applyFill="1" applyBorder="1" applyAlignment="1">
      <alignment vertical="center" wrapText="1"/>
    </xf>
    <xf numFmtId="9" fontId="5" fillId="18" borderId="0" xfId="0" applyNumberFormat="1" applyFont="1" applyFill="1" applyBorder="1" applyAlignment="1">
      <alignment horizontal="left" vertical="center" wrapText="1"/>
    </xf>
    <xf numFmtId="9" fontId="5" fillId="18" borderId="11" xfId="0" applyNumberFormat="1" applyFont="1" applyFill="1" applyBorder="1" applyAlignment="1">
      <alignment horizontal="left" vertical="center" wrapText="1"/>
    </xf>
    <xf numFmtId="0" fontId="38" fillId="18" borderId="3" xfId="0" quotePrefix="1" applyFont="1" applyFill="1" applyBorder="1" applyAlignment="1">
      <alignment vertical="center" wrapText="1"/>
    </xf>
    <xf numFmtId="0" fontId="38" fillId="18" borderId="3" xfId="0" applyFont="1" applyFill="1" applyBorder="1" applyAlignment="1">
      <alignment vertical="center" wrapText="1"/>
    </xf>
    <xf numFmtId="49" fontId="5" fillId="18" borderId="3" xfId="0" applyNumberFormat="1" applyFont="1" applyFill="1" applyBorder="1" applyAlignment="1">
      <alignment vertical="center" wrapText="1"/>
    </xf>
    <xf numFmtId="0" fontId="38" fillId="18" borderId="5" xfId="0" quotePrefix="1" applyFont="1" applyFill="1" applyBorder="1" applyAlignment="1">
      <alignment vertical="center" wrapText="1"/>
    </xf>
    <xf numFmtId="0" fontId="5" fillId="18" borderId="0" xfId="0" applyFont="1" applyFill="1" applyBorder="1" applyAlignment="1">
      <alignment vertical="center" wrapText="1"/>
    </xf>
    <xf numFmtId="0" fontId="5" fillId="18" borderId="3" xfId="0" applyFont="1" applyFill="1" applyBorder="1" applyAlignment="1">
      <alignment vertical="center" wrapText="1"/>
    </xf>
    <xf numFmtId="0" fontId="5" fillId="18" borderId="24" xfId="0" applyFont="1" applyFill="1" applyBorder="1" applyAlignment="1">
      <alignment vertical="center" wrapText="1"/>
    </xf>
    <xf numFmtId="0" fontId="38" fillId="18" borderId="8" xfId="0" quotePrefix="1" applyFont="1" applyFill="1" applyBorder="1" applyAlignment="1">
      <alignment vertical="center" wrapText="1"/>
    </xf>
    <xf numFmtId="49" fontId="38" fillId="16" borderId="3" xfId="0" applyNumberFormat="1" applyFont="1" applyFill="1" applyBorder="1" applyAlignment="1">
      <alignment vertical="center" wrapText="1"/>
    </xf>
    <xf numFmtId="0" fontId="38" fillId="16" borderId="3" xfId="0" quotePrefix="1" applyFont="1" applyFill="1" applyBorder="1" applyAlignment="1">
      <alignment vertical="center" wrapText="1"/>
    </xf>
    <xf numFmtId="0" fontId="38" fillId="16" borderId="3" xfId="0" applyFont="1" applyFill="1" applyBorder="1" applyAlignment="1">
      <alignment vertical="center" wrapText="1"/>
    </xf>
    <xf numFmtId="0" fontId="5" fillId="16" borderId="3" xfId="0" quotePrefix="1" applyFont="1" applyFill="1" applyBorder="1" applyAlignment="1">
      <alignment vertical="center" wrapText="1"/>
    </xf>
    <xf numFmtId="0" fontId="68" fillId="18" borderId="0" xfId="0" applyFont="1" applyFill="1" applyBorder="1" applyAlignment="1">
      <alignment vertical="center" wrapText="1"/>
    </xf>
    <xf numFmtId="9" fontId="5" fillId="18" borderId="9" xfId="0" applyNumberFormat="1" applyFont="1" applyFill="1" applyBorder="1" applyAlignment="1">
      <alignment horizontal="center" vertical="center" wrapText="1"/>
    </xf>
    <xf numFmtId="0" fontId="62" fillId="18" borderId="0" xfId="0" applyFont="1" applyFill="1" applyBorder="1" applyAlignment="1">
      <alignment vertical="center" wrapText="1"/>
    </xf>
    <xf numFmtId="9" fontId="5" fillId="18" borderId="9" xfId="0" applyNumberFormat="1" applyFont="1" applyFill="1" applyBorder="1" applyAlignment="1">
      <alignment horizontal="center" vertical="center"/>
    </xf>
    <xf numFmtId="9" fontId="5" fillId="18" borderId="2" xfId="0" applyNumberFormat="1" applyFont="1" applyFill="1" applyBorder="1" applyAlignment="1">
      <alignment horizontal="center" vertical="center"/>
    </xf>
    <xf numFmtId="9" fontId="5" fillId="18" borderId="4" xfId="0" applyNumberFormat="1" applyFont="1" applyFill="1" applyBorder="1" applyAlignment="1">
      <alignment horizontal="center" vertical="center"/>
    </xf>
    <xf numFmtId="0" fontId="5" fillId="18" borderId="44" xfId="0" applyFont="1" applyFill="1" applyBorder="1" applyAlignment="1">
      <alignment horizontal="left" vertical="center" wrapText="1"/>
    </xf>
    <xf numFmtId="0" fontId="33" fillId="15" borderId="6" xfId="0" applyFont="1" applyFill="1" applyBorder="1" applyAlignment="1">
      <alignment horizontal="center" vertical="center" wrapText="1"/>
    </xf>
    <xf numFmtId="0" fontId="5" fillId="18" borderId="43" xfId="0" applyFont="1" applyFill="1" applyBorder="1" applyAlignment="1">
      <alignment horizontal="center" vertical="center" wrapText="1"/>
    </xf>
    <xf numFmtId="0" fontId="5" fillId="18" borderId="88" xfId="0" applyFont="1" applyFill="1" applyBorder="1" applyAlignment="1">
      <alignment horizontal="center" vertical="center" wrapText="1"/>
    </xf>
    <xf numFmtId="0" fontId="5" fillId="18" borderId="15" xfId="0" applyFont="1" applyFill="1" applyBorder="1" applyAlignment="1">
      <alignment horizontal="center" vertical="center" wrapText="1"/>
    </xf>
    <xf numFmtId="9" fontId="5" fillId="18" borderId="2" xfId="0" applyNumberFormat="1" applyFont="1" applyFill="1" applyBorder="1" applyAlignment="1">
      <alignment horizontal="center" vertical="center" wrapText="1"/>
    </xf>
    <xf numFmtId="0" fontId="5" fillId="18" borderId="1" xfId="0" applyFont="1" applyFill="1" applyBorder="1" applyAlignment="1">
      <alignment horizontal="center" vertical="center" wrapText="1"/>
    </xf>
    <xf numFmtId="0" fontId="25" fillId="18" borderId="0" xfId="0" applyFont="1" applyFill="1" applyBorder="1" applyAlignment="1">
      <alignment vertical="center"/>
    </xf>
    <xf numFmtId="0" fontId="28" fillId="18" borderId="19" xfId="0" applyFont="1" applyFill="1" applyBorder="1" applyAlignment="1">
      <alignment horizontal="left" vertical="center"/>
    </xf>
    <xf numFmtId="0" fontId="28" fillId="18" borderId="23" xfId="0" applyFont="1" applyFill="1" applyBorder="1" applyAlignment="1">
      <alignment horizontal="center" vertical="center"/>
    </xf>
    <xf numFmtId="0" fontId="28" fillId="18" borderId="15" xfId="0" applyFont="1" applyFill="1" applyBorder="1" applyAlignment="1">
      <alignment horizontal="center" vertical="center"/>
    </xf>
    <xf numFmtId="0" fontId="28" fillId="18" borderId="8" xfId="0" applyFont="1" applyFill="1" applyBorder="1" applyAlignment="1">
      <alignment horizontal="center" vertical="center"/>
    </xf>
    <xf numFmtId="0" fontId="28" fillId="18" borderId="0" xfId="0" applyFont="1" applyFill="1" applyBorder="1" applyAlignment="1">
      <alignment horizontal="center" vertical="center"/>
    </xf>
    <xf numFmtId="0" fontId="28" fillId="18" borderId="3" xfId="0" applyFont="1" applyFill="1" applyBorder="1" applyAlignment="1">
      <alignment horizontal="center" vertical="center"/>
    </xf>
    <xf numFmtId="49" fontId="5" fillId="18" borderId="8" xfId="0" applyNumberFormat="1" applyFont="1" applyFill="1" applyBorder="1" applyAlignment="1">
      <alignment horizontal="left" vertical="center"/>
    </xf>
    <xf numFmtId="49" fontId="5" fillId="18" borderId="3" xfId="0" applyNumberFormat="1" applyFont="1" applyFill="1" applyBorder="1" applyAlignment="1">
      <alignment horizontal="left" vertical="center"/>
    </xf>
    <xf numFmtId="49" fontId="5" fillId="18" borderId="5" xfId="0" applyNumberFormat="1" applyFont="1" applyFill="1" applyBorder="1" applyAlignment="1">
      <alignment horizontal="left" vertical="center"/>
    </xf>
    <xf numFmtId="0" fontId="25" fillId="18" borderId="68" xfId="0" applyFont="1" applyFill="1" applyBorder="1" applyAlignment="1">
      <alignment horizontal="center" vertical="center" wrapText="1"/>
    </xf>
    <xf numFmtId="0" fontId="25" fillId="18" borderId="42" xfId="0" applyFont="1" applyFill="1" applyBorder="1" applyAlignment="1">
      <alignment horizontal="center" vertical="center" wrapText="1"/>
    </xf>
    <xf numFmtId="0" fontId="25" fillId="18" borderId="43" xfId="0" applyFont="1" applyFill="1" applyBorder="1" applyAlignment="1">
      <alignment horizontal="center" vertical="center" wrapText="1"/>
    </xf>
    <xf numFmtId="0" fontId="25" fillId="18" borderId="9" xfId="0" applyFont="1" applyFill="1" applyBorder="1" applyAlignment="1">
      <alignment horizontal="center" vertical="center"/>
    </xf>
    <xf numFmtId="0" fontId="25" fillId="18" borderId="2" xfId="0" applyFont="1" applyFill="1" applyBorder="1" applyAlignment="1">
      <alignment horizontal="center" vertical="center"/>
    </xf>
    <xf numFmtId="0" fontId="25" fillId="18" borderId="4" xfId="0" applyFont="1" applyFill="1" applyBorder="1" applyAlignment="1">
      <alignment horizontal="center" vertical="center"/>
    </xf>
    <xf numFmtId="0" fontId="26" fillId="18" borderId="0" xfId="0" applyFont="1" applyFill="1" applyBorder="1" applyAlignment="1">
      <alignment vertical="center"/>
    </xf>
    <xf numFmtId="0" fontId="42" fillId="18" borderId="0" xfId="0" applyFont="1" applyFill="1" applyAlignment="1">
      <alignment vertical="center" wrapText="1"/>
    </xf>
    <xf numFmtId="0" fontId="42" fillId="18" borderId="0" xfId="0" applyFont="1" applyFill="1" applyBorder="1" applyAlignment="1">
      <alignment vertical="center" wrapText="1"/>
    </xf>
    <xf numFmtId="9" fontId="26" fillId="18" borderId="0" xfId="0" applyNumberFormat="1" applyFont="1" applyFill="1" applyBorder="1" applyAlignment="1">
      <alignment horizontal="center" vertical="center" wrapText="1"/>
    </xf>
    <xf numFmtId="0" fontId="26" fillId="18" borderId="0" xfId="0" applyFont="1" applyFill="1" applyBorder="1" applyAlignment="1">
      <alignment horizontal="center" vertical="center" wrapText="1"/>
    </xf>
    <xf numFmtId="9" fontId="26" fillId="18" borderId="2" xfId="0" applyNumberFormat="1" applyFont="1" applyFill="1" applyBorder="1" applyAlignment="1">
      <alignment horizontal="center" vertical="center" wrapText="1"/>
    </xf>
    <xf numFmtId="9" fontId="26" fillId="18" borderId="11" xfId="0" applyNumberFormat="1" applyFont="1" applyFill="1" applyBorder="1" applyAlignment="1">
      <alignment horizontal="center" vertical="center" wrapText="1"/>
    </xf>
    <xf numFmtId="9" fontId="26" fillId="18" borderId="4" xfId="0" applyNumberFormat="1" applyFont="1" applyFill="1" applyBorder="1" applyAlignment="1">
      <alignment horizontal="center" vertical="center" wrapText="1"/>
    </xf>
    <xf numFmtId="0" fontId="33" fillId="18" borderId="0" xfId="0" applyFont="1" applyFill="1" applyBorder="1" applyAlignment="1">
      <alignment vertical="center" wrapText="1"/>
    </xf>
    <xf numFmtId="9" fontId="26" fillId="18" borderId="9" xfId="0" applyNumberFormat="1" applyFont="1" applyFill="1" applyBorder="1" applyAlignment="1">
      <alignment horizontal="center" vertical="center" wrapText="1"/>
    </xf>
    <xf numFmtId="0" fontId="26" fillId="18" borderId="0" xfId="0" applyFont="1" applyFill="1" applyBorder="1" applyAlignment="1">
      <alignment vertical="center" wrapText="1"/>
    </xf>
    <xf numFmtId="0" fontId="47" fillId="18" borderId="0" xfId="0" applyFont="1" applyFill="1" applyAlignment="1">
      <alignment vertical="center"/>
    </xf>
    <xf numFmtId="0" fontId="33" fillId="15" borderId="11" xfId="0" applyFont="1" applyFill="1" applyBorder="1" applyAlignment="1">
      <alignment horizontal="center" vertical="center" wrapText="1"/>
    </xf>
    <xf numFmtId="0" fontId="1" fillId="18" borderId="42" xfId="0" applyFont="1" applyFill="1" applyBorder="1" applyAlignment="1">
      <alignment vertical="center"/>
    </xf>
    <xf numFmtId="0" fontId="0" fillId="18" borderId="17" xfId="0" applyFill="1" applyBorder="1" applyAlignment="1">
      <alignment horizontal="center" vertical="center"/>
    </xf>
    <xf numFmtId="0" fontId="1" fillId="18" borderId="1" xfId="0" applyFont="1" applyFill="1" applyBorder="1" applyAlignment="1">
      <alignment horizontal="center" vertical="center"/>
    </xf>
    <xf numFmtId="1" fontId="0" fillId="18" borderId="1" xfId="0" applyNumberFormat="1" applyFill="1" applyBorder="1" applyAlignment="1">
      <alignment horizontal="center" vertical="center"/>
    </xf>
    <xf numFmtId="0" fontId="0" fillId="18" borderId="3" xfId="0" applyFont="1" applyFill="1" applyBorder="1" applyAlignment="1">
      <alignment horizontal="center" vertical="center"/>
    </xf>
    <xf numFmtId="1" fontId="1" fillId="18" borderId="1" xfId="0" applyNumberFormat="1" applyFont="1" applyFill="1" applyBorder="1" applyAlignment="1">
      <alignment horizontal="center" vertical="center"/>
    </xf>
    <xf numFmtId="0" fontId="0" fillId="15" borderId="13" xfId="0" applyFill="1" applyBorder="1" applyAlignment="1">
      <alignment horizontal="center" vertical="center"/>
    </xf>
    <xf numFmtId="0" fontId="1" fillId="16" borderId="42" xfId="0" applyFont="1" applyFill="1" applyBorder="1" applyAlignment="1">
      <alignment vertical="center"/>
    </xf>
    <xf numFmtId="0" fontId="0" fillId="16" borderId="17" xfId="0" applyFill="1" applyBorder="1" applyAlignment="1">
      <alignment horizontal="center" vertical="center"/>
    </xf>
    <xf numFmtId="0" fontId="1" fillId="16" borderId="1" xfId="0" applyFont="1" applyFill="1" applyBorder="1" applyAlignment="1">
      <alignment horizontal="center" vertical="center"/>
    </xf>
    <xf numFmtId="1" fontId="1" fillId="16" borderId="1" xfId="0" applyNumberFormat="1" applyFont="1" applyFill="1" applyBorder="1" applyAlignment="1">
      <alignment horizontal="center" vertical="center"/>
    </xf>
    <xf numFmtId="1" fontId="0" fillId="16" borderId="1" xfId="0" applyNumberFormat="1" applyFill="1" applyBorder="1" applyAlignment="1">
      <alignment horizontal="center" vertical="center"/>
    </xf>
    <xf numFmtId="0" fontId="0" fillId="16" borderId="43" xfId="0" applyFill="1" applyBorder="1" applyAlignment="1">
      <alignment vertical="center"/>
    </xf>
    <xf numFmtId="0" fontId="0" fillId="16" borderId="18" xfId="0" applyFill="1" applyBorder="1" applyAlignment="1">
      <alignment horizontal="center" vertical="center"/>
    </xf>
    <xf numFmtId="0" fontId="0" fillId="16" borderId="28" xfId="0" applyFill="1" applyBorder="1" applyAlignment="1">
      <alignment horizontal="center" vertical="center" wrapText="1"/>
    </xf>
    <xf numFmtId="0" fontId="1" fillId="18" borderId="9" xfId="0" applyFont="1" applyFill="1" applyBorder="1" applyAlignment="1">
      <alignment horizontal="left" vertical="center"/>
    </xf>
    <xf numFmtId="0" fontId="1" fillId="18" borderId="8" xfId="0" applyFont="1" applyFill="1" applyBorder="1" applyAlignment="1">
      <alignment horizontal="left" vertical="center"/>
    </xf>
    <xf numFmtId="0" fontId="1" fillId="18" borderId="2" xfId="0" applyFont="1" applyFill="1" applyBorder="1" applyAlignment="1">
      <alignment horizontal="left" vertical="center"/>
    </xf>
    <xf numFmtId="0" fontId="1" fillId="18" borderId="3" xfId="0" applyFont="1" applyFill="1" applyBorder="1" applyAlignment="1">
      <alignment horizontal="left" vertical="center"/>
    </xf>
    <xf numFmtId="0" fontId="1" fillId="18" borderId="4" xfId="0" applyFont="1" applyFill="1" applyBorder="1" applyAlignment="1">
      <alignment horizontal="left" vertical="center"/>
    </xf>
    <xf numFmtId="0" fontId="1" fillId="18" borderId="5" xfId="0" applyFont="1" applyFill="1" applyBorder="1" applyAlignment="1">
      <alignment horizontal="left" vertical="center"/>
    </xf>
    <xf numFmtId="0" fontId="1" fillId="16" borderId="2" xfId="0" applyFont="1" applyFill="1" applyBorder="1" applyAlignment="1">
      <alignment horizontal="left" vertical="center"/>
    </xf>
    <xf numFmtId="0" fontId="1" fillId="16" borderId="3" xfId="0" applyFont="1" applyFill="1" applyBorder="1" applyAlignment="1">
      <alignment horizontal="left" vertical="center"/>
    </xf>
    <xf numFmtId="0" fontId="5" fillId="18" borderId="9" xfId="0" applyFont="1" applyFill="1" applyBorder="1" applyAlignment="1">
      <alignment vertical="center"/>
    </xf>
    <xf numFmtId="0" fontId="5" fillId="18" borderId="2" xfId="0" applyFont="1" applyFill="1" applyBorder="1" applyAlignment="1">
      <alignment vertical="center"/>
    </xf>
    <xf numFmtId="0" fontId="5" fillId="18" borderId="4" xfId="0" applyFont="1" applyFill="1" applyBorder="1" applyAlignment="1">
      <alignment vertical="center"/>
    </xf>
    <xf numFmtId="0" fontId="5" fillId="18" borderId="68" xfId="0" applyFont="1" applyFill="1" applyBorder="1" applyAlignment="1">
      <alignment vertical="center"/>
    </xf>
    <xf numFmtId="0" fontId="5" fillId="18" borderId="57" xfId="0" applyFont="1" applyFill="1" applyBorder="1" applyAlignment="1">
      <alignment vertical="center"/>
    </xf>
    <xf numFmtId="0" fontId="5" fillId="18" borderId="42" xfId="0" applyFont="1" applyFill="1" applyBorder="1" applyAlignment="1">
      <alignment vertical="center"/>
    </xf>
    <xf numFmtId="0" fontId="5" fillId="18" borderId="32" xfId="0" applyFont="1" applyFill="1" applyBorder="1" applyAlignment="1">
      <alignment vertical="center"/>
    </xf>
    <xf numFmtId="0" fontId="5" fillId="18" borderId="43" xfId="0" applyFont="1" applyFill="1" applyBorder="1" applyAlignment="1">
      <alignment vertical="center"/>
    </xf>
    <xf numFmtId="0" fontId="5" fillId="18" borderId="18" xfId="0" applyFont="1" applyFill="1" applyBorder="1" applyAlignment="1">
      <alignment horizontal="center" vertical="center"/>
    </xf>
    <xf numFmtId="0" fontId="5" fillId="18" borderId="33" xfId="0" applyFont="1" applyFill="1" applyBorder="1" applyAlignment="1">
      <alignment vertical="center"/>
    </xf>
    <xf numFmtId="0" fontId="5" fillId="16" borderId="2" xfId="0" applyFont="1" applyFill="1" applyBorder="1" applyAlignment="1">
      <alignment vertical="center"/>
    </xf>
    <xf numFmtId="0" fontId="5" fillId="16" borderId="42" xfId="0" applyFont="1" applyFill="1" applyBorder="1" applyAlignment="1">
      <alignment vertical="center"/>
    </xf>
    <xf numFmtId="0" fontId="5" fillId="16" borderId="32" xfId="0" applyFont="1" applyFill="1" applyBorder="1" applyAlignment="1">
      <alignment vertical="center"/>
    </xf>
    <xf numFmtId="0" fontId="7" fillId="18" borderId="0" xfId="0" applyFont="1" applyFill="1" applyAlignment="1">
      <alignment horizontal="right" vertical="center" wrapText="1"/>
    </xf>
    <xf numFmtId="0" fontId="9" fillId="18" borderId="0" xfId="0" applyFont="1" applyFill="1" applyAlignment="1">
      <alignment vertical="center"/>
    </xf>
    <xf numFmtId="0" fontId="17" fillId="18" borderId="0" xfId="0" applyFont="1" applyFill="1" applyAlignment="1">
      <alignment vertical="center"/>
    </xf>
    <xf numFmtId="0" fontId="17" fillId="18" borderId="0" xfId="0" applyNumberFormat="1" applyFont="1" applyFill="1" applyAlignment="1">
      <alignment vertical="center" wrapText="1"/>
    </xf>
    <xf numFmtId="0" fontId="0" fillId="18" borderId="0" xfId="0" applyFill="1" applyAlignment="1">
      <alignment horizontal="right" vertical="center"/>
    </xf>
    <xf numFmtId="17" fontId="5" fillId="18" borderId="16" xfId="0" quotePrefix="1" applyNumberFormat="1" applyFont="1" applyFill="1" applyBorder="1" applyAlignment="1">
      <alignment horizontal="center" vertical="center" wrapText="1"/>
    </xf>
    <xf numFmtId="17" fontId="5" fillId="18" borderId="17" xfId="0" quotePrefix="1" applyNumberFormat="1" applyFont="1" applyFill="1" applyBorder="1" applyAlignment="1">
      <alignment horizontal="center" vertical="center" wrapText="1"/>
    </xf>
    <xf numFmtId="17" fontId="5" fillId="18" borderId="12" xfId="0" quotePrefix="1" applyNumberFormat="1" applyFont="1" applyFill="1" applyBorder="1" applyAlignment="1">
      <alignment horizontal="center" vertical="center" wrapText="1"/>
    </xf>
    <xf numFmtId="17" fontId="25" fillId="15" borderId="29" xfId="0" quotePrefix="1" applyNumberFormat="1" applyFont="1" applyFill="1" applyBorder="1" applyAlignment="1">
      <alignment horizontal="center" vertical="center" wrapText="1"/>
    </xf>
    <xf numFmtId="17" fontId="25" fillId="15" borderId="14" xfId="0" applyNumberFormat="1" applyFont="1" applyFill="1" applyBorder="1" applyAlignment="1">
      <alignment horizontal="center" vertical="center" wrapText="1"/>
    </xf>
    <xf numFmtId="17" fontId="25" fillId="15" borderId="14" xfId="0" quotePrefix="1" applyNumberFormat="1" applyFont="1" applyFill="1" applyBorder="1" applyAlignment="1">
      <alignment horizontal="center" vertical="center" wrapText="1"/>
    </xf>
    <xf numFmtId="0" fontId="25" fillId="18" borderId="19" xfId="0" applyFont="1" applyFill="1" applyBorder="1" applyAlignment="1">
      <alignment horizontal="center" vertical="center" wrapText="1"/>
    </xf>
    <xf numFmtId="0" fontId="5" fillId="18" borderId="23" xfId="0" applyFont="1" applyFill="1" applyBorder="1" applyAlignment="1">
      <alignment horizontal="center" vertical="center" wrapText="1"/>
    </xf>
    <xf numFmtId="0" fontId="25" fillId="18" borderId="17" xfId="0" applyFont="1" applyFill="1" applyBorder="1" applyAlignment="1">
      <alignment horizontal="center" vertical="center" wrapText="1"/>
    </xf>
    <xf numFmtId="0" fontId="5" fillId="18" borderId="21" xfId="0" applyFont="1" applyFill="1" applyBorder="1" applyAlignment="1">
      <alignment horizontal="center" vertical="center" wrapText="1"/>
    </xf>
    <xf numFmtId="3" fontId="5" fillId="18" borderId="0" xfId="0" applyNumberFormat="1" applyFont="1" applyFill="1" applyAlignment="1">
      <alignment horizontal="center" vertical="center" wrapText="1"/>
    </xf>
    <xf numFmtId="49" fontId="5" fillId="18" borderId="0" xfId="0" applyNumberFormat="1" applyFont="1" applyFill="1" applyAlignment="1">
      <alignment horizontal="center" vertical="center" wrapText="1"/>
    </xf>
    <xf numFmtId="0" fontId="0" fillId="18" borderId="0" xfId="0" applyNumberFormat="1" applyFill="1" applyBorder="1" applyAlignment="1">
      <alignment vertical="center"/>
    </xf>
    <xf numFmtId="0" fontId="5" fillId="18" borderId="42" xfId="0" applyFont="1" applyFill="1" applyBorder="1" applyAlignment="1">
      <alignment horizontal="left" vertical="center" wrapText="1"/>
    </xf>
    <xf numFmtId="0" fontId="7" fillId="18" borderId="0" xfId="0" applyFont="1" applyFill="1" applyBorder="1" applyAlignment="1">
      <alignment horizontal="left" vertical="center"/>
    </xf>
    <xf numFmtId="0" fontId="25" fillId="18" borderId="0" xfId="0" quotePrefix="1" applyFont="1" applyFill="1" applyBorder="1" applyAlignment="1">
      <alignment horizontal="left" vertical="center"/>
    </xf>
    <xf numFmtId="0" fontId="5" fillId="18" borderId="0" xfId="0" quotePrefix="1" applyFont="1" applyFill="1" applyBorder="1" applyAlignment="1">
      <alignment horizontal="left" vertical="center"/>
    </xf>
    <xf numFmtId="0" fontId="30" fillId="18" borderId="0" xfId="0" applyFont="1" applyFill="1" applyBorder="1" applyAlignment="1">
      <alignment horizontal="left" vertical="center"/>
    </xf>
    <xf numFmtId="0" fontId="25" fillId="18" borderId="0" xfId="0" applyFont="1" applyFill="1" applyBorder="1" applyAlignment="1">
      <alignment horizontal="left" vertical="center"/>
    </xf>
    <xf numFmtId="0" fontId="25" fillId="15" borderId="90" xfId="0" applyFont="1" applyFill="1" applyBorder="1" applyAlignment="1">
      <alignment horizontal="center" vertical="center" wrapText="1"/>
    </xf>
    <xf numFmtId="0" fontId="5" fillId="16" borderId="42" xfId="0" applyFont="1" applyFill="1" applyBorder="1" applyAlignment="1">
      <alignment horizontal="left" vertical="center" wrapText="1"/>
    </xf>
    <xf numFmtId="0" fontId="5" fillId="25" borderId="51" xfId="0" applyFont="1" applyFill="1" applyBorder="1" applyAlignment="1">
      <alignment horizontal="right" vertical="center"/>
    </xf>
    <xf numFmtId="0" fontId="5" fillId="25" borderId="49" xfId="0" applyFont="1" applyFill="1" applyBorder="1" applyAlignment="1">
      <alignment horizontal="right" vertical="center"/>
    </xf>
    <xf numFmtId="0" fontId="5" fillId="25" borderId="49" xfId="0" applyFont="1" applyFill="1" applyBorder="1" applyAlignment="1">
      <alignment vertical="center"/>
    </xf>
    <xf numFmtId="0" fontId="30" fillId="25" borderId="50" xfId="0" applyFont="1" applyFill="1" applyBorder="1" applyAlignment="1">
      <alignment horizontal="right" vertical="center"/>
    </xf>
    <xf numFmtId="3" fontId="5" fillId="16" borderId="2" xfId="0" applyNumberFormat="1" applyFont="1" applyFill="1" applyBorder="1" applyAlignment="1">
      <alignment horizontal="center" vertical="center" wrapText="1"/>
    </xf>
    <xf numFmtId="3" fontId="5" fillId="16" borderId="1" xfId="0" applyNumberFormat="1" applyFont="1" applyFill="1" applyBorder="1" applyAlignment="1">
      <alignment horizontal="center" vertical="center" wrapText="1"/>
    </xf>
    <xf numFmtId="0" fontId="5" fillId="16" borderId="16" xfId="0" applyFont="1" applyFill="1" applyBorder="1" applyAlignment="1">
      <alignment horizontal="left" vertical="center" wrapText="1"/>
    </xf>
    <xf numFmtId="3" fontId="5" fillId="16" borderId="11" xfId="0" applyNumberFormat="1" applyFont="1" applyFill="1" applyBorder="1" applyAlignment="1">
      <alignment horizontal="center" vertical="center" wrapText="1"/>
    </xf>
    <xf numFmtId="3" fontId="5" fillId="16" borderId="12" xfId="0" applyNumberFormat="1" applyFont="1" applyFill="1" applyBorder="1" applyAlignment="1">
      <alignment horizontal="center" vertical="center" wrapText="1"/>
    </xf>
    <xf numFmtId="3" fontId="39" fillId="16" borderId="12" xfId="0" applyNumberFormat="1" applyFont="1" applyFill="1" applyBorder="1" applyAlignment="1">
      <alignment horizontal="center" vertical="center" wrapText="1"/>
    </xf>
    <xf numFmtId="3" fontId="30" fillId="16" borderId="24" xfId="0" applyNumberFormat="1" applyFont="1" applyFill="1" applyBorder="1" applyAlignment="1">
      <alignment horizontal="center" vertical="center" wrapText="1"/>
    </xf>
    <xf numFmtId="0" fontId="33" fillId="18" borderId="0" xfId="0" applyFont="1" applyFill="1" applyAlignment="1">
      <alignment horizontal="justify" vertical="center" wrapText="1"/>
    </xf>
    <xf numFmtId="49" fontId="33" fillId="18" borderId="0" xfId="0" applyNumberFormat="1" applyFont="1" applyFill="1" applyAlignment="1">
      <alignment horizontal="center" vertical="center" wrapText="1"/>
    </xf>
    <xf numFmtId="3" fontId="33" fillId="18" borderId="0" xfId="0" applyNumberFormat="1" applyFont="1" applyFill="1" applyAlignment="1">
      <alignment horizontal="center" vertical="center" wrapText="1"/>
    </xf>
    <xf numFmtId="3" fontId="5" fillId="18" borderId="9" xfId="0" applyNumberFormat="1" applyFont="1" applyFill="1" applyBorder="1" applyAlignment="1">
      <alignment horizontal="center" vertical="center" wrapText="1"/>
    </xf>
    <xf numFmtId="3" fontId="5" fillId="18" borderId="15" xfId="0" applyNumberFormat="1" applyFont="1" applyFill="1" applyBorder="1" applyAlignment="1">
      <alignment horizontal="center" vertical="center" wrapText="1"/>
    </xf>
    <xf numFmtId="3" fontId="5" fillId="18" borderId="2" xfId="0" applyNumberFormat="1" applyFont="1" applyFill="1" applyBorder="1" applyAlignment="1">
      <alignment horizontal="center" vertical="center" wrapText="1"/>
    </xf>
    <xf numFmtId="3" fontId="5" fillId="18" borderId="1" xfId="0" applyNumberFormat="1" applyFont="1" applyFill="1" applyBorder="1" applyAlignment="1">
      <alignment horizontal="center" vertical="center" wrapText="1"/>
    </xf>
    <xf numFmtId="0" fontId="5" fillId="18" borderId="82" xfId="0" applyFont="1" applyFill="1" applyBorder="1" applyAlignment="1">
      <alignment horizontal="left" vertical="center" wrapText="1"/>
    </xf>
    <xf numFmtId="3" fontId="5" fillId="18" borderId="61" xfId="0" applyNumberFormat="1" applyFont="1" applyFill="1" applyBorder="1" applyAlignment="1">
      <alignment horizontal="center" vertical="center" wrapText="1"/>
    </xf>
    <xf numFmtId="3" fontId="5" fillId="18" borderId="37" xfId="0" applyNumberFormat="1" applyFont="1" applyFill="1" applyBorder="1" applyAlignment="1">
      <alignment horizontal="center" vertical="center" wrapText="1"/>
    </xf>
    <xf numFmtId="3" fontId="5" fillId="18" borderId="4" xfId="0" applyNumberFormat="1" applyFont="1" applyFill="1" applyBorder="1" applyAlignment="1">
      <alignment horizontal="center" vertical="center" wrapText="1"/>
    </xf>
    <xf numFmtId="3" fontId="5" fillId="18" borderId="13" xfId="0" applyNumberFormat="1" applyFont="1" applyFill="1" applyBorder="1" applyAlignment="1">
      <alignment horizontal="center" vertical="center" wrapText="1"/>
    </xf>
    <xf numFmtId="3" fontId="30" fillId="18" borderId="13" xfId="0" applyNumberFormat="1" applyFont="1" applyFill="1" applyBorder="1" applyAlignment="1">
      <alignment horizontal="center" vertical="center" wrapText="1"/>
    </xf>
    <xf numFmtId="3" fontId="39" fillId="18" borderId="13" xfId="0" applyNumberFormat="1" applyFont="1" applyFill="1" applyBorder="1" applyAlignment="1">
      <alignment horizontal="center" vertical="center" wrapText="1"/>
    </xf>
    <xf numFmtId="3" fontId="5" fillId="18" borderId="5" xfId="0" applyNumberFormat="1" applyFont="1" applyFill="1" applyBorder="1" applyAlignment="1">
      <alignment horizontal="center" vertical="center" wrapText="1"/>
    </xf>
    <xf numFmtId="0" fontId="26" fillId="15" borderId="4" xfId="0" applyFont="1" applyFill="1" applyBorder="1" applyAlignment="1">
      <alignment horizontal="center" vertical="center"/>
    </xf>
    <xf numFmtId="0" fontId="26" fillId="15" borderId="13" xfId="0" applyFont="1" applyFill="1" applyBorder="1" applyAlignment="1">
      <alignment horizontal="center" vertical="center"/>
    </xf>
    <xf numFmtId="0" fontId="26" fillId="15" borderId="5" xfId="0" applyFont="1" applyFill="1" applyBorder="1" applyAlignment="1">
      <alignment horizontal="center" vertical="center"/>
    </xf>
    <xf numFmtId="3" fontId="68" fillId="18" borderId="8" xfId="0" applyNumberFormat="1" applyFont="1" applyFill="1" applyBorder="1" applyAlignment="1">
      <alignment horizontal="center" vertical="center" wrapText="1"/>
    </xf>
    <xf numFmtId="3" fontId="68" fillId="16" borderId="2" xfId="0" applyNumberFormat="1" applyFont="1" applyFill="1" applyBorder="1" applyAlignment="1">
      <alignment horizontal="center" vertical="center" wrapText="1"/>
    </xf>
    <xf numFmtId="3" fontId="68" fillId="16" borderId="1" xfId="0" applyNumberFormat="1" applyFont="1" applyFill="1" applyBorder="1" applyAlignment="1">
      <alignment horizontal="center" vertical="center" wrapText="1"/>
    </xf>
    <xf numFmtId="3" fontId="68" fillId="18" borderId="1" xfId="0" applyNumberFormat="1" applyFont="1" applyFill="1" applyBorder="1" applyAlignment="1">
      <alignment horizontal="center" vertical="center" wrapText="1"/>
    </xf>
    <xf numFmtId="3" fontId="68" fillId="16" borderId="3" xfId="0" applyNumberFormat="1" applyFont="1" applyFill="1" applyBorder="1" applyAlignment="1">
      <alignment horizontal="center" vertical="center" wrapText="1"/>
    </xf>
    <xf numFmtId="3" fontId="68" fillId="18" borderId="3" xfId="0" applyNumberFormat="1" applyFont="1" applyFill="1" applyBorder="1" applyAlignment="1">
      <alignment horizontal="center" vertical="center" wrapText="1"/>
    </xf>
    <xf numFmtId="3" fontId="68" fillId="18" borderId="47" xfId="0" applyNumberFormat="1" applyFont="1" applyFill="1" applyBorder="1" applyAlignment="1">
      <alignment horizontal="center" vertical="center" wrapText="1"/>
    </xf>
    <xf numFmtId="3" fontId="91" fillId="18" borderId="15" xfId="0" applyNumberFormat="1" applyFont="1" applyFill="1" applyBorder="1" applyAlignment="1">
      <alignment horizontal="center" vertical="center" wrapText="1"/>
    </xf>
    <xf numFmtId="3" fontId="91" fillId="16" borderId="3" xfId="0" applyNumberFormat="1" applyFont="1" applyFill="1" applyBorder="1" applyAlignment="1">
      <alignment horizontal="center" vertical="center" wrapText="1"/>
    </xf>
    <xf numFmtId="3" fontId="91" fillId="18" borderId="1" xfId="0" applyNumberFormat="1" applyFont="1" applyFill="1" applyBorder="1" applyAlignment="1">
      <alignment horizontal="center" vertical="center" wrapText="1"/>
    </xf>
    <xf numFmtId="0" fontId="28" fillId="16" borderId="24" xfId="0" applyFont="1" applyFill="1" applyBorder="1" applyAlignment="1">
      <alignment horizontal="center" vertical="center"/>
    </xf>
    <xf numFmtId="0" fontId="28" fillId="16" borderId="31" xfId="0" applyFont="1" applyFill="1" applyBorder="1" applyAlignment="1">
      <alignment horizontal="center" vertical="center"/>
    </xf>
    <xf numFmtId="0" fontId="28" fillId="16" borderId="16" xfId="0" applyFont="1" applyFill="1" applyBorder="1" applyAlignment="1">
      <alignment horizontal="center" vertical="center"/>
    </xf>
    <xf numFmtId="0" fontId="28" fillId="16" borderId="26" xfId="0" applyFont="1" applyFill="1" applyBorder="1" applyAlignment="1">
      <alignment horizontal="center" vertical="center"/>
    </xf>
    <xf numFmtId="0" fontId="28" fillId="16" borderId="44" xfId="0" applyFont="1" applyFill="1" applyBorder="1" applyAlignment="1">
      <alignment horizontal="left" vertical="center" wrapText="1"/>
    </xf>
    <xf numFmtId="0" fontId="28" fillId="16" borderId="57" xfId="0" applyFont="1" applyFill="1" applyBorder="1" applyAlignment="1">
      <alignment horizontal="center" vertical="center"/>
    </xf>
    <xf numFmtId="0" fontId="28" fillId="16" borderId="32" xfId="0" applyFont="1" applyFill="1" applyBorder="1" applyAlignment="1">
      <alignment horizontal="center" vertical="center"/>
    </xf>
    <xf numFmtId="0" fontId="28" fillId="16" borderId="42" xfId="0" applyFont="1" applyFill="1" applyBorder="1" applyAlignment="1">
      <alignment horizontal="left" vertical="center" wrapText="1"/>
    </xf>
    <xf numFmtId="0" fontId="28" fillId="16" borderId="17" xfId="0" applyFont="1" applyFill="1" applyBorder="1" applyAlignment="1">
      <alignment horizontal="center" vertical="center"/>
    </xf>
    <xf numFmtId="0" fontId="28" fillId="16" borderId="27" xfId="0" applyFont="1" applyFill="1" applyBorder="1" applyAlignment="1">
      <alignment horizontal="center" vertical="center"/>
    </xf>
    <xf numFmtId="0" fontId="28" fillId="16" borderId="8" xfId="0" applyFont="1" applyFill="1" applyBorder="1" applyAlignment="1">
      <alignment horizontal="center" vertical="center"/>
    </xf>
    <xf numFmtId="0" fontId="28" fillId="16" borderId="19" xfId="0" applyFont="1" applyFill="1" applyBorder="1" applyAlignment="1">
      <alignment horizontal="center" vertical="center"/>
    </xf>
    <xf numFmtId="0" fontId="28" fillId="16" borderId="58" xfId="0" applyFont="1" applyFill="1" applyBorder="1" applyAlignment="1">
      <alignment horizontal="center" vertical="center"/>
    </xf>
    <xf numFmtId="0" fontId="28" fillId="16" borderId="43" xfId="0" applyFont="1" applyFill="1" applyBorder="1" applyAlignment="1">
      <alignment horizontal="left" vertical="center" wrapText="1"/>
    </xf>
    <xf numFmtId="0" fontId="28" fillId="16" borderId="33" xfId="0" applyFont="1" applyFill="1" applyBorder="1" applyAlignment="1">
      <alignment horizontal="center" vertical="center"/>
    </xf>
    <xf numFmtId="0" fontId="28" fillId="16" borderId="18" xfId="0" applyFont="1" applyFill="1" applyBorder="1" applyAlignment="1">
      <alignment horizontal="center" vertical="center"/>
    </xf>
    <xf numFmtId="0" fontId="28" fillId="16" borderId="28" xfId="0" applyFont="1" applyFill="1" applyBorder="1" applyAlignment="1">
      <alignment horizontal="center" vertical="center"/>
    </xf>
    <xf numFmtId="0" fontId="28" fillId="16" borderId="3" xfId="0" applyFont="1" applyFill="1" applyBorder="1" applyAlignment="1">
      <alignment horizontal="center" vertical="center" wrapText="1"/>
    </xf>
    <xf numFmtId="0" fontId="28" fillId="16" borderId="32" xfId="0" applyFont="1" applyFill="1" applyBorder="1" applyAlignment="1">
      <alignment horizontal="center" vertical="center" wrapText="1"/>
    </xf>
    <xf numFmtId="0" fontId="28" fillId="16" borderId="44" xfId="0" applyFont="1" applyFill="1" applyBorder="1" applyAlignment="1">
      <alignment vertical="center" wrapText="1"/>
    </xf>
    <xf numFmtId="0" fontId="28" fillId="16" borderId="68" xfId="0" applyFont="1" applyFill="1" applyBorder="1" applyAlignment="1">
      <alignment vertical="center" wrapText="1"/>
    </xf>
    <xf numFmtId="0" fontId="28" fillId="16" borderId="42" xfId="0" applyFont="1" applyFill="1" applyBorder="1" applyAlignment="1">
      <alignment vertical="center" wrapText="1"/>
    </xf>
    <xf numFmtId="0" fontId="28" fillId="16" borderId="43" xfId="0" applyNumberFormat="1" applyFont="1" applyFill="1" applyBorder="1" applyAlignment="1">
      <alignment vertical="center" wrapText="1"/>
    </xf>
    <xf numFmtId="0" fontId="28" fillId="18" borderId="24" xfId="0" applyFont="1" applyFill="1" applyBorder="1" applyAlignment="1">
      <alignment horizontal="center" vertical="center"/>
    </xf>
    <xf numFmtId="0" fontId="28" fillId="18" borderId="31" xfId="0" applyFont="1" applyFill="1" applyBorder="1" applyAlignment="1">
      <alignment horizontal="center" vertical="center"/>
    </xf>
    <xf numFmtId="0" fontId="28" fillId="18" borderId="16" xfId="0" applyFont="1" applyFill="1" applyBorder="1" applyAlignment="1">
      <alignment horizontal="center" vertical="center"/>
    </xf>
    <xf numFmtId="0" fontId="28" fillId="18" borderId="26" xfId="0" applyFont="1" applyFill="1" applyBorder="1" applyAlignment="1">
      <alignment horizontal="center" vertical="center"/>
    </xf>
    <xf numFmtId="0" fontId="28" fillId="18" borderId="44" xfId="0" applyFont="1" applyFill="1" applyBorder="1" applyAlignment="1">
      <alignment horizontal="left" vertical="center" wrapText="1"/>
    </xf>
    <xf numFmtId="0" fontId="28" fillId="18" borderId="43" xfId="0" applyFont="1" applyFill="1" applyBorder="1" applyAlignment="1">
      <alignment horizontal="left" vertical="center" wrapText="1"/>
    </xf>
    <xf numFmtId="0" fontId="28" fillId="18" borderId="5" xfId="0" applyFont="1" applyFill="1" applyBorder="1" applyAlignment="1">
      <alignment horizontal="center" vertical="center"/>
    </xf>
    <xf numFmtId="0" fontId="28" fillId="18" borderId="33" xfId="0" applyFont="1" applyFill="1" applyBorder="1" applyAlignment="1">
      <alignment horizontal="center" vertical="center"/>
    </xf>
    <xf numFmtId="0" fontId="28" fillId="18" borderId="18" xfId="0" applyFont="1" applyFill="1" applyBorder="1" applyAlignment="1">
      <alignment horizontal="center" vertical="center"/>
    </xf>
    <xf numFmtId="0" fontId="28" fillId="18" borderId="57" xfId="0" applyFont="1" applyFill="1" applyBorder="1" applyAlignment="1">
      <alignment horizontal="center" vertical="center"/>
    </xf>
    <xf numFmtId="0" fontId="28" fillId="18" borderId="19" xfId="0" applyFont="1" applyFill="1" applyBorder="1" applyAlignment="1">
      <alignment horizontal="center" vertical="center"/>
    </xf>
    <xf numFmtId="0" fontId="28" fillId="18" borderId="58" xfId="0" applyFont="1" applyFill="1" applyBorder="1" applyAlignment="1">
      <alignment horizontal="center" vertical="center"/>
    </xf>
    <xf numFmtId="0" fontId="28" fillId="18" borderId="32" xfId="0" applyFont="1" applyFill="1" applyBorder="1" applyAlignment="1">
      <alignment horizontal="center" vertical="center"/>
    </xf>
    <xf numFmtId="0" fontId="28" fillId="18" borderId="17" xfId="0" applyFont="1" applyFill="1" applyBorder="1" applyAlignment="1">
      <alignment horizontal="center" vertical="center"/>
    </xf>
    <xf numFmtId="0" fontId="28" fillId="18" borderId="27" xfId="0" applyFont="1" applyFill="1" applyBorder="1" applyAlignment="1">
      <alignment horizontal="center" vertical="center"/>
    </xf>
    <xf numFmtId="0" fontId="28" fillId="18" borderId="47" xfId="0" applyFont="1" applyFill="1" applyBorder="1" applyAlignment="1">
      <alignment horizontal="center" vertical="center"/>
    </xf>
    <xf numFmtId="0" fontId="28" fillId="18" borderId="86" xfId="0" applyFont="1" applyFill="1" applyBorder="1" applyAlignment="1">
      <alignment horizontal="center" vertical="center"/>
    </xf>
    <xf numFmtId="0" fontId="28" fillId="18" borderId="82" xfId="0" applyFont="1" applyFill="1" applyBorder="1" applyAlignment="1">
      <alignment horizontal="center" vertical="center"/>
    </xf>
    <xf numFmtId="0" fontId="28" fillId="18" borderId="68" xfId="0" applyFont="1" applyFill="1" applyBorder="1" applyAlignment="1">
      <alignment horizontal="left" vertical="center" wrapText="1"/>
    </xf>
    <xf numFmtId="0" fontId="28" fillId="18" borderId="68" xfId="0" applyFont="1" applyFill="1" applyBorder="1" applyAlignment="1">
      <alignment vertical="center" wrapText="1"/>
    </xf>
    <xf numFmtId="0" fontId="28" fillId="18" borderId="42" xfId="0" applyFont="1" applyFill="1" applyBorder="1" applyAlignment="1">
      <alignment horizontal="left" vertical="center" wrapText="1"/>
    </xf>
    <xf numFmtId="0" fontId="28" fillId="18" borderId="43" xfId="0" applyNumberFormat="1" applyFont="1" applyFill="1" applyBorder="1" applyAlignment="1">
      <alignment horizontal="left" vertical="center" wrapText="1"/>
    </xf>
    <xf numFmtId="0" fontId="28" fillId="18" borderId="28" xfId="0" applyFont="1" applyFill="1" applyBorder="1" applyAlignment="1">
      <alignment horizontal="center" vertical="center"/>
    </xf>
    <xf numFmtId="0" fontId="28" fillId="18" borderId="43" xfId="0" applyFont="1" applyFill="1" applyBorder="1" applyAlignment="1">
      <alignment vertical="center" wrapText="1"/>
    </xf>
    <xf numFmtId="0" fontId="28" fillId="18" borderId="89" xfId="0" applyFont="1" applyFill="1" applyBorder="1" applyAlignment="1">
      <alignment horizontal="left" vertical="center" wrapText="1"/>
    </xf>
    <xf numFmtId="0" fontId="28" fillId="18" borderId="24" xfId="0" applyFont="1" applyFill="1" applyBorder="1" applyAlignment="1">
      <alignment horizontal="center" vertical="center" wrapText="1"/>
    </xf>
    <xf numFmtId="0" fontId="28" fillId="18" borderId="31" xfId="0" applyFont="1" applyFill="1" applyBorder="1" applyAlignment="1">
      <alignment horizontal="center" vertical="center" wrapText="1"/>
    </xf>
    <xf numFmtId="0" fontId="28" fillId="18" borderId="92" xfId="0" applyFont="1" applyFill="1" applyBorder="1" applyAlignment="1">
      <alignment horizontal="center" vertical="center" wrapText="1"/>
    </xf>
    <xf numFmtId="0" fontId="28" fillId="18" borderId="89" xfId="0" applyFont="1" applyFill="1" applyBorder="1" applyAlignment="1">
      <alignment vertical="center" wrapText="1"/>
    </xf>
    <xf numFmtId="0" fontId="35" fillId="17" borderId="25" xfId="0" applyFont="1" applyFill="1" applyBorder="1" applyAlignment="1">
      <alignment horizontal="center" vertical="center" wrapText="1"/>
    </xf>
    <xf numFmtId="0" fontId="35" fillId="17" borderId="7" xfId="0" applyFont="1" applyFill="1" applyBorder="1" applyAlignment="1">
      <alignment horizontal="center" vertical="center"/>
    </xf>
    <xf numFmtId="0" fontId="35" fillId="17" borderId="30" xfId="0" applyFont="1" applyFill="1" applyBorder="1" applyAlignment="1">
      <alignment horizontal="center" vertical="center"/>
    </xf>
    <xf numFmtId="0" fontId="35" fillId="17" borderId="29" xfId="0" applyFont="1" applyFill="1" applyBorder="1" applyAlignment="1">
      <alignment horizontal="center" vertical="center"/>
    </xf>
    <xf numFmtId="0" fontId="35" fillId="17" borderId="91" xfId="0" applyFont="1" applyFill="1" applyBorder="1" applyAlignment="1">
      <alignment horizontal="center" vertical="center"/>
    </xf>
    <xf numFmtId="0" fontId="28" fillId="16" borderId="54" xfId="0" applyFont="1" applyFill="1" applyBorder="1" applyAlignment="1">
      <alignment horizontal="left" vertical="center" wrapText="1"/>
    </xf>
    <xf numFmtId="0" fontId="28" fillId="16" borderId="28" xfId="0" applyFont="1" applyFill="1" applyBorder="1" applyAlignment="1">
      <alignment horizontal="center" vertical="center" wrapText="1"/>
    </xf>
    <xf numFmtId="0" fontId="42" fillId="18" borderId="0" xfId="0" applyFont="1" applyFill="1" applyBorder="1" applyAlignment="1">
      <alignment horizontal="center" vertical="center" wrapText="1"/>
    </xf>
    <xf numFmtId="0" fontId="18" fillId="18" borderId="9" xfId="0" applyFont="1" applyFill="1" applyBorder="1" applyAlignment="1">
      <alignment horizontal="left" vertical="center" wrapText="1"/>
    </xf>
    <xf numFmtId="0" fontId="18" fillId="18" borderId="2" xfId="0" applyFont="1" applyFill="1" applyBorder="1" applyAlignment="1">
      <alignment horizontal="left" vertical="center" wrapText="1"/>
    </xf>
    <xf numFmtId="0" fontId="5" fillId="18" borderId="1" xfId="0" applyFont="1" applyFill="1" applyBorder="1" applyAlignment="1">
      <alignment vertical="center" wrapText="1"/>
    </xf>
    <xf numFmtId="0" fontId="18" fillId="18" borderId="11" xfId="0" applyFont="1" applyFill="1" applyBorder="1" applyAlignment="1">
      <alignment horizontal="left" vertical="center" wrapText="1"/>
    </xf>
    <xf numFmtId="0" fontId="5" fillId="18" borderId="12" xfId="0" applyFont="1" applyFill="1" applyBorder="1" applyAlignment="1">
      <alignment vertical="center" wrapText="1"/>
    </xf>
    <xf numFmtId="0" fontId="5" fillId="18" borderId="12" xfId="0" applyFont="1" applyFill="1" applyBorder="1" applyAlignment="1">
      <alignment horizontal="center" vertical="center" wrapText="1"/>
    </xf>
    <xf numFmtId="0" fontId="18" fillId="18" borderId="4" xfId="0" applyFont="1" applyFill="1" applyBorder="1" applyAlignment="1">
      <alignment horizontal="left" vertical="center" wrapText="1"/>
    </xf>
    <xf numFmtId="0" fontId="5" fillId="18" borderId="13" xfId="0" applyFont="1" applyFill="1" applyBorder="1" applyAlignment="1">
      <alignment vertical="center" wrapText="1"/>
    </xf>
    <xf numFmtId="0" fontId="100" fillId="17" borderId="6" xfId="0" applyFont="1" applyFill="1" applyBorder="1" applyAlignment="1">
      <alignment horizontal="center" vertical="center"/>
    </xf>
    <xf numFmtId="0" fontId="35" fillId="17" borderId="14" xfId="0" applyFont="1" applyFill="1" applyBorder="1" applyAlignment="1">
      <alignment vertical="center"/>
    </xf>
    <xf numFmtId="0" fontId="35" fillId="17" borderId="14" xfId="0" applyFont="1" applyFill="1" applyBorder="1" applyAlignment="1">
      <alignment horizontal="center" vertical="center"/>
    </xf>
    <xf numFmtId="0" fontId="100" fillId="17" borderId="14" xfId="0" applyFont="1" applyFill="1" applyBorder="1" applyAlignment="1">
      <alignment horizontal="center" vertical="center"/>
    </xf>
    <xf numFmtId="0" fontId="100" fillId="17" borderId="7" xfId="0" applyFont="1" applyFill="1" applyBorder="1" applyAlignment="1">
      <alignment horizontal="center" vertical="center"/>
    </xf>
    <xf numFmtId="0" fontId="25" fillId="15" borderId="14" xfId="0" applyFont="1" applyFill="1" applyBorder="1" applyAlignment="1">
      <alignment vertical="center" wrapText="1"/>
    </xf>
    <xf numFmtId="0" fontId="18" fillId="16" borderId="2" xfId="0" applyFont="1" applyFill="1" applyBorder="1" applyAlignment="1">
      <alignment horizontal="left" vertical="center" wrapText="1"/>
    </xf>
    <xf numFmtId="0" fontId="5" fillId="16" borderId="1" xfId="0" applyFont="1" applyFill="1" applyBorder="1" applyAlignment="1">
      <alignment vertical="center" wrapText="1"/>
    </xf>
    <xf numFmtId="0" fontId="18" fillId="16" borderId="4" xfId="0" applyFont="1" applyFill="1" applyBorder="1" applyAlignment="1">
      <alignment horizontal="left" vertical="center" wrapText="1"/>
    </xf>
    <xf numFmtId="0" fontId="5" fillId="16" borderId="13" xfId="0" applyFont="1" applyFill="1" applyBorder="1" applyAlignment="1">
      <alignment vertical="center" wrapText="1"/>
    </xf>
    <xf numFmtId="0" fontId="18" fillId="18" borderId="50" xfId="0" applyFont="1" applyFill="1" applyBorder="1" applyAlignment="1">
      <alignment horizontal="left" vertical="center" wrapText="1"/>
    </xf>
    <xf numFmtId="0" fontId="1" fillId="18" borderId="19" xfId="0" applyFont="1" applyFill="1" applyBorder="1" applyAlignment="1">
      <alignment horizontal="center" vertical="center" wrapText="1"/>
    </xf>
    <xf numFmtId="0" fontId="0" fillId="18" borderId="58" xfId="0" applyFill="1" applyBorder="1" applyAlignment="1">
      <alignment horizontal="center" vertical="center" wrapText="1"/>
    </xf>
    <xf numFmtId="49" fontId="12" fillId="18" borderId="9" xfId="0" applyNumberFormat="1" applyFont="1" applyFill="1" applyBorder="1" applyAlignment="1">
      <alignment horizontal="center" vertical="center" wrapText="1"/>
    </xf>
    <xf numFmtId="49" fontId="12" fillId="18" borderId="15" xfId="0" applyNumberFormat="1" applyFont="1" applyFill="1" applyBorder="1" applyAlignment="1">
      <alignment horizontal="center" vertical="center" wrapText="1"/>
    </xf>
    <xf numFmtId="3" fontId="12" fillId="18" borderId="15" xfId="0" applyNumberFormat="1" applyFont="1" applyFill="1" applyBorder="1" applyAlignment="1">
      <alignment horizontal="center" vertical="center" wrapText="1"/>
    </xf>
    <xf numFmtId="3" fontId="12" fillId="18" borderId="8" xfId="0" applyNumberFormat="1" applyFont="1" applyFill="1" applyBorder="1" applyAlignment="1">
      <alignment horizontal="center" vertical="center" wrapText="1"/>
    </xf>
    <xf numFmtId="3" fontId="12" fillId="18" borderId="23" xfId="0" applyNumberFormat="1" applyFont="1" applyFill="1" applyBorder="1" applyAlignment="1">
      <alignment horizontal="center" vertical="center" wrapText="1"/>
    </xf>
    <xf numFmtId="0" fontId="28" fillId="18" borderId="8" xfId="0" applyFont="1" applyFill="1" applyBorder="1" applyAlignment="1">
      <alignment horizontal="left" vertical="center" wrapText="1"/>
    </xf>
    <xf numFmtId="0" fontId="0" fillId="18" borderId="27" xfId="0" applyFill="1" applyBorder="1" applyAlignment="1">
      <alignment horizontal="center" vertical="center" wrapText="1"/>
    </xf>
    <xf numFmtId="49" fontId="12" fillId="18" borderId="1" xfId="0" applyNumberFormat="1" applyFont="1" applyFill="1" applyBorder="1" applyAlignment="1">
      <alignment horizontal="center" vertical="center" wrapText="1"/>
    </xf>
    <xf numFmtId="3" fontId="12" fillId="18" borderId="1" xfId="0" applyNumberFormat="1" applyFont="1" applyFill="1" applyBorder="1" applyAlignment="1">
      <alignment horizontal="center" vertical="center" wrapText="1"/>
    </xf>
    <xf numFmtId="3" fontId="12" fillId="18" borderId="3" xfId="0" applyNumberFormat="1" applyFont="1" applyFill="1" applyBorder="1" applyAlignment="1">
      <alignment horizontal="center" vertical="center" wrapText="1"/>
    </xf>
    <xf numFmtId="0" fontId="28" fillId="18" borderId="3" xfId="0" applyFont="1" applyFill="1" applyBorder="1" applyAlignment="1">
      <alignment horizontal="left" vertical="center" wrapText="1"/>
    </xf>
    <xf numFmtId="0" fontId="18" fillId="18" borderId="60" xfId="0" applyFont="1" applyFill="1" applyBorder="1" applyAlignment="1">
      <alignment horizontal="left" vertical="center" wrapText="1"/>
    </xf>
    <xf numFmtId="0" fontId="1" fillId="18" borderId="17" xfId="0" applyFont="1" applyFill="1" applyBorder="1" applyAlignment="1">
      <alignment horizontal="center" vertical="center" wrapText="1"/>
    </xf>
    <xf numFmtId="49" fontId="12" fillId="18" borderId="2" xfId="0" applyNumberFormat="1" applyFont="1" applyFill="1" applyBorder="1" applyAlignment="1">
      <alignment horizontal="center" vertical="center" wrapText="1"/>
    </xf>
    <xf numFmtId="3" fontId="12" fillId="18" borderId="21" xfId="0" applyNumberFormat="1" applyFont="1" applyFill="1" applyBorder="1" applyAlignment="1">
      <alignment horizontal="center" vertical="center" wrapText="1"/>
    </xf>
    <xf numFmtId="3" fontId="12" fillId="18" borderId="3" xfId="0" quotePrefix="1" applyNumberFormat="1" applyFont="1" applyFill="1" applyBorder="1" applyAlignment="1">
      <alignment horizontal="center" vertical="center" wrapText="1"/>
    </xf>
    <xf numFmtId="0" fontId="18" fillId="18" borderId="81" xfId="0" applyFont="1" applyFill="1" applyBorder="1" applyAlignment="1">
      <alignment horizontal="left" vertical="center" wrapText="1"/>
    </xf>
    <xf numFmtId="0" fontId="0" fillId="18" borderId="26" xfId="0" applyFill="1" applyBorder="1" applyAlignment="1">
      <alignment horizontal="center" vertical="center" wrapText="1"/>
    </xf>
    <xf numFmtId="49" fontId="12" fillId="18" borderId="11" xfId="0" applyNumberFormat="1" applyFont="1" applyFill="1" applyBorder="1" applyAlignment="1">
      <alignment horizontal="center" vertical="center" wrapText="1"/>
    </xf>
    <xf numFmtId="49" fontId="12" fillId="18" borderId="12" xfId="0" applyNumberFormat="1" applyFont="1" applyFill="1" applyBorder="1" applyAlignment="1">
      <alignment horizontal="center" vertical="center" wrapText="1"/>
    </xf>
    <xf numFmtId="3" fontId="12" fillId="18" borderId="12" xfId="0" applyNumberFormat="1" applyFont="1" applyFill="1" applyBorder="1" applyAlignment="1">
      <alignment horizontal="center" vertical="center" wrapText="1"/>
    </xf>
    <xf numFmtId="3" fontId="12" fillId="18" borderId="24" xfId="0" applyNumberFormat="1" applyFont="1" applyFill="1" applyBorder="1" applyAlignment="1">
      <alignment horizontal="center" vertical="center" wrapText="1"/>
    </xf>
    <xf numFmtId="3" fontId="12" fillId="18" borderId="20" xfId="0" applyNumberFormat="1" applyFont="1" applyFill="1" applyBorder="1" applyAlignment="1">
      <alignment horizontal="center" vertical="center" wrapText="1"/>
    </xf>
    <xf numFmtId="0" fontId="28" fillId="18" borderId="24" xfId="0" applyFont="1" applyFill="1" applyBorder="1" applyAlignment="1">
      <alignment horizontal="left" vertical="center" wrapText="1"/>
    </xf>
    <xf numFmtId="0" fontId="28" fillId="18" borderId="3" xfId="0" applyFont="1" applyFill="1" applyBorder="1" applyAlignment="1">
      <alignment vertical="center" wrapText="1"/>
    </xf>
    <xf numFmtId="49" fontId="12" fillId="18" borderId="4" xfId="0" applyNumberFormat="1" applyFont="1" applyFill="1" applyBorder="1" applyAlignment="1">
      <alignment horizontal="center" vertical="center" wrapText="1"/>
    </xf>
    <xf numFmtId="49" fontId="12" fillId="18" borderId="13" xfId="0" applyNumberFormat="1" applyFont="1" applyFill="1" applyBorder="1" applyAlignment="1">
      <alignment horizontal="center" vertical="center" wrapText="1"/>
    </xf>
    <xf numFmtId="3" fontId="12" fillId="18" borderId="5" xfId="0" applyNumberFormat="1" applyFont="1" applyFill="1" applyBorder="1" applyAlignment="1">
      <alignment horizontal="center" vertical="center" wrapText="1"/>
    </xf>
    <xf numFmtId="0" fontId="28" fillId="18" borderId="5" xfId="0" applyFont="1" applyFill="1" applyBorder="1" applyAlignment="1">
      <alignment horizontal="left" vertical="center" wrapText="1"/>
    </xf>
    <xf numFmtId="3" fontId="12" fillId="18" borderId="24" xfId="0" quotePrefix="1" applyNumberFormat="1" applyFont="1" applyFill="1" applyBorder="1" applyAlignment="1">
      <alignment horizontal="center" vertical="center" wrapText="1"/>
    </xf>
    <xf numFmtId="3" fontId="12" fillId="18" borderId="8" xfId="0" quotePrefix="1" applyNumberFormat="1" applyFont="1" applyFill="1" applyBorder="1" applyAlignment="1">
      <alignment horizontal="center" vertical="center" wrapText="1"/>
    </xf>
    <xf numFmtId="0" fontId="1" fillId="18" borderId="16" xfId="0" applyFont="1" applyFill="1" applyBorder="1" applyAlignment="1">
      <alignment horizontal="center" vertical="center" wrapText="1"/>
    </xf>
    <xf numFmtId="0" fontId="1" fillId="18" borderId="26" xfId="0" applyFont="1" applyFill="1" applyBorder="1" applyAlignment="1">
      <alignment horizontal="center" vertical="center" wrapText="1"/>
    </xf>
    <xf numFmtId="0" fontId="17" fillId="18" borderId="17" xfId="0" applyFont="1" applyFill="1" applyBorder="1" applyAlignment="1">
      <alignment horizontal="center" vertical="center" wrapText="1"/>
    </xf>
    <xf numFmtId="0" fontId="17" fillId="18" borderId="27" xfId="0" applyFont="1" applyFill="1" applyBorder="1" applyAlignment="1">
      <alignment horizontal="center" vertical="center" wrapText="1"/>
    </xf>
    <xf numFmtId="0" fontId="18" fillId="18" borderId="83" xfId="0" applyFont="1" applyFill="1" applyBorder="1" applyAlignment="1">
      <alignment horizontal="left" vertical="center" wrapText="1"/>
    </xf>
    <xf numFmtId="0" fontId="18" fillId="18" borderId="18" xfId="0" applyFont="1" applyFill="1" applyBorder="1" applyAlignment="1">
      <alignment horizontal="center" vertical="center" wrapText="1"/>
    </xf>
    <xf numFmtId="0" fontId="17" fillId="18" borderId="28" xfId="0" applyFont="1" applyFill="1" applyBorder="1" applyAlignment="1">
      <alignment horizontal="center" vertical="center" wrapText="1"/>
    </xf>
    <xf numFmtId="3" fontId="12" fillId="18" borderId="13" xfId="0" applyNumberFormat="1" applyFont="1" applyFill="1" applyBorder="1" applyAlignment="1">
      <alignment horizontal="center" vertical="center" wrapText="1"/>
    </xf>
    <xf numFmtId="3" fontId="12" fillId="18" borderId="22" xfId="0" applyNumberFormat="1" applyFont="1" applyFill="1" applyBorder="1" applyAlignment="1">
      <alignment horizontal="center" vertical="center" wrapText="1"/>
    </xf>
    <xf numFmtId="0" fontId="18" fillId="18" borderId="0" xfId="0" applyFont="1" applyFill="1" applyAlignment="1">
      <alignment vertical="center" wrapText="1"/>
    </xf>
    <xf numFmtId="3" fontId="18" fillId="18" borderId="0" xfId="0" applyNumberFormat="1" applyFont="1" applyFill="1" applyAlignment="1">
      <alignment horizontal="center" vertical="center" wrapText="1"/>
    </xf>
    <xf numFmtId="0" fontId="50" fillId="18" borderId="0" xfId="0" applyFont="1" applyFill="1" applyAlignment="1">
      <alignment horizontal="center" vertical="center" wrapText="1"/>
    </xf>
    <xf numFmtId="0" fontId="51" fillId="18" borderId="0" xfId="0" applyFont="1" applyFill="1" applyAlignment="1">
      <alignment horizontal="justify" vertical="center" wrapText="1"/>
    </xf>
    <xf numFmtId="0" fontId="20" fillId="18" borderId="0" xfId="0" applyFont="1" applyFill="1" applyAlignment="1">
      <alignment horizontal="center" vertical="center" wrapText="1"/>
    </xf>
    <xf numFmtId="49" fontId="20" fillId="18" borderId="0" xfId="0" applyNumberFormat="1" applyFont="1" applyFill="1" applyAlignment="1">
      <alignment horizontal="center" vertical="center" wrapText="1"/>
    </xf>
    <xf numFmtId="3" fontId="20" fillId="18" borderId="0" xfId="0" applyNumberFormat="1" applyFont="1" applyFill="1" applyAlignment="1">
      <alignment horizontal="center" vertical="center" wrapText="1"/>
    </xf>
    <xf numFmtId="0" fontId="21" fillId="18" borderId="0" xfId="0" applyFont="1" applyFill="1" applyAlignment="1">
      <alignment vertical="center" wrapText="1"/>
    </xf>
    <xf numFmtId="0" fontId="1" fillId="18" borderId="0" xfId="0" applyFont="1" applyFill="1" applyAlignment="1">
      <alignment vertical="center" wrapText="1"/>
    </xf>
    <xf numFmtId="49" fontId="0" fillId="15" borderId="4" xfId="0" applyNumberFormat="1" applyFont="1" applyFill="1" applyBorder="1" applyAlignment="1">
      <alignment horizontal="center" vertical="center" wrapText="1"/>
    </xf>
    <xf numFmtId="49" fontId="0" fillId="15" borderId="13" xfId="0" applyNumberFormat="1" applyFont="1" applyFill="1" applyBorder="1" applyAlignment="1">
      <alignment horizontal="center" vertical="center" wrapText="1"/>
    </xf>
    <xf numFmtId="0" fontId="101" fillId="17" borderId="6" xfId="0" applyFont="1" applyFill="1" applyBorder="1" applyAlignment="1">
      <alignment horizontal="left" vertical="center" wrapText="1"/>
    </xf>
    <xf numFmtId="0" fontId="101" fillId="17" borderId="90" xfId="0" applyFont="1" applyFill="1" applyBorder="1" applyAlignment="1">
      <alignment horizontal="left" vertical="center" wrapText="1"/>
    </xf>
    <xf numFmtId="0" fontId="101" fillId="17" borderId="29" xfId="0" applyFont="1" applyFill="1" applyBorder="1" applyAlignment="1">
      <alignment horizontal="center" vertical="center" wrapText="1"/>
    </xf>
    <xf numFmtId="0" fontId="101" fillId="17" borderId="91" xfId="0" applyFont="1" applyFill="1" applyBorder="1" applyAlignment="1">
      <alignment horizontal="center" vertical="center" wrapText="1"/>
    </xf>
    <xf numFmtId="49" fontId="101" fillId="17" borderId="6" xfId="0" applyNumberFormat="1" applyFont="1" applyFill="1" applyBorder="1" applyAlignment="1">
      <alignment horizontal="center" vertical="center" wrapText="1"/>
    </xf>
    <xf numFmtId="49" fontId="101" fillId="17" borderId="14" xfId="0" applyNumberFormat="1" applyFont="1" applyFill="1" applyBorder="1" applyAlignment="1">
      <alignment horizontal="center" vertical="center" wrapText="1"/>
    </xf>
    <xf numFmtId="3" fontId="101" fillId="17" borderId="14" xfId="0" applyNumberFormat="1" applyFont="1" applyFill="1" applyBorder="1" applyAlignment="1">
      <alignment horizontal="center" vertical="center" wrapText="1"/>
    </xf>
    <xf numFmtId="3" fontId="101" fillId="17" borderId="7" xfId="0" applyNumberFormat="1" applyFont="1" applyFill="1" applyBorder="1" applyAlignment="1">
      <alignment horizontal="center" vertical="center" wrapText="1"/>
    </xf>
    <xf numFmtId="3" fontId="101" fillId="17" borderId="34" xfId="0" applyNumberFormat="1" applyFont="1" applyFill="1" applyBorder="1" applyAlignment="1">
      <alignment horizontal="center" vertical="center" wrapText="1"/>
    </xf>
    <xf numFmtId="0" fontId="52" fillId="16" borderId="2" xfId="0" applyFont="1" applyFill="1" applyBorder="1" applyAlignment="1">
      <alignment horizontal="left" vertical="center" wrapText="1"/>
    </xf>
    <xf numFmtId="0" fontId="52" fillId="16" borderId="60" xfId="0" applyFont="1" applyFill="1" applyBorder="1" applyAlignment="1">
      <alignment horizontal="left" vertical="center" wrapText="1"/>
    </xf>
    <xf numFmtId="0" fontId="99" fillId="16" borderId="2" xfId="0" applyFont="1" applyFill="1" applyBorder="1" applyAlignment="1">
      <alignment horizontal="left" vertical="center" wrapText="1"/>
    </xf>
    <xf numFmtId="0" fontId="18" fillId="16" borderId="60" xfId="0" applyFont="1" applyFill="1" applyBorder="1" applyAlignment="1">
      <alignment horizontal="left" vertical="center" wrapText="1"/>
    </xf>
    <xf numFmtId="3" fontId="102" fillId="16" borderId="21" xfId="0" applyNumberFormat="1" applyFont="1" applyFill="1" applyBorder="1" applyAlignment="1">
      <alignment horizontal="center" vertical="center" wrapText="1"/>
    </xf>
    <xf numFmtId="0" fontId="52" fillId="16" borderId="61" xfId="0" applyFont="1" applyFill="1" applyBorder="1" applyAlignment="1">
      <alignment horizontal="left" vertical="center" wrapText="1"/>
    </xf>
    <xf numFmtId="0" fontId="52" fillId="16" borderId="51" xfId="0" applyFont="1" applyFill="1" applyBorder="1" applyAlignment="1">
      <alignment horizontal="left" vertical="center" wrapText="1"/>
    </xf>
    <xf numFmtId="0" fontId="52" fillId="16" borderId="4" xfId="0" applyFont="1" applyFill="1" applyBorder="1" applyAlignment="1">
      <alignment horizontal="left" vertical="center" wrapText="1"/>
    </xf>
    <xf numFmtId="0" fontId="52" fillId="16" borderId="83" xfId="0" applyFont="1" applyFill="1" applyBorder="1" applyAlignment="1">
      <alignment horizontal="left" vertical="center" wrapText="1"/>
    </xf>
    <xf numFmtId="0" fontId="76" fillId="16" borderId="17" xfId="0" applyFont="1" applyFill="1" applyBorder="1" applyAlignment="1">
      <alignment horizontal="center" vertical="center" wrapText="1"/>
    </xf>
    <xf numFmtId="49" fontId="102" fillId="16" borderId="2" xfId="0" applyNumberFormat="1" applyFont="1" applyFill="1" applyBorder="1" applyAlignment="1">
      <alignment horizontal="center" vertical="center" wrapText="1"/>
    </xf>
    <xf numFmtId="3" fontId="102" fillId="16" borderId="1" xfId="0" applyNumberFormat="1" applyFont="1" applyFill="1" applyBorder="1" applyAlignment="1">
      <alignment horizontal="center" vertical="center" wrapText="1"/>
    </xf>
    <xf numFmtId="49" fontId="102" fillId="16" borderId="1" xfId="0" applyNumberFormat="1" applyFont="1" applyFill="1" applyBorder="1" applyAlignment="1">
      <alignment horizontal="center" vertical="center" wrapText="1"/>
    </xf>
    <xf numFmtId="3" fontId="102" fillId="16" borderId="41" xfId="0" applyNumberFormat="1" applyFont="1" applyFill="1" applyBorder="1" applyAlignment="1">
      <alignment horizontal="center" vertical="center" wrapText="1"/>
    </xf>
    <xf numFmtId="3" fontId="102" fillId="16" borderId="47" xfId="0" applyNumberFormat="1" applyFont="1" applyFill="1" applyBorder="1" applyAlignment="1">
      <alignment horizontal="center" vertical="center" wrapText="1"/>
    </xf>
    <xf numFmtId="3" fontId="102" fillId="16" borderId="37" xfId="0" applyNumberFormat="1" applyFont="1" applyFill="1" applyBorder="1" applyAlignment="1">
      <alignment horizontal="center" vertical="center" wrapText="1"/>
    </xf>
    <xf numFmtId="3" fontId="102" fillId="16" borderId="22" xfId="0" applyNumberFormat="1" applyFont="1" applyFill="1" applyBorder="1" applyAlignment="1">
      <alignment horizontal="center" vertical="center" wrapText="1"/>
    </xf>
    <xf numFmtId="3" fontId="102" fillId="16" borderId="5" xfId="0" applyNumberFormat="1" applyFont="1" applyFill="1" applyBorder="1" applyAlignment="1">
      <alignment horizontal="center" vertical="center" wrapText="1"/>
    </xf>
    <xf numFmtId="0" fontId="17" fillId="18" borderId="0" xfId="0" applyFont="1" applyFill="1" applyAlignment="1">
      <alignment horizontal="left" vertical="center" wrapText="1" indent="1"/>
    </xf>
    <xf numFmtId="0" fontId="0" fillId="18" borderId="9" xfId="0" applyFill="1" applyBorder="1" applyAlignment="1">
      <alignment horizontal="center"/>
    </xf>
    <xf numFmtId="9" fontId="26" fillId="18" borderId="50" xfId="0" applyNumberFormat="1" applyFont="1" applyFill="1" applyBorder="1" applyAlignment="1">
      <alignment horizontal="center"/>
    </xf>
    <xf numFmtId="0" fontId="0" fillId="18" borderId="15" xfId="0" applyFill="1" applyBorder="1" applyAlignment="1">
      <alignment horizontal="center"/>
    </xf>
    <xf numFmtId="0" fontId="0" fillId="18" borderId="8" xfId="0" applyFill="1" applyBorder="1" applyAlignment="1">
      <alignment horizontal="center"/>
    </xf>
    <xf numFmtId="0" fontId="0" fillId="18" borderId="57" xfId="0" applyFill="1" applyBorder="1" applyAlignment="1">
      <alignment horizontal="center"/>
    </xf>
    <xf numFmtId="0" fontId="0" fillId="18" borderId="2" xfId="0" applyFill="1" applyBorder="1" applyAlignment="1">
      <alignment horizontal="center"/>
    </xf>
    <xf numFmtId="9" fontId="26" fillId="18" borderId="60" xfId="0" applyNumberFormat="1" applyFont="1" applyFill="1" applyBorder="1" applyAlignment="1">
      <alignment horizontal="center"/>
    </xf>
    <xf numFmtId="0" fontId="0" fillId="18" borderId="1" xfId="0" applyFill="1" applyBorder="1" applyAlignment="1">
      <alignment horizontal="center"/>
    </xf>
    <xf numFmtId="0" fontId="0" fillId="18" borderId="3" xfId="0" applyFill="1" applyBorder="1" applyAlignment="1">
      <alignment horizontal="center"/>
    </xf>
    <xf numFmtId="0" fontId="1" fillId="18" borderId="1" xfId="0" applyFont="1" applyFill="1" applyBorder="1" applyAlignment="1">
      <alignment horizontal="center"/>
    </xf>
    <xf numFmtId="9" fontId="0" fillId="18" borderId="32" xfId="0" applyNumberFormat="1" applyFill="1" applyBorder="1" applyAlignment="1">
      <alignment horizontal="center"/>
    </xf>
    <xf numFmtId="0" fontId="0" fillId="18" borderId="4" xfId="0" applyFill="1" applyBorder="1" applyAlignment="1">
      <alignment horizontal="center"/>
    </xf>
    <xf numFmtId="9" fontId="26" fillId="18" borderId="83" xfId="0" applyNumberFormat="1" applyFont="1" applyFill="1" applyBorder="1" applyAlignment="1">
      <alignment horizontal="center"/>
    </xf>
    <xf numFmtId="0" fontId="0" fillId="18" borderId="13" xfId="0" applyFill="1" applyBorder="1" applyAlignment="1">
      <alignment horizontal="center"/>
    </xf>
    <xf numFmtId="0" fontId="0" fillId="18" borderId="5" xfId="0" applyFill="1" applyBorder="1" applyAlignment="1">
      <alignment horizontal="center"/>
    </xf>
    <xf numFmtId="9" fontId="0" fillId="18" borderId="33" xfId="0" applyNumberFormat="1" applyFill="1" applyBorder="1" applyAlignment="1">
      <alignment horizontal="center"/>
    </xf>
    <xf numFmtId="0" fontId="0" fillId="18" borderId="0" xfId="0" applyFill="1" applyAlignment="1">
      <alignment horizontal="left" wrapText="1"/>
    </xf>
    <xf numFmtId="0" fontId="0" fillId="18" borderId="0" xfId="0" applyFill="1" applyBorder="1" applyAlignment="1">
      <alignment horizontal="center"/>
    </xf>
    <xf numFmtId="9" fontId="26" fillId="18" borderId="15" xfId="0" applyNumberFormat="1" applyFont="1" applyFill="1" applyBorder="1" applyAlignment="1">
      <alignment horizontal="center"/>
    </xf>
    <xf numFmtId="9" fontId="0" fillId="18" borderId="15" xfId="0" applyNumberFormat="1" applyFill="1" applyBorder="1" applyAlignment="1">
      <alignment horizontal="center"/>
    </xf>
    <xf numFmtId="9" fontId="26" fillId="18" borderId="1" xfId="0" applyNumberFormat="1" applyFont="1" applyFill="1" applyBorder="1" applyAlignment="1">
      <alignment horizontal="center"/>
    </xf>
    <xf numFmtId="9" fontId="0" fillId="18" borderId="0" xfId="0" quotePrefix="1" applyNumberFormat="1" applyFill="1" applyBorder="1" applyAlignment="1">
      <alignment horizontal="center"/>
    </xf>
    <xf numFmtId="9" fontId="26" fillId="18" borderId="13" xfId="0" applyNumberFormat="1" applyFont="1" applyFill="1" applyBorder="1" applyAlignment="1">
      <alignment horizontal="center"/>
    </xf>
    <xf numFmtId="9" fontId="0" fillId="18" borderId="13" xfId="0" quotePrefix="1" applyNumberFormat="1" applyFill="1" applyBorder="1" applyAlignment="1">
      <alignment horizontal="center"/>
    </xf>
    <xf numFmtId="0" fontId="18" fillId="15" borderId="4" xfId="0" applyFont="1" applyFill="1" applyBorder="1" applyAlignment="1">
      <alignment horizontal="center" vertical="center" wrapText="1"/>
    </xf>
    <xf numFmtId="0" fontId="18" fillId="15" borderId="13" xfId="0" applyFont="1" applyFill="1" applyBorder="1" applyAlignment="1">
      <alignment horizontal="center" vertical="center" wrapText="1"/>
    </xf>
    <xf numFmtId="0" fontId="18" fillId="15" borderId="5" xfId="0" applyFont="1" applyFill="1" applyBorder="1" applyAlignment="1">
      <alignment horizontal="center" vertical="center" wrapText="1"/>
    </xf>
    <xf numFmtId="0" fontId="50" fillId="15" borderId="14" xfId="0" applyFont="1" applyFill="1" applyBorder="1" applyAlignment="1">
      <alignment horizontal="center"/>
    </xf>
    <xf numFmtId="0" fontId="28" fillId="18" borderId="44" xfId="0" applyFont="1" applyFill="1" applyBorder="1" applyAlignment="1">
      <alignment horizontal="center" vertical="center" wrapText="1"/>
    </xf>
    <xf numFmtId="0" fontId="28" fillId="18" borderId="42" xfId="0" applyFont="1" applyFill="1" applyBorder="1" applyAlignment="1">
      <alignment horizontal="center" vertical="center"/>
    </xf>
    <xf numFmtId="0" fontId="28" fillId="18" borderId="43" xfId="0" applyFont="1" applyFill="1" applyBorder="1" applyAlignment="1">
      <alignment horizontal="center" vertical="center"/>
    </xf>
    <xf numFmtId="0" fontId="5" fillId="18" borderId="50" xfId="0" applyFont="1" applyFill="1" applyBorder="1" applyAlignment="1">
      <alignment horizontal="center" vertical="center" wrapText="1"/>
    </xf>
    <xf numFmtId="0" fontId="63" fillId="18" borderId="1" xfId="0" applyFont="1" applyFill="1" applyBorder="1" applyAlignment="1">
      <alignment horizontal="center" vertical="center" wrapText="1"/>
    </xf>
    <xf numFmtId="0" fontId="62" fillId="18" borderId="1" xfId="0" applyFont="1" applyFill="1" applyBorder="1" applyAlignment="1">
      <alignment horizontal="center" vertical="center" wrapText="1"/>
    </xf>
    <xf numFmtId="0" fontId="5" fillId="18" borderId="60" xfId="0" applyFont="1" applyFill="1" applyBorder="1" applyAlignment="1">
      <alignment horizontal="center" vertical="center" wrapText="1"/>
    </xf>
    <xf numFmtId="0" fontId="62" fillId="18" borderId="21" xfId="0" applyFont="1" applyFill="1" applyBorder="1" applyAlignment="1">
      <alignment horizontal="center" vertical="center" wrapText="1"/>
    </xf>
    <xf numFmtId="0" fontId="62" fillId="18" borderId="60" xfId="0" applyFont="1" applyFill="1" applyBorder="1" applyAlignment="1">
      <alignment horizontal="center" vertical="center" wrapText="1"/>
    </xf>
    <xf numFmtId="0" fontId="62" fillId="18" borderId="13" xfId="0" applyFont="1" applyFill="1" applyBorder="1" applyAlignment="1">
      <alignment horizontal="center" vertical="center" wrapText="1"/>
    </xf>
    <xf numFmtId="0" fontId="62" fillId="18" borderId="15" xfId="0" applyFont="1" applyFill="1" applyBorder="1" applyAlignment="1">
      <alignment horizontal="center" vertical="center" wrapText="1"/>
    </xf>
    <xf numFmtId="0" fontId="5" fillId="18" borderId="83" xfId="0" applyFont="1" applyFill="1" applyBorder="1" applyAlignment="1">
      <alignment horizontal="center" vertical="center" wrapText="1"/>
    </xf>
    <xf numFmtId="0" fontId="40" fillId="17" borderId="25" xfId="0" applyFont="1" applyFill="1" applyBorder="1" applyAlignment="1">
      <alignment horizontal="center" vertical="center" wrapText="1"/>
    </xf>
    <xf numFmtId="1" fontId="5" fillId="18" borderId="16" xfId="0" applyNumberFormat="1" applyFont="1" applyFill="1" applyBorder="1" applyAlignment="1">
      <alignment horizontal="center" vertical="center" wrapText="1"/>
    </xf>
    <xf numFmtId="1" fontId="5" fillId="18" borderId="19" xfId="0" applyNumberFormat="1" applyFont="1" applyFill="1" applyBorder="1" applyAlignment="1">
      <alignment horizontal="center" vertical="center" wrapText="1"/>
    </xf>
    <xf numFmtId="1" fontId="5" fillId="18" borderId="59" xfId="0" applyNumberFormat="1" applyFont="1" applyFill="1" applyBorder="1" applyAlignment="1">
      <alignment horizontal="center" vertical="center" wrapText="1"/>
    </xf>
    <xf numFmtId="0" fontId="78" fillId="18" borderId="21" xfId="0" applyFont="1" applyFill="1" applyBorder="1" applyAlignment="1">
      <alignment horizontal="center" vertical="center" wrapText="1"/>
    </xf>
    <xf numFmtId="0" fontId="78" fillId="18" borderId="1" xfId="0" applyFont="1" applyFill="1" applyBorder="1" applyAlignment="1">
      <alignment horizontal="center" vertical="center" wrapText="1"/>
    </xf>
    <xf numFmtId="0" fontId="91" fillId="18" borderId="1" xfId="0" applyFont="1" applyFill="1" applyBorder="1" applyAlignment="1">
      <alignment horizontal="center" vertical="center" wrapText="1"/>
    </xf>
    <xf numFmtId="0" fontId="78" fillId="18" borderId="60" xfId="0" applyFont="1" applyFill="1" applyBorder="1" applyAlignment="1">
      <alignment horizontal="center" vertical="center" wrapText="1"/>
    </xf>
    <xf numFmtId="0" fontId="91" fillId="18" borderId="60" xfId="0" applyFont="1" applyFill="1" applyBorder="1" applyAlignment="1">
      <alignment horizontal="center" vertical="center" wrapText="1"/>
    </xf>
    <xf numFmtId="0" fontId="91" fillId="18" borderId="21" xfId="0" applyFont="1" applyFill="1" applyBorder="1" applyAlignment="1">
      <alignment horizontal="center" vertical="center" wrapText="1"/>
    </xf>
    <xf numFmtId="0" fontId="91" fillId="18" borderId="22" xfId="0" applyFont="1" applyFill="1" applyBorder="1" applyAlignment="1">
      <alignment horizontal="center" vertical="center" wrapText="1"/>
    </xf>
    <xf numFmtId="0" fontId="91" fillId="18" borderId="13" xfId="0" applyFont="1" applyFill="1" applyBorder="1" applyAlignment="1">
      <alignment horizontal="center" vertical="center" wrapText="1"/>
    </xf>
    <xf numFmtId="0" fontId="91" fillId="18" borderId="83" xfId="0" applyFont="1" applyFill="1" applyBorder="1" applyAlignment="1">
      <alignment horizontal="center" vertical="center" wrapText="1"/>
    </xf>
    <xf numFmtId="0" fontId="78" fillId="18" borderId="15" xfId="0" applyFont="1" applyFill="1" applyBorder="1" applyAlignment="1">
      <alignment horizontal="center" vertical="center" wrapText="1"/>
    </xf>
    <xf numFmtId="0" fontId="78" fillId="16" borderId="21" xfId="0" applyFont="1" applyFill="1" applyBorder="1" applyAlignment="1">
      <alignment horizontal="center" vertical="center" wrapText="1"/>
    </xf>
    <xf numFmtId="0" fontId="78" fillId="16" borderId="1" xfId="0" applyFont="1" applyFill="1" applyBorder="1" applyAlignment="1">
      <alignment horizontal="center" vertical="center" wrapText="1"/>
    </xf>
    <xf numFmtId="0" fontId="62" fillId="16" borderId="1" xfId="0" applyFont="1" applyFill="1" applyBorder="1" applyAlignment="1">
      <alignment horizontal="center" vertical="center" wrapText="1"/>
    </xf>
    <xf numFmtId="0" fontId="5" fillId="16" borderId="60" xfId="0" applyFont="1" applyFill="1" applyBorder="1" applyAlignment="1">
      <alignment horizontal="center" vertical="center" wrapText="1"/>
    </xf>
    <xf numFmtId="1" fontId="5" fillId="16" borderId="19" xfId="0" applyNumberFormat="1" applyFont="1" applyFill="1" applyBorder="1" applyAlignment="1">
      <alignment horizontal="center" vertical="center" wrapText="1"/>
    </xf>
    <xf numFmtId="0" fontId="78" fillId="16" borderId="60" xfId="0" applyFont="1" applyFill="1" applyBorder="1" applyAlignment="1">
      <alignment horizontal="center" vertical="center" wrapText="1"/>
    </xf>
    <xf numFmtId="0" fontId="62" fillId="16" borderId="21" xfId="0" applyFont="1" applyFill="1" applyBorder="1" applyAlignment="1">
      <alignment horizontal="center" vertical="center" wrapText="1"/>
    </xf>
    <xf numFmtId="0" fontId="62" fillId="16" borderId="60" xfId="0" applyFont="1" applyFill="1" applyBorder="1" applyAlignment="1">
      <alignment horizontal="center" vertical="center" wrapText="1"/>
    </xf>
    <xf numFmtId="0" fontId="91" fillId="16" borderId="1" xfId="0" applyFont="1" applyFill="1" applyBorder="1" applyAlignment="1">
      <alignment horizontal="center" vertical="center" wrapText="1"/>
    </xf>
    <xf numFmtId="0" fontId="91" fillId="16" borderId="60" xfId="0" applyFont="1" applyFill="1" applyBorder="1" applyAlignment="1">
      <alignment horizontal="center" vertical="center" wrapText="1"/>
    </xf>
    <xf numFmtId="0" fontId="91" fillId="16" borderId="21" xfId="0" applyFont="1" applyFill="1" applyBorder="1" applyAlignment="1">
      <alignment horizontal="center" vertical="center" wrapText="1"/>
    </xf>
    <xf numFmtId="0" fontId="5" fillId="18" borderId="58" xfId="0" applyFont="1" applyFill="1" applyBorder="1" applyAlignment="1">
      <alignment horizontal="center" vertical="center" wrapText="1"/>
    </xf>
    <xf numFmtId="0" fontId="5" fillId="18" borderId="46" xfId="0" applyFont="1" applyFill="1" applyBorder="1" applyAlignment="1">
      <alignment horizontal="center" vertical="center" wrapText="1"/>
    </xf>
    <xf numFmtId="0" fontId="28" fillId="18" borderId="36" xfId="0" applyFont="1" applyFill="1" applyBorder="1" applyAlignment="1">
      <alignment horizontal="center" vertical="center" wrapText="1"/>
    </xf>
    <xf numFmtId="0" fontId="28" fillId="18" borderId="56" xfId="0" applyFont="1" applyFill="1" applyBorder="1" applyAlignment="1">
      <alignment horizontal="center" vertical="center" wrapText="1"/>
    </xf>
    <xf numFmtId="0" fontId="28" fillId="18" borderId="0" xfId="0" applyFont="1" applyFill="1" applyBorder="1" applyAlignment="1">
      <alignment horizontal="left" vertical="center" wrapText="1"/>
    </xf>
    <xf numFmtId="0" fontId="5" fillId="18" borderId="31" xfId="0" applyFont="1" applyFill="1" applyBorder="1" applyAlignment="1">
      <alignment horizontal="center" vertical="center" wrapText="1"/>
    </xf>
    <xf numFmtId="0" fontId="28" fillId="18" borderId="0" xfId="0" applyFont="1" applyFill="1" applyAlignment="1">
      <alignment vertical="center" wrapText="1"/>
    </xf>
    <xf numFmtId="0" fontId="28" fillId="18" borderId="0" xfId="0" applyFont="1" applyFill="1" applyAlignment="1">
      <alignment vertical="center"/>
    </xf>
    <xf numFmtId="0" fontId="28" fillId="18" borderId="23" xfId="0" applyFont="1" applyFill="1" applyBorder="1" applyAlignment="1">
      <alignment horizontal="left" vertical="center" wrapText="1"/>
    </xf>
    <xf numFmtId="0" fontId="28" fillId="18" borderId="21" xfId="0" applyFont="1" applyFill="1" applyBorder="1" applyAlignment="1">
      <alignment horizontal="left" vertical="center" wrapText="1"/>
    </xf>
    <xf numFmtId="0" fontId="28" fillId="18" borderId="1" xfId="0" applyFont="1" applyFill="1" applyBorder="1" applyAlignment="1">
      <alignment horizontal="left" vertical="center" wrapText="1"/>
    </xf>
    <xf numFmtId="0" fontId="5" fillId="15" borderId="13" xfId="0" applyFont="1" applyFill="1" applyBorder="1" applyAlignment="1">
      <alignment horizontal="center" vertical="center" wrapText="1"/>
    </xf>
    <xf numFmtId="0" fontId="5" fillId="15" borderId="5" xfId="0" applyFont="1" applyFill="1" applyBorder="1" applyAlignment="1">
      <alignment horizontal="center" vertical="center" wrapText="1"/>
    </xf>
    <xf numFmtId="0" fontId="28" fillId="16" borderId="21" xfId="0" applyFont="1" applyFill="1" applyBorder="1" applyAlignment="1">
      <alignment horizontal="left" vertical="center" wrapText="1"/>
    </xf>
    <xf numFmtId="0" fontId="28" fillId="16" borderId="1" xfId="0" applyFont="1" applyFill="1" applyBorder="1" applyAlignment="1">
      <alignment horizontal="left" vertical="center" wrapText="1"/>
    </xf>
    <xf numFmtId="49" fontId="26" fillId="18" borderId="0" xfId="0" applyNumberFormat="1" applyFont="1" applyFill="1" applyAlignment="1">
      <alignment horizontal="left" vertical="center" wrapText="1"/>
    </xf>
    <xf numFmtId="3" fontId="5" fillId="18" borderId="0" xfId="0" applyNumberFormat="1" applyFont="1" applyFill="1" applyAlignment="1">
      <alignment horizontal="right" vertical="center"/>
    </xf>
    <xf numFmtId="3" fontId="5" fillId="18" borderId="0" xfId="0" applyNumberFormat="1" applyFont="1" applyFill="1" applyBorder="1" applyAlignment="1">
      <alignment horizontal="right" vertical="center" wrapText="1"/>
    </xf>
    <xf numFmtId="3" fontId="38" fillId="18" borderId="0" xfId="0" applyNumberFormat="1" applyFont="1" applyFill="1" applyBorder="1" applyAlignment="1">
      <alignment horizontal="right" vertical="center" wrapText="1"/>
    </xf>
    <xf numFmtId="49" fontId="26" fillId="19" borderId="50" xfId="0" applyNumberFormat="1" applyFont="1" applyFill="1" applyBorder="1" applyAlignment="1">
      <alignment horizontal="center" vertical="center" wrapText="1"/>
    </xf>
    <xf numFmtId="49" fontId="33" fillId="19" borderId="2" xfId="0" applyNumberFormat="1" applyFont="1" applyFill="1" applyBorder="1" applyAlignment="1">
      <alignment horizontal="center" vertical="center" wrapText="1"/>
    </xf>
    <xf numFmtId="49" fontId="26" fillId="33" borderId="9" xfId="0" applyNumberFormat="1" applyFont="1" applyFill="1" applyBorder="1" applyAlignment="1">
      <alignment horizontal="center" vertical="center" wrapText="1"/>
    </xf>
    <xf numFmtId="49" fontId="26" fillId="33" borderId="2" xfId="0" applyNumberFormat="1" applyFont="1" applyFill="1" applyBorder="1" applyAlignment="1">
      <alignment horizontal="center" vertical="center" wrapText="1"/>
    </xf>
    <xf numFmtId="49" fontId="26" fillId="20" borderId="23" xfId="0" applyNumberFormat="1" applyFont="1" applyFill="1" applyBorder="1" applyAlignment="1">
      <alignment horizontal="center" vertical="center" wrapText="1"/>
    </xf>
    <xf numFmtId="49" fontId="26" fillId="20" borderId="21" xfId="0" applyNumberFormat="1" applyFont="1" applyFill="1" applyBorder="1" applyAlignment="1">
      <alignment horizontal="center" vertical="center" wrapText="1"/>
    </xf>
    <xf numFmtId="49" fontId="33" fillId="20" borderId="22" xfId="0" applyNumberFormat="1" applyFont="1" applyFill="1" applyBorder="1" applyAlignment="1">
      <alignment horizontal="center" vertical="center" wrapText="1"/>
    </xf>
    <xf numFmtId="49" fontId="26" fillId="31" borderId="9" xfId="0" applyNumberFormat="1" applyFont="1" applyFill="1" applyBorder="1" applyAlignment="1">
      <alignment horizontal="center" vertical="center" wrapText="1"/>
    </xf>
    <xf numFmtId="49" fontId="26" fillId="31" borderId="2" xfId="0" applyNumberFormat="1" applyFont="1" applyFill="1" applyBorder="1" applyAlignment="1">
      <alignment horizontal="center" vertical="center" wrapText="1"/>
    </xf>
    <xf numFmtId="49" fontId="26" fillId="29" borderId="2" xfId="0" applyNumberFormat="1" applyFont="1" applyFill="1" applyBorder="1" applyAlignment="1">
      <alignment horizontal="center" vertical="center" wrapText="1"/>
    </xf>
    <xf numFmtId="49" fontId="26" fillId="28" borderId="2" xfId="0" applyNumberFormat="1" applyFont="1" applyFill="1" applyBorder="1" applyAlignment="1">
      <alignment horizontal="center" vertical="center" wrapText="1"/>
    </xf>
    <xf numFmtId="49" fontId="26" fillId="34" borderId="21" xfId="0" applyNumberFormat="1" applyFont="1" applyFill="1" applyBorder="1" applyAlignment="1">
      <alignment horizontal="center" vertical="center" wrapText="1"/>
    </xf>
    <xf numFmtId="49" fontId="26" fillId="32" borderId="2" xfId="0" applyNumberFormat="1" applyFont="1" applyFill="1" applyBorder="1" applyAlignment="1">
      <alignment horizontal="center" vertical="center" wrapText="1"/>
    </xf>
    <xf numFmtId="49" fontId="26" fillId="32" borderId="4" xfId="0" applyNumberFormat="1" applyFont="1" applyFill="1" applyBorder="1" applyAlignment="1">
      <alignment horizontal="center" vertical="center" wrapText="1"/>
    </xf>
    <xf numFmtId="49" fontId="33" fillId="29" borderId="2" xfId="0" applyNumberFormat="1" applyFont="1" applyFill="1" applyBorder="1" applyAlignment="1">
      <alignment horizontal="center" vertical="center" wrapText="1"/>
    </xf>
    <xf numFmtId="49" fontId="33" fillId="19" borderId="4" xfId="0" applyNumberFormat="1" applyFont="1" applyFill="1" applyBorder="1" applyAlignment="1">
      <alignment horizontal="center" vertical="center" wrapText="1"/>
    </xf>
    <xf numFmtId="49" fontId="33" fillId="33" borderId="4" xfId="0" applyNumberFormat="1" applyFont="1" applyFill="1" applyBorder="1" applyAlignment="1">
      <alignment horizontal="center" vertical="center" wrapText="1"/>
    </xf>
    <xf numFmtId="49" fontId="33" fillId="28" borderId="2" xfId="0" applyNumberFormat="1" applyFont="1" applyFill="1" applyBorder="1" applyAlignment="1">
      <alignment horizontal="center" vertical="center" wrapText="1"/>
    </xf>
    <xf numFmtId="49" fontId="33" fillId="33" borderId="2" xfId="0" applyNumberFormat="1" applyFont="1" applyFill="1" applyBorder="1" applyAlignment="1">
      <alignment horizontal="center" vertical="center" wrapText="1"/>
    </xf>
    <xf numFmtId="49" fontId="33" fillId="20" borderId="21" xfId="0" applyNumberFormat="1" applyFont="1" applyFill="1" applyBorder="1" applyAlignment="1">
      <alignment horizontal="center" vertical="center" wrapText="1"/>
    </xf>
    <xf numFmtId="49" fontId="33" fillId="34" borderId="21" xfId="0" applyNumberFormat="1" applyFont="1" applyFill="1" applyBorder="1" applyAlignment="1">
      <alignment horizontal="center" vertical="center" wrapText="1"/>
    </xf>
    <xf numFmtId="49" fontId="33" fillId="32" borderId="2" xfId="0" applyNumberFormat="1" applyFont="1" applyFill="1" applyBorder="1" applyAlignment="1">
      <alignment horizontal="center" vertical="center" wrapText="1"/>
    </xf>
    <xf numFmtId="0" fontId="25" fillId="18" borderId="42" xfId="0" applyFont="1" applyFill="1" applyBorder="1" applyAlignment="1">
      <alignment vertical="center"/>
    </xf>
    <xf numFmtId="0" fontId="5" fillId="18" borderId="32" xfId="0" applyNumberFormat="1" applyFont="1" applyFill="1" applyBorder="1" applyAlignment="1">
      <alignment horizontal="left" vertical="center" wrapText="1"/>
    </xf>
    <xf numFmtId="0" fontId="25" fillId="18" borderId="44" xfId="0" applyFont="1" applyFill="1" applyBorder="1" applyAlignment="1">
      <alignment vertical="center"/>
    </xf>
    <xf numFmtId="0" fontId="5" fillId="18" borderId="31" xfId="0" applyNumberFormat="1" applyFont="1" applyFill="1" applyBorder="1" applyAlignment="1">
      <alignment horizontal="left" vertical="center" wrapText="1"/>
    </xf>
    <xf numFmtId="0" fontId="30" fillId="18" borderId="44" xfId="0" applyFont="1" applyFill="1" applyBorder="1" applyAlignment="1">
      <alignment vertical="center"/>
    </xf>
    <xf numFmtId="0" fontId="30" fillId="18" borderId="42" xfId="0" applyFont="1" applyFill="1" applyBorder="1" applyAlignment="1">
      <alignment vertical="center"/>
    </xf>
    <xf numFmtId="0" fontId="40" fillId="17" borderId="25" xfId="0" applyFont="1" applyFill="1" applyBorder="1" applyAlignment="1">
      <alignment vertical="center"/>
    </xf>
    <xf numFmtId="0" fontId="35" fillId="17" borderId="30" xfId="0" applyNumberFormat="1" applyFont="1" applyFill="1" applyBorder="1" applyAlignment="1">
      <alignment horizontal="left" vertical="center" wrapText="1"/>
    </xf>
    <xf numFmtId="0" fontId="25" fillId="15" borderId="30" xfId="0" applyFont="1" applyFill="1" applyBorder="1" applyAlignment="1">
      <alignment horizontal="center" vertical="center"/>
    </xf>
    <xf numFmtId="0" fontId="25" fillId="15" borderId="30" xfId="0" applyNumberFormat="1" applyFont="1" applyFill="1" applyBorder="1" applyAlignment="1">
      <alignment horizontal="center" vertical="center" wrapText="1"/>
    </xf>
    <xf numFmtId="0" fontId="59" fillId="18" borderId="19" xfId="0" applyFont="1" applyFill="1" applyBorder="1" applyAlignment="1">
      <alignment horizontal="center" vertical="center" wrapText="1"/>
    </xf>
    <xf numFmtId="9" fontId="59" fillId="18" borderId="9" xfId="0" applyNumberFormat="1" applyFont="1" applyFill="1" applyBorder="1" applyAlignment="1">
      <alignment horizontal="center" vertical="center" wrapText="1"/>
    </xf>
    <xf numFmtId="9" fontId="59" fillId="18" borderId="15" xfId="0" applyNumberFormat="1" applyFont="1" applyFill="1" applyBorder="1" applyAlignment="1">
      <alignment horizontal="center" vertical="center" wrapText="1"/>
    </xf>
    <xf numFmtId="9" fontId="60" fillId="18" borderId="15" xfId="0" applyNumberFormat="1" applyFont="1" applyFill="1" applyBorder="1" applyAlignment="1">
      <alignment horizontal="center" vertical="center" wrapText="1"/>
    </xf>
    <xf numFmtId="9" fontId="59" fillId="18" borderId="24" xfId="0" applyNumberFormat="1" applyFont="1" applyFill="1" applyBorder="1" applyAlignment="1">
      <alignment horizontal="center" vertical="center" wrapText="1"/>
    </xf>
    <xf numFmtId="0" fontId="59" fillId="18" borderId="17" xfId="0" applyFont="1" applyFill="1" applyBorder="1" applyAlignment="1">
      <alignment horizontal="center" vertical="center" wrapText="1"/>
    </xf>
    <xf numFmtId="9" fontId="59" fillId="18" borderId="1" xfId="0" applyNumberFormat="1" applyFont="1" applyFill="1" applyBorder="1" applyAlignment="1">
      <alignment horizontal="center" vertical="center" wrapText="1"/>
    </xf>
    <xf numFmtId="9" fontId="60" fillId="18" borderId="1" xfId="0" applyNumberFormat="1" applyFont="1" applyFill="1" applyBorder="1" applyAlignment="1">
      <alignment horizontal="center" vertical="center" wrapText="1"/>
    </xf>
    <xf numFmtId="9" fontId="59" fillId="18" borderId="3" xfId="0" applyNumberFormat="1" applyFont="1" applyFill="1" applyBorder="1" applyAlignment="1">
      <alignment horizontal="center" vertical="center" wrapText="1"/>
    </xf>
    <xf numFmtId="9" fontId="59" fillId="18" borderId="2" xfId="0" applyNumberFormat="1" applyFont="1" applyFill="1" applyBorder="1" applyAlignment="1">
      <alignment horizontal="center" vertical="center" wrapText="1"/>
    </xf>
    <xf numFmtId="0" fontId="59" fillId="18" borderId="1" xfId="0" applyFont="1" applyFill="1" applyBorder="1" applyAlignment="1">
      <alignment horizontal="center" vertical="center" wrapText="1"/>
    </xf>
    <xf numFmtId="9" fontId="60" fillId="18" borderId="3" xfId="0" applyNumberFormat="1" applyFont="1" applyFill="1" applyBorder="1" applyAlignment="1">
      <alignment horizontal="center" vertical="center" wrapText="1"/>
    </xf>
    <xf numFmtId="9" fontId="28" fillId="18" borderId="1" xfId="0" applyNumberFormat="1" applyFont="1" applyFill="1" applyBorder="1" applyAlignment="1">
      <alignment horizontal="center" vertical="center" wrapText="1"/>
    </xf>
    <xf numFmtId="0" fontId="35" fillId="17" borderId="29" xfId="0" applyFont="1" applyFill="1" applyBorder="1" applyAlignment="1">
      <alignment horizontal="left" vertical="center"/>
    </xf>
    <xf numFmtId="0" fontId="27" fillId="24" borderId="0" xfId="1" applyFont="1" applyFill="1" applyAlignment="1" applyProtection="1">
      <alignment horizontal="center" vertical="center"/>
    </xf>
    <xf numFmtId="0" fontId="5" fillId="18" borderId="0" xfId="0" applyFont="1" applyFill="1" applyAlignment="1">
      <alignment horizontal="left" vertical="center" wrapText="1"/>
    </xf>
    <xf numFmtId="0" fontId="25" fillId="18" borderId="0" xfId="0" applyFont="1" applyFill="1" applyAlignment="1">
      <alignment horizontal="left" vertical="center" wrapText="1"/>
    </xf>
    <xf numFmtId="0" fontId="25" fillId="15" borderId="34" xfId="0" applyFont="1" applyFill="1" applyBorder="1" applyAlignment="1">
      <alignment horizontal="center" vertical="center" wrapText="1"/>
    </xf>
    <xf numFmtId="0" fontId="25" fillId="15" borderId="14" xfId="0" applyFont="1" applyFill="1" applyBorder="1" applyAlignment="1">
      <alignment horizontal="center" vertical="center" wrapText="1"/>
    </xf>
    <xf numFmtId="0" fontId="5" fillId="18" borderId="0" xfId="0" applyFont="1" applyFill="1" applyAlignment="1">
      <alignment horizontal="center" vertical="center" wrapText="1"/>
    </xf>
    <xf numFmtId="0" fontId="5" fillId="16" borderId="13" xfId="0" applyFont="1" applyFill="1" applyBorder="1" applyAlignment="1">
      <alignment horizontal="center" vertical="center"/>
    </xf>
    <xf numFmtId="0" fontId="5" fillId="16" borderId="22" xfId="0" applyFont="1" applyFill="1" applyBorder="1" applyAlignment="1">
      <alignment horizontal="center" vertical="center"/>
    </xf>
    <xf numFmtId="0" fontId="25" fillId="15" borderId="7" xfId="0" applyFont="1" applyFill="1" applyBorder="1" applyAlignment="1">
      <alignment horizontal="center" vertical="center" wrapText="1"/>
    </xf>
    <xf numFmtId="0" fontId="5" fillId="18" borderId="12" xfId="0" applyFont="1" applyFill="1" applyBorder="1" applyAlignment="1">
      <alignment horizontal="center" vertical="center"/>
    </xf>
    <xf numFmtId="0" fontId="35" fillId="18" borderId="0" xfId="0" applyFont="1" applyFill="1" applyAlignment="1">
      <alignment horizontal="left" vertical="center" wrapText="1"/>
    </xf>
    <xf numFmtId="49" fontId="5" fillId="18" borderId="0" xfId="0" applyNumberFormat="1" applyFont="1" applyFill="1" applyAlignment="1">
      <alignment horizontal="left" vertical="center" wrapText="1"/>
    </xf>
    <xf numFmtId="0" fontId="0" fillId="16" borderId="32" xfId="0" applyFill="1" applyBorder="1" applyAlignment="1">
      <alignment horizontal="left" vertical="center" wrapText="1"/>
    </xf>
    <xf numFmtId="0" fontId="0" fillId="18" borderId="32" xfId="0" applyFill="1" applyBorder="1" applyAlignment="1">
      <alignment horizontal="left" vertical="center" wrapText="1"/>
    </xf>
    <xf numFmtId="0" fontId="0" fillId="18" borderId="0" xfId="0" applyFill="1" applyAlignment="1">
      <alignment horizontal="left" vertical="center" wrapText="1"/>
    </xf>
    <xf numFmtId="0" fontId="7" fillId="15" borderId="30" xfId="0" applyFont="1" applyFill="1" applyBorder="1" applyAlignment="1">
      <alignment horizontal="center" vertical="center" wrapText="1"/>
    </xf>
    <xf numFmtId="0" fontId="0" fillId="18" borderId="44" xfId="0" applyFill="1" applyBorder="1" applyAlignment="1">
      <alignment horizontal="left" vertical="center" wrapText="1"/>
    </xf>
    <xf numFmtId="0" fontId="0" fillId="18" borderId="31" xfId="0" applyFill="1" applyBorder="1" applyAlignment="1">
      <alignment horizontal="left" vertical="center" wrapText="1"/>
    </xf>
    <xf numFmtId="0" fontId="7" fillId="15" borderId="0" xfId="0" applyFont="1" applyFill="1" applyAlignment="1">
      <alignment horizontal="center" vertical="center" wrapText="1"/>
    </xf>
    <xf numFmtId="0" fontId="7" fillId="15" borderId="25" xfId="0" applyFont="1" applyFill="1" applyBorder="1" applyAlignment="1">
      <alignment horizontal="center" vertical="center"/>
    </xf>
    <xf numFmtId="0" fontId="7" fillId="15" borderId="30" xfId="0" applyFont="1" applyFill="1" applyBorder="1" applyAlignment="1">
      <alignment horizontal="center" vertical="center"/>
    </xf>
    <xf numFmtId="0" fontId="0" fillId="18" borderId="57" xfId="0" applyFill="1" applyBorder="1" applyAlignment="1">
      <alignment horizontal="left" vertical="center" wrapText="1"/>
    </xf>
    <xf numFmtId="0" fontId="0" fillId="18" borderId="0" xfId="0" applyFill="1" applyAlignment="1">
      <alignment horizontal="center" vertical="center" wrapText="1"/>
    </xf>
    <xf numFmtId="49" fontId="5" fillId="18" borderId="24" xfId="0" applyNumberFormat="1" applyFont="1" applyFill="1" applyBorder="1" applyAlignment="1">
      <alignment horizontal="left" vertical="center" wrapText="1"/>
    </xf>
    <xf numFmtId="49" fontId="5" fillId="18" borderId="8" xfId="0" applyNumberFormat="1" applyFont="1" applyFill="1" applyBorder="1" applyAlignment="1">
      <alignment horizontal="left" vertical="center" wrapText="1"/>
    </xf>
    <xf numFmtId="0" fontId="40" fillId="17" borderId="25" xfId="0" applyFont="1" applyFill="1" applyBorder="1" applyAlignment="1">
      <alignment horizontal="center" vertical="center"/>
    </xf>
    <xf numFmtId="0" fontId="40" fillId="17" borderId="29" xfId="0" applyFont="1" applyFill="1" applyBorder="1" applyAlignment="1">
      <alignment horizontal="center" vertical="center"/>
    </xf>
    <xf numFmtId="0" fontId="40" fillId="17" borderId="34" xfId="0" applyFont="1" applyFill="1" applyBorder="1" applyAlignment="1">
      <alignment horizontal="center" vertical="center"/>
    </xf>
    <xf numFmtId="0" fontId="25" fillId="18" borderId="2" xfId="0" applyFont="1" applyFill="1" applyBorder="1" applyAlignment="1">
      <alignment horizontal="left" vertical="center" wrapText="1" indent="1"/>
    </xf>
    <xf numFmtId="49" fontId="28" fillId="18" borderId="17" xfId="0" applyNumberFormat="1" applyFont="1" applyFill="1" applyBorder="1" applyAlignment="1">
      <alignment horizontal="center" vertical="center" wrapText="1"/>
    </xf>
    <xf numFmtId="49" fontId="28" fillId="18" borderId="21" xfId="0" applyNumberFormat="1" applyFont="1" applyFill="1" applyBorder="1" applyAlignment="1">
      <alignment horizontal="center" vertical="center" wrapText="1"/>
    </xf>
    <xf numFmtId="49" fontId="28" fillId="18" borderId="1" xfId="0" applyNumberFormat="1" applyFont="1" applyFill="1" applyBorder="1" applyAlignment="1">
      <alignment horizontal="center" vertical="center" wrapText="1"/>
    </xf>
    <xf numFmtId="49" fontId="28" fillId="18" borderId="3" xfId="0" applyNumberFormat="1" applyFont="1" applyFill="1" applyBorder="1" applyAlignment="1">
      <alignment horizontal="center" vertical="center" wrapText="1"/>
    </xf>
    <xf numFmtId="49" fontId="28" fillId="18" borderId="17" xfId="1" applyNumberFormat="1" applyFont="1" applyFill="1" applyBorder="1" applyAlignment="1" applyProtection="1">
      <alignment horizontal="center" vertical="center" wrapText="1"/>
    </xf>
    <xf numFmtId="0" fontId="25" fillId="18" borderId="60" xfId="0" applyFont="1" applyFill="1" applyBorder="1" applyAlignment="1">
      <alignment horizontal="left" vertical="center" wrapText="1"/>
    </xf>
    <xf numFmtId="0" fontId="27" fillId="18" borderId="60" xfId="1" applyFont="1" applyFill="1" applyBorder="1" applyAlignment="1" applyProtection="1">
      <alignment horizontal="left" vertical="center" wrapText="1"/>
    </xf>
    <xf numFmtId="0" fontId="29" fillId="15" borderId="29" xfId="0" applyFont="1" applyFill="1" applyBorder="1" applyAlignment="1">
      <alignment horizontal="center" vertical="center" wrapText="1"/>
    </xf>
    <xf numFmtId="0" fontId="40" fillId="17" borderId="25" xfId="0" applyFont="1" applyFill="1" applyBorder="1" applyAlignment="1">
      <alignment horizontal="left" vertical="center" wrapText="1"/>
    </xf>
    <xf numFmtId="0" fontId="25" fillId="16" borderId="60" xfId="0" applyFont="1" applyFill="1" applyBorder="1" applyAlignment="1">
      <alignment horizontal="left" vertical="center" wrapText="1"/>
    </xf>
    <xf numFmtId="0" fontId="27" fillId="16" borderId="60" xfId="1" applyFont="1" applyFill="1" applyBorder="1" applyAlignment="1" applyProtection="1">
      <alignment horizontal="left" vertical="center" wrapText="1"/>
    </xf>
    <xf numFmtId="0" fontId="27" fillId="24" borderId="0" xfId="1" applyFont="1" applyFill="1" applyAlignment="1" applyProtection="1">
      <alignment horizontal="center" vertical="center"/>
    </xf>
    <xf numFmtId="0" fontId="5" fillId="18" borderId="0" xfId="0" applyFont="1" applyFill="1" applyAlignment="1">
      <alignment horizontal="left" vertical="center" wrapText="1"/>
    </xf>
    <xf numFmtId="0" fontId="5" fillId="18" borderId="0" xfId="0" applyFont="1" applyFill="1" applyAlignment="1">
      <alignment horizontal="left" vertical="center"/>
    </xf>
    <xf numFmtId="0" fontId="5" fillId="18" borderId="0" xfId="0" applyFont="1" applyFill="1" applyAlignment="1">
      <alignment horizontal="center" vertical="center"/>
    </xf>
    <xf numFmtId="0" fontId="5" fillId="16" borderId="13" xfId="0" applyFont="1" applyFill="1" applyBorder="1" applyAlignment="1">
      <alignment horizontal="center" vertical="center"/>
    </xf>
    <xf numFmtId="0" fontId="5" fillId="16" borderId="5" xfId="0" applyFont="1" applyFill="1" applyBorder="1" applyAlignment="1">
      <alignment horizontal="center" vertical="center"/>
    </xf>
    <xf numFmtId="0" fontId="5" fillId="16" borderId="21" xfId="0" applyFont="1" applyFill="1" applyBorder="1" applyAlignment="1">
      <alignment horizontal="center" vertical="center"/>
    </xf>
    <xf numFmtId="0" fontId="5" fillId="16" borderId="3" xfId="0" applyFont="1" applyFill="1" applyBorder="1" applyAlignment="1">
      <alignment horizontal="center" vertical="center"/>
    </xf>
    <xf numFmtId="0" fontId="5" fillId="18" borderId="21" xfId="0" applyFont="1" applyFill="1" applyBorder="1" applyAlignment="1">
      <alignment horizontal="center" vertical="center"/>
    </xf>
    <xf numFmtId="0" fontId="5" fillId="18" borderId="3" xfId="0" applyFont="1" applyFill="1" applyBorder="1" applyAlignment="1">
      <alignment horizontal="center" vertical="center"/>
    </xf>
    <xf numFmtId="0" fontId="5" fillId="16" borderId="22" xfId="0" applyFont="1" applyFill="1" applyBorder="1" applyAlignment="1">
      <alignment horizontal="center" vertical="center"/>
    </xf>
    <xf numFmtId="0" fontId="35" fillId="18" borderId="0" xfId="0" applyFont="1" applyFill="1" applyAlignment="1">
      <alignment horizontal="center" vertical="center"/>
    </xf>
    <xf numFmtId="0" fontId="25" fillId="18" borderId="0" xfId="0" applyFont="1" applyFill="1" applyAlignment="1">
      <alignment horizontal="center" vertical="center"/>
    </xf>
    <xf numFmtId="0" fontId="0" fillId="18" borderId="0" xfId="0" applyFill="1" applyAlignment="1">
      <alignment horizontal="left" vertical="center" wrapText="1"/>
    </xf>
    <xf numFmtId="0" fontId="1" fillId="18" borderId="0" xfId="0" applyFont="1" applyFill="1" applyAlignment="1">
      <alignment horizontal="left" vertical="center" wrapText="1"/>
    </xf>
    <xf numFmtId="0" fontId="7" fillId="15" borderId="16" xfId="0" applyFont="1" applyFill="1" applyBorder="1" applyAlignment="1">
      <alignment horizontal="center" vertical="center" wrapText="1"/>
    </xf>
    <xf numFmtId="0" fontId="5" fillId="18" borderId="1" xfId="0" applyFont="1" applyFill="1" applyBorder="1" applyAlignment="1">
      <alignment horizontal="center" vertical="center"/>
    </xf>
    <xf numFmtId="0" fontId="5" fillId="18" borderId="12" xfId="0" applyFont="1" applyFill="1" applyBorder="1" applyAlignment="1">
      <alignment horizontal="center" vertical="center"/>
    </xf>
    <xf numFmtId="0" fontId="5" fillId="18" borderId="24" xfId="0" applyFont="1" applyFill="1" applyBorder="1" applyAlignment="1">
      <alignment horizontal="center" vertical="center"/>
    </xf>
    <xf numFmtId="0" fontId="5" fillId="16" borderId="1" xfId="0" applyFont="1" applyFill="1" applyBorder="1" applyAlignment="1">
      <alignment horizontal="center" vertical="center"/>
    </xf>
    <xf numFmtId="0" fontId="5" fillId="18" borderId="13" xfId="0" applyFont="1" applyFill="1" applyBorder="1" applyAlignment="1">
      <alignment horizontal="center" vertical="center"/>
    </xf>
    <xf numFmtId="0" fontId="5" fillId="18" borderId="5" xfId="0" applyFont="1" applyFill="1" applyBorder="1" applyAlignment="1">
      <alignment horizontal="center" vertical="center"/>
    </xf>
    <xf numFmtId="0" fontId="7" fillId="15" borderId="44" xfId="0" applyFont="1" applyFill="1" applyBorder="1" applyAlignment="1">
      <alignment horizontal="center" vertical="center"/>
    </xf>
    <xf numFmtId="0" fontId="0" fillId="18" borderId="15" xfId="0" applyFill="1" applyBorder="1" applyAlignment="1">
      <alignment horizontal="center" vertical="center" wrapText="1"/>
    </xf>
    <xf numFmtId="0" fontId="0" fillId="16" borderId="1" xfId="0" applyFill="1" applyBorder="1" applyAlignment="1">
      <alignment horizontal="center" vertical="center" wrapText="1"/>
    </xf>
    <xf numFmtId="0" fontId="0" fillId="18" borderId="13" xfId="0" applyFill="1" applyBorder="1" applyAlignment="1">
      <alignment horizontal="center" vertical="center" wrapText="1"/>
    </xf>
    <xf numFmtId="0" fontId="7" fillId="15" borderId="6" xfId="0" applyFont="1" applyFill="1" applyBorder="1" applyAlignment="1">
      <alignment horizontal="center" vertical="center"/>
    </xf>
    <xf numFmtId="0" fontId="7" fillId="15" borderId="14" xfId="0" applyFont="1" applyFill="1" applyBorder="1" applyAlignment="1">
      <alignment horizontal="center" vertical="center"/>
    </xf>
    <xf numFmtId="0" fontId="7" fillId="15" borderId="7" xfId="0" applyFont="1" applyFill="1" applyBorder="1" applyAlignment="1">
      <alignment horizontal="center" vertical="center"/>
    </xf>
    <xf numFmtId="0" fontId="0" fillId="18" borderId="1" xfId="0" applyFill="1" applyBorder="1" applyAlignment="1">
      <alignment horizontal="center" vertical="center" wrapText="1"/>
    </xf>
    <xf numFmtId="0" fontId="5" fillId="16" borderId="2" xfId="0" applyFont="1" applyFill="1" applyBorder="1" applyAlignment="1">
      <alignment horizontal="center" vertical="center"/>
    </xf>
    <xf numFmtId="0" fontId="5" fillId="16" borderId="4" xfId="0" applyFont="1" applyFill="1" applyBorder="1" applyAlignment="1">
      <alignment horizontal="center" vertical="center"/>
    </xf>
    <xf numFmtId="0" fontId="5" fillId="15" borderId="5" xfId="0" applyFont="1" applyFill="1" applyBorder="1" applyAlignment="1">
      <alignment horizontal="center" vertical="center"/>
    </xf>
    <xf numFmtId="0" fontId="5" fillId="15" borderId="13" xfId="0" applyFont="1" applyFill="1" applyBorder="1" applyAlignment="1">
      <alignment horizontal="center" vertical="center"/>
    </xf>
    <xf numFmtId="0" fontId="0" fillId="16" borderId="42" xfId="0" applyFill="1" applyBorder="1" applyAlignment="1">
      <alignment horizontal="center" vertical="center" wrapText="1"/>
    </xf>
    <xf numFmtId="0" fontId="0" fillId="18" borderId="0" xfId="0" applyFill="1" applyAlignment="1">
      <alignment horizontal="center" vertical="center" wrapText="1"/>
    </xf>
    <xf numFmtId="49" fontId="28" fillId="18" borderId="0" xfId="0" applyNumberFormat="1" applyFont="1" applyFill="1" applyAlignment="1">
      <alignment horizontal="center" vertical="center" wrapText="1"/>
    </xf>
    <xf numFmtId="49" fontId="58" fillId="18" borderId="0" xfId="0" applyNumberFormat="1" applyFont="1" applyFill="1" applyAlignment="1">
      <alignment horizontal="center" vertical="center" wrapText="1"/>
    </xf>
    <xf numFmtId="49" fontId="25" fillId="18" borderId="0" xfId="0" applyNumberFormat="1" applyFont="1" applyFill="1" applyAlignment="1">
      <alignment horizontal="left" vertical="center" wrapText="1"/>
    </xf>
    <xf numFmtId="49" fontId="27" fillId="24" borderId="0" xfId="1" applyNumberFormat="1" applyFont="1" applyFill="1" applyAlignment="1" applyProtection="1">
      <alignment horizontal="center" vertical="center"/>
    </xf>
    <xf numFmtId="0" fontId="0" fillId="16" borderId="33" xfId="0" applyFill="1" applyBorder="1" applyAlignment="1">
      <alignment horizontal="left" vertical="center" wrapText="1"/>
    </xf>
    <xf numFmtId="49" fontId="0" fillId="18" borderId="0" xfId="0" applyNumberFormat="1" applyFill="1" applyBorder="1" applyAlignment="1">
      <alignment horizontal="center" vertical="center" wrapText="1"/>
    </xf>
    <xf numFmtId="9" fontId="0" fillId="18" borderId="0" xfId="0" applyNumberFormat="1" applyFill="1" applyBorder="1" applyAlignment="1">
      <alignment horizontal="left" vertical="center" wrapText="1"/>
    </xf>
    <xf numFmtId="0" fontId="0" fillId="18" borderId="44" xfId="0" applyFill="1" applyBorder="1" applyAlignment="1">
      <alignment horizontal="center" vertical="center" wrapText="1"/>
    </xf>
    <xf numFmtId="166" fontId="0" fillId="18" borderId="57" xfId="0" applyNumberFormat="1" applyFill="1" applyBorder="1" applyAlignment="1">
      <alignment horizontal="left" vertical="center" wrapText="1" indent="1"/>
    </xf>
    <xf numFmtId="166" fontId="0" fillId="18" borderId="32" xfId="0" applyNumberFormat="1" applyFill="1" applyBorder="1" applyAlignment="1">
      <alignment horizontal="left" vertical="center" wrapText="1" indent="1"/>
    </xf>
    <xf numFmtId="166" fontId="0" fillId="18" borderId="33" xfId="0" applyNumberFormat="1" applyFill="1" applyBorder="1" applyAlignment="1">
      <alignment horizontal="left" vertical="center" wrapText="1" indent="1"/>
    </xf>
    <xf numFmtId="0" fontId="0" fillId="18" borderId="43" xfId="0" applyFill="1" applyBorder="1" applyAlignment="1">
      <alignment horizontal="left" vertical="center" wrapText="1" indent="1"/>
    </xf>
    <xf numFmtId="0" fontId="0" fillId="18" borderId="33" xfId="0" applyFill="1" applyBorder="1" applyAlignment="1">
      <alignment horizontal="left" vertical="center" wrapText="1" indent="1"/>
    </xf>
    <xf numFmtId="0" fontId="0" fillId="16" borderId="43" xfId="0" applyFill="1" applyBorder="1" applyAlignment="1">
      <alignment horizontal="left" vertical="center" wrapText="1"/>
    </xf>
    <xf numFmtId="0" fontId="9" fillId="17" borderId="44" xfId="0" applyFont="1" applyFill="1" applyBorder="1" applyAlignment="1">
      <alignment horizontal="left" vertical="center" wrapText="1"/>
    </xf>
    <xf numFmtId="0" fontId="9" fillId="17" borderId="16" xfId="0" applyFont="1" applyFill="1" applyBorder="1" applyAlignment="1">
      <alignment horizontal="center" vertical="center" wrapText="1"/>
    </xf>
    <xf numFmtId="0" fontId="9" fillId="17" borderId="31" xfId="0" applyFont="1" applyFill="1" applyBorder="1" applyAlignment="1">
      <alignment vertical="center" wrapText="1"/>
    </xf>
    <xf numFmtId="44" fontId="0" fillId="18" borderId="0" xfId="2" applyFont="1" applyFill="1" applyBorder="1" applyAlignment="1">
      <alignment horizontal="left" vertical="center" wrapText="1"/>
    </xf>
    <xf numFmtId="44" fontId="0" fillId="18" borderId="0" xfId="2" applyFont="1" applyFill="1" applyBorder="1" applyAlignment="1">
      <alignment horizontal="center" vertical="center" wrapText="1"/>
    </xf>
    <xf numFmtId="0" fontId="0" fillId="18" borderId="44" xfId="0" applyFill="1" applyBorder="1" applyAlignment="1">
      <alignment horizontal="left" vertical="center" wrapText="1" indent="1"/>
    </xf>
    <xf numFmtId="0" fontId="1" fillId="18" borderId="26" xfId="0" applyFont="1" applyFill="1" applyBorder="1" applyAlignment="1">
      <alignment horizontal="center" vertical="center"/>
    </xf>
    <xf numFmtId="0" fontId="0" fillId="18" borderId="16" xfId="0" applyFill="1" applyBorder="1" applyAlignment="1">
      <alignment horizontal="left" vertical="center" wrapText="1" indent="1"/>
    </xf>
    <xf numFmtId="0" fontId="1" fillId="18" borderId="27" xfId="0" applyFont="1" applyFill="1" applyBorder="1" applyAlignment="1">
      <alignment horizontal="center" vertical="center"/>
    </xf>
    <xf numFmtId="0" fontId="0" fillId="18" borderId="17" xfId="0" applyFill="1" applyBorder="1" applyAlignment="1">
      <alignment horizontal="left" vertical="center" wrapText="1" indent="1"/>
    </xf>
    <xf numFmtId="0" fontId="0" fillId="18" borderId="68" xfId="0" applyFill="1" applyBorder="1" applyAlignment="1">
      <alignment horizontal="left" vertical="center" wrapText="1" indent="1"/>
    </xf>
    <xf numFmtId="0" fontId="0" fillId="18" borderId="58" xfId="0" applyFill="1" applyBorder="1" applyAlignment="1">
      <alignment horizontal="center" vertical="center"/>
    </xf>
    <xf numFmtId="0" fontId="0" fillId="18" borderId="19" xfId="0" applyFill="1" applyBorder="1" applyAlignment="1">
      <alignment horizontal="left" vertical="center" wrapText="1" indent="1"/>
    </xf>
    <xf numFmtId="0" fontId="0" fillId="18" borderId="2" xfId="0" applyFill="1" applyBorder="1" applyAlignment="1">
      <alignment horizontal="left" vertical="center" wrapText="1" indent="1"/>
    </xf>
    <xf numFmtId="0" fontId="0" fillId="18" borderId="3" xfId="0" applyFill="1" applyBorder="1" applyAlignment="1">
      <alignment horizontal="left" vertical="center" wrapText="1" indent="1"/>
    </xf>
    <xf numFmtId="0" fontId="1" fillId="18" borderId="2" xfId="0" applyFont="1" applyFill="1" applyBorder="1" applyAlignment="1">
      <alignment horizontal="left" vertical="center" wrapText="1" indent="1"/>
    </xf>
    <xf numFmtId="0" fontId="1" fillId="18" borderId="4" xfId="0" applyFont="1" applyFill="1" applyBorder="1" applyAlignment="1">
      <alignment horizontal="left" vertical="center" wrapText="1" indent="1"/>
    </xf>
    <xf numFmtId="0" fontId="0" fillId="18" borderId="5" xfId="0" applyFill="1" applyBorder="1" applyAlignment="1">
      <alignment horizontal="left" vertical="center" wrapText="1" indent="1"/>
    </xf>
    <xf numFmtId="0" fontId="0" fillId="18" borderId="9" xfId="0" applyFill="1" applyBorder="1" applyAlignment="1">
      <alignment horizontal="left" vertical="center" wrapText="1" indent="1"/>
    </xf>
    <xf numFmtId="0" fontId="0" fillId="18" borderId="8" xfId="0" applyFill="1" applyBorder="1" applyAlignment="1">
      <alignment horizontal="left" vertical="center" wrapText="1" indent="1"/>
    </xf>
    <xf numFmtId="0" fontId="9" fillId="17" borderId="44" xfId="0" applyFont="1" applyFill="1" applyBorder="1" applyAlignment="1">
      <alignment vertical="center" wrapText="1"/>
    </xf>
    <xf numFmtId="0" fontId="9" fillId="17" borderId="26" xfId="0" applyFont="1" applyFill="1" applyBorder="1" applyAlignment="1">
      <alignment horizontal="center" vertical="center" wrapText="1"/>
    </xf>
    <xf numFmtId="0" fontId="7" fillId="15" borderId="31" xfId="0" applyFont="1" applyFill="1" applyBorder="1" applyAlignment="1">
      <alignment horizontal="center" vertical="center"/>
    </xf>
    <xf numFmtId="0" fontId="0" fillId="18" borderId="31" xfId="0" applyFill="1" applyBorder="1" applyAlignment="1">
      <alignment horizontal="left" vertical="center" wrapText="1" indent="1"/>
    </xf>
    <xf numFmtId="0" fontId="25" fillId="18" borderId="5" xfId="0" applyFont="1" applyFill="1" applyBorder="1" applyAlignment="1">
      <alignment horizontal="center" vertical="center"/>
    </xf>
    <xf numFmtId="0" fontId="25" fillId="18" borderId="1" xfId="0" applyFont="1" applyFill="1" applyBorder="1" applyAlignment="1">
      <alignment horizontal="center" vertical="center"/>
    </xf>
    <xf numFmtId="0" fontId="25" fillId="18" borderId="24" xfId="0" applyFont="1" applyFill="1" applyBorder="1" applyAlignment="1">
      <alignment horizontal="center" vertical="center"/>
    </xf>
    <xf numFmtId="0" fontId="25" fillId="18" borderId="3" xfId="0" applyFont="1" applyFill="1" applyBorder="1" applyAlignment="1">
      <alignment horizontal="center" vertical="center"/>
    </xf>
    <xf numFmtId="0" fontId="5" fillId="15" borderId="4" xfId="0" applyFont="1" applyFill="1" applyBorder="1" applyAlignment="1">
      <alignment horizontal="center" vertical="center"/>
    </xf>
    <xf numFmtId="0" fontId="25" fillId="16" borderId="5" xfId="0" applyFont="1" applyFill="1" applyBorder="1" applyAlignment="1">
      <alignment horizontal="center" vertical="center"/>
    </xf>
    <xf numFmtId="0" fontId="5" fillId="16" borderId="1" xfId="0" applyFont="1" applyFill="1" applyBorder="1" applyAlignment="1">
      <alignment vertical="center"/>
    </xf>
    <xf numFmtId="0" fontId="5" fillId="16" borderId="3" xfId="0" applyFont="1" applyFill="1" applyBorder="1" applyAlignment="1">
      <alignment vertical="center"/>
    </xf>
    <xf numFmtId="0" fontId="5" fillId="16" borderId="13" xfId="0" applyFont="1" applyFill="1" applyBorder="1" applyAlignment="1">
      <alignment vertical="center"/>
    </xf>
    <xf numFmtId="0" fontId="5" fillId="16" borderId="5" xfId="0" applyFont="1" applyFill="1" applyBorder="1" applyAlignment="1">
      <alignment vertical="center"/>
    </xf>
    <xf numFmtId="0" fontId="39" fillId="16" borderId="1" xfId="0" applyFont="1" applyFill="1" applyBorder="1" applyAlignment="1">
      <alignment vertical="center"/>
    </xf>
    <xf numFmtId="0" fontId="5" fillId="16" borderId="47" xfId="0" applyFont="1" applyFill="1" applyBorder="1" applyAlignment="1">
      <alignment vertical="center"/>
    </xf>
    <xf numFmtId="0" fontId="5" fillId="16" borderId="37" xfId="0" applyFont="1" applyFill="1" applyBorder="1" applyAlignment="1">
      <alignment vertical="center"/>
    </xf>
    <xf numFmtId="0" fontId="5" fillId="18" borderId="81" xfId="0" applyFont="1" applyFill="1" applyBorder="1" applyAlignment="1">
      <alignment horizontal="center" vertical="center"/>
    </xf>
    <xf numFmtId="0" fontId="5" fillId="18" borderId="12" xfId="0" applyFont="1" applyFill="1" applyBorder="1" applyAlignment="1">
      <alignment vertical="center"/>
    </xf>
    <xf numFmtId="0" fontId="5" fillId="18" borderId="24" xfId="0" applyFont="1" applyFill="1" applyBorder="1" applyAlignment="1">
      <alignment vertical="center"/>
    </xf>
    <xf numFmtId="0" fontId="5" fillId="18" borderId="1" xfId="0" applyFont="1" applyFill="1" applyBorder="1" applyAlignment="1">
      <alignment vertical="center"/>
    </xf>
    <xf numFmtId="0" fontId="5" fillId="18" borderId="3" xfId="0" applyFont="1" applyFill="1" applyBorder="1" applyAlignment="1">
      <alignment vertical="center"/>
    </xf>
    <xf numFmtId="0" fontId="39" fillId="18" borderId="1" xfId="0" applyFont="1" applyFill="1" applyBorder="1" applyAlignment="1">
      <alignment vertical="center"/>
    </xf>
    <xf numFmtId="0" fontId="5" fillId="18" borderId="13" xfId="0" applyFont="1" applyFill="1" applyBorder="1" applyAlignment="1">
      <alignment vertical="center"/>
    </xf>
    <xf numFmtId="0" fontId="5" fillId="18" borderId="5" xfId="0" applyFont="1" applyFill="1" applyBorder="1" applyAlignment="1">
      <alignment vertical="center"/>
    </xf>
    <xf numFmtId="0" fontId="39" fillId="18" borderId="12" xfId="0" applyFont="1" applyFill="1" applyBorder="1" applyAlignment="1">
      <alignment vertical="center"/>
    </xf>
    <xf numFmtId="0" fontId="36" fillId="18" borderId="11" xfId="0" applyFont="1" applyFill="1" applyBorder="1" applyAlignment="1">
      <alignment horizontal="center" vertical="center"/>
    </xf>
    <xf numFmtId="0" fontId="36" fillId="18" borderId="24" xfId="0" applyFont="1" applyFill="1" applyBorder="1" applyAlignment="1">
      <alignment horizontal="center" vertical="center"/>
    </xf>
    <xf numFmtId="0" fontId="36" fillId="18" borderId="2" xfId="0" applyFont="1" applyFill="1" applyBorder="1" applyAlignment="1">
      <alignment horizontal="center" vertical="center"/>
    </xf>
    <xf numFmtId="0" fontId="36" fillId="18" borderId="3" xfId="0" applyFont="1" applyFill="1" applyBorder="1" applyAlignment="1">
      <alignment horizontal="center" vertical="center"/>
    </xf>
    <xf numFmtId="0" fontId="25" fillId="18" borderId="11" xfId="0" applyFont="1" applyFill="1" applyBorder="1" applyAlignment="1">
      <alignment horizontal="center" vertical="center"/>
    </xf>
    <xf numFmtId="0" fontId="39" fillId="18" borderId="3" xfId="0" applyFont="1" applyFill="1" applyBorder="1" applyAlignment="1">
      <alignment horizontal="center" vertical="center"/>
    </xf>
    <xf numFmtId="0" fontId="25" fillId="18" borderId="21" xfId="0" applyFont="1" applyFill="1" applyBorder="1" applyAlignment="1">
      <alignment horizontal="center" vertical="center"/>
    </xf>
    <xf numFmtId="0" fontId="30" fillId="18" borderId="43" xfId="0" applyFont="1" applyFill="1" applyBorder="1" applyAlignment="1">
      <alignment vertical="center"/>
    </xf>
    <xf numFmtId="0" fontId="5" fillId="18" borderId="28" xfId="0" applyFont="1" applyFill="1" applyBorder="1" applyAlignment="1">
      <alignment horizontal="center" vertical="center"/>
    </xf>
    <xf numFmtId="0" fontId="25" fillId="18" borderId="22" xfId="0" applyFont="1" applyFill="1" applyBorder="1" applyAlignment="1">
      <alignment horizontal="center" vertical="center"/>
    </xf>
    <xf numFmtId="0" fontId="72" fillId="18" borderId="0" xfId="0" applyFont="1" applyFill="1" applyAlignment="1">
      <alignment vertical="center"/>
    </xf>
    <xf numFmtId="0" fontId="40" fillId="17" borderId="84" xfId="0" applyFont="1" applyFill="1" applyBorder="1" applyAlignment="1">
      <alignment vertical="center"/>
    </xf>
    <xf numFmtId="0" fontId="40" fillId="17" borderId="46" xfId="0" applyFont="1" applyFill="1" applyBorder="1" applyAlignment="1">
      <alignment horizontal="center" vertical="center"/>
    </xf>
    <xf numFmtId="0" fontId="35" fillId="17" borderId="0" xfId="0" applyFont="1" applyFill="1" applyAlignment="1">
      <alignment horizontal="center" vertical="center"/>
    </xf>
    <xf numFmtId="0" fontId="40" fillId="17" borderId="88" xfId="0" applyFont="1" applyFill="1" applyBorder="1" applyAlignment="1">
      <alignment horizontal="center" vertical="center"/>
    </xf>
    <xf numFmtId="0" fontId="40" fillId="17" borderId="55" xfId="0" applyFont="1" applyFill="1" applyBorder="1" applyAlignment="1">
      <alignment horizontal="center" vertical="center"/>
    </xf>
    <xf numFmtId="0" fontId="35" fillId="17" borderId="0" xfId="0" applyFont="1" applyFill="1" applyAlignment="1">
      <alignment vertical="center"/>
    </xf>
    <xf numFmtId="0" fontId="5" fillId="15" borderId="0" xfId="0" applyFont="1" applyFill="1" applyAlignment="1">
      <alignment vertical="center"/>
    </xf>
    <xf numFmtId="0" fontId="25" fillId="15" borderId="0" xfId="0" applyFont="1" applyFill="1" applyAlignment="1">
      <alignment vertical="center"/>
    </xf>
    <xf numFmtId="0" fontId="5" fillId="15" borderId="22" xfId="0" applyFont="1" applyFill="1" applyBorder="1" applyAlignment="1">
      <alignment horizontal="center" vertical="center"/>
    </xf>
    <xf numFmtId="0" fontId="5" fillId="18" borderId="0" xfId="0" applyFont="1" applyFill="1" applyAlignment="1">
      <alignment horizontal="left" vertical="center" wrapText="1"/>
    </xf>
    <xf numFmtId="0" fontId="7" fillId="15" borderId="25" xfId="0" applyFont="1" applyFill="1" applyBorder="1" applyAlignment="1">
      <alignment horizontal="center" vertical="center" wrapText="1"/>
    </xf>
    <xf numFmtId="0" fontId="27" fillId="24" borderId="0" xfId="1" applyFont="1" applyFill="1" applyAlignment="1" applyProtection="1">
      <alignment horizontal="center" vertical="center" wrapText="1"/>
    </xf>
    <xf numFmtId="0" fontId="0" fillId="18" borderId="0" xfId="0" applyFill="1" applyAlignment="1">
      <alignment horizontal="left" vertical="center" wrapText="1"/>
    </xf>
    <xf numFmtId="0" fontId="0" fillId="16" borderId="1" xfId="0" applyFill="1" applyBorder="1" applyAlignment="1">
      <alignment horizontal="center" vertical="center" wrapText="1"/>
    </xf>
    <xf numFmtId="0" fontId="0" fillId="16" borderId="0" xfId="0" applyFill="1" applyBorder="1" applyAlignment="1">
      <alignment horizontal="center" vertical="center" wrapText="1"/>
    </xf>
    <xf numFmtId="0" fontId="28" fillId="16" borderId="5" xfId="0" applyFont="1" applyFill="1" applyBorder="1" applyAlignment="1">
      <alignment horizontal="left" vertical="center" wrapText="1"/>
    </xf>
    <xf numFmtId="0" fontId="5" fillId="18" borderId="3" xfId="0" applyFont="1" applyFill="1" applyBorder="1" applyAlignment="1">
      <alignment horizontal="left" vertical="center" wrapText="1"/>
    </xf>
    <xf numFmtId="0" fontId="25" fillId="15" borderId="14" xfId="0" applyFont="1" applyFill="1" applyBorder="1" applyAlignment="1">
      <alignment horizontal="center" vertical="center" wrapText="1"/>
    </xf>
    <xf numFmtId="0" fontId="5" fillId="18" borderId="5" xfId="0" applyFont="1" applyFill="1" applyBorder="1" applyAlignment="1">
      <alignment horizontal="left" vertical="center" wrapText="1"/>
    </xf>
    <xf numFmtId="0" fontId="103" fillId="18" borderId="0" xfId="0" applyFont="1" applyFill="1" applyAlignment="1">
      <alignment vertical="center"/>
    </xf>
    <xf numFmtId="0" fontId="5" fillId="2" borderId="0" xfId="0" quotePrefix="1" applyFont="1" applyFill="1" applyAlignment="1">
      <alignment horizontal="left" vertical="center" wrapText="1"/>
    </xf>
    <xf numFmtId="0" fontId="5" fillId="16" borderId="13" xfId="0" applyFont="1" applyFill="1" applyBorder="1" applyAlignment="1">
      <alignment horizontal="center" vertical="center"/>
    </xf>
    <xf numFmtId="0" fontId="5" fillId="16" borderId="5" xfId="0" applyFont="1" applyFill="1" applyBorder="1" applyAlignment="1">
      <alignment horizontal="center" vertical="center"/>
    </xf>
    <xf numFmtId="0" fontId="25" fillId="15" borderId="7" xfId="0" applyFont="1" applyFill="1" applyBorder="1" applyAlignment="1">
      <alignment horizontal="center" vertical="center"/>
    </xf>
    <xf numFmtId="0" fontId="5" fillId="16" borderId="2" xfId="0" applyFont="1" applyFill="1" applyBorder="1" applyAlignment="1">
      <alignment horizontal="center" vertical="center" wrapText="1"/>
    </xf>
    <xf numFmtId="0" fontId="5" fillId="16" borderId="4" xfId="0" applyFont="1" applyFill="1" applyBorder="1" applyAlignment="1">
      <alignment horizontal="center" vertical="center" wrapText="1"/>
    </xf>
    <xf numFmtId="0" fontId="25" fillId="15" borderId="6" xfId="0" applyFont="1" applyFill="1" applyBorder="1" applyAlignment="1">
      <alignment horizontal="center" vertical="center"/>
    </xf>
    <xf numFmtId="0" fontId="5" fillId="16" borderId="22" xfId="0" applyFont="1" applyFill="1" applyBorder="1" applyAlignment="1">
      <alignment horizontal="center" vertical="center"/>
    </xf>
    <xf numFmtId="0" fontId="25" fillId="15" borderId="7" xfId="0" applyFont="1" applyFill="1" applyBorder="1" applyAlignment="1">
      <alignment horizontal="center" vertical="center" wrapText="1"/>
    </xf>
    <xf numFmtId="0" fontId="25" fillId="15" borderId="6" xfId="0" applyFont="1" applyFill="1" applyBorder="1" applyAlignment="1">
      <alignment horizontal="center" vertical="center" wrapText="1"/>
    </xf>
    <xf numFmtId="0" fontId="5" fillId="16" borderId="2" xfId="0" applyFont="1" applyFill="1" applyBorder="1" applyAlignment="1">
      <alignment horizontal="center" vertical="center"/>
    </xf>
    <xf numFmtId="0" fontId="28" fillId="16" borderId="17" xfId="0" applyFont="1" applyFill="1" applyBorder="1" applyAlignment="1">
      <alignment horizontal="left" vertical="center"/>
    </xf>
    <xf numFmtId="49" fontId="5" fillId="16" borderId="3" xfId="0" applyNumberFormat="1" applyFont="1" applyFill="1" applyBorder="1" applyAlignment="1">
      <alignment horizontal="left" vertical="center"/>
    </xf>
    <xf numFmtId="0" fontId="5" fillId="18" borderId="0" xfId="0" applyFont="1" applyFill="1" applyAlignment="1">
      <alignment horizontal="left" vertical="center" wrapText="1"/>
    </xf>
    <xf numFmtId="0" fontId="0" fillId="18" borderId="0" xfId="0" applyFill="1" applyAlignment="1">
      <alignment horizontal="left" vertical="center" wrapText="1"/>
    </xf>
    <xf numFmtId="9" fontId="0" fillId="16" borderId="1" xfId="0" applyNumberFormat="1" applyFill="1" applyBorder="1" applyAlignment="1">
      <alignment horizontal="center" vertical="center" wrapText="1"/>
    </xf>
    <xf numFmtId="9" fontId="0" fillId="18" borderId="1" xfId="0" applyNumberFormat="1" applyFill="1" applyBorder="1" applyAlignment="1">
      <alignment horizontal="center" vertical="center" wrapText="1"/>
    </xf>
    <xf numFmtId="9" fontId="0" fillId="16" borderId="13" xfId="0" applyNumberFormat="1" applyFill="1" applyBorder="1" applyAlignment="1">
      <alignment horizontal="center" vertical="center" wrapText="1"/>
    </xf>
    <xf numFmtId="0" fontId="27" fillId="24" borderId="0" xfId="1" applyFont="1" applyFill="1" applyAlignment="1" applyProtection="1">
      <alignment horizontal="center" vertical="center" wrapText="1"/>
    </xf>
    <xf numFmtId="0" fontId="69" fillId="18" borderId="0" xfId="0" applyFont="1" applyFill="1" applyAlignment="1">
      <alignment vertical="center" wrapText="1"/>
    </xf>
    <xf numFmtId="9" fontId="0" fillId="18" borderId="3" xfId="0" applyNumberFormat="1" applyFill="1" applyBorder="1" applyAlignment="1">
      <alignment horizontal="center" vertical="center" wrapText="1"/>
    </xf>
    <xf numFmtId="9" fontId="0" fillId="16" borderId="5" xfId="0" applyNumberFormat="1" applyFill="1" applyBorder="1" applyAlignment="1">
      <alignment horizontal="center" vertical="center" wrapText="1"/>
    </xf>
    <xf numFmtId="0" fontId="0" fillId="23" borderId="15" xfId="0" applyFill="1" applyBorder="1" applyAlignment="1">
      <alignment horizontal="center" vertical="center" wrapText="1"/>
    </xf>
    <xf numFmtId="0" fontId="0" fillId="23" borderId="8" xfId="0" applyFill="1" applyBorder="1" applyAlignment="1">
      <alignment horizontal="center" vertical="center" wrapText="1"/>
    </xf>
    <xf numFmtId="0" fontId="0" fillId="23" borderId="1" xfId="0" applyFill="1" applyBorder="1" applyAlignment="1">
      <alignment horizontal="center" vertical="center" wrapText="1"/>
    </xf>
    <xf numFmtId="0" fontId="0" fillId="23" borderId="3" xfId="0" applyFill="1" applyBorder="1" applyAlignment="1">
      <alignment horizontal="center" vertical="center" wrapText="1"/>
    </xf>
    <xf numFmtId="0" fontId="5" fillId="16" borderId="3" xfId="0" applyFont="1" applyFill="1" applyBorder="1" applyAlignment="1">
      <alignment horizontal="center" vertical="center"/>
    </xf>
    <xf numFmtId="0" fontId="5" fillId="18" borderId="0" xfId="0" applyFont="1" applyFill="1" applyAlignment="1">
      <alignment horizontal="left" vertical="center" wrapText="1"/>
    </xf>
    <xf numFmtId="0" fontId="5" fillId="18" borderId="0" xfId="0" applyFont="1" applyFill="1" applyAlignment="1">
      <alignment horizontal="center" vertical="center"/>
    </xf>
    <xf numFmtId="0" fontId="5" fillId="18" borderId="15" xfId="0" applyFont="1" applyFill="1" applyBorder="1" applyAlignment="1">
      <alignment horizontal="center" vertical="center"/>
    </xf>
    <xf numFmtId="0" fontId="5" fillId="18" borderId="8" xfId="0" applyFont="1" applyFill="1" applyBorder="1" applyAlignment="1">
      <alignment horizontal="center" vertical="center"/>
    </xf>
    <xf numFmtId="0" fontId="5" fillId="16" borderId="13" xfId="0" applyFont="1" applyFill="1" applyBorder="1" applyAlignment="1">
      <alignment horizontal="center" vertical="center"/>
    </xf>
    <xf numFmtId="0" fontId="5" fillId="16" borderId="5" xfId="0" applyFont="1" applyFill="1" applyBorder="1" applyAlignment="1">
      <alignment horizontal="center" vertical="center"/>
    </xf>
    <xf numFmtId="0" fontId="5" fillId="18" borderId="23" xfId="0" applyFont="1" applyFill="1" applyBorder="1" applyAlignment="1">
      <alignment horizontal="center" vertical="center"/>
    </xf>
    <xf numFmtId="0" fontId="5" fillId="16" borderId="21" xfId="0" applyFont="1" applyFill="1" applyBorder="1" applyAlignment="1">
      <alignment horizontal="center" vertical="center"/>
    </xf>
    <xf numFmtId="0" fontId="5" fillId="16" borderId="3" xfId="0" applyFont="1" applyFill="1" applyBorder="1" applyAlignment="1">
      <alignment horizontal="center" vertical="center"/>
    </xf>
    <xf numFmtId="0" fontId="5" fillId="18" borderId="21" xfId="0" applyFont="1" applyFill="1" applyBorder="1" applyAlignment="1">
      <alignment horizontal="center" vertical="center"/>
    </xf>
    <xf numFmtId="0" fontId="5" fillId="18" borderId="3" xfId="0" applyFont="1" applyFill="1" applyBorder="1" applyAlignment="1">
      <alignment horizontal="center" vertical="center"/>
    </xf>
    <xf numFmtId="0" fontId="5" fillId="16" borderId="22" xfId="0" applyFont="1" applyFill="1" applyBorder="1" applyAlignment="1">
      <alignment horizontal="center" vertical="center"/>
    </xf>
    <xf numFmtId="0" fontId="35" fillId="17" borderId="26" xfId="0" applyFont="1" applyFill="1" applyBorder="1" applyAlignment="1">
      <alignment horizontal="center" vertical="center"/>
    </xf>
    <xf numFmtId="0" fontId="5" fillId="18" borderId="1" xfId="0" applyFont="1" applyFill="1" applyBorder="1" applyAlignment="1">
      <alignment horizontal="center" vertical="center"/>
    </xf>
    <xf numFmtId="0" fontId="5" fillId="16" borderId="1" xfId="0" applyFont="1" applyFill="1" applyBorder="1" applyAlignment="1">
      <alignment horizontal="center" vertical="center"/>
    </xf>
    <xf numFmtId="0" fontId="5" fillId="16" borderId="2" xfId="0" applyFont="1" applyFill="1" applyBorder="1" applyAlignment="1">
      <alignment horizontal="center" vertical="center"/>
    </xf>
    <xf numFmtId="0" fontId="5" fillId="16" borderId="4" xfId="0" applyFont="1" applyFill="1" applyBorder="1" applyAlignment="1">
      <alignment horizontal="center" vertical="center"/>
    </xf>
    <xf numFmtId="0" fontId="5" fillId="18" borderId="44" xfId="0" applyFont="1" applyFill="1" applyBorder="1" applyAlignment="1">
      <alignment horizontal="center" vertical="center"/>
    </xf>
    <xf numFmtId="0" fontId="26" fillId="16" borderId="17" xfId="0" applyFont="1" applyFill="1" applyBorder="1" applyAlignment="1">
      <alignment horizontal="left" vertical="center"/>
    </xf>
    <xf numFmtId="1" fontId="5" fillId="16" borderId="1" xfId="0" applyNumberFormat="1" applyFont="1" applyFill="1" applyBorder="1" applyAlignment="1">
      <alignment horizontal="center" vertical="center"/>
    </xf>
    <xf numFmtId="0" fontId="26" fillId="16" borderId="18" xfId="0" applyFont="1" applyFill="1" applyBorder="1" applyAlignment="1">
      <alignment horizontal="left" vertical="center"/>
    </xf>
    <xf numFmtId="0" fontId="0" fillId="18" borderId="0" xfId="0" applyFill="1" applyAlignment="1">
      <alignment horizontal="left" vertical="center" wrapText="1"/>
    </xf>
    <xf numFmtId="0" fontId="5" fillId="18" borderId="0" xfId="0" applyFont="1" applyFill="1" applyAlignment="1">
      <alignment horizontal="left" vertical="center" wrapText="1"/>
    </xf>
    <xf numFmtId="0" fontId="5" fillId="16" borderId="32" xfId="0" applyFont="1" applyFill="1" applyBorder="1" applyAlignment="1">
      <alignment horizontal="left" vertical="center" wrapText="1" indent="1"/>
    </xf>
    <xf numFmtId="0" fontId="0" fillId="18" borderId="0" xfId="0" applyNumberFormat="1" applyFill="1" applyAlignment="1">
      <alignment horizontal="left" vertical="center" wrapText="1"/>
    </xf>
    <xf numFmtId="0" fontId="1" fillId="18" borderId="0" xfId="0" applyNumberFormat="1" applyFont="1" applyFill="1" applyAlignment="1">
      <alignment horizontal="left" vertical="center" wrapText="1"/>
    </xf>
    <xf numFmtId="0" fontId="5" fillId="18" borderId="0" xfId="0" applyFont="1" applyFill="1" applyAlignment="1">
      <alignment horizontal="left" vertical="center" wrapText="1"/>
    </xf>
    <xf numFmtId="0" fontId="5" fillId="18" borderId="0" xfId="0" applyFont="1" applyFill="1" applyAlignment="1">
      <alignment horizontal="center" vertical="center"/>
    </xf>
    <xf numFmtId="0" fontId="1" fillId="18" borderId="0" xfId="0" applyFont="1" applyFill="1" applyAlignment="1">
      <alignment horizontal="left" vertical="center" indent="1"/>
    </xf>
    <xf numFmtId="0" fontId="0" fillId="18" borderId="12" xfId="0" applyFill="1" applyBorder="1" applyAlignment="1">
      <alignment horizontal="left" vertical="center" indent="1"/>
    </xf>
    <xf numFmtId="0" fontId="5" fillId="16" borderId="1" xfId="0" applyFont="1" applyFill="1" applyBorder="1" applyAlignment="1">
      <alignment horizontal="center" vertical="center" wrapText="1"/>
    </xf>
    <xf numFmtId="0" fontId="27" fillId="24" borderId="0" xfId="1" applyFont="1" applyFill="1" applyAlignment="1" applyProtection="1">
      <alignment horizontal="center" vertical="center" wrapText="1"/>
    </xf>
    <xf numFmtId="0" fontId="5" fillId="18" borderId="0" xfId="0" applyFont="1" applyFill="1" applyAlignment="1">
      <alignment horizontal="left" vertical="center" wrapText="1"/>
    </xf>
    <xf numFmtId="0" fontId="5" fillId="16" borderId="1" xfId="0" applyFont="1" applyFill="1" applyBorder="1" applyAlignment="1">
      <alignment horizontal="center" vertical="center" wrapText="1"/>
    </xf>
    <xf numFmtId="0" fontId="5" fillId="18" borderId="0" xfId="0" applyFont="1" applyFill="1" applyAlignment="1">
      <alignment horizontal="center" vertical="center" wrapText="1"/>
    </xf>
    <xf numFmtId="0" fontId="5" fillId="18" borderId="0" xfId="0" applyFont="1" applyFill="1" applyAlignment="1">
      <alignment horizontal="right" vertical="center" wrapText="1"/>
    </xf>
    <xf numFmtId="0" fontId="25" fillId="18" borderId="0" xfId="0" applyFont="1" applyFill="1" applyAlignment="1">
      <alignment horizontal="right" vertical="center" wrapText="1"/>
    </xf>
    <xf numFmtId="0" fontId="5" fillId="18" borderId="0" xfId="0" applyFont="1" applyFill="1" applyAlignment="1">
      <alignment horizontal="center" vertical="center" wrapText="1"/>
    </xf>
    <xf numFmtId="0" fontId="5" fillId="16" borderId="5" xfId="0" applyFont="1" applyFill="1" applyBorder="1" applyAlignment="1">
      <alignment horizontal="center" vertical="center" wrapText="1"/>
    </xf>
    <xf numFmtId="0" fontId="5" fillId="16" borderId="3" xfId="0" applyFont="1" applyFill="1" applyBorder="1" applyAlignment="1">
      <alignment horizontal="center" vertical="center" wrapText="1"/>
    </xf>
    <xf numFmtId="0" fontId="5" fillId="18" borderId="3" xfId="0" applyFont="1" applyFill="1" applyBorder="1" applyAlignment="1">
      <alignment horizontal="center" vertical="center" wrapText="1"/>
    </xf>
    <xf numFmtId="0" fontId="25" fillId="18" borderId="0" xfId="0" applyFont="1" applyFill="1" applyAlignment="1">
      <alignment vertical="center" wrapText="1"/>
    </xf>
    <xf numFmtId="0" fontId="5" fillId="18" borderId="24" xfId="0" applyFont="1" applyFill="1" applyBorder="1" applyAlignment="1">
      <alignment horizontal="center" vertical="center" wrapText="1"/>
    </xf>
    <xf numFmtId="0" fontId="25" fillId="18" borderId="24" xfId="0" applyFont="1" applyFill="1" applyBorder="1" applyAlignment="1">
      <alignment horizontal="center" vertical="center" wrapText="1"/>
    </xf>
    <xf numFmtId="0" fontId="25" fillId="16" borderId="3" xfId="0" applyFont="1" applyFill="1" applyBorder="1" applyAlignment="1">
      <alignment horizontal="center" vertical="center" wrapText="1"/>
    </xf>
    <xf numFmtId="0" fontId="25" fillId="18" borderId="3" xfId="0" applyFont="1" applyFill="1" applyBorder="1" applyAlignment="1">
      <alignment horizontal="center" vertical="center" wrapText="1"/>
    </xf>
    <xf numFmtId="0" fontId="25" fillId="16" borderId="5" xfId="0" applyFont="1" applyFill="1" applyBorder="1" applyAlignment="1">
      <alignment horizontal="center" vertical="center" wrapText="1"/>
    </xf>
    <xf numFmtId="0" fontId="5" fillId="16" borderId="32" xfId="0" applyFont="1" applyFill="1" applyBorder="1" applyAlignment="1">
      <alignment horizontal="left" vertical="center" wrapText="1" indent="1"/>
    </xf>
    <xf numFmtId="0" fontId="0" fillId="18" borderId="0" xfId="0" applyFill="1" applyAlignment="1">
      <alignment horizontal="left" vertical="center" wrapText="1"/>
    </xf>
    <xf numFmtId="0" fontId="0" fillId="18" borderId="0" xfId="0" applyFill="1" applyAlignment="1">
      <alignment horizontal="left" vertical="center"/>
    </xf>
    <xf numFmtId="0" fontId="5" fillId="16" borderId="3" xfId="0" applyFont="1" applyFill="1" applyBorder="1" applyAlignment="1">
      <alignment horizontal="left" vertical="center" wrapText="1"/>
    </xf>
    <xf numFmtId="0" fontId="27" fillId="24" borderId="0" xfId="1" applyFont="1" applyFill="1" applyAlignment="1" applyProtection="1">
      <alignment horizontal="center" vertical="center"/>
    </xf>
    <xf numFmtId="0" fontId="5" fillId="16" borderId="3" xfId="0" applyFont="1" applyFill="1" applyBorder="1" applyAlignment="1">
      <alignment horizontal="left" vertical="center" wrapText="1"/>
    </xf>
    <xf numFmtId="0" fontId="5" fillId="18" borderId="3" xfId="0" applyFont="1" applyFill="1" applyBorder="1" applyAlignment="1">
      <alignment horizontal="left" vertical="center" wrapText="1"/>
    </xf>
    <xf numFmtId="0" fontId="5" fillId="16" borderId="5" xfId="0" applyFont="1" applyFill="1" applyBorder="1" applyAlignment="1">
      <alignment horizontal="left" vertical="center" wrapText="1"/>
    </xf>
    <xf numFmtId="0" fontId="5" fillId="18" borderId="4" xfId="0" applyFont="1" applyFill="1" applyBorder="1" applyAlignment="1">
      <alignment horizontal="left" vertical="center"/>
    </xf>
    <xf numFmtId="0" fontId="5" fillId="16" borderId="2" xfId="0" applyFont="1" applyFill="1" applyBorder="1" applyAlignment="1">
      <alignment horizontal="left" vertical="center"/>
    </xf>
    <xf numFmtId="0" fontId="5" fillId="18" borderId="2" xfId="0" applyFont="1" applyFill="1" applyBorder="1" applyAlignment="1">
      <alignment horizontal="left" vertical="center"/>
    </xf>
    <xf numFmtId="0" fontId="5" fillId="18" borderId="3" xfId="0" applyFont="1" applyFill="1" applyBorder="1" applyAlignment="1">
      <alignment horizontal="left" vertical="center"/>
    </xf>
    <xf numFmtId="0" fontId="27" fillId="24" borderId="0" xfId="1" applyFont="1" applyFill="1" applyAlignment="1" applyProtection="1">
      <alignment horizontal="center" vertical="center"/>
    </xf>
    <xf numFmtId="0" fontId="28" fillId="16" borderId="42" xfId="0" applyFont="1" applyFill="1" applyBorder="1" applyAlignment="1">
      <alignment horizontal="left" vertical="center" wrapText="1"/>
    </xf>
    <xf numFmtId="0" fontId="28" fillId="18" borderId="42" xfId="0" applyFont="1" applyFill="1" applyBorder="1" applyAlignment="1">
      <alignment horizontal="left" vertical="center" wrapText="1"/>
    </xf>
    <xf numFmtId="0" fontId="5" fillId="18" borderId="1"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5" fillId="16" borderId="13" xfId="0" applyFont="1" applyFill="1" applyBorder="1" applyAlignment="1">
      <alignment horizontal="center" vertical="center" wrapText="1"/>
    </xf>
    <xf numFmtId="0" fontId="5" fillId="16" borderId="2" xfId="0" applyFont="1" applyFill="1" applyBorder="1" applyAlignment="1">
      <alignment horizontal="left" vertical="center"/>
    </xf>
    <xf numFmtId="0" fontId="5" fillId="18" borderId="15" xfId="0" applyFont="1" applyFill="1" applyBorder="1" applyAlignment="1">
      <alignment horizontal="center" vertical="center"/>
    </xf>
    <xf numFmtId="0" fontId="5" fillId="16" borderId="13" xfId="0" applyFont="1" applyFill="1" applyBorder="1" applyAlignment="1">
      <alignment horizontal="center" vertical="center"/>
    </xf>
    <xf numFmtId="0" fontId="5" fillId="16" borderId="5" xfId="0" applyFont="1" applyFill="1" applyBorder="1" applyAlignment="1">
      <alignment horizontal="center" vertical="center"/>
    </xf>
    <xf numFmtId="0" fontId="5" fillId="16" borderId="3" xfId="0" applyFont="1" applyFill="1" applyBorder="1" applyAlignment="1">
      <alignment horizontal="center" vertical="center" wrapText="1"/>
    </xf>
    <xf numFmtId="0" fontId="5" fillId="18" borderId="3" xfId="0" applyFont="1" applyFill="1" applyBorder="1" applyAlignment="1">
      <alignment horizontal="center" vertical="center" wrapText="1"/>
    </xf>
    <xf numFmtId="0" fontId="5" fillId="16" borderId="5" xfId="0" applyFont="1" applyFill="1" applyBorder="1" applyAlignment="1">
      <alignment horizontal="center" vertical="center" wrapText="1"/>
    </xf>
    <xf numFmtId="0" fontId="5" fillId="16" borderId="3" xfId="0" applyFont="1" applyFill="1" applyBorder="1" applyAlignment="1">
      <alignment horizontal="left" vertical="center" wrapText="1"/>
    </xf>
    <xf numFmtId="0" fontId="5" fillId="18" borderId="3" xfId="0" applyFont="1" applyFill="1" applyBorder="1" applyAlignment="1">
      <alignment horizontal="left" vertical="center" wrapText="1"/>
    </xf>
    <xf numFmtId="0" fontId="5" fillId="18" borderId="23" xfId="0" applyFont="1" applyFill="1" applyBorder="1" applyAlignment="1">
      <alignment horizontal="center" vertical="center"/>
    </xf>
    <xf numFmtId="0" fontId="5" fillId="16" borderId="21" xfId="0" applyFont="1" applyFill="1" applyBorder="1" applyAlignment="1">
      <alignment horizontal="center" vertical="center"/>
    </xf>
    <xf numFmtId="0" fontId="5" fillId="16" borderId="3" xfId="0" applyFont="1" applyFill="1" applyBorder="1" applyAlignment="1">
      <alignment horizontal="center" vertical="center"/>
    </xf>
    <xf numFmtId="0" fontId="5" fillId="18" borderId="21" xfId="0" applyFont="1" applyFill="1" applyBorder="1" applyAlignment="1">
      <alignment horizontal="center" vertical="center"/>
    </xf>
    <xf numFmtId="0" fontId="5" fillId="18" borderId="3" xfId="0" applyFont="1" applyFill="1" applyBorder="1" applyAlignment="1">
      <alignment horizontal="center" vertical="center"/>
    </xf>
    <xf numFmtId="0" fontId="5" fillId="16" borderId="22" xfId="0" applyFont="1" applyFill="1" applyBorder="1" applyAlignment="1">
      <alignment horizontal="center" vertical="center"/>
    </xf>
    <xf numFmtId="0" fontId="5" fillId="18" borderId="44" xfId="0" applyFont="1" applyFill="1" applyBorder="1" applyAlignment="1">
      <alignment horizontal="left" vertical="center" wrapText="1" indent="1"/>
    </xf>
    <xf numFmtId="0" fontId="5" fillId="18" borderId="31" xfId="0" applyFont="1" applyFill="1" applyBorder="1" applyAlignment="1">
      <alignment horizontal="left" vertical="center" wrapText="1" indent="1"/>
    </xf>
    <xf numFmtId="0" fontId="5" fillId="16" borderId="32" xfId="0" applyFont="1" applyFill="1" applyBorder="1" applyAlignment="1">
      <alignment horizontal="left" vertical="center" wrapText="1" indent="1"/>
    </xf>
    <xf numFmtId="0" fontId="5" fillId="18" borderId="1" xfId="0" applyFont="1" applyFill="1" applyBorder="1" applyAlignment="1">
      <alignment horizontal="center" vertical="center"/>
    </xf>
    <xf numFmtId="0" fontId="5" fillId="18" borderId="12" xfId="0" applyFont="1" applyFill="1" applyBorder="1" applyAlignment="1">
      <alignment horizontal="center" vertical="center"/>
    </xf>
    <xf numFmtId="0" fontId="5" fillId="16" borderId="1" xfId="0" applyFont="1" applyFill="1" applyBorder="1" applyAlignment="1">
      <alignment horizontal="center" vertical="center"/>
    </xf>
    <xf numFmtId="0" fontId="5" fillId="18" borderId="24" xfId="0" applyFont="1" applyFill="1" applyBorder="1" applyAlignment="1">
      <alignment horizontal="left" vertical="center" wrapText="1"/>
    </xf>
    <xf numFmtId="0" fontId="5" fillId="16" borderId="2" xfId="0" applyFont="1" applyFill="1" applyBorder="1" applyAlignment="1">
      <alignment horizontal="center" vertical="center"/>
    </xf>
    <xf numFmtId="0" fontId="5" fillId="16" borderId="4" xfId="0" applyFont="1" applyFill="1" applyBorder="1" applyAlignment="1">
      <alignment horizontal="center" vertical="center"/>
    </xf>
    <xf numFmtId="0" fontId="5" fillId="16" borderId="47" xfId="0" applyFont="1" applyFill="1" applyBorder="1" applyAlignment="1">
      <alignment horizontal="left" vertical="center"/>
    </xf>
    <xf numFmtId="0" fontId="5" fillId="18" borderId="44" xfId="0" applyFont="1" applyFill="1" applyBorder="1" applyAlignment="1">
      <alignment horizontal="center" vertical="center" wrapText="1"/>
    </xf>
    <xf numFmtId="0" fontId="28" fillId="18" borderId="20" xfId="0" applyFont="1" applyFill="1" applyBorder="1" applyAlignment="1">
      <alignment horizontal="left" vertical="center" wrapText="1"/>
    </xf>
    <xf numFmtId="0" fontId="28" fillId="18" borderId="12" xfId="0" applyFont="1" applyFill="1" applyBorder="1" applyAlignment="1">
      <alignment horizontal="left" vertical="center" wrapText="1"/>
    </xf>
    <xf numFmtId="0" fontId="5" fillId="18" borderId="60" xfId="0" applyFont="1" applyFill="1" applyBorder="1" applyAlignment="1">
      <alignment horizontal="left" vertical="center" wrapText="1" indent="1"/>
    </xf>
    <xf numFmtId="0" fontId="5" fillId="18" borderId="81" xfId="0" applyFont="1" applyFill="1" applyBorder="1" applyAlignment="1">
      <alignment horizontal="left" vertical="center" wrapText="1" indent="1"/>
    </xf>
    <xf numFmtId="0" fontId="5" fillId="18" borderId="26" xfId="0" applyFont="1" applyFill="1" applyBorder="1" applyAlignment="1">
      <alignment horizontal="center" vertical="center" wrapText="1"/>
    </xf>
    <xf numFmtId="0" fontId="5" fillId="16" borderId="68" xfId="0" applyFont="1" applyFill="1" applyBorder="1" applyAlignment="1">
      <alignment horizontal="left" vertical="center" wrapText="1" indent="1"/>
    </xf>
    <xf numFmtId="0" fontId="5" fillId="18" borderId="68" xfId="0" applyFont="1" applyFill="1" applyBorder="1" applyAlignment="1">
      <alignment horizontal="left" vertical="center" wrapText="1" indent="1"/>
    </xf>
    <xf numFmtId="0" fontId="64" fillId="16" borderId="17" xfId="0" applyFont="1" applyFill="1" applyBorder="1" applyAlignment="1">
      <alignment horizontal="center" vertical="center"/>
    </xf>
    <xf numFmtId="0" fontId="5" fillId="16" borderId="3" xfId="0" applyFont="1" applyFill="1" applyBorder="1" applyAlignment="1">
      <alignment horizontal="left" vertical="center" indent="1"/>
    </xf>
    <xf numFmtId="0" fontId="5" fillId="16" borderId="32" xfId="0" applyFont="1" applyFill="1" applyBorder="1" applyAlignment="1">
      <alignment horizontal="left" vertical="center" wrapText="1" indent="1"/>
    </xf>
    <xf numFmtId="0" fontId="28" fillId="0" borderId="0" xfId="0" applyFont="1" applyAlignment="1">
      <alignment horizontal="center" vertical="center" wrapText="1"/>
    </xf>
    <xf numFmtId="0" fontId="5" fillId="16" borderId="89" xfId="0" applyFont="1" applyFill="1" applyBorder="1" applyAlignment="1">
      <alignment horizontal="left" vertical="center" wrapText="1" indent="1"/>
    </xf>
    <xf numFmtId="0" fontId="5" fillId="18" borderId="89" xfId="0" applyFont="1" applyFill="1" applyBorder="1" applyAlignment="1">
      <alignment horizontal="left" vertical="center" wrapText="1" indent="1"/>
    </xf>
    <xf numFmtId="0" fontId="39" fillId="18" borderId="4" xfId="0" applyFont="1" applyFill="1" applyBorder="1" applyAlignment="1">
      <alignment horizontal="center" vertical="center"/>
    </xf>
    <xf numFmtId="3" fontId="26" fillId="31" borderId="8" xfId="0" applyNumberFormat="1" applyFont="1" applyFill="1" applyBorder="1" applyAlignment="1">
      <alignment horizontal="center" vertical="center" wrapText="1"/>
    </xf>
    <xf numFmtId="3" fontId="26" fillId="32" borderId="3" xfId="0" applyNumberFormat="1" applyFont="1" applyFill="1" applyBorder="1" applyAlignment="1">
      <alignment horizontal="center" vertical="center" wrapText="1"/>
    </xf>
    <xf numFmtId="3" fontId="26" fillId="31" borderId="3" xfId="0" applyNumberFormat="1" applyFont="1" applyFill="1" applyBorder="1" applyAlignment="1">
      <alignment horizontal="center" vertical="center" wrapText="1"/>
    </xf>
    <xf numFmtId="3" fontId="33" fillId="32" borderId="5" xfId="0" applyNumberFormat="1" applyFont="1" applyFill="1" applyBorder="1" applyAlignment="1">
      <alignment horizontal="center" vertical="center" wrapText="1"/>
    </xf>
    <xf numFmtId="3" fontId="26" fillId="20" borderId="50" xfId="0" applyNumberFormat="1" applyFont="1" applyFill="1" applyBorder="1" applyAlignment="1">
      <alignment horizontal="center" vertical="center" wrapText="1"/>
    </xf>
    <xf numFmtId="3" fontId="26" fillId="34" borderId="60" xfId="0" applyNumberFormat="1" applyFont="1" applyFill="1" applyBorder="1" applyAlignment="1">
      <alignment horizontal="center" vertical="center" wrapText="1"/>
    </xf>
    <xf numFmtId="3" fontId="26" fillId="20" borderId="60" xfId="0" applyNumberFormat="1" applyFont="1" applyFill="1" applyBorder="1" applyAlignment="1">
      <alignment horizontal="center" vertical="center" wrapText="1"/>
    </xf>
    <xf numFmtId="3" fontId="26" fillId="20" borderId="83" xfId="0" applyNumberFormat="1" applyFont="1" applyFill="1" applyBorder="1" applyAlignment="1">
      <alignment horizontal="center" vertical="center" wrapText="1"/>
    </xf>
    <xf numFmtId="3" fontId="26" fillId="33" borderId="8" xfId="0" applyNumberFormat="1" applyFont="1" applyFill="1" applyBorder="1" applyAlignment="1">
      <alignment horizontal="center" vertical="center" wrapText="1"/>
    </xf>
    <xf numFmtId="3" fontId="26" fillId="28" borderId="3" xfId="0" applyNumberFormat="1" applyFont="1" applyFill="1" applyBorder="1" applyAlignment="1">
      <alignment horizontal="center" vertical="center" wrapText="1"/>
    </xf>
    <xf numFmtId="3" fontId="26" fillId="33" borderId="3" xfId="0" applyNumberFormat="1" applyFont="1" applyFill="1" applyBorder="1" applyAlignment="1">
      <alignment horizontal="center" vertical="center" wrapText="1"/>
    </xf>
    <xf numFmtId="3" fontId="26" fillId="33" borderId="5" xfId="0" applyNumberFormat="1" applyFont="1" applyFill="1" applyBorder="1" applyAlignment="1">
      <alignment horizontal="center" vertical="center" wrapText="1"/>
    </xf>
    <xf numFmtId="3" fontId="26" fillId="29" borderId="60" xfId="0" applyNumberFormat="1" applyFont="1" applyFill="1" applyBorder="1" applyAlignment="1">
      <alignment horizontal="center" vertical="center" wrapText="1"/>
    </xf>
    <xf numFmtId="3" fontId="26" fillId="19" borderId="60" xfId="0" applyNumberFormat="1" applyFont="1" applyFill="1" applyBorder="1" applyAlignment="1">
      <alignment horizontal="center" vertical="center" wrapText="1"/>
    </xf>
    <xf numFmtId="3" fontId="26" fillId="19" borderId="83" xfId="0" applyNumberFormat="1" applyFont="1" applyFill="1" applyBorder="1" applyAlignment="1">
      <alignment horizontal="center" vertical="center" wrapText="1"/>
    </xf>
    <xf numFmtId="0" fontId="5" fillId="18" borderId="0" xfId="0" applyFont="1" applyFill="1" applyAlignment="1">
      <alignment horizontal="right" vertical="top"/>
    </xf>
    <xf numFmtId="0" fontId="5" fillId="18" borderId="0" xfId="0" applyFont="1" applyFill="1" applyAlignment="1">
      <alignment horizontal="left" vertical="top"/>
    </xf>
    <xf numFmtId="0" fontId="5" fillId="18" borderId="0" xfId="0" applyFont="1" applyFill="1" applyAlignment="1">
      <alignment horizontal="left" vertical="center" wrapText="1"/>
    </xf>
    <xf numFmtId="0" fontId="0" fillId="18" borderId="0" xfId="0" applyFill="1" applyAlignment="1">
      <alignment horizontal="center" vertical="center" wrapText="1"/>
    </xf>
    <xf numFmtId="0" fontId="5" fillId="18" borderId="0" xfId="0" applyFont="1" applyFill="1" applyAlignment="1">
      <alignment horizontal="center" vertical="center" wrapText="1"/>
    </xf>
    <xf numFmtId="0" fontId="27" fillId="24" borderId="0" xfId="1" applyFont="1" applyFill="1" applyAlignment="1" applyProtection="1">
      <alignment horizontal="center" vertical="center" wrapText="1"/>
    </xf>
    <xf numFmtId="0" fontId="0" fillId="18" borderId="0" xfId="0" applyFill="1" applyAlignment="1">
      <alignment horizontal="left" vertical="center" wrapText="1"/>
    </xf>
    <xf numFmtId="0" fontId="5" fillId="18" borderId="0" xfId="0" applyFont="1" applyFill="1" applyAlignment="1">
      <alignment horizontal="left" vertical="center" wrapText="1"/>
    </xf>
    <xf numFmtId="0" fontId="5" fillId="18" borderId="0" xfId="0" applyFont="1" applyFill="1" applyAlignment="1">
      <alignment horizontal="left" vertical="center"/>
    </xf>
    <xf numFmtId="0" fontId="0" fillId="18" borderId="0" xfId="0" applyFill="1" applyAlignment="1">
      <alignment horizontal="center" vertical="center" wrapText="1"/>
    </xf>
    <xf numFmtId="0" fontId="5" fillId="18" borderId="0" xfId="0" applyFont="1" applyFill="1" applyBorder="1" applyAlignment="1">
      <alignment horizontal="left" vertical="center"/>
    </xf>
    <xf numFmtId="0" fontId="5" fillId="18" borderId="0" xfId="0" applyFont="1" applyFill="1" applyAlignment="1">
      <alignment horizontal="center" vertical="center" wrapText="1"/>
    </xf>
    <xf numFmtId="0" fontId="5" fillId="18" borderId="0" xfId="0" applyFont="1" applyFill="1" applyAlignment="1">
      <alignment horizontal="left" vertical="center"/>
    </xf>
    <xf numFmtId="0" fontId="107" fillId="18" borderId="0" xfId="0" applyFont="1" applyFill="1" applyAlignment="1">
      <alignment vertical="center" wrapText="1"/>
    </xf>
    <xf numFmtId="0" fontId="106" fillId="18" borderId="0" xfId="0" applyFont="1" applyFill="1" applyAlignment="1">
      <alignment vertical="center" wrapText="1"/>
    </xf>
    <xf numFmtId="0" fontId="5" fillId="18" borderId="0" xfId="0" applyFont="1" applyFill="1" applyAlignment="1">
      <alignment wrapText="1"/>
    </xf>
    <xf numFmtId="0" fontId="108" fillId="18" borderId="0" xfId="0" applyFont="1" applyFill="1" applyAlignment="1">
      <alignment vertical="center"/>
    </xf>
    <xf numFmtId="0" fontId="18" fillId="18" borderId="42" xfId="0" applyFont="1" applyFill="1" applyBorder="1" applyAlignment="1">
      <alignment horizontal="left" vertical="center" wrapText="1"/>
    </xf>
    <xf numFmtId="0" fontId="99" fillId="16" borderId="42" xfId="0" applyFont="1" applyFill="1" applyBorder="1" applyAlignment="1">
      <alignment horizontal="left" vertical="center" wrapText="1"/>
    </xf>
    <xf numFmtId="0" fontId="52" fillId="16" borderId="42" xfId="0" applyFont="1" applyFill="1" applyBorder="1" applyAlignment="1">
      <alignment horizontal="left" vertical="center" wrapText="1"/>
    </xf>
    <xf numFmtId="0" fontId="18" fillId="16" borderId="42" xfId="0" applyFont="1" applyFill="1" applyBorder="1" applyAlignment="1">
      <alignment horizontal="left" vertical="center" wrapText="1"/>
    </xf>
    <xf numFmtId="0" fontId="18" fillId="18" borderId="43" xfId="0" applyFont="1" applyFill="1" applyBorder="1" applyAlignment="1">
      <alignment horizontal="left" vertical="center" wrapText="1"/>
    </xf>
    <xf numFmtId="0" fontId="18" fillId="18" borderId="68" xfId="0" applyFont="1" applyFill="1" applyBorder="1" applyAlignment="1">
      <alignment horizontal="left" vertical="center" wrapText="1"/>
    </xf>
    <xf numFmtId="0" fontId="52" fillId="16" borderId="89" xfId="0" applyFont="1" applyFill="1" applyBorder="1" applyAlignment="1">
      <alignment horizontal="left" vertical="center" wrapText="1"/>
    </xf>
    <xf numFmtId="0" fontId="18" fillId="18" borderId="44" xfId="0" applyFont="1" applyFill="1" applyBorder="1" applyAlignment="1">
      <alignment horizontal="left" vertical="center" wrapText="1"/>
    </xf>
    <xf numFmtId="0" fontId="52" fillId="16" borderId="43" xfId="0" applyFont="1" applyFill="1" applyBorder="1" applyAlignment="1">
      <alignment horizontal="left" vertical="center" wrapText="1"/>
    </xf>
    <xf numFmtId="3" fontId="12" fillId="18" borderId="44" xfId="0" applyNumberFormat="1" applyFont="1" applyFill="1" applyBorder="1" applyAlignment="1">
      <alignment horizontal="center" vertical="center" wrapText="1"/>
    </xf>
    <xf numFmtId="3" fontId="12" fillId="16" borderId="42" xfId="0" applyNumberFormat="1" applyFont="1" applyFill="1" applyBorder="1" applyAlignment="1">
      <alignment horizontal="center" vertical="center" wrapText="1"/>
    </xf>
    <xf numFmtId="3" fontId="12" fillId="18" borderId="42" xfId="0" applyNumberFormat="1" applyFont="1" applyFill="1" applyBorder="1" applyAlignment="1">
      <alignment horizontal="center" vertical="center" wrapText="1"/>
    </xf>
    <xf numFmtId="3" fontId="12" fillId="16" borderId="43" xfId="0" applyNumberFormat="1" applyFont="1" applyFill="1" applyBorder="1" applyAlignment="1">
      <alignment horizontal="center" vertical="center" wrapText="1"/>
    </xf>
    <xf numFmtId="3" fontId="12" fillId="18" borderId="68" xfId="0" applyNumberFormat="1" applyFont="1" applyFill="1" applyBorder="1" applyAlignment="1">
      <alignment horizontal="center" vertical="center" wrapText="1"/>
    </xf>
    <xf numFmtId="3" fontId="12" fillId="16" borderId="89" xfId="0" applyNumberFormat="1" applyFont="1" applyFill="1" applyBorder="1" applyAlignment="1">
      <alignment horizontal="center" vertical="center" wrapText="1"/>
    </xf>
    <xf numFmtId="3" fontId="12" fillId="18" borderId="43" xfId="0" applyNumberFormat="1" applyFont="1" applyFill="1" applyBorder="1" applyAlignment="1">
      <alignment horizontal="center" vertical="center" wrapText="1"/>
    </xf>
    <xf numFmtId="0" fontId="0" fillId="25" borderId="54" xfId="0" applyFill="1" applyBorder="1" applyAlignment="1">
      <alignment horizontal="center" vertical="center" wrapText="1"/>
    </xf>
    <xf numFmtId="0" fontId="0" fillId="25" borderId="36" xfId="0" applyFill="1" applyBorder="1" applyAlignment="1">
      <alignment horizontal="center" vertical="center" wrapText="1"/>
    </xf>
    <xf numFmtId="0" fontId="0" fillId="25" borderId="56" xfId="0" applyFill="1" applyBorder="1" applyAlignment="1">
      <alignment horizontal="center" vertical="center" wrapText="1"/>
    </xf>
    <xf numFmtId="0" fontId="0" fillId="16" borderId="37" xfId="0" applyFill="1" applyBorder="1" applyAlignment="1">
      <alignment horizontal="center" vertical="center" wrapText="1"/>
    </xf>
    <xf numFmtId="0" fontId="0" fillId="16" borderId="47" xfId="0" applyFill="1" applyBorder="1" applyAlignment="1">
      <alignment horizontal="center" vertical="center" wrapText="1"/>
    </xf>
    <xf numFmtId="0" fontId="110" fillId="18" borderId="2" xfId="0" applyFont="1" applyFill="1" applyBorder="1" applyAlignment="1">
      <alignment horizontal="center" vertical="center" wrapText="1"/>
    </xf>
    <xf numFmtId="0" fontId="110" fillId="16" borderId="2" xfId="0" applyFont="1" applyFill="1" applyBorder="1" applyAlignment="1">
      <alignment horizontal="center" vertical="center" wrapText="1"/>
    </xf>
    <xf numFmtId="0" fontId="110" fillId="16" borderId="61" xfId="0" applyFont="1" applyFill="1" applyBorder="1" applyAlignment="1">
      <alignment horizontal="center" vertical="center" wrapText="1"/>
    </xf>
    <xf numFmtId="0" fontId="110" fillId="18" borderId="1" xfId="0" applyFont="1" applyFill="1" applyBorder="1" applyAlignment="1">
      <alignment horizontal="center" vertical="center" wrapText="1"/>
    </xf>
    <xf numFmtId="0" fontId="110" fillId="16" borderId="37" xfId="0" applyFont="1" applyFill="1" applyBorder="1" applyAlignment="1">
      <alignment horizontal="center" vertical="center" wrapText="1"/>
    </xf>
    <xf numFmtId="0" fontId="110" fillId="16" borderId="4" xfId="0" applyFont="1" applyFill="1" applyBorder="1" applyAlignment="1">
      <alignment horizontal="center" vertical="center" wrapText="1"/>
    </xf>
    <xf numFmtId="0" fontId="110" fillId="16" borderId="1" xfId="0" applyFont="1" applyFill="1" applyBorder="1" applyAlignment="1">
      <alignment horizontal="center" vertical="center" wrapText="1"/>
    </xf>
    <xf numFmtId="0" fontId="110" fillId="16" borderId="13" xfId="0" applyFont="1" applyFill="1" applyBorder="1" applyAlignment="1">
      <alignment horizontal="center" vertical="center" wrapText="1"/>
    </xf>
    <xf numFmtId="0" fontId="110" fillId="18" borderId="4" xfId="0" applyFont="1" applyFill="1" applyBorder="1" applyAlignment="1">
      <alignment horizontal="center" vertical="center" wrapText="1"/>
    </xf>
    <xf numFmtId="0" fontId="110" fillId="18" borderId="13" xfId="0" applyFont="1" applyFill="1" applyBorder="1" applyAlignment="1">
      <alignment horizontal="center" vertical="center" wrapText="1"/>
    </xf>
    <xf numFmtId="0" fontId="5" fillId="18" borderId="0" xfId="0" applyFont="1" applyFill="1" applyBorder="1" applyAlignment="1">
      <alignment horizontal="left" vertical="center" wrapText="1"/>
    </xf>
    <xf numFmtId="0" fontId="5" fillId="18" borderId="0" xfId="0" applyFont="1" applyFill="1" applyAlignment="1">
      <alignment horizontal="center"/>
    </xf>
    <xf numFmtId="0" fontId="0" fillId="18" borderId="0" xfId="0" applyFont="1" applyFill="1" applyBorder="1" applyAlignment="1">
      <alignment vertical="center"/>
    </xf>
    <xf numFmtId="0" fontId="0" fillId="18" borderId="24" xfId="0" applyFill="1" applyBorder="1" applyAlignment="1">
      <alignment horizontal="center" vertical="center"/>
    </xf>
    <xf numFmtId="49" fontId="42" fillId="18" borderId="0" xfId="0" applyNumberFormat="1" applyFont="1" applyFill="1" applyBorder="1" applyAlignment="1">
      <alignment horizontal="left" vertical="center" wrapText="1"/>
    </xf>
    <xf numFmtId="49" fontId="42" fillId="18" borderId="0" xfId="0" applyNumberFormat="1" applyFont="1" applyFill="1"/>
    <xf numFmtId="0" fontId="5" fillId="18" borderId="0" xfId="0" applyNumberFormat="1" applyFont="1" applyFill="1" applyAlignment="1">
      <alignment horizontal="left" vertical="center" wrapText="1"/>
    </xf>
    <xf numFmtId="0" fontId="27" fillId="24" borderId="0" xfId="1" applyFont="1" applyFill="1" applyAlignment="1" applyProtection="1">
      <alignment horizontal="center" vertical="center"/>
    </xf>
    <xf numFmtId="0" fontId="5" fillId="18" borderId="2" xfId="0" applyFont="1" applyFill="1" applyBorder="1" applyAlignment="1">
      <alignment horizontal="left" vertical="center" wrapText="1" indent="1"/>
    </xf>
    <xf numFmtId="0" fontId="5" fillId="18" borderId="9" xfId="0" applyFont="1" applyFill="1" applyBorder="1" applyAlignment="1">
      <alignment horizontal="left" vertical="center" wrapText="1" indent="1"/>
    </xf>
    <xf numFmtId="0" fontId="5" fillId="18" borderId="0" xfId="0" applyFont="1" applyFill="1" applyAlignment="1">
      <alignment horizontal="center" vertical="center"/>
    </xf>
    <xf numFmtId="0" fontId="21" fillId="18" borderId="0" xfId="0" applyFont="1" applyFill="1" applyAlignment="1">
      <alignment horizontal="center" vertical="center" wrapText="1"/>
    </xf>
    <xf numFmtId="0" fontId="28" fillId="18" borderId="8" xfId="0" applyFont="1" applyFill="1" applyBorder="1" applyAlignment="1">
      <alignment horizontal="center" vertical="center" wrapText="1"/>
    </xf>
    <xf numFmtId="0" fontId="28" fillId="18" borderId="3" xfId="0" applyFont="1" applyFill="1" applyBorder="1" applyAlignment="1">
      <alignment horizontal="center" vertical="center" wrapText="1"/>
    </xf>
    <xf numFmtId="0" fontId="28" fillId="18" borderId="5" xfId="0" applyFont="1" applyFill="1" applyBorder="1" applyAlignment="1">
      <alignment horizontal="center" vertical="center" wrapText="1"/>
    </xf>
    <xf numFmtId="0" fontId="116" fillId="16" borderId="3" xfId="0" applyFont="1" applyFill="1" applyBorder="1" applyAlignment="1">
      <alignment horizontal="center" vertical="center" wrapText="1"/>
    </xf>
    <xf numFmtId="0" fontId="116" fillId="16" borderId="47" xfId="0" applyFont="1" applyFill="1" applyBorder="1" applyAlignment="1">
      <alignment horizontal="center" vertical="center" wrapText="1"/>
    </xf>
    <xf numFmtId="0" fontId="116" fillId="16" borderId="5" xfId="0" applyFont="1" applyFill="1" applyBorder="1" applyAlignment="1">
      <alignment horizontal="center" vertical="center" wrapText="1"/>
    </xf>
    <xf numFmtId="0" fontId="68" fillId="16" borderId="42" xfId="0" applyFont="1" applyFill="1" applyBorder="1" applyAlignment="1">
      <alignment vertical="center"/>
    </xf>
    <xf numFmtId="0" fontId="68" fillId="18" borderId="42" xfId="0" applyFont="1" applyFill="1" applyBorder="1" applyAlignment="1">
      <alignment vertical="center"/>
    </xf>
    <xf numFmtId="0" fontId="68" fillId="18" borderId="42" xfId="0" applyFont="1" applyFill="1" applyBorder="1" applyAlignment="1">
      <alignment vertical="center" wrapText="1"/>
    </xf>
    <xf numFmtId="0" fontId="68" fillId="16" borderId="42" xfId="0" applyFont="1" applyFill="1" applyBorder="1" applyAlignment="1">
      <alignment vertical="center" wrapText="1"/>
    </xf>
    <xf numFmtId="0" fontId="68" fillId="18" borderId="43" xfId="0" applyFont="1" applyFill="1" applyBorder="1" applyAlignment="1">
      <alignment vertical="center"/>
    </xf>
    <xf numFmtId="0" fontId="5" fillId="18" borderId="33" xfId="0" applyNumberFormat="1" applyFont="1" applyFill="1" applyBorder="1" applyAlignment="1">
      <alignment horizontal="left" vertical="center" wrapText="1"/>
    </xf>
    <xf numFmtId="0" fontId="30" fillId="18" borderId="42" xfId="0" applyFont="1" applyFill="1" applyBorder="1" applyAlignment="1">
      <alignment vertical="center" wrapText="1"/>
    </xf>
    <xf numFmtId="0" fontId="72" fillId="18" borderId="0" xfId="0" applyFont="1" applyFill="1" applyAlignment="1">
      <alignment vertical="center" wrapText="1"/>
    </xf>
    <xf numFmtId="0" fontId="59" fillId="18" borderId="2" xfId="0" applyFont="1" applyFill="1" applyBorder="1"/>
    <xf numFmtId="0" fontId="59" fillId="19" borderId="2" xfId="0" applyFont="1" applyFill="1" applyBorder="1"/>
    <xf numFmtId="0" fontId="59" fillId="23" borderId="2" xfId="0" applyFont="1" applyFill="1" applyBorder="1"/>
    <xf numFmtId="0" fontId="59" fillId="18" borderId="9" xfId="0" applyFont="1" applyFill="1" applyBorder="1"/>
    <xf numFmtId="0" fontId="59" fillId="19" borderId="9" xfId="0" applyFont="1" applyFill="1" applyBorder="1"/>
    <xf numFmtId="0" fontId="59" fillId="18" borderId="52" xfId="0" applyFont="1" applyFill="1" applyBorder="1"/>
    <xf numFmtId="0" fontId="0" fillId="18" borderId="53" xfId="0" applyFill="1" applyBorder="1" applyAlignment="1">
      <alignment horizontal="center" vertical="center"/>
    </xf>
    <xf numFmtId="0" fontId="59" fillId="23" borderId="9" xfId="0" applyFont="1" applyFill="1" applyBorder="1"/>
    <xf numFmtId="0" fontId="59" fillId="19" borderId="66" xfId="0" applyFont="1" applyFill="1" applyBorder="1"/>
    <xf numFmtId="0" fontId="0" fillId="18" borderId="64" xfId="0" applyFill="1" applyBorder="1" applyAlignment="1">
      <alignment horizontal="center" vertical="center"/>
    </xf>
    <xf numFmtId="0" fontId="59" fillId="23" borderId="66" xfId="0" applyFont="1" applyFill="1" applyBorder="1"/>
    <xf numFmtId="0" fontId="59" fillId="18" borderId="66" xfId="0" applyFont="1" applyFill="1" applyBorder="1"/>
    <xf numFmtId="0" fontId="59" fillId="23" borderId="108" xfId="0" applyFont="1" applyFill="1" applyBorder="1"/>
    <xf numFmtId="0" fontId="0" fillId="18" borderId="109" xfId="0" applyFill="1" applyBorder="1" applyAlignment="1">
      <alignment horizontal="center" vertical="center"/>
    </xf>
    <xf numFmtId="0" fontId="59" fillId="18" borderId="108" xfId="0" applyFont="1" applyFill="1" applyBorder="1"/>
    <xf numFmtId="0" fontId="59" fillId="19" borderId="108" xfId="0" applyFont="1" applyFill="1" applyBorder="1"/>
    <xf numFmtId="0" fontId="59" fillId="18" borderId="10" xfId="0" applyFont="1" applyFill="1" applyBorder="1"/>
    <xf numFmtId="0" fontId="0" fillId="18" borderId="80" xfId="0" applyFill="1" applyBorder="1" applyAlignment="1">
      <alignment horizontal="center" vertical="center"/>
    </xf>
    <xf numFmtId="0" fontId="59" fillId="23" borderId="11" xfId="0" applyFont="1" applyFill="1" applyBorder="1"/>
    <xf numFmtId="0" fontId="59" fillId="23" borderId="10" xfId="0" applyFont="1" applyFill="1" applyBorder="1"/>
    <xf numFmtId="0" fontId="0" fillId="18" borderId="110" xfId="0" applyFill="1" applyBorder="1" applyAlignment="1">
      <alignment horizontal="center" vertical="center"/>
    </xf>
    <xf numFmtId="0" fontId="7" fillId="15" borderId="39" xfId="0" applyFont="1" applyFill="1" applyBorder="1" applyAlignment="1">
      <alignment horizontal="center" vertical="center"/>
    </xf>
    <xf numFmtId="0" fontId="59" fillId="19" borderId="111" xfId="0" applyFont="1" applyFill="1" applyBorder="1"/>
    <xf numFmtId="0" fontId="59" fillId="18" borderId="111" xfId="0" applyFont="1" applyFill="1" applyBorder="1"/>
    <xf numFmtId="0" fontId="59" fillId="19" borderId="11" xfId="0" applyFont="1" applyFill="1" applyBorder="1"/>
    <xf numFmtId="0" fontId="25" fillId="15" borderId="6" xfId="0" applyFont="1" applyFill="1" applyBorder="1" applyAlignment="1">
      <alignment horizontal="center" vertical="center"/>
    </xf>
    <xf numFmtId="0" fontId="25" fillId="15" borderId="34" xfId="0" applyFont="1" applyFill="1" applyBorder="1" applyAlignment="1">
      <alignment horizontal="center" vertical="center"/>
    </xf>
    <xf numFmtId="0" fontId="28" fillId="35" borderId="1" xfId="0" applyFont="1" applyFill="1" applyBorder="1" applyAlignment="1">
      <alignment horizontal="left" vertical="center" wrapText="1"/>
    </xf>
    <xf numFmtId="0" fontId="28" fillId="24" borderId="1" xfId="0" applyFont="1" applyFill="1" applyBorder="1" applyAlignment="1">
      <alignment horizontal="left" vertical="center" wrapText="1"/>
    </xf>
    <xf numFmtId="0" fontId="5" fillId="18" borderId="0" xfId="0" applyFont="1" applyFill="1" applyAlignment="1">
      <alignment horizontal="left" vertical="center"/>
    </xf>
    <xf numFmtId="0" fontId="27" fillId="24" borderId="0" xfId="1" applyFont="1" applyFill="1" applyAlignment="1" applyProtection="1">
      <alignment horizontal="center" vertical="center"/>
    </xf>
    <xf numFmtId="0" fontId="26" fillId="18" borderId="0" xfId="0" applyFont="1" applyFill="1" applyAlignment="1">
      <alignment horizontal="left" vertical="center" wrapText="1"/>
    </xf>
    <xf numFmtId="0" fontId="5" fillId="18" borderId="0" xfId="0" applyFont="1" applyFill="1" applyAlignment="1">
      <alignment horizontal="center" vertical="center"/>
    </xf>
    <xf numFmtId="0" fontId="33" fillId="18" borderId="0" xfId="0" applyFont="1" applyFill="1" applyAlignment="1">
      <alignment horizontal="left" vertical="center" wrapText="1"/>
    </xf>
    <xf numFmtId="0" fontId="65" fillId="18" borderId="0" xfId="0" applyFont="1" applyFill="1" applyAlignment="1">
      <alignment vertical="center"/>
    </xf>
    <xf numFmtId="0" fontId="118" fillId="24" borderId="0" xfId="1" applyFont="1" applyFill="1" applyAlignment="1" applyProtection="1">
      <alignment horizontal="center" vertical="center"/>
    </xf>
    <xf numFmtId="0" fontId="119" fillId="18" borderId="0" xfId="0" applyFont="1" applyFill="1" applyAlignment="1">
      <alignment vertical="center"/>
    </xf>
    <xf numFmtId="0" fontId="120" fillId="18" borderId="0" xfId="0" applyFont="1" applyFill="1" applyAlignment="1">
      <alignment vertical="center"/>
    </xf>
    <xf numFmtId="0" fontId="65" fillId="18" borderId="0" xfId="0" applyFont="1" applyFill="1" applyAlignment="1">
      <alignment horizontal="center" vertical="center"/>
    </xf>
    <xf numFmtId="0" fontId="66" fillId="15" borderId="90" xfId="0" applyFont="1" applyFill="1" applyBorder="1" applyAlignment="1">
      <alignment horizontal="center" vertical="center"/>
    </xf>
    <xf numFmtId="0" fontId="66" fillId="15" borderId="7" xfId="0" applyFont="1" applyFill="1" applyBorder="1" applyAlignment="1">
      <alignment horizontal="center" vertical="center"/>
    </xf>
    <xf numFmtId="0" fontId="5" fillId="18" borderId="9" xfId="0" applyFont="1" applyFill="1" applyBorder="1" applyAlignment="1">
      <alignment vertical="center" wrapText="1"/>
    </xf>
    <xf numFmtId="0" fontId="5" fillId="18" borderId="23" xfId="0" applyFont="1" applyFill="1" applyBorder="1" applyAlignment="1">
      <alignment vertical="center" wrapText="1"/>
    </xf>
    <xf numFmtId="0" fontId="5" fillId="16" borderId="2" xfId="0" applyFont="1" applyFill="1" applyBorder="1" applyAlignment="1">
      <alignment vertical="center" wrapText="1"/>
    </xf>
    <xf numFmtId="0" fontId="5" fillId="16" borderId="21" xfId="0" applyFont="1" applyFill="1" applyBorder="1" applyAlignment="1">
      <alignment vertical="center" wrapText="1"/>
    </xf>
    <xf numFmtId="0" fontId="5" fillId="18" borderId="2" xfId="0" applyFont="1" applyFill="1" applyBorder="1" applyAlignment="1">
      <alignment vertical="center" wrapText="1"/>
    </xf>
    <xf numFmtId="0" fontId="5" fillId="18" borderId="21" xfId="0" applyFont="1" applyFill="1" applyBorder="1" applyAlignment="1">
      <alignment vertical="center" wrapText="1"/>
    </xf>
    <xf numFmtId="0" fontId="5" fillId="16" borderId="4" xfId="0" applyFont="1" applyFill="1" applyBorder="1" applyAlignment="1">
      <alignment vertical="center" wrapText="1"/>
    </xf>
    <xf numFmtId="0" fontId="5" fillId="18" borderId="0" xfId="0" applyFont="1" applyFill="1" applyAlignment="1">
      <alignment horizontal="left" vertical="center"/>
    </xf>
    <xf numFmtId="0" fontId="26" fillId="18" borderId="0" xfId="0" applyFont="1" applyFill="1" applyAlignment="1">
      <alignment horizontal="left" vertical="center" wrapText="1"/>
    </xf>
    <xf numFmtId="0" fontId="33" fillId="18" borderId="0" xfId="0" applyFont="1" applyFill="1" applyAlignment="1">
      <alignment horizontal="left" vertical="center" wrapText="1"/>
    </xf>
    <xf numFmtId="0" fontId="26" fillId="18" borderId="0" xfId="0" applyFont="1" applyFill="1" applyAlignment="1">
      <alignment horizontal="right" vertical="center" wrapText="1"/>
    </xf>
    <xf numFmtId="0" fontId="5" fillId="18" borderId="0" xfId="0" applyFont="1" applyFill="1" applyAlignment="1">
      <alignment horizontal="left" vertical="center" wrapText="1"/>
    </xf>
    <xf numFmtId="0" fontId="5" fillId="16" borderId="89" xfId="0" applyFont="1" applyFill="1" applyBorder="1" applyAlignment="1">
      <alignment horizontal="center" vertical="center" wrapText="1"/>
    </xf>
    <xf numFmtId="0" fontId="5" fillId="18" borderId="89" xfId="0" applyFont="1" applyFill="1" applyBorder="1" applyAlignment="1">
      <alignment horizontal="center" vertical="center" wrapText="1"/>
    </xf>
    <xf numFmtId="0" fontId="5" fillId="18" borderId="82" xfId="0" applyFont="1" applyFill="1" applyBorder="1" applyAlignment="1">
      <alignment horizontal="center" vertical="center" wrapText="1"/>
    </xf>
    <xf numFmtId="0" fontId="28" fillId="18" borderId="42" xfId="0" applyFont="1" applyFill="1" applyBorder="1" applyAlignment="1">
      <alignment horizontal="left" vertical="center" wrapText="1"/>
    </xf>
    <xf numFmtId="0" fontId="28" fillId="18" borderId="37" xfId="0" applyFont="1" applyFill="1" applyBorder="1" applyAlignment="1">
      <alignment horizontal="left" vertical="center" wrapText="1"/>
    </xf>
    <xf numFmtId="0" fontId="28" fillId="18" borderId="47" xfId="0" applyFont="1" applyFill="1" applyBorder="1" applyAlignment="1">
      <alignment horizontal="left" vertical="center" wrapText="1"/>
    </xf>
    <xf numFmtId="0" fontId="28" fillId="18" borderId="44" xfId="0" applyFont="1" applyFill="1" applyBorder="1" applyAlignment="1">
      <alignment horizontal="left" vertical="center" wrapText="1"/>
    </xf>
    <xf numFmtId="0" fontId="28" fillId="18" borderId="42" xfId="0" applyFont="1" applyFill="1" applyBorder="1" applyAlignment="1">
      <alignment vertical="center" wrapText="1"/>
    </xf>
    <xf numFmtId="0" fontId="5" fillId="16" borderId="42" xfId="0" applyFont="1" applyFill="1" applyBorder="1" applyAlignment="1">
      <alignment horizontal="left" vertical="center" wrapText="1"/>
    </xf>
    <xf numFmtId="0" fontId="5" fillId="18" borderId="42" xfId="0" applyFont="1" applyFill="1" applyBorder="1" applyAlignment="1">
      <alignment horizontal="left" vertical="center" wrapText="1"/>
    </xf>
    <xf numFmtId="0" fontId="5" fillId="18" borderId="21" xfId="0" applyFont="1" applyFill="1" applyBorder="1" applyAlignment="1">
      <alignment horizontal="center" vertical="center" wrapText="1"/>
    </xf>
    <xf numFmtId="0" fontId="5" fillId="18" borderId="1" xfId="0" applyFont="1" applyFill="1" applyBorder="1" applyAlignment="1">
      <alignment horizontal="center" vertical="center" wrapText="1"/>
    </xf>
    <xf numFmtId="0" fontId="5" fillId="16" borderId="21"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0" fillId="18" borderId="0" xfId="0" applyNumberFormat="1" applyFill="1" applyAlignment="1">
      <alignment vertical="center" wrapText="1"/>
    </xf>
    <xf numFmtId="0" fontId="5" fillId="18" borderId="15" xfId="0" applyFont="1" applyFill="1" applyBorder="1" applyAlignment="1">
      <alignment horizontal="center" vertical="center"/>
    </xf>
    <xf numFmtId="0" fontId="5" fillId="18" borderId="8" xfId="0" applyFont="1" applyFill="1" applyBorder="1" applyAlignment="1">
      <alignment horizontal="center" vertical="center"/>
    </xf>
    <xf numFmtId="0" fontId="5" fillId="16" borderId="13" xfId="0" applyFont="1" applyFill="1" applyBorder="1" applyAlignment="1">
      <alignment horizontal="center" vertical="center"/>
    </xf>
    <xf numFmtId="0" fontId="5" fillId="16" borderId="5" xfId="0" applyFont="1" applyFill="1" applyBorder="1" applyAlignment="1">
      <alignment horizontal="center" vertical="center"/>
    </xf>
    <xf numFmtId="0" fontId="5" fillId="16" borderId="3" xfId="0" applyFont="1" applyFill="1" applyBorder="1" applyAlignment="1">
      <alignment horizontal="center" vertical="center" wrapText="1"/>
    </xf>
    <xf numFmtId="0" fontId="5" fillId="18" borderId="2" xfId="0" applyFont="1" applyFill="1" applyBorder="1" applyAlignment="1">
      <alignment horizontal="center" vertical="center" wrapText="1"/>
    </xf>
    <xf numFmtId="0" fontId="5" fillId="18" borderId="3"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16" borderId="22" xfId="0" applyFont="1" applyFill="1" applyBorder="1" applyAlignment="1">
      <alignment horizontal="center" vertical="center"/>
    </xf>
    <xf numFmtId="0" fontId="5" fillId="18" borderId="31" xfId="0" applyFont="1" applyFill="1" applyBorder="1" applyAlignment="1">
      <alignment horizontal="left" vertical="center" wrapText="1" indent="1"/>
    </xf>
    <xf numFmtId="0" fontId="5" fillId="16" borderId="32" xfId="0" applyFont="1" applyFill="1" applyBorder="1" applyAlignment="1">
      <alignment horizontal="left" vertical="center" wrapText="1" indent="1"/>
    </xf>
    <xf numFmtId="0" fontId="35" fillId="18" borderId="0" xfId="0" applyFont="1" applyFill="1" applyAlignment="1">
      <alignment horizontal="center" vertical="center"/>
    </xf>
    <xf numFmtId="0" fontId="5" fillId="16" borderId="5" xfId="0" applyNumberFormat="1" applyFont="1" applyFill="1" applyBorder="1" applyAlignment="1">
      <alignment horizontal="left" vertical="center" wrapText="1"/>
    </xf>
    <xf numFmtId="0" fontId="5" fillId="18" borderId="4" xfId="0" applyFont="1" applyFill="1" applyBorder="1" applyAlignment="1">
      <alignment horizontal="center" vertical="center" wrapText="1"/>
    </xf>
    <xf numFmtId="0" fontId="5" fillId="18" borderId="5" xfId="0" applyFont="1" applyFill="1" applyBorder="1" applyAlignment="1">
      <alignment horizontal="center" vertical="center" wrapText="1"/>
    </xf>
    <xf numFmtId="0" fontId="5" fillId="18" borderId="12" xfId="0" applyFont="1" applyFill="1" applyBorder="1" applyAlignment="1">
      <alignment horizontal="center" vertical="center"/>
    </xf>
    <xf numFmtId="0" fontId="5" fillId="18" borderId="24" xfId="0" applyFont="1" applyFill="1" applyBorder="1" applyAlignment="1">
      <alignment horizontal="center" vertical="center"/>
    </xf>
    <xf numFmtId="0" fontId="0" fillId="18" borderId="32" xfId="0" applyFill="1" applyBorder="1" applyAlignment="1">
      <alignment horizontal="left" vertical="center" wrapText="1"/>
    </xf>
    <xf numFmtId="0" fontId="5" fillId="16" borderId="4" xfId="0" applyFont="1" applyFill="1" applyBorder="1" applyAlignment="1">
      <alignment horizontal="center" vertical="center"/>
    </xf>
    <xf numFmtId="0" fontId="26" fillId="18" borderId="0" xfId="0" applyFont="1" applyFill="1" applyAlignment="1">
      <alignment horizontal="right" vertical="top" wrapText="1"/>
    </xf>
    <xf numFmtId="0" fontId="33" fillId="18" borderId="0" xfId="0" applyFont="1" applyFill="1" applyAlignment="1">
      <alignment horizontal="right" vertical="top" wrapText="1"/>
    </xf>
    <xf numFmtId="0" fontId="0" fillId="16" borderId="5" xfId="0" applyFill="1" applyBorder="1" applyAlignment="1">
      <alignment horizontal="center" vertical="center" wrapText="1"/>
    </xf>
    <xf numFmtId="0" fontId="0" fillId="18" borderId="2" xfId="0" applyFill="1" applyBorder="1" applyAlignment="1">
      <alignment horizontal="center" vertical="center" wrapText="1"/>
    </xf>
    <xf numFmtId="0" fontId="0" fillId="18" borderId="3" xfId="0" applyFill="1" applyBorder="1" applyAlignment="1">
      <alignment horizontal="center" vertical="center" wrapText="1"/>
    </xf>
    <xf numFmtId="0" fontId="0" fillId="16" borderId="2" xfId="0" applyFill="1" applyBorder="1" applyAlignment="1">
      <alignment horizontal="center" vertical="center" wrapText="1"/>
    </xf>
    <xf numFmtId="0" fontId="0" fillId="16" borderId="3" xfId="0" applyFill="1" applyBorder="1" applyAlignment="1">
      <alignment horizontal="center" vertical="center" wrapText="1"/>
    </xf>
    <xf numFmtId="0" fontId="0" fillId="18" borderId="9" xfId="0" applyFill="1" applyBorder="1" applyAlignment="1">
      <alignment horizontal="center" vertical="center" wrapText="1"/>
    </xf>
    <xf numFmtId="0" fontId="0" fillId="18" borderId="8" xfId="0" applyFill="1" applyBorder="1" applyAlignment="1">
      <alignment horizontal="center" vertical="center" wrapText="1"/>
    </xf>
    <xf numFmtId="0" fontId="25" fillId="15" borderId="7" xfId="0" applyFont="1" applyFill="1" applyBorder="1" applyAlignment="1">
      <alignment horizontal="center" vertical="center" wrapText="1"/>
    </xf>
    <xf numFmtId="0" fontId="5" fillId="18" borderId="21" xfId="0" applyFont="1" applyFill="1" applyBorder="1" applyAlignment="1">
      <alignment horizontal="center" vertical="center" wrapText="1"/>
    </xf>
    <xf numFmtId="0" fontId="5" fillId="18" borderId="1" xfId="0" applyFont="1" applyFill="1" applyBorder="1" applyAlignment="1">
      <alignment horizontal="center" vertical="center" wrapText="1"/>
    </xf>
    <xf numFmtId="0" fontId="7" fillId="18" borderId="0" xfId="0" applyFont="1" applyFill="1" applyAlignment="1">
      <alignment horizontal="center" vertical="center"/>
    </xf>
    <xf numFmtId="0" fontId="0" fillId="16" borderId="1" xfId="0" applyFill="1" applyBorder="1" applyAlignment="1">
      <alignment horizontal="center" vertical="center" wrapText="1"/>
    </xf>
    <xf numFmtId="0" fontId="0" fillId="18" borderId="15" xfId="0" applyFill="1" applyBorder="1" applyAlignment="1">
      <alignment horizontal="center" vertical="center" wrapText="1"/>
    </xf>
    <xf numFmtId="0" fontId="0" fillId="18" borderId="13" xfId="0" applyFill="1" applyBorder="1" applyAlignment="1">
      <alignment horizontal="center" vertical="center" wrapText="1"/>
    </xf>
    <xf numFmtId="0" fontId="0" fillId="18" borderId="5" xfId="0" applyFill="1" applyBorder="1" applyAlignment="1">
      <alignment horizontal="center" vertical="center" wrapText="1"/>
    </xf>
    <xf numFmtId="0" fontId="0" fillId="18" borderId="1" xfId="0" applyFill="1" applyBorder="1" applyAlignment="1">
      <alignment horizontal="center" vertical="center" wrapText="1"/>
    </xf>
    <xf numFmtId="0" fontId="7" fillId="15" borderId="6" xfId="0" applyFont="1" applyFill="1" applyBorder="1" applyAlignment="1">
      <alignment horizontal="center" vertical="center"/>
    </xf>
    <xf numFmtId="0" fontId="7" fillId="15" borderId="7" xfId="0" applyFont="1" applyFill="1" applyBorder="1" applyAlignment="1">
      <alignment horizontal="center" vertical="center"/>
    </xf>
    <xf numFmtId="0" fontId="5" fillId="16" borderId="5" xfId="0" applyFont="1" applyFill="1" applyBorder="1" applyAlignment="1">
      <alignment horizontal="center" vertical="center" wrapText="1"/>
    </xf>
    <xf numFmtId="0" fontId="5" fillId="16" borderId="3" xfId="0" applyFont="1" applyFill="1" applyBorder="1" applyAlignment="1">
      <alignment horizontal="center" vertical="center" wrapText="1"/>
    </xf>
    <xf numFmtId="0" fontId="5" fillId="18" borderId="3" xfId="0" applyFont="1" applyFill="1" applyBorder="1" applyAlignment="1">
      <alignment horizontal="center" vertical="center" wrapText="1"/>
    </xf>
    <xf numFmtId="0" fontId="5" fillId="16" borderId="42" xfId="0" applyFont="1" applyFill="1" applyBorder="1" applyAlignment="1">
      <alignment horizontal="left" vertical="center" wrapText="1" indent="1"/>
    </xf>
    <xf numFmtId="0" fontId="7" fillId="15" borderId="94" xfId="0" applyFont="1" applyFill="1" applyBorder="1" applyAlignment="1">
      <alignment horizontal="center" vertical="center"/>
    </xf>
    <xf numFmtId="0" fontId="0" fillId="18" borderId="11" xfId="0" applyFill="1" applyBorder="1" applyAlignment="1">
      <alignment horizontal="center" vertical="center" wrapText="1"/>
    </xf>
    <xf numFmtId="0" fontId="0" fillId="18" borderId="12" xfId="0" applyFill="1" applyBorder="1" applyAlignment="1">
      <alignment horizontal="center" vertical="center" wrapText="1"/>
    </xf>
    <xf numFmtId="0" fontId="0" fillId="18" borderId="24" xfId="0" applyFill="1" applyBorder="1" applyAlignment="1">
      <alignment horizontal="center" vertical="center" wrapText="1"/>
    </xf>
    <xf numFmtId="0" fontId="0" fillId="16" borderId="13" xfId="0" applyFill="1" applyBorder="1" applyAlignment="1">
      <alignment horizontal="center" vertical="center" wrapText="1"/>
    </xf>
    <xf numFmtId="0" fontId="5" fillId="25" borderId="4" xfId="0" applyFont="1" applyFill="1" applyBorder="1" applyAlignment="1">
      <alignment horizontal="center" vertical="center"/>
    </xf>
    <xf numFmtId="0" fontId="5" fillId="25" borderId="13" xfId="0" applyFont="1" applyFill="1" applyBorder="1" applyAlignment="1">
      <alignment horizontal="center" vertical="center"/>
    </xf>
    <xf numFmtId="0" fontId="5" fillId="25" borderId="5" xfId="0" applyFont="1" applyFill="1" applyBorder="1" applyAlignment="1">
      <alignment horizontal="center" vertical="center"/>
    </xf>
    <xf numFmtId="0" fontId="5" fillId="16" borderId="82" xfId="0" applyFont="1" applyFill="1" applyBorder="1" applyAlignment="1">
      <alignment horizontal="left" vertical="center"/>
    </xf>
    <xf numFmtId="0" fontId="25" fillId="16" borderId="61" xfId="0" applyFont="1" applyFill="1" applyBorder="1" applyAlignment="1">
      <alignment horizontal="center" vertical="center"/>
    </xf>
    <xf numFmtId="0" fontId="25" fillId="16" borderId="37" xfId="0" applyFont="1" applyFill="1" applyBorder="1" applyAlignment="1">
      <alignment horizontal="center" vertical="center"/>
    </xf>
    <xf numFmtId="0" fontId="25" fillId="18" borderId="15" xfId="0" applyFont="1" applyFill="1" applyBorder="1" applyAlignment="1">
      <alignment horizontal="center" vertical="center"/>
    </xf>
    <xf numFmtId="0" fontId="25" fillId="18" borderId="12" xfId="0" applyFont="1" applyFill="1" applyBorder="1" applyAlignment="1">
      <alignment horizontal="center" vertical="center"/>
    </xf>
    <xf numFmtId="0" fontId="25" fillId="16" borderId="13" xfId="0" applyFont="1" applyFill="1" applyBorder="1" applyAlignment="1">
      <alignment horizontal="center" vertical="center"/>
    </xf>
    <xf numFmtId="0" fontId="25" fillId="16" borderId="47" xfId="0" applyFont="1" applyFill="1" applyBorder="1" applyAlignment="1">
      <alignment horizontal="center" vertical="center"/>
    </xf>
    <xf numFmtId="0" fontId="25" fillId="18" borderId="8" xfId="0" applyFont="1" applyFill="1" applyBorder="1" applyAlignment="1">
      <alignment horizontal="center" vertical="center"/>
    </xf>
    <xf numFmtId="0" fontId="65" fillId="16" borderId="19" xfId="0" applyNumberFormat="1" applyFont="1" applyFill="1" applyBorder="1" applyAlignment="1">
      <alignment horizontal="center" vertical="center" wrapText="1"/>
    </xf>
    <xf numFmtId="0" fontId="63" fillId="18" borderId="17" xfId="0" applyNumberFormat="1" applyFont="1" applyFill="1" applyBorder="1" applyAlignment="1">
      <alignment horizontal="center" vertical="center" wrapText="1"/>
    </xf>
    <xf numFmtId="49" fontId="66" fillId="15" borderId="25" xfId="0" applyNumberFormat="1" applyFont="1" applyFill="1" applyBorder="1" applyAlignment="1">
      <alignment horizontal="center" vertical="center" wrapText="1"/>
    </xf>
    <xf numFmtId="0" fontId="65" fillId="18" borderId="44" xfId="0" applyNumberFormat="1" applyFont="1" applyFill="1" applyBorder="1" applyAlignment="1">
      <alignment horizontal="center" vertical="center" wrapText="1"/>
    </xf>
    <xf numFmtId="0" fontId="65" fillId="16" borderId="42" xfId="0" applyNumberFormat="1" applyFont="1" applyFill="1" applyBorder="1" applyAlignment="1">
      <alignment horizontal="center" vertical="center" wrapText="1"/>
    </xf>
    <xf numFmtId="0" fontId="65" fillId="18" borderId="42" xfId="0" applyNumberFormat="1" applyFont="1" applyFill="1" applyBorder="1" applyAlignment="1">
      <alignment horizontal="center" vertical="center" wrapText="1"/>
    </xf>
    <xf numFmtId="0" fontId="63" fillId="16" borderId="42" xfId="0" applyNumberFormat="1" applyFont="1" applyFill="1" applyBorder="1" applyAlignment="1">
      <alignment horizontal="center" vertical="center" wrapText="1"/>
    </xf>
    <xf numFmtId="0" fontId="63" fillId="18" borderId="42" xfId="0" applyNumberFormat="1" applyFont="1" applyFill="1" applyBorder="1" applyAlignment="1">
      <alignment horizontal="center" vertical="center" wrapText="1"/>
    </xf>
    <xf numFmtId="0" fontId="63" fillId="16" borderId="68" xfId="0" applyNumberFormat="1" applyFont="1" applyFill="1" applyBorder="1" applyAlignment="1">
      <alignment horizontal="center" vertical="center" wrapText="1"/>
    </xf>
    <xf numFmtId="0" fontId="63" fillId="16" borderId="43" xfId="0" applyNumberFormat="1" applyFont="1" applyFill="1" applyBorder="1" applyAlignment="1">
      <alignment horizontal="center" vertical="center" wrapText="1"/>
    </xf>
    <xf numFmtId="49" fontId="66" fillId="15" borderId="29" xfId="0" applyNumberFormat="1" applyFont="1" applyFill="1" applyBorder="1" applyAlignment="1">
      <alignment horizontal="center" vertical="center" wrapText="1"/>
    </xf>
    <xf numFmtId="0" fontId="65" fillId="18" borderId="16" xfId="0" applyNumberFormat="1" applyFont="1" applyFill="1" applyBorder="1" applyAlignment="1">
      <alignment horizontal="center" vertical="center" wrapText="1"/>
    </xf>
    <xf numFmtId="0" fontId="63" fillId="16" borderId="17" xfId="0" applyNumberFormat="1" applyFont="1" applyFill="1" applyBorder="1" applyAlignment="1">
      <alignment horizontal="center" vertical="center" wrapText="1"/>
    </xf>
    <xf numFmtId="0" fontId="65" fillId="18" borderId="17" xfId="0" applyNumberFormat="1" applyFont="1" applyFill="1" applyBorder="1" applyAlignment="1">
      <alignment horizontal="center" vertical="center" wrapText="1"/>
    </xf>
    <xf numFmtId="0" fontId="65" fillId="16" borderId="17" xfId="0" applyNumberFormat="1" applyFont="1" applyFill="1" applyBorder="1" applyAlignment="1">
      <alignment horizontal="center" vertical="center" wrapText="1"/>
    </xf>
    <xf numFmtId="0" fontId="63" fillId="16" borderId="18" xfId="0" applyNumberFormat="1" applyFont="1" applyFill="1" applyBorder="1" applyAlignment="1">
      <alignment horizontal="center" vertical="center" wrapText="1"/>
    </xf>
    <xf numFmtId="49" fontId="66" fillId="15" borderId="91" xfId="0" applyNumberFormat="1" applyFont="1" applyFill="1" applyBorder="1" applyAlignment="1">
      <alignment horizontal="center" vertical="center" wrapText="1"/>
    </xf>
    <xf numFmtId="0" fontId="63" fillId="18" borderId="26" xfId="0" applyNumberFormat="1" applyFont="1" applyFill="1" applyBorder="1" applyAlignment="1">
      <alignment horizontal="center" vertical="center" wrapText="1"/>
    </xf>
    <xf numFmtId="0" fontId="65" fillId="16" borderId="27" xfId="0" applyNumberFormat="1" applyFont="1" applyFill="1" applyBorder="1" applyAlignment="1">
      <alignment horizontal="center" vertical="center" wrapText="1"/>
    </xf>
    <xf numFmtId="0" fontId="63" fillId="18" borderId="27" xfId="0" applyNumberFormat="1" applyFont="1" applyFill="1" applyBorder="1" applyAlignment="1">
      <alignment horizontal="center" vertical="center" wrapText="1"/>
    </xf>
    <xf numFmtId="0" fontId="63" fillId="16" borderId="27" xfId="0" applyNumberFormat="1" applyFont="1" applyFill="1" applyBorder="1" applyAlignment="1">
      <alignment horizontal="center" vertical="center" wrapText="1"/>
    </xf>
    <xf numFmtId="0" fontId="65" fillId="18" borderId="27" xfId="0" applyNumberFormat="1" applyFont="1" applyFill="1" applyBorder="1" applyAlignment="1">
      <alignment horizontal="center" vertical="center" wrapText="1"/>
    </xf>
    <xf numFmtId="0" fontId="65" fillId="16" borderId="58" xfId="0" applyNumberFormat="1" applyFont="1" applyFill="1" applyBorder="1" applyAlignment="1">
      <alignment horizontal="center" vertical="center" wrapText="1"/>
    </xf>
    <xf numFmtId="0" fontId="63" fillId="18" borderId="16" xfId="0" applyNumberFormat="1" applyFont="1" applyFill="1" applyBorder="1" applyAlignment="1">
      <alignment horizontal="center" vertical="center" wrapText="1"/>
    </xf>
    <xf numFmtId="49" fontId="62" fillId="16" borderId="19" xfId="0" applyNumberFormat="1" applyFont="1" applyFill="1" applyBorder="1" applyAlignment="1">
      <alignment horizontal="center" vertical="center" wrapText="1"/>
    </xf>
    <xf numFmtId="49" fontId="65" fillId="18" borderId="17" xfId="0" applyNumberFormat="1" applyFont="1" applyFill="1" applyBorder="1" applyAlignment="1">
      <alignment horizontal="center" vertical="center" wrapText="1"/>
    </xf>
    <xf numFmtId="49" fontId="65" fillId="16" borderId="18" xfId="0" applyNumberFormat="1" applyFont="1" applyFill="1" applyBorder="1" applyAlignment="1">
      <alignment horizontal="center" vertical="center" wrapText="1"/>
    </xf>
    <xf numFmtId="49" fontId="65" fillId="18" borderId="68" xfId="0" applyNumberFormat="1" applyFont="1" applyFill="1" applyBorder="1" applyAlignment="1">
      <alignment horizontal="center" vertical="center" wrapText="1"/>
    </xf>
    <xf numFmtId="49" fontId="65" fillId="16" borderId="42" xfId="0" applyNumberFormat="1" applyFont="1" applyFill="1" applyBorder="1" applyAlignment="1">
      <alignment horizontal="center" vertical="center" wrapText="1"/>
    </xf>
    <xf numFmtId="49" fontId="65" fillId="18" borderId="42" xfId="0" applyNumberFormat="1" applyFont="1" applyFill="1" applyBorder="1" applyAlignment="1">
      <alignment horizontal="center" vertical="center" wrapText="1"/>
    </xf>
    <xf numFmtId="49" fontId="62" fillId="18" borderId="42" xfId="0" applyNumberFormat="1" applyFont="1" applyFill="1" applyBorder="1" applyAlignment="1">
      <alignment horizontal="center" vertical="center" wrapText="1"/>
    </xf>
    <xf numFmtId="49" fontId="63" fillId="16" borderId="68" xfId="0" applyNumberFormat="1" applyFont="1" applyFill="1" applyBorder="1" applyAlignment="1">
      <alignment horizontal="center" vertical="center" wrapText="1"/>
    </xf>
    <xf numFmtId="49" fontId="65" fillId="16" borderId="43" xfId="0" applyNumberFormat="1" applyFont="1" applyFill="1" applyBorder="1" applyAlignment="1">
      <alignment horizontal="center" vertical="center" wrapText="1"/>
    </xf>
    <xf numFmtId="49" fontId="65" fillId="18" borderId="19" xfId="0" applyNumberFormat="1" applyFont="1" applyFill="1" applyBorder="1" applyAlignment="1">
      <alignment horizontal="center" vertical="center" wrapText="1"/>
    </xf>
    <xf numFmtId="49" fontId="65" fillId="16" borderId="17" xfId="0" applyNumberFormat="1" applyFont="1" applyFill="1" applyBorder="1" applyAlignment="1">
      <alignment horizontal="center" vertical="center" wrapText="1"/>
    </xf>
    <xf numFmtId="49" fontId="63" fillId="16" borderId="17" xfId="0" applyNumberFormat="1" applyFont="1" applyFill="1" applyBorder="1" applyAlignment="1">
      <alignment horizontal="center" vertical="center" wrapText="1"/>
    </xf>
    <xf numFmtId="49" fontId="62" fillId="18" borderId="17" xfId="0" applyNumberFormat="1" applyFont="1" applyFill="1" applyBorder="1" applyAlignment="1">
      <alignment horizontal="center" vertical="center" wrapText="1"/>
    </xf>
    <xf numFmtId="49" fontId="65" fillId="16" borderId="19" xfId="0" applyNumberFormat="1" applyFont="1" applyFill="1" applyBorder="1" applyAlignment="1">
      <alignment horizontal="center" vertical="center" wrapText="1"/>
    </xf>
    <xf numFmtId="49" fontId="65" fillId="18" borderId="58" xfId="0" applyNumberFormat="1" applyFont="1" applyFill="1" applyBorder="1" applyAlignment="1">
      <alignment horizontal="center" vertical="center" wrapText="1"/>
    </xf>
    <xf numFmtId="49" fontId="65" fillId="16" borderId="27" xfId="0" applyNumberFormat="1" applyFont="1" applyFill="1" applyBorder="1" applyAlignment="1">
      <alignment horizontal="center" vertical="center" wrapText="1"/>
    </xf>
    <xf numFmtId="49" fontId="65" fillId="18" borderId="27" xfId="0" applyNumberFormat="1" applyFont="1" applyFill="1" applyBorder="1" applyAlignment="1">
      <alignment horizontal="center" vertical="center" wrapText="1"/>
    </xf>
    <xf numFmtId="49" fontId="62" fillId="16" borderId="27" xfId="0" applyNumberFormat="1" applyFont="1" applyFill="1" applyBorder="1" applyAlignment="1">
      <alignment horizontal="center" vertical="center" wrapText="1"/>
    </xf>
    <xf numFmtId="49" fontId="63" fillId="18" borderId="27" xfId="0" applyNumberFormat="1" applyFont="1" applyFill="1" applyBorder="1" applyAlignment="1">
      <alignment horizontal="center" vertical="center" wrapText="1"/>
    </xf>
    <xf numFmtId="49" fontId="65" fillId="16" borderId="58" xfId="0" applyNumberFormat="1" applyFont="1" applyFill="1" applyBorder="1" applyAlignment="1">
      <alignment horizontal="center" vertical="center" wrapText="1"/>
    </xf>
    <xf numFmtId="49" fontId="65" fillId="16" borderId="28" xfId="0" applyNumberFormat="1" applyFont="1" applyFill="1" applyBorder="1" applyAlignment="1">
      <alignment horizontal="center" vertical="center" wrapText="1"/>
    </xf>
    <xf numFmtId="49" fontId="62" fillId="16" borderId="17" xfId="0" applyNumberFormat="1" applyFont="1" applyFill="1" applyBorder="1" applyAlignment="1">
      <alignment horizontal="center" vertical="center" wrapText="1"/>
    </xf>
    <xf numFmtId="49" fontId="63" fillId="18" borderId="17" xfId="0" applyNumberFormat="1" applyFont="1" applyFill="1" applyBorder="1" applyAlignment="1">
      <alignment horizontal="center" vertical="center" wrapText="1"/>
    </xf>
    <xf numFmtId="49" fontId="5" fillId="16" borderId="18" xfId="0" applyNumberFormat="1" applyFont="1" applyFill="1" applyBorder="1" applyAlignment="1">
      <alignment horizontal="center" vertical="center" wrapText="1"/>
    </xf>
    <xf numFmtId="49" fontId="5" fillId="18" borderId="44" xfId="0" applyNumberFormat="1" applyFont="1" applyFill="1" applyBorder="1" applyAlignment="1">
      <alignment horizontal="center" vertical="center" wrapText="1"/>
    </xf>
    <xf numFmtId="49" fontId="63" fillId="16" borderId="42" xfId="0" applyNumberFormat="1" applyFont="1" applyFill="1" applyBorder="1" applyAlignment="1">
      <alignment horizontal="center" vertical="center" wrapText="1"/>
    </xf>
    <xf numFmtId="49" fontId="5" fillId="18" borderId="42" xfId="0" applyNumberFormat="1" applyFont="1" applyFill="1" applyBorder="1" applyAlignment="1">
      <alignment horizontal="center" vertical="center" wrapText="1"/>
    </xf>
    <xf numFmtId="49" fontId="5" fillId="16" borderId="42" xfId="0" applyNumberFormat="1" applyFont="1" applyFill="1" applyBorder="1" applyAlignment="1">
      <alignment horizontal="center" vertical="center" wrapText="1"/>
    </xf>
    <xf numFmtId="49" fontId="5" fillId="16" borderId="43" xfId="0" applyNumberFormat="1" applyFont="1" applyFill="1" applyBorder="1" applyAlignment="1">
      <alignment horizontal="center" vertical="center" wrapText="1"/>
    </xf>
    <xf numFmtId="49" fontId="62" fillId="18" borderId="16" xfId="0" applyNumberFormat="1" applyFont="1" applyFill="1" applyBorder="1" applyAlignment="1">
      <alignment horizontal="center" vertical="center" wrapText="1"/>
    </xf>
    <xf numFmtId="49" fontId="5" fillId="16" borderId="19" xfId="0" applyNumberFormat="1" applyFont="1" applyFill="1" applyBorder="1" applyAlignment="1">
      <alignment horizontal="center" vertical="center" wrapText="1"/>
    </xf>
    <xf numFmtId="49" fontId="5" fillId="18" borderId="26" xfId="0" applyNumberFormat="1" applyFont="1" applyFill="1" applyBorder="1" applyAlignment="1">
      <alignment horizontal="center" vertical="center" wrapText="1"/>
    </xf>
    <xf numFmtId="49" fontId="5" fillId="16" borderId="27" xfId="0" applyNumberFormat="1" applyFont="1" applyFill="1" applyBorder="1" applyAlignment="1">
      <alignment horizontal="center" vertical="center" wrapText="1"/>
    </xf>
    <xf numFmtId="49" fontId="5" fillId="18" borderId="27" xfId="0" applyNumberFormat="1" applyFont="1" applyFill="1" applyBorder="1" applyAlignment="1">
      <alignment horizontal="center" vertical="center" wrapText="1"/>
    </xf>
    <xf numFmtId="49" fontId="5" fillId="16" borderId="58" xfId="0" applyNumberFormat="1" applyFont="1" applyFill="1" applyBorder="1" applyAlignment="1">
      <alignment horizontal="center" vertical="center" wrapText="1"/>
    </xf>
    <xf numFmtId="49" fontId="5" fillId="16" borderId="28" xfId="0" applyNumberFormat="1" applyFont="1" applyFill="1" applyBorder="1" applyAlignment="1">
      <alignment horizontal="center" vertical="center" wrapText="1"/>
    </xf>
    <xf numFmtId="49" fontId="63" fillId="18" borderId="16" xfId="0" applyNumberFormat="1" applyFont="1" applyFill="1" applyBorder="1" applyAlignment="1">
      <alignment horizontal="center" vertical="center" wrapText="1"/>
    </xf>
    <xf numFmtId="0" fontId="122" fillId="16" borderId="2" xfId="1" applyFont="1" applyFill="1" applyBorder="1" applyAlignment="1" applyProtection="1">
      <alignment horizontal="left" vertical="center" wrapText="1" indent="1"/>
    </xf>
    <xf numFmtId="0" fontId="122" fillId="18" borderId="2" xfId="1" applyFont="1" applyFill="1" applyBorder="1" applyAlignment="1" applyProtection="1">
      <alignment horizontal="left" vertical="center" wrapText="1" indent="1"/>
    </xf>
    <xf numFmtId="0" fontId="25" fillId="18" borderId="11" xfId="0" applyFont="1" applyFill="1" applyBorder="1" applyAlignment="1">
      <alignment horizontal="left" vertical="center" wrapText="1" indent="1"/>
    </xf>
    <xf numFmtId="0" fontId="25" fillId="18" borderId="81" xfId="0" applyFont="1" applyFill="1" applyBorder="1" applyAlignment="1">
      <alignment horizontal="left" vertical="center" wrapText="1"/>
    </xf>
    <xf numFmtId="49" fontId="28" fillId="18" borderId="16" xfId="0" applyNumberFormat="1" applyFont="1" applyFill="1" applyBorder="1" applyAlignment="1">
      <alignment horizontal="center" vertical="center" wrapText="1"/>
    </xf>
    <xf numFmtId="49" fontId="28" fillId="18" borderId="20" xfId="0" applyNumberFormat="1" applyFont="1" applyFill="1" applyBorder="1" applyAlignment="1">
      <alignment horizontal="center" vertical="center" wrapText="1"/>
    </xf>
    <xf numFmtId="49" fontId="28" fillId="18" borderId="12" xfId="0" applyNumberFormat="1" applyFont="1" applyFill="1" applyBorder="1" applyAlignment="1">
      <alignment horizontal="center" vertical="center" wrapText="1"/>
    </xf>
    <xf numFmtId="49" fontId="28" fillId="18" borderId="24" xfId="0" applyNumberFormat="1" applyFont="1" applyFill="1" applyBorder="1" applyAlignment="1">
      <alignment horizontal="center" vertical="center" wrapText="1"/>
    </xf>
    <xf numFmtId="0" fontId="68" fillId="18" borderId="42" xfId="0" applyNumberFormat="1" applyFont="1" applyFill="1" applyBorder="1" applyAlignment="1">
      <alignment horizontal="center" vertical="center" wrapText="1"/>
    </xf>
    <xf numFmtId="0" fontId="68" fillId="18" borderId="17" xfId="0" applyNumberFormat="1" applyFont="1" applyFill="1" applyBorder="1" applyAlignment="1">
      <alignment horizontal="center" vertical="center" wrapText="1"/>
    </xf>
    <xf numFmtId="0" fontId="68" fillId="16" borderId="28" xfId="0" applyNumberFormat="1" applyFont="1" applyFill="1" applyBorder="1" applyAlignment="1">
      <alignment horizontal="center" vertical="center" wrapText="1"/>
    </xf>
    <xf numFmtId="0" fontId="68" fillId="16" borderId="27" xfId="0" applyNumberFormat="1" applyFont="1" applyFill="1" applyBorder="1" applyAlignment="1">
      <alignment horizontal="center" vertical="center" wrapText="1"/>
    </xf>
    <xf numFmtId="0" fontId="68" fillId="16" borderId="18" xfId="0" applyNumberFormat="1" applyFont="1" applyFill="1" applyBorder="1" applyAlignment="1">
      <alignment horizontal="center" vertical="center" wrapText="1"/>
    </xf>
    <xf numFmtId="0" fontId="68" fillId="16" borderId="17" xfId="0" applyNumberFormat="1" applyFont="1" applyFill="1" applyBorder="1" applyAlignment="1">
      <alignment horizontal="center" vertical="center" wrapText="1"/>
    </xf>
    <xf numFmtId="0" fontId="28" fillId="15" borderId="13" xfId="0" applyFont="1" applyFill="1" applyBorder="1" applyAlignment="1">
      <alignment horizontal="center" vertical="center"/>
    </xf>
    <xf numFmtId="0" fontId="5" fillId="18" borderId="95" xfId="0" applyFont="1" applyFill="1" applyBorder="1" applyAlignment="1">
      <alignment horizontal="center" vertical="center" wrapText="1"/>
    </xf>
    <xf numFmtId="0" fontId="28" fillId="18" borderId="11" xfId="0" applyFont="1" applyFill="1" applyBorder="1" applyAlignment="1">
      <alignment horizontal="left" vertical="center" wrapText="1"/>
    </xf>
    <xf numFmtId="0" fontId="28" fillId="16" borderId="2" xfId="0" applyFont="1" applyFill="1" applyBorder="1" applyAlignment="1">
      <alignment horizontal="left" vertical="center" wrapText="1"/>
    </xf>
    <xf numFmtId="0" fontId="28" fillId="18" borderId="2" xfId="0" applyFont="1" applyFill="1" applyBorder="1" applyAlignment="1">
      <alignment horizontal="left" vertical="center" wrapText="1"/>
    </xf>
    <xf numFmtId="0" fontId="5" fillId="18" borderId="92" xfId="0" applyFont="1" applyFill="1" applyBorder="1" applyAlignment="1">
      <alignment horizontal="center" vertical="center" wrapText="1"/>
    </xf>
    <xf numFmtId="1" fontId="5" fillId="16" borderId="17" xfId="0" applyNumberFormat="1" applyFont="1" applyFill="1" applyBorder="1" applyAlignment="1">
      <alignment horizontal="center" vertical="center" wrapText="1"/>
    </xf>
    <xf numFmtId="1" fontId="5" fillId="18" borderId="17" xfId="0" applyNumberFormat="1" applyFont="1" applyFill="1" applyBorder="1" applyAlignment="1">
      <alignment horizontal="center" vertical="center" wrapText="1"/>
    </xf>
    <xf numFmtId="0" fontId="35" fillId="18" borderId="11" xfId="0" applyFont="1" applyFill="1" applyBorder="1" applyAlignment="1">
      <alignment horizontal="center" vertical="center"/>
    </xf>
    <xf numFmtId="0" fontId="35" fillId="18" borderId="12" xfId="0" applyFont="1" applyFill="1" applyBorder="1" applyAlignment="1">
      <alignment horizontal="center" vertical="center"/>
    </xf>
    <xf numFmtId="0" fontId="35" fillId="18" borderId="24" xfId="0" applyFont="1" applyFill="1" applyBorder="1" applyAlignment="1">
      <alignment horizontal="center" vertical="center"/>
    </xf>
    <xf numFmtId="0" fontId="35" fillId="18" borderId="20" xfId="0" applyFont="1" applyFill="1" applyBorder="1" applyAlignment="1">
      <alignment horizontal="center" vertical="center"/>
    </xf>
    <xf numFmtId="0" fontId="35" fillId="16" borderId="2" xfId="0" applyFont="1" applyFill="1" applyBorder="1" applyAlignment="1">
      <alignment horizontal="center" vertical="center"/>
    </xf>
    <xf numFmtId="0" fontId="35" fillId="18" borderId="2" xfId="0" applyFont="1" applyFill="1" applyBorder="1" applyAlignment="1">
      <alignment horizontal="center" vertical="center"/>
    </xf>
    <xf numFmtId="0" fontId="35" fillId="18" borderId="1" xfId="0" applyFont="1" applyFill="1" applyBorder="1" applyAlignment="1">
      <alignment horizontal="center" vertical="center"/>
    </xf>
    <xf numFmtId="0" fontId="35" fillId="18" borderId="3" xfId="0" applyFont="1" applyFill="1" applyBorder="1" applyAlignment="1">
      <alignment horizontal="center" vertical="center"/>
    </xf>
    <xf numFmtId="0" fontId="35" fillId="18" borderId="21" xfId="0" applyFont="1" applyFill="1" applyBorder="1" applyAlignment="1">
      <alignment horizontal="center" vertical="center"/>
    </xf>
    <xf numFmtId="0" fontId="35" fillId="18" borderId="4" xfId="0" applyFont="1" applyFill="1" applyBorder="1" applyAlignment="1">
      <alignment horizontal="center" vertical="center"/>
    </xf>
    <xf numFmtId="0" fontId="35" fillId="18" borderId="13" xfId="0" applyFont="1" applyFill="1" applyBorder="1" applyAlignment="1">
      <alignment horizontal="center" vertical="center"/>
    </xf>
    <xf numFmtId="0" fontId="35" fillId="18" borderId="5" xfId="0" applyFont="1" applyFill="1" applyBorder="1" applyAlignment="1">
      <alignment horizontal="center" vertical="center"/>
    </xf>
    <xf numFmtId="0" fontId="35" fillId="18" borderId="22" xfId="0" applyFont="1" applyFill="1" applyBorder="1" applyAlignment="1">
      <alignment horizontal="center" vertical="center"/>
    </xf>
    <xf numFmtId="3" fontId="35" fillId="18" borderId="4" xfId="0" applyNumberFormat="1" applyFont="1" applyFill="1" applyBorder="1" applyAlignment="1">
      <alignment horizontal="center" vertical="center"/>
    </xf>
    <xf numFmtId="0" fontId="28" fillId="16" borderId="17" xfId="0" applyFont="1" applyFill="1" applyBorder="1" applyAlignment="1">
      <alignment horizontal="center" vertical="center" wrapText="1"/>
    </xf>
    <xf numFmtId="17" fontId="25" fillId="15" borderId="91" xfId="0" quotePrefix="1" applyNumberFormat="1" applyFont="1" applyFill="1" applyBorder="1" applyAlignment="1">
      <alignment horizontal="center" vertical="center" wrapText="1"/>
    </xf>
    <xf numFmtId="17" fontId="5" fillId="18" borderId="26" xfId="0" quotePrefix="1" applyNumberFormat="1" applyFont="1" applyFill="1" applyBorder="1" applyAlignment="1">
      <alignment horizontal="center" vertical="center" wrapText="1"/>
    </xf>
    <xf numFmtId="17" fontId="25" fillId="15" borderId="7" xfId="0" applyNumberFormat="1" applyFont="1" applyFill="1" applyBorder="1" applyAlignment="1">
      <alignment horizontal="center" vertical="center" wrapText="1"/>
    </xf>
    <xf numFmtId="17" fontId="25" fillId="15" borderId="6" xfId="0" quotePrefix="1" applyNumberFormat="1" applyFont="1" applyFill="1" applyBorder="1" applyAlignment="1">
      <alignment horizontal="center" vertical="center" wrapText="1"/>
    </xf>
    <xf numFmtId="17" fontId="5" fillId="18" borderId="11" xfId="0" quotePrefix="1" applyNumberFormat="1" applyFont="1" applyFill="1" applyBorder="1" applyAlignment="1">
      <alignment horizontal="center" vertical="center" wrapText="1"/>
    </xf>
    <xf numFmtId="17" fontId="5" fillId="18" borderId="24" xfId="0" quotePrefix="1" applyNumberFormat="1" applyFont="1" applyFill="1" applyBorder="1" applyAlignment="1">
      <alignment horizontal="center" vertical="center" wrapText="1"/>
    </xf>
    <xf numFmtId="16" fontId="5" fillId="16" borderId="2" xfId="0" quotePrefix="1" applyNumberFormat="1" applyFont="1" applyFill="1" applyBorder="1" applyAlignment="1">
      <alignment horizontal="center" vertical="center" wrapText="1"/>
    </xf>
    <xf numFmtId="17" fontId="5" fillId="18" borderId="2" xfId="0" quotePrefix="1" applyNumberFormat="1" applyFont="1" applyFill="1" applyBorder="1" applyAlignment="1">
      <alignment horizontal="center" vertical="center" wrapText="1"/>
    </xf>
    <xf numFmtId="0" fontId="35" fillId="18" borderId="8" xfId="0" applyFont="1" applyFill="1" applyBorder="1" applyAlignment="1">
      <alignment horizontal="center" vertical="center"/>
    </xf>
    <xf numFmtId="0" fontId="40" fillId="18" borderId="0" xfId="0" applyFont="1" applyFill="1" applyBorder="1" applyAlignment="1">
      <alignment vertical="center"/>
    </xf>
    <xf numFmtId="0" fontId="35" fillId="18" borderId="0" xfId="0" applyFont="1" applyFill="1" applyBorder="1" applyAlignment="1">
      <alignment horizontal="center" vertical="center"/>
    </xf>
    <xf numFmtId="0" fontId="35" fillId="18" borderId="0" xfId="0" applyFont="1" applyFill="1" applyBorder="1" applyAlignment="1">
      <alignment vertical="center"/>
    </xf>
    <xf numFmtId="0" fontId="35" fillId="18" borderId="0" xfId="0" applyFont="1" applyFill="1" applyBorder="1" applyAlignment="1">
      <alignment horizontal="left" vertical="center"/>
    </xf>
    <xf numFmtId="0" fontId="40" fillId="15" borderId="98" xfId="0" applyFont="1" applyFill="1" applyBorder="1" applyAlignment="1">
      <alignment horizontal="center" vertical="center"/>
    </xf>
    <xf numFmtId="0" fontId="35" fillId="18" borderId="19" xfId="0" applyFont="1" applyFill="1" applyBorder="1" applyAlignment="1">
      <alignment horizontal="center" vertical="center"/>
    </xf>
    <xf numFmtId="0" fontId="35" fillId="16" borderId="17" xfId="0" applyFont="1" applyFill="1" applyBorder="1" applyAlignment="1">
      <alignment horizontal="center" vertical="center"/>
    </xf>
    <xf numFmtId="0" fontId="35" fillId="18" borderId="17" xfId="0" applyFont="1" applyFill="1" applyBorder="1" applyAlignment="1">
      <alignment horizontal="center" vertical="center"/>
    </xf>
    <xf numFmtId="0" fontId="35" fillId="18" borderId="18" xfId="0" applyFont="1" applyFill="1" applyBorder="1" applyAlignment="1">
      <alignment horizontal="center" vertical="center"/>
    </xf>
    <xf numFmtId="0" fontId="28" fillId="16" borderId="2" xfId="0" applyFont="1" applyFill="1" applyBorder="1" applyAlignment="1">
      <alignment vertical="center"/>
    </xf>
    <xf numFmtId="0" fontId="5" fillId="18" borderId="88" xfId="0" applyFont="1" applyFill="1" applyBorder="1" applyAlignment="1">
      <alignment vertical="center" wrapText="1"/>
    </xf>
    <xf numFmtId="0" fontId="5" fillId="18" borderId="43" xfId="0" applyFont="1" applyFill="1" applyBorder="1" applyAlignment="1">
      <alignment horizontal="left" vertical="center" wrapText="1" indent="1"/>
    </xf>
    <xf numFmtId="0" fontId="25" fillId="16" borderId="112" xfId="0" applyFont="1" applyFill="1" applyBorder="1" applyAlignment="1">
      <alignment horizontal="left" vertical="center" wrapText="1" indent="7"/>
    </xf>
    <xf numFmtId="0" fontId="5" fillId="16" borderId="113" xfId="0" applyFont="1" applyFill="1" applyBorder="1" applyAlignment="1">
      <alignment horizontal="center" vertical="center" wrapText="1"/>
    </xf>
    <xf numFmtId="0" fontId="5" fillId="16" borderId="114" xfId="0" applyFont="1" applyFill="1" applyBorder="1" applyAlignment="1">
      <alignment horizontal="center" vertical="center" wrapText="1"/>
    </xf>
    <xf numFmtId="0" fontId="5" fillId="16" borderId="115" xfId="0" applyFont="1" applyFill="1" applyBorder="1" applyAlignment="1">
      <alignment horizontal="center" vertical="center" wrapText="1"/>
    </xf>
    <xf numFmtId="0" fontId="25" fillId="18" borderId="116" xfId="0" applyFont="1" applyFill="1" applyBorder="1" applyAlignment="1">
      <alignment horizontal="left" vertical="center" wrapText="1" indent="7"/>
    </xf>
    <xf numFmtId="3" fontId="28" fillId="16" borderId="1" xfId="0" applyNumberFormat="1" applyFont="1" applyFill="1" applyBorder="1" applyAlignment="1">
      <alignment horizontal="center" vertical="center" wrapText="1"/>
    </xf>
    <xf numFmtId="0" fontId="29" fillId="15" borderId="14" xfId="0" applyFont="1" applyFill="1" applyBorder="1" applyAlignment="1">
      <alignment horizontal="center" vertical="center" wrapText="1"/>
    </xf>
    <xf numFmtId="0" fontId="28" fillId="16" borderId="1" xfId="0" applyFont="1" applyFill="1" applyBorder="1" applyAlignment="1">
      <alignment horizontal="center" vertical="center" wrapText="1"/>
    </xf>
    <xf numFmtId="0" fontId="28" fillId="18" borderId="1" xfId="0" applyFont="1" applyFill="1" applyBorder="1" applyAlignment="1">
      <alignment horizontal="center" vertical="center" wrapText="1"/>
    </xf>
    <xf numFmtId="0" fontId="28" fillId="18" borderId="12" xfId="0" applyFont="1" applyFill="1" applyBorder="1" applyAlignment="1">
      <alignment horizontal="center" vertical="center" wrapText="1"/>
    </xf>
    <xf numFmtId="0" fontId="7" fillId="15" borderId="38" xfId="0" applyFont="1" applyFill="1" applyBorder="1" applyAlignment="1">
      <alignment horizontal="center" vertical="center"/>
    </xf>
    <xf numFmtId="0" fontId="7" fillId="25" borderId="4" xfId="0" applyFont="1" applyFill="1" applyBorder="1" applyAlignment="1">
      <alignment horizontal="center" vertical="center" wrapText="1"/>
    </xf>
    <xf numFmtId="0" fontId="7" fillId="25" borderId="13" xfId="0" applyFont="1" applyFill="1" applyBorder="1" applyAlignment="1">
      <alignment horizontal="center" vertical="center" wrapText="1"/>
    </xf>
    <xf numFmtId="0" fontId="7" fillId="25" borderId="5" xfId="0" applyFont="1" applyFill="1" applyBorder="1" applyAlignment="1">
      <alignment horizontal="center" vertical="center" wrapText="1"/>
    </xf>
    <xf numFmtId="0" fontId="117" fillId="24" borderId="0" xfId="1" applyFont="1" applyFill="1" applyAlignment="1" applyProtection="1">
      <alignment horizontal="center" vertical="center" wrapText="1"/>
    </xf>
    <xf numFmtId="0" fontId="28" fillId="18" borderId="0" xfId="0" applyFont="1" applyFill="1" applyAlignment="1">
      <alignment horizontal="left" vertical="center" wrapText="1"/>
    </xf>
    <xf numFmtId="0" fontId="29" fillId="15" borderId="1" xfId="0" applyFont="1" applyFill="1" applyBorder="1" applyAlignment="1">
      <alignment horizontal="center" vertical="center" wrapText="1"/>
    </xf>
    <xf numFmtId="0" fontId="28" fillId="18" borderId="1" xfId="0" applyNumberFormat="1" applyFont="1" applyFill="1" applyBorder="1" applyAlignment="1">
      <alignment horizontal="left" vertical="center" wrapText="1"/>
    </xf>
    <xf numFmtId="0" fontId="28" fillId="24" borderId="1" xfId="0" applyNumberFormat="1" applyFont="1" applyFill="1" applyBorder="1" applyAlignment="1">
      <alignment horizontal="left" vertical="center" wrapText="1"/>
    </xf>
    <xf numFmtId="0" fontId="28" fillId="23" borderId="1" xfId="0" applyFont="1" applyFill="1" applyBorder="1" applyAlignment="1">
      <alignment horizontal="left" vertical="center" wrapText="1"/>
    </xf>
    <xf numFmtId="0" fontId="35" fillId="18" borderId="1" xfId="0" applyFont="1" applyFill="1" applyBorder="1" applyAlignment="1">
      <alignment horizontal="left" vertical="center" wrapText="1"/>
    </xf>
    <xf numFmtId="0" fontId="35" fillId="35" borderId="1" xfId="0" applyFont="1" applyFill="1" applyBorder="1" applyAlignment="1">
      <alignment horizontal="left" vertical="center" wrapText="1"/>
    </xf>
    <xf numFmtId="0" fontId="35" fillId="24" borderId="1" xfId="0" applyFont="1" applyFill="1" applyBorder="1" applyAlignment="1">
      <alignment horizontal="left" vertical="center" wrapText="1"/>
    </xf>
    <xf numFmtId="0" fontId="28" fillId="18" borderId="44" xfId="0" applyFont="1" applyFill="1" applyBorder="1" applyAlignment="1">
      <alignment horizontal="left" vertical="center" wrapText="1"/>
    </xf>
    <xf numFmtId="0" fontId="5" fillId="18" borderId="0" xfId="0" applyFont="1" applyFill="1" applyAlignment="1">
      <alignment horizontal="left" vertical="center" wrapText="1"/>
    </xf>
    <xf numFmtId="0" fontId="5" fillId="16" borderId="32" xfId="0" applyFont="1" applyFill="1" applyBorder="1" applyAlignment="1">
      <alignment horizontal="left" vertical="center" wrapText="1" indent="1"/>
    </xf>
    <xf numFmtId="0" fontId="7" fillId="15" borderId="0" xfId="0" applyFont="1" applyFill="1" applyAlignment="1">
      <alignment horizontal="center" vertical="center" wrapText="1"/>
    </xf>
    <xf numFmtId="0" fontId="0" fillId="18" borderId="0" xfId="0" applyFill="1" applyAlignment="1">
      <alignment horizontal="center" vertical="center" wrapText="1"/>
    </xf>
    <xf numFmtId="0" fontId="0" fillId="16" borderId="2" xfId="0" applyFill="1" applyBorder="1" applyAlignment="1">
      <alignment horizontal="center" vertical="center" wrapText="1"/>
    </xf>
    <xf numFmtId="0" fontId="0" fillId="16" borderId="3" xfId="0" applyFill="1" applyBorder="1" applyAlignment="1">
      <alignment horizontal="center" vertical="center" wrapText="1"/>
    </xf>
    <xf numFmtId="0" fontId="0" fillId="18" borderId="2" xfId="0" applyFill="1" applyBorder="1" applyAlignment="1">
      <alignment horizontal="center" vertical="center" wrapText="1"/>
    </xf>
    <xf numFmtId="0" fontId="0" fillId="18" borderId="3" xfId="0" applyFill="1" applyBorder="1" applyAlignment="1">
      <alignment horizontal="center" vertical="center" wrapText="1"/>
    </xf>
    <xf numFmtId="0" fontId="0" fillId="16" borderId="5" xfId="0" applyFill="1" applyBorder="1" applyAlignment="1">
      <alignment horizontal="center" vertical="center" wrapText="1"/>
    </xf>
    <xf numFmtId="0" fontId="0" fillId="16" borderId="1" xfId="0" applyFill="1" applyBorder="1" applyAlignment="1">
      <alignment horizontal="center" vertical="center" wrapText="1"/>
    </xf>
    <xf numFmtId="0" fontId="0" fillId="18" borderId="1" xfId="0" applyFill="1" applyBorder="1" applyAlignment="1">
      <alignment horizontal="center" vertical="center" wrapText="1"/>
    </xf>
    <xf numFmtId="0" fontId="0" fillId="18" borderId="13" xfId="0" applyFill="1" applyBorder="1" applyAlignment="1">
      <alignment horizontal="center" vertical="center" wrapText="1"/>
    </xf>
    <xf numFmtId="0" fontId="0" fillId="18" borderId="5" xfId="0" applyFill="1" applyBorder="1" applyAlignment="1">
      <alignment horizontal="center" vertical="center" wrapText="1"/>
    </xf>
    <xf numFmtId="0" fontId="5" fillId="18" borderId="0" xfId="0" applyFont="1" applyFill="1" applyAlignment="1">
      <alignment horizontal="center" vertical="center" wrapText="1"/>
    </xf>
    <xf numFmtId="0" fontId="0" fillId="18" borderId="11" xfId="0" applyFill="1" applyBorder="1" applyAlignment="1">
      <alignment horizontal="center" vertical="center" wrapText="1"/>
    </xf>
    <xf numFmtId="0" fontId="0" fillId="16" borderId="13" xfId="0" applyFill="1" applyBorder="1" applyAlignment="1">
      <alignment horizontal="center" vertical="center" wrapText="1"/>
    </xf>
    <xf numFmtId="0" fontId="0" fillId="18" borderId="12" xfId="0" applyFill="1" applyBorder="1" applyAlignment="1">
      <alignment horizontal="center" vertical="center" wrapText="1"/>
    </xf>
    <xf numFmtId="0" fontId="0" fillId="18" borderId="24" xfId="0" applyFill="1" applyBorder="1" applyAlignment="1">
      <alignment horizontal="center" vertical="center" wrapText="1"/>
    </xf>
    <xf numFmtId="0" fontId="0" fillId="18" borderId="37" xfId="0" applyFill="1" applyBorder="1" applyAlignment="1">
      <alignment horizontal="center" vertical="center" wrapText="1"/>
    </xf>
    <xf numFmtId="0" fontId="25" fillId="18" borderId="0" xfId="0" applyFont="1" applyFill="1" applyAlignment="1">
      <alignment horizontal="center" vertical="center"/>
    </xf>
    <xf numFmtId="0" fontId="132" fillId="24" borderId="0" xfId="1" applyFont="1" applyFill="1" applyAlignment="1" applyProtection="1">
      <alignment horizontal="center" vertical="center"/>
    </xf>
    <xf numFmtId="0" fontId="66" fillId="18" borderId="0" xfId="0" applyFont="1" applyFill="1" applyAlignment="1">
      <alignment horizontal="center" vertical="center"/>
    </xf>
    <xf numFmtId="0" fontId="66" fillId="15" borderId="34" xfId="0" applyFont="1" applyFill="1" applyBorder="1" applyAlignment="1">
      <alignment horizontal="center" vertical="center"/>
    </xf>
    <xf numFmtId="0" fontId="66" fillId="15" borderId="6" xfId="0" applyFont="1" applyFill="1" applyBorder="1" applyAlignment="1">
      <alignment horizontal="center" vertical="center"/>
    </xf>
    <xf numFmtId="0" fontId="5" fillId="18" borderId="19" xfId="0" applyFont="1" applyFill="1" applyBorder="1" applyAlignment="1">
      <alignment vertical="center"/>
    </xf>
    <xf numFmtId="0" fontId="65" fillId="18" borderId="23" xfId="0" applyFont="1" applyFill="1" applyBorder="1" applyAlignment="1">
      <alignment horizontal="center" vertical="center"/>
    </xf>
    <xf numFmtId="1" fontId="65" fillId="18" borderId="50" xfId="0" applyNumberFormat="1" applyFont="1" applyFill="1" applyBorder="1" applyAlignment="1">
      <alignment horizontal="center" vertical="center"/>
    </xf>
    <xf numFmtId="0" fontId="65" fillId="18" borderId="9" xfId="0" applyFont="1" applyFill="1" applyBorder="1" applyAlignment="1">
      <alignment horizontal="center" vertical="center"/>
    </xf>
    <xf numFmtId="1" fontId="65" fillId="18" borderId="8" xfId="0" applyNumberFormat="1" applyFont="1" applyFill="1" applyBorder="1" applyAlignment="1">
      <alignment horizontal="center" vertical="center"/>
    </xf>
    <xf numFmtId="1" fontId="65" fillId="18" borderId="9" xfId="0" applyNumberFormat="1" applyFont="1" applyFill="1" applyBorder="1" applyAlignment="1">
      <alignment horizontal="center" vertical="center"/>
    </xf>
    <xf numFmtId="1" fontId="65" fillId="18" borderId="23" xfId="0" applyNumberFormat="1" applyFont="1" applyFill="1" applyBorder="1" applyAlignment="1">
      <alignment horizontal="center" vertical="center"/>
    </xf>
    <xf numFmtId="1" fontId="25" fillId="18" borderId="19" xfId="0" applyNumberFormat="1" applyFont="1" applyFill="1" applyBorder="1" applyAlignment="1">
      <alignment horizontal="center" vertical="center"/>
    </xf>
    <xf numFmtId="1" fontId="133" fillId="18" borderId="0" xfId="0" applyNumberFormat="1" applyFont="1" applyFill="1" applyAlignment="1">
      <alignment vertical="center"/>
    </xf>
    <xf numFmtId="0" fontId="68" fillId="16" borderId="17" xfId="0" applyFont="1" applyFill="1" applyBorder="1" applyAlignment="1">
      <alignment vertical="center"/>
    </xf>
    <xf numFmtId="0" fontId="65" fillId="16" borderId="21" xfId="0" applyFont="1" applyFill="1" applyBorder="1" applyAlignment="1">
      <alignment horizontal="center" vertical="center"/>
    </xf>
    <xf numFmtId="1" fontId="65" fillId="16" borderId="60" xfId="0" applyNumberFormat="1" applyFont="1" applyFill="1" applyBorder="1" applyAlignment="1">
      <alignment horizontal="center" vertical="center"/>
    </xf>
    <xf numFmtId="0" fontId="65" fillId="16" borderId="2" xfId="0" applyFont="1" applyFill="1" applyBorder="1" applyAlignment="1">
      <alignment horizontal="center" vertical="center"/>
    </xf>
    <xf numFmtId="1" fontId="65" fillId="16" borderId="3" xfId="0" applyNumberFormat="1" applyFont="1" applyFill="1" applyBorder="1" applyAlignment="1">
      <alignment horizontal="center" vertical="center"/>
    </xf>
    <xf numFmtId="1" fontId="65" fillId="16" borderId="2" xfId="0" applyNumberFormat="1" applyFont="1" applyFill="1" applyBorder="1" applyAlignment="1">
      <alignment horizontal="center" vertical="center"/>
    </xf>
    <xf numFmtId="1" fontId="65" fillId="16" borderId="21" xfId="0" applyNumberFormat="1" applyFont="1" applyFill="1" applyBorder="1" applyAlignment="1">
      <alignment horizontal="center" vertical="center"/>
    </xf>
    <xf numFmtId="1" fontId="25" fillId="16" borderId="17" xfId="0" applyNumberFormat="1" applyFont="1" applyFill="1" applyBorder="1" applyAlignment="1">
      <alignment horizontal="center" vertical="center"/>
    </xf>
    <xf numFmtId="0" fontId="5" fillId="18" borderId="17" xfId="0" applyFont="1" applyFill="1" applyBorder="1" applyAlignment="1">
      <alignment vertical="center"/>
    </xf>
    <xf numFmtId="0" fontId="65" fillId="18" borderId="21" xfId="0" applyFont="1" applyFill="1" applyBorder="1" applyAlignment="1">
      <alignment horizontal="center" vertical="center"/>
    </xf>
    <xf numFmtId="1" fontId="65" fillId="18" borderId="60" xfId="0" applyNumberFormat="1" applyFont="1" applyFill="1" applyBorder="1" applyAlignment="1">
      <alignment horizontal="center" vertical="center"/>
    </xf>
    <xf numFmtId="0" fontId="65" fillId="18" borderId="2" xfId="0" applyFont="1" applyFill="1" applyBorder="1" applyAlignment="1">
      <alignment horizontal="center" vertical="center"/>
    </xf>
    <xf numFmtId="1" fontId="65" fillId="18" borderId="3" xfId="0" applyNumberFormat="1" applyFont="1" applyFill="1" applyBorder="1" applyAlignment="1">
      <alignment horizontal="center" vertical="center"/>
    </xf>
    <xf numFmtId="1" fontId="65" fillId="18" borderId="2" xfId="0" applyNumberFormat="1" applyFont="1" applyFill="1" applyBorder="1" applyAlignment="1">
      <alignment horizontal="center" vertical="center"/>
    </xf>
    <xf numFmtId="1" fontId="65" fillId="18" borderId="21" xfId="0" applyNumberFormat="1" applyFont="1" applyFill="1" applyBorder="1" applyAlignment="1">
      <alignment horizontal="center" vertical="center"/>
    </xf>
    <xf numFmtId="1" fontId="25" fillId="18" borderId="17" xfId="0" applyNumberFormat="1" applyFont="1" applyFill="1" applyBorder="1" applyAlignment="1">
      <alignment horizontal="center" vertical="center"/>
    </xf>
    <xf numFmtId="1" fontId="65" fillId="18" borderId="0" xfId="0" applyNumberFormat="1" applyFont="1" applyFill="1" applyAlignment="1">
      <alignment vertical="center"/>
    </xf>
    <xf numFmtId="0" fontId="91" fillId="18" borderId="17" xfId="0" applyFont="1" applyFill="1" applyBorder="1" applyAlignment="1">
      <alignment vertical="center"/>
    </xf>
    <xf numFmtId="0" fontId="5" fillId="16" borderId="17" xfId="0" applyFont="1" applyFill="1" applyBorder="1" applyAlignment="1">
      <alignment vertical="center"/>
    </xf>
    <xf numFmtId="0" fontId="66" fillId="18" borderId="0" xfId="0" applyFont="1" applyFill="1" applyAlignment="1">
      <alignment vertical="center"/>
    </xf>
    <xf numFmtId="167" fontId="66" fillId="35" borderId="6" xfId="0" applyNumberFormat="1" applyFont="1" applyFill="1" applyBorder="1" applyAlignment="1">
      <alignment horizontal="center" vertical="center"/>
    </xf>
    <xf numFmtId="167" fontId="66" fillId="35" borderId="90" xfId="0" applyNumberFormat="1" applyFont="1" applyFill="1" applyBorder="1" applyAlignment="1">
      <alignment horizontal="center" vertical="center"/>
    </xf>
    <xf numFmtId="167" fontId="66" fillId="35" borderId="7" xfId="0" applyNumberFormat="1" applyFont="1" applyFill="1" applyBorder="1" applyAlignment="1">
      <alignment horizontal="center" vertical="center"/>
    </xf>
    <xf numFmtId="167" fontId="66" fillId="35" borderId="34" xfId="0" applyNumberFormat="1" applyFont="1" applyFill="1" applyBorder="1" applyAlignment="1">
      <alignment horizontal="center" vertical="center"/>
    </xf>
    <xf numFmtId="1" fontId="25" fillId="36" borderId="30" xfId="0" applyNumberFormat="1" applyFont="1" applyFill="1" applyBorder="1" applyAlignment="1">
      <alignment horizontal="center" vertical="center"/>
    </xf>
    <xf numFmtId="1" fontId="66" fillId="18" borderId="0" xfId="0" applyNumberFormat="1" applyFont="1" applyFill="1" applyAlignment="1">
      <alignment vertical="center"/>
    </xf>
    <xf numFmtId="1" fontId="66" fillId="18" borderId="0" xfId="0" applyNumberFormat="1" applyFont="1" applyFill="1" applyAlignment="1">
      <alignment horizontal="center" vertical="center"/>
    </xf>
    <xf numFmtId="1" fontId="65" fillId="16" borderId="50" xfId="0" applyNumberFormat="1" applyFont="1" applyFill="1" applyBorder="1" applyAlignment="1">
      <alignment horizontal="center" vertical="center"/>
    </xf>
    <xf numFmtId="1" fontId="65" fillId="16" borderId="8" xfId="0" applyNumberFormat="1" applyFont="1" applyFill="1" applyBorder="1" applyAlignment="1">
      <alignment horizontal="center" vertical="center"/>
    </xf>
    <xf numFmtId="0" fontId="68" fillId="18" borderId="17" xfId="0" applyFont="1" applyFill="1" applyBorder="1" applyAlignment="1">
      <alignment vertical="center"/>
    </xf>
    <xf numFmtId="1" fontId="25" fillId="36" borderId="29" xfId="0" applyNumberFormat="1" applyFont="1" applyFill="1" applyBorder="1" applyAlignment="1">
      <alignment horizontal="center" vertical="center"/>
    </xf>
    <xf numFmtId="0" fontId="65" fillId="18" borderId="50" xfId="0" applyFont="1" applyFill="1" applyBorder="1" applyAlignment="1">
      <alignment horizontal="center" vertical="center"/>
    </xf>
    <xf numFmtId="0" fontId="65" fillId="16" borderId="50" xfId="0" applyFont="1" applyFill="1" applyBorder="1" applyAlignment="1">
      <alignment horizontal="center" vertical="center"/>
    </xf>
    <xf numFmtId="0" fontId="91" fillId="16" borderId="17" xfId="0" applyFont="1" applyFill="1" applyBorder="1" applyAlignment="1">
      <alignment vertical="center"/>
    </xf>
    <xf numFmtId="0" fontId="68" fillId="18" borderId="19" xfId="0" applyFont="1" applyFill="1" applyBorder="1" applyAlignment="1">
      <alignment vertical="center"/>
    </xf>
    <xf numFmtId="1" fontId="25" fillId="18" borderId="82" xfId="0" applyNumberFormat="1" applyFont="1" applyFill="1" applyBorder="1" applyAlignment="1">
      <alignment horizontal="center" vertical="center"/>
    </xf>
    <xf numFmtId="0" fontId="65" fillId="18" borderId="8" xfId="0" applyFont="1" applyFill="1" applyBorder="1" applyAlignment="1">
      <alignment horizontal="center" vertical="center"/>
    </xf>
    <xf numFmtId="0" fontId="65" fillId="16" borderId="8" xfId="0" applyFont="1" applyFill="1" applyBorder="1" applyAlignment="1">
      <alignment horizontal="center" vertical="center"/>
    </xf>
    <xf numFmtId="0" fontId="5" fillId="18" borderId="82" xfId="0" applyFont="1" applyFill="1" applyBorder="1" applyAlignment="1">
      <alignment vertical="center"/>
    </xf>
    <xf numFmtId="0" fontId="65" fillId="18" borderId="41" xfId="0" applyFont="1" applyFill="1" applyBorder="1" applyAlignment="1">
      <alignment horizontal="center" vertical="center"/>
    </xf>
    <xf numFmtId="1" fontId="65" fillId="18" borderId="61" xfId="0" applyNumberFormat="1" applyFont="1" applyFill="1" applyBorder="1" applyAlignment="1">
      <alignment horizontal="center" vertical="center"/>
    </xf>
    <xf numFmtId="1" fontId="65" fillId="18" borderId="41" xfId="0" applyNumberFormat="1" applyFont="1" applyFill="1" applyBorder="1" applyAlignment="1">
      <alignment horizontal="center" vertical="center"/>
    </xf>
    <xf numFmtId="0" fontId="5" fillId="16" borderId="82" xfId="0" applyFont="1" applyFill="1" applyBorder="1" applyAlignment="1">
      <alignment vertical="center"/>
    </xf>
    <xf numFmtId="0" fontId="65" fillId="16" borderId="41" xfId="0" applyFont="1" applyFill="1" applyBorder="1" applyAlignment="1">
      <alignment horizontal="center" vertical="center"/>
    </xf>
    <xf numFmtId="1" fontId="65" fillId="16" borderId="61" xfId="0" applyNumberFormat="1" applyFont="1" applyFill="1" applyBorder="1" applyAlignment="1">
      <alignment horizontal="center" vertical="center"/>
    </xf>
    <xf numFmtId="1" fontId="65" fillId="16" borderId="41" xfId="0" applyNumberFormat="1" applyFont="1" applyFill="1" applyBorder="1" applyAlignment="1">
      <alignment horizontal="center" vertical="center"/>
    </xf>
    <xf numFmtId="0" fontId="25" fillId="25" borderId="7" xfId="0" applyFont="1" applyFill="1" applyBorder="1" applyAlignment="1">
      <alignment horizontal="center" vertical="center"/>
    </xf>
    <xf numFmtId="167" fontId="133" fillId="18" borderId="0" xfId="0" applyNumberFormat="1" applyFont="1" applyFill="1" applyAlignment="1">
      <alignment vertical="center"/>
    </xf>
    <xf numFmtId="1" fontId="5" fillId="18" borderId="50" xfId="0" applyNumberFormat="1" applyFont="1" applyFill="1" applyBorder="1" applyAlignment="1">
      <alignment horizontal="center" vertical="center"/>
    </xf>
    <xf numFmtId="1" fontId="5" fillId="18" borderId="8" xfId="0" applyNumberFormat="1" applyFont="1" applyFill="1" applyBorder="1" applyAlignment="1">
      <alignment horizontal="center" vertical="center"/>
    </xf>
    <xf numFmtId="1" fontId="5" fillId="16" borderId="60" xfId="0" applyNumberFormat="1" applyFont="1" applyFill="1" applyBorder="1" applyAlignment="1">
      <alignment horizontal="center" vertical="center"/>
    </xf>
    <xf numFmtId="1" fontId="5" fillId="16" borderId="3" xfId="0" applyNumberFormat="1" applyFont="1" applyFill="1" applyBorder="1" applyAlignment="1">
      <alignment horizontal="center" vertical="center"/>
    </xf>
    <xf numFmtId="1" fontId="5" fillId="18" borderId="60" xfId="0" applyNumberFormat="1" applyFont="1" applyFill="1" applyBorder="1" applyAlignment="1">
      <alignment horizontal="center" vertical="center"/>
    </xf>
    <xf numFmtId="1" fontId="5" fillId="18" borderId="3" xfId="0" applyNumberFormat="1" applyFont="1" applyFill="1" applyBorder="1" applyAlignment="1">
      <alignment horizontal="center" vertical="center"/>
    </xf>
    <xf numFmtId="0" fontId="5" fillId="16" borderId="61" xfId="0" applyFont="1" applyFill="1" applyBorder="1" applyAlignment="1">
      <alignment vertical="center"/>
    </xf>
    <xf numFmtId="1" fontId="5" fillId="16" borderId="51" xfId="0" applyNumberFormat="1" applyFont="1" applyFill="1" applyBorder="1" applyAlignment="1">
      <alignment horizontal="center" vertical="center"/>
    </xf>
    <xf numFmtId="1" fontId="5" fillId="16" borderId="47" xfId="0" applyNumberFormat="1" applyFont="1" applyFill="1" applyBorder="1" applyAlignment="1">
      <alignment horizontal="center" vertical="center"/>
    </xf>
    <xf numFmtId="1" fontId="5" fillId="18" borderId="24" xfId="0" applyNumberFormat="1" applyFont="1" applyFill="1" applyBorder="1" applyAlignment="1">
      <alignment horizontal="center" vertical="center"/>
    </xf>
    <xf numFmtId="0" fontId="5" fillId="18" borderId="11" xfId="0" applyFont="1" applyFill="1" applyBorder="1" applyAlignment="1">
      <alignment vertical="center"/>
    </xf>
    <xf numFmtId="0" fontId="5" fillId="16" borderId="4" xfId="0" applyFont="1" applyFill="1" applyBorder="1" applyAlignment="1">
      <alignment vertical="center"/>
    </xf>
    <xf numFmtId="1" fontId="5" fillId="16" borderId="5" xfId="0" applyNumberFormat="1" applyFont="1" applyFill="1" applyBorder="1" applyAlignment="1">
      <alignment horizontal="center" vertical="center"/>
    </xf>
    <xf numFmtId="1" fontId="5" fillId="18" borderId="51" xfId="0" applyNumberFormat="1" applyFont="1" applyFill="1" applyBorder="1" applyAlignment="1">
      <alignment horizontal="center" vertical="center"/>
    </xf>
    <xf numFmtId="0" fontId="5" fillId="16" borderId="6" xfId="0" applyFont="1" applyFill="1" applyBorder="1" applyAlignment="1">
      <alignment vertical="center"/>
    </xf>
    <xf numFmtId="1" fontId="5" fillId="16" borderId="7" xfId="0" applyNumberFormat="1" applyFont="1" applyFill="1" applyBorder="1" applyAlignment="1">
      <alignment horizontal="center" vertical="center"/>
    </xf>
    <xf numFmtId="1" fontId="5" fillId="16" borderId="24" xfId="0" applyNumberFormat="1" applyFont="1" applyFill="1" applyBorder="1" applyAlignment="1">
      <alignment horizontal="center" vertical="center"/>
    </xf>
    <xf numFmtId="1" fontId="5" fillId="18" borderId="5" xfId="0" applyNumberFormat="1" applyFont="1" applyFill="1" applyBorder="1" applyAlignment="1">
      <alignment horizontal="center" vertical="center"/>
    </xf>
    <xf numFmtId="1" fontId="5" fillId="16" borderId="8" xfId="0" applyNumberFormat="1" applyFont="1" applyFill="1" applyBorder="1" applyAlignment="1">
      <alignment horizontal="center" vertical="center"/>
    </xf>
    <xf numFmtId="0" fontId="5" fillId="16" borderId="11" xfId="0" applyFont="1" applyFill="1" applyBorder="1" applyAlignment="1">
      <alignment vertical="center"/>
    </xf>
    <xf numFmtId="1" fontId="5" fillId="16" borderId="50" xfId="0" applyNumberFormat="1" applyFont="1" applyFill="1" applyBorder="1" applyAlignment="1">
      <alignment horizontal="center" vertical="center"/>
    </xf>
    <xf numFmtId="1" fontId="5" fillId="18" borderId="47" xfId="0" applyNumberFormat="1" applyFont="1" applyFill="1" applyBorder="1" applyAlignment="1">
      <alignment horizontal="center" vertical="center"/>
    </xf>
    <xf numFmtId="1" fontId="5" fillId="18" borderId="56" xfId="0" applyNumberFormat="1" applyFont="1" applyFill="1" applyBorder="1" applyAlignment="1">
      <alignment horizontal="center" vertical="center"/>
    </xf>
    <xf numFmtId="0" fontId="5" fillId="18" borderId="0" xfId="0" applyFont="1" applyFill="1" applyAlignment="1">
      <alignment horizontal="left" vertical="center"/>
    </xf>
    <xf numFmtId="0" fontId="27" fillId="24" borderId="0" xfId="1" applyFont="1" applyFill="1" applyAlignment="1" applyProtection="1">
      <alignment horizontal="center" vertical="center"/>
    </xf>
    <xf numFmtId="0" fontId="26" fillId="18" borderId="0" xfId="0" applyFont="1" applyFill="1" applyAlignment="1">
      <alignment horizontal="left" vertical="center" wrapText="1"/>
    </xf>
    <xf numFmtId="0" fontId="5" fillId="18" borderId="1" xfId="0" applyFont="1" applyFill="1" applyBorder="1" applyAlignment="1">
      <alignment horizontal="center" vertical="center"/>
    </xf>
    <xf numFmtId="0" fontId="5" fillId="16" borderId="13" xfId="0" applyFont="1" applyFill="1" applyBorder="1" applyAlignment="1">
      <alignment horizontal="center" vertical="center"/>
    </xf>
    <xf numFmtId="0" fontId="5" fillId="18" borderId="3" xfId="0" applyFont="1" applyFill="1" applyBorder="1" applyAlignment="1">
      <alignment horizontal="center" vertical="center"/>
    </xf>
    <xf numFmtId="0" fontId="5" fillId="16" borderId="5" xfId="0" applyFont="1" applyFill="1" applyBorder="1" applyAlignment="1">
      <alignment horizontal="center" vertical="center"/>
    </xf>
    <xf numFmtId="0" fontId="25" fillId="15" borderId="6" xfId="0" applyFont="1" applyFill="1" applyBorder="1" applyAlignment="1">
      <alignment horizontal="center" vertical="center"/>
    </xf>
    <xf numFmtId="0" fontId="25" fillId="15" borderId="14" xfId="0" applyFont="1" applyFill="1" applyBorder="1" applyAlignment="1">
      <alignment horizontal="center" vertical="center"/>
    </xf>
    <xf numFmtId="0" fontId="25" fillId="15" borderId="7" xfId="0" applyFont="1" applyFill="1" applyBorder="1" applyAlignment="1">
      <alignment horizontal="center" vertical="center"/>
    </xf>
    <xf numFmtId="0" fontId="5" fillId="18" borderId="2" xfId="0" applyFont="1" applyFill="1" applyBorder="1" applyAlignment="1">
      <alignment horizontal="center" vertical="center"/>
    </xf>
    <xf numFmtId="0" fontId="5" fillId="16" borderId="4" xfId="0" applyFont="1" applyFill="1" applyBorder="1" applyAlignment="1">
      <alignment horizontal="center" vertical="center"/>
    </xf>
    <xf numFmtId="0" fontId="5" fillId="16" borderId="1" xfId="0" applyFont="1" applyFill="1" applyBorder="1" applyAlignment="1">
      <alignment horizontal="left" vertical="center" wrapText="1" indent="1"/>
    </xf>
    <xf numFmtId="0" fontId="5" fillId="18" borderId="1" xfId="0" applyFont="1" applyFill="1" applyBorder="1" applyAlignment="1">
      <alignment horizontal="left" vertical="center" wrapText="1" indent="1"/>
    </xf>
    <xf numFmtId="0" fontId="5" fillId="18" borderId="13" xfId="0" applyFont="1" applyFill="1" applyBorder="1" applyAlignment="1">
      <alignment horizontal="left" vertical="center" wrapText="1" indent="1"/>
    </xf>
    <xf numFmtId="0" fontId="5" fillId="18" borderId="0" xfId="0" applyFont="1" applyFill="1" applyAlignment="1">
      <alignment horizontal="center" vertical="center"/>
    </xf>
    <xf numFmtId="0" fontId="5" fillId="18" borderId="15" xfId="0" applyFont="1" applyFill="1" applyBorder="1" applyAlignment="1">
      <alignment horizontal="center" vertical="center"/>
    </xf>
    <xf numFmtId="0" fontId="5" fillId="18" borderId="1" xfId="0" applyFont="1" applyFill="1" applyBorder="1" applyAlignment="1">
      <alignment horizontal="left" vertical="center" indent="1"/>
    </xf>
    <xf numFmtId="0" fontId="5" fillId="16" borderId="1" xfId="0" applyFont="1" applyFill="1" applyBorder="1" applyAlignment="1">
      <alignment horizontal="left" vertical="center" indent="1"/>
    </xf>
    <xf numFmtId="0" fontId="5" fillId="18" borderId="15" xfId="0" applyFont="1" applyFill="1" applyBorder="1" applyAlignment="1">
      <alignment horizontal="left" vertical="center" indent="1"/>
    </xf>
    <xf numFmtId="0" fontId="5" fillId="16" borderId="13" xfId="0" applyFont="1" applyFill="1" applyBorder="1" applyAlignment="1">
      <alignment horizontal="left" vertical="center" indent="1"/>
    </xf>
    <xf numFmtId="0" fontId="5" fillId="16" borderId="3" xfId="0" applyFont="1" applyFill="1" applyBorder="1" applyAlignment="1">
      <alignment horizontal="center" vertical="center"/>
    </xf>
    <xf numFmtId="0" fontId="33" fillId="18" borderId="0" xfId="0" applyFont="1" applyFill="1" applyAlignment="1">
      <alignment horizontal="left" vertical="center" wrapText="1"/>
    </xf>
    <xf numFmtId="0" fontId="5" fillId="16" borderId="8" xfId="0" applyFont="1" applyFill="1" applyBorder="1" applyAlignment="1">
      <alignment horizontal="center" vertical="center"/>
    </xf>
    <xf numFmtId="0" fontId="5" fillId="16" borderId="15" xfId="0" applyFont="1" applyFill="1" applyBorder="1" applyAlignment="1">
      <alignment horizontal="center" vertical="center"/>
    </xf>
    <xf numFmtId="0" fontId="5" fillId="18" borderId="12" xfId="0" applyFont="1" applyFill="1" applyBorder="1" applyAlignment="1">
      <alignment horizontal="center" vertical="center"/>
    </xf>
    <xf numFmtId="0" fontId="5" fillId="16" borderId="1" xfId="0" applyFont="1" applyFill="1" applyBorder="1" applyAlignment="1">
      <alignment horizontal="center" vertical="center"/>
    </xf>
    <xf numFmtId="0" fontId="5" fillId="18" borderId="13" xfId="0" applyFont="1" applyFill="1" applyBorder="1" applyAlignment="1">
      <alignment horizontal="center" vertical="center"/>
    </xf>
    <xf numFmtId="0" fontId="5" fillId="18" borderId="5" xfId="0" applyFont="1" applyFill="1" applyBorder="1" applyAlignment="1">
      <alignment horizontal="center" vertical="center"/>
    </xf>
    <xf numFmtId="0" fontId="5" fillId="18" borderId="8" xfId="0" applyFont="1" applyFill="1" applyBorder="1" applyAlignment="1">
      <alignment horizontal="left" vertical="center"/>
    </xf>
    <xf numFmtId="0" fontId="5" fillId="18" borderId="3" xfId="0" applyFont="1" applyFill="1" applyBorder="1" applyAlignment="1">
      <alignment horizontal="left" vertical="center"/>
    </xf>
    <xf numFmtId="0" fontId="5" fillId="18" borderId="47" xfId="0" applyFont="1" applyFill="1" applyBorder="1" applyAlignment="1">
      <alignment horizontal="left" vertical="center"/>
    </xf>
    <xf numFmtId="0" fontId="5" fillId="16" borderId="2" xfId="0" applyFont="1" applyFill="1" applyBorder="1" applyAlignment="1">
      <alignment horizontal="center" vertical="center"/>
    </xf>
    <xf numFmtId="0" fontId="5" fillId="15" borderId="29" xfId="0" applyFont="1" applyFill="1" applyBorder="1" applyAlignment="1">
      <alignment horizontal="center" vertical="center"/>
    </xf>
    <xf numFmtId="0" fontId="5" fillId="35" borderId="25" xfId="0" applyFont="1" applyFill="1" applyBorder="1" applyAlignment="1">
      <alignment horizontal="right" vertical="center"/>
    </xf>
    <xf numFmtId="0" fontId="5" fillId="35" borderId="29" xfId="0" applyFont="1" applyFill="1" applyBorder="1" applyAlignment="1">
      <alignment horizontal="right" vertical="center"/>
    </xf>
    <xf numFmtId="0" fontId="5" fillId="15" borderId="29" xfId="0" applyFont="1" applyFill="1" applyBorder="1" applyAlignment="1">
      <alignment vertical="center"/>
    </xf>
    <xf numFmtId="0" fontId="5" fillId="15" borderId="59" xfId="0" applyFont="1" applyFill="1" applyBorder="1" applyAlignment="1">
      <alignment vertical="center"/>
    </xf>
    <xf numFmtId="0" fontId="5" fillId="15" borderId="38" xfId="0" applyFont="1" applyFill="1" applyBorder="1" applyAlignment="1">
      <alignment horizontal="center" vertical="center"/>
    </xf>
    <xf numFmtId="0" fontId="65" fillId="15" borderId="118" xfId="0" applyFont="1" applyFill="1" applyBorder="1" applyAlignment="1">
      <alignment horizontal="center" vertical="center"/>
    </xf>
    <xf numFmtId="0" fontId="65" fillId="15" borderId="39" xfId="0" applyFont="1" applyFill="1" applyBorder="1" applyAlignment="1">
      <alignment horizontal="center" vertical="center"/>
    </xf>
    <xf numFmtId="0" fontId="5" fillId="15" borderId="39" xfId="0" applyFont="1" applyFill="1" applyBorder="1" applyAlignment="1">
      <alignment horizontal="center" vertical="center"/>
    </xf>
    <xf numFmtId="1" fontId="5" fillId="18" borderId="81" xfId="0" applyNumberFormat="1" applyFont="1" applyFill="1" applyBorder="1" applyAlignment="1">
      <alignment horizontal="center" vertical="center"/>
    </xf>
    <xf numFmtId="0" fontId="5" fillId="18" borderId="38" xfId="0" applyFont="1" applyFill="1" applyBorder="1" applyAlignment="1">
      <alignment vertical="center"/>
    </xf>
    <xf numFmtId="1" fontId="5" fillId="18" borderId="118" xfId="0" applyNumberFormat="1" applyFont="1" applyFill="1" applyBorder="1" applyAlignment="1">
      <alignment horizontal="center" vertical="center"/>
    </xf>
    <xf numFmtId="0" fontId="5" fillId="18" borderId="54" xfId="0" applyFont="1" applyFill="1" applyBorder="1" applyAlignment="1">
      <alignment vertical="center"/>
    </xf>
    <xf numFmtId="1" fontId="5" fillId="18" borderId="49" xfId="0" applyNumberFormat="1" applyFont="1" applyFill="1" applyBorder="1" applyAlignment="1">
      <alignment horizontal="center" vertical="center"/>
    </xf>
    <xf numFmtId="167" fontId="42" fillId="18" borderId="7" xfId="0" applyNumberFormat="1" applyFont="1" applyFill="1" applyBorder="1" applyAlignment="1">
      <alignment horizontal="center" vertical="center"/>
    </xf>
    <xf numFmtId="0" fontId="5" fillId="16" borderId="9" xfId="0" applyFont="1" applyFill="1" applyBorder="1" applyAlignment="1">
      <alignment vertical="center"/>
    </xf>
    <xf numFmtId="0" fontId="5" fillId="18" borderId="2" xfId="0" applyFont="1" applyFill="1" applyBorder="1" applyAlignment="1">
      <alignment horizontal="center" vertical="center"/>
    </xf>
    <xf numFmtId="0" fontId="5" fillId="18" borderId="1" xfId="0" applyFont="1" applyFill="1" applyBorder="1" applyAlignment="1">
      <alignment horizontal="center" vertical="center"/>
    </xf>
    <xf numFmtId="0" fontId="5" fillId="18" borderId="3" xfId="0" applyFont="1" applyFill="1" applyBorder="1" applyAlignment="1">
      <alignment horizontal="center" vertical="center"/>
    </xf>
    <xf numFmtId="0" fontId="5" fillId="18" borderId="13" xfId="0" applyFont="1" applyFill="1" applyBorder="1" applyAlignment="1">
      <alignment horizontal="left" vertical="center" wrapText="1" indent="1"/>
    </xf>
    <xf numFmtId="0" fontId="5" fillId="18" borderId="15" xfId="0" applyFont="1" applyFill="1" applyBorder="1" applyAlignment="1">
      <alignment horizontal="left" vertical="center" wrapText="1" indent="1"/>
    </xf>
    <xf numFmtId="0" fontId="5" fillId="16" borderId="1" xfId="0" applyFont="1" applyFill="1" applyBorder="1" applyAlignment="1">
      <alignment horizontal="left" vertical="center" wrapText="1" indent="1"/>
    </xf>
    <xf numFmtId="0" fontId="5" fillId="18" borderId="1" xfId="0" applyFont="1" applyFill="1" applyBorder="1" applyAlignment="1">
      <alignment horizontal="left" vertical="center" wrapText="1" indent="1"/>
    </xf>
    <xf numFmtId="0" fontId="5" fillId="18" borderId="15" xfId="0" applyFont="1" applyFill="1" applyBorder="1" applyAlignment="1">
      <alignment horizontal="center" vertical="center"/>
    </xf>
    <xf numFmtId="0" fontId="5" fillId="18" borderId="1" xfId="0" applyFont="1" applyFill="1" applyBorder="1" applyAlignment="1">
      <alignment horizontal="left" vertical="center" indent="1"/>
    </xf>
    <xf numFmtId="0" fontId="5" fillId="16" borderId="1" xfId="0" applyFont="1" applyFill="1" applyBorder="1" applyAlignment="1">
      <alignment horizontal="left" vertical="center" indent="1"/>
    </xf>
    <xf numFmtId="0" fontId="5" fillId="16" borderId="3" xfId="0" applyFont="1" applyFill="1" applyBorder="1" applyAlignment="1">
      <alignment horizontal="center" vertical="center"/>
    </xf>
    <xf numFmtId="0" fontId="5" fillId="16" borderId="1" xfId="0" applyFont="1" applyFill="1" applyBorder="1" applyAlignment="1">
      <alignment horizontal="center" vertical="center"/>
    </xf>
    <xf numFmtId="0" fontId="5" fillId="18" borderId="13" xfId="0" applyFont="1" applyFill="1" applyBorder="1" applyAlignment="1">
      <alignment horizontal="center" vertical="center"/>
    </xf>
    <xf numFmtId="0" fontId="5" fillId="18" borderId="8" xfId="0" applyFont="1" applyFill="1" applyBorder="1" applyAlignment="1">
      <alignment horizontal="left" vertical="center"/>
    </xf>
    <xf numFmtId="0" fontId="5" fillId="18" borderId="3" xfId="0" applyFont="1" applyFill="1" applyBorder="1" applyAlignment="1">
      <alignment horizontal="left" vertical="center"/>
    </xf>
    <xf numFmtId="0" fontId="5" fillId="16" borderId="2" xfId="0" applyFont="1" applyFill="1" applyBorder="1" applyAlignment="1">
      <alignment horizontal="center" vertical="center"/>
    </xf>
    <xf numFmtId="0" fontId="5" fillId="18" borderId="0" xfId="0" applyFont="1" applyFill="1" applyAlignment="1">
      <alignment horizontal="left" vertical="center" indent="1"/>
    </xf>
    <xf numFmtId="0" fontId="5" fillId="18" borderId="61" xfId="0" applyFont="1" applyFill="1" applyBorder="1" applyAlignment="1">
      <alignment horizontal="center" vertical="center"/>
    </xf>
    <xf numFmtId="0" fontId="5" fillId="18" borderId="37" xfId="0" applyFont="1" applyFill="1" applyBorder="1" applyAlignment="1">
      <alignment horizontal="center" vertical="center"/>
    </xf>
    <xf numFmtId="0" fontId="5" fillId="18" borderId="12" xfId="0" applyFont="1" applyFill="1" applyBorder="1" applyAlignment="1">
      <alignment horizontal="left" vertical="center" indent="1"/>
    </xf>
    <xf numFmtId="0" fontId="5" fillId="18" borderId="13" xfId="0" applyFont="1" applyFill="1" applyBorder="1" applyAlignment="1">
      <alignment horizontal="left" vertical="center" indent="1"/>
    </xf>
    <xf numFmtId="0" fontId="5" fillId="18" borderId="12" xfId="0" applyFont="1" applyFill="1" applyBorder="1" applyAlignment="1">
      <alignment horizontal="left" vertical="center" wrapText="1" indent="1"/>
    </xf>
    <xf numFmtId="0" fontId="5" fillId="18" borderId="37" xfId="0" applyFont="1" applyFill="1" applyBorder="1" applyAlignment="1">
      <alignment horizontal="left" vertical="center" wrapText="1" indent="1"/>
    </xf>
    <xf numFmtId="0" fontId="5" fillId="16" borderId="37" xfId="0" applyFont="1" applyFill="1" applyBorder="1" applyAlignment="1">
      <alignment horizontal="left" vertical="center" indent="1"/>
    </xf>
    <xf numFmtId="0" fontId="5" fillId="16" borderId="11" xfId="0" applyFont="1" applyFill="1" applyBorder="1" applyAlignment="1">
      <alignment horizontal="center" vertical="center"/>
    </xf>
    <xf numFmtId="0" fontId="5" fillId="16" borderId="12" xfId="0" applyFont="1" applyFill="1" applyBorder="1" applyAlignment="1">
      <alignment horizontal="left" vertical="center" indent="1"/>
    </xf>
    <xf numFmtId="0" fontId="5" fillId="16" borderId="12" xfId="0" applyFont="1" applyFill="1" applyBorder="1" applyAlignment="1">
      <alignment horizontal="center" vertical="center"/>
    </xf>
    <xf numFmtId="0" fontId="5" fillId="16" borderId="24" xfId="0" applyFont="1" applyFill="1" applyBorder="1" applyAlignment="1">
      <alignment horizontal="center" vertical="center"/>
    </xf>
    <xf numFmtId="0" fontId="5" fillId="16" borderId="15" xfId="0" applyFont="1" applyFill="1" applyBorder="1" applyAlignment="1">
      <alignment horizontal="left" vertical="center" indent="1"/>
    </xf>
    <xf numFmtId="0" fontId="5" fillId="16" borderId="15" xfId="0" applyFont="1" applyFill="1" applyBorder="1" applyAlignment="1">
      <alignment horizontal="left" vertical="center" wrapText="1" indent="1"/>
    </xf>
    <xf numFmtId="0" fontId="5" fillId="16" borderId="8" xfId="0" applyFont="1" applyFill="1" applyBorder="1" applyAlignment="1">
      <alignment horizontal="left" vertical="center"/>
    </xf>
    <xf numFmtId="0" fontId="5" fillId="16" borderId="12" xfId="0" applyFont="1" applyFill="1" applyBorder="1" applyAlignment="1">
      <alignment horizontal="left" vertical="center" wrapText="1" indent="1"/>
    </xf>
    <xf numFmtId="0" fontId="5" fillId="16" borderId="24" xfId="0" applyFont="1" applyFill="1" applyBorder="1" applyAlignment="1">
      <alignment horizontal="left" vertical="center"/>
    </xf>
    <xf numFmtId="0" fontId="28" fillId="16" borderId="5" xfId="0" applyFont="1" applyFill="1" applyBorder="1" applyAlignment="1">
      <alignment horizontal="left" vertical="center" wrapText="1"/>
    </xf>
    <xf numFmtId="0" fontId="0" fillId="16" borderId="28" xfId="0" applyFill="1" applyBorder="1" applyAlignment="1">
      <alignment horizontal="center" vertical="center" wrapText="1"/>
    </xf>
    <xf numFmtId="0" fontId="0" fillId="16" borderId="27" xfId="0" applyFill="1" applyBorder="1" applyAlignment="1">
      <alignment horizontal="center" vertical="center" wrapText="1"/>
    </xf>
    <xf numFmtId="0" fontId="0" fillId="18" borderId="27" xfId="0" applyFill="1" applyBorder="1" applyAlignment="1">
      <alignment horizontal="center" vertical="center" wrapText="1"/>
    </xf>
    <xf numFmtId="3" fontId="12" fillId="16" borderId="13" xfId="0" applyNumberFormat="1" applyFont="1" applyFill="1" applyBorder="1" applyAlignment="1">
      <alignment horizontal="center" vertical="center" wrapText="1"/>
    </xf>
    <xf numFmtId="0" fontId="0" fillId="2" borderId="0" xfId="0" applyFill="1" applyAlignment="1">
      <alignment horizontal="center" vertical="center"/>
    </xf>
    <xf numFmtId="0" fontId="1" fillId="2" borderId="0" xfId="0" applyFont="1" applyFill="1" applyAlignment="1">
      <alignment horizontal="center" vertical="center"/>
    </xf>
    <xf numFmtId="0" fontId="6" fillId="2" borderId="0" xfId="1" applyFill="1" applyAlignment="1" applyProtection="1">
      <alignment horizontal="center" vertical="center"/>
    </xf>
    <xf numFmtId="0" fontId="6" fillId="0" borderId="0" xfId="1" applyAlignment="1" applyProtection="1">
      <alignment horizontal="center" vertical="center"/>
    </xf>
    <xf numFmtId="0" fontId="5" fillId="18" borderId="0" xfId="0" applyFont="1" applyFill="1" applyAlignment="1">
      <alignment horizontal="left" vertical="center" wrapText="1"/>
    </xf>
    <xf numFmtId="0" fontId="5" fillId="18" borderId="0" xfId="0" applyFont="1" applyFill="1" applyAlignment="1">
      <alignment horizontal="center" vertical="center"/>
    </xf>
    <xf numFmtId="0" fontId="5" fillId="18" borderId="0" xfId="0" applyFont="1" applyFill="1" applyAlignment="1">
      <alignment horizontal="center" vertical="center" wrapText="1"/>
    </xf>
    <xf numFmtId="0" fontId="27" fillId="24" borderId="0" xfId="1" applyFont="1" applyFill="1" applyAlignment="1" applyProtection="1">
      <alignment horizontal="center" vertical="center" wrapText="1"/>
    </xf>
    <xf numFmtId="0" fontId="134" fillId="2" borderId="0" xfId="0" applyFont="1" applyFill="1" applyAlignment="1">
      <alignment vertical="center" wrapText="1"/>
    </xf>
    <xf numFmtId="0" fontId="61" fillId="18" borderId="0" xfId="0" applyFont="1" applyFill="1" applyAlignment="1">
      <alignment vertical="center" wrapText="1"/>
    </xf>
    <xf numFmtId="0" fontId="5" fillId="18" borderId="0" xfId="0" applyFont="1" applyFill="1" applyAlignment="1">
      <alignment horizontal="left" vertical="center" wrapText="1"/>
    </xf>
    <xf numFmtId="0" fontId="5" fillId="18" borderId="0" xfId="0" applyFont="1" applyFill="1" applyBorder="1" applyAlignment="1">
      <alignment horizontal="left" vertical="center" wrapText="1"/>
    </xf>
    <xf numFmtId="0" fontId="65" fillId="18" borderId="3" xfId="0" applyFont="1" applyFill="1" applyBorder="1" applyAlignment="1">
      <alignment horizontal="center" vertical="center" wrapText="1"/>
    </xf>
    <xf numFmtId="0" fontId="65" fillId="18" borderId="8" xfId="0" applyFont="1" applyFill="1" applyBorder="1" applyAlignment="1">
      <alignment horizontal="center" vertical="center" wrapText="1"/>
    </xf>
    <xf numFmtId="0" fontId="65" fillId="18" borderId="0" xfId="0" applyFont="1" applyFill="1" applyBorder="1" applyAlignment="1">
      <alignment horizontal="center" vertical="center"/>
    </xf>
    <xf numFmtId="0" fontId="5" fillId="18" borderId="6" xfId="0" applyFont="1" applyFill="1" applyBorder="1" applyAlignment="1">
      <alignment horizontal="right" vertical="center" wrapText="1"/>
    </xf>
    <xf numFmtId="0" fontId="137" fillId="33" borderId="24" xfId="0" applyFont="1" applyFill="1" applyBorder="1" applyAlignment="1">
      <alignment horizontal="center" vertical="center"/>
    </xf>
    <xf numFmtId="0" fontId="137" fillId="33" borderId="5" xfId="0" applyFont="1" applyFill="1" applyBorder="1" applyAlignment="1">
      <alignment horizontal="center" vertical="center"/>
    </xf>
    <xf numFmtId="0" fontId="137" fillId="33" borderId="7" xfId="0" applyFont="1" applyFill="1" applyBorder="1" applyAlignment="1">
      <alignment horizontal="center" vertical="center"/>
    </xf>
    <xf numFmtId="0" fontId="42" fillId="18" borderId="0" xfId="0" applyFont="1" applyFill="1" applyBorder="1" applyAlignment="1">
      <alignment horizontal="left" vertical="center"/>
    </xf>
    <xf numFmtId="0" fontId="5" fillId="18" borderId="6" xfId="0" applyFont="1" applyFill="1" applyBorder="1" applyAlignment="1">
      <alignment horizontal="center" vertical="center" wrapText="1"/>
    </xf>
    <xf numFmtId="1" fontId="137" fillId="33" borderId="7" xfId="0" applyNumberFormat="1" applyFont="1" applyFill="1" applyBorder="1" applyAlignment="1">
      <alignment horizontal="center" vertical="center"/>
    </xf>
    <xf numFmtId="0" fontId="5" fillId="18" borderId="11" xfId="0" applyFont="1" applyFill="1" applyBorder="1" applyAlignment="1">
      <alignment horizontal="right" vertical="center"/>
    </xf>
    <xf numFmtId="0" fontId="5" fillId="18" borderId="2" xfId="0" applyFont="1" applyFill="1" applyBorder="1" applyAlignment="1">
      <alignment horizontal="right" vertical="center"/>
    </xf>
    <xf numFmtId="0" fontId="5" fillId="18" borderId="4" xfId="0" applyFont="1" applyFill="1" applyBorder="1" applyAlignment="1">
      <alignment horizontal="right" vertical="center"/>
    </xf>
    <xf numFmtId="3" fontId="102" fillId="16" borderId="3" xfId="0" applyNumberFormat="1" applyFont="1" applyFill="1" applyBorder="1" applyAlignment="1">
      <alignment horizontal="center" vertical="center" wrapText="1"/>
    </xf>
    <xf numFmtId="3" fontId="13" fillId="16" borderId="3" xfId="0" applyNumberFormat="1" applyFont="1" applyFill="1" applyBorder="1" applyAlignment="1">
      <alignment horizontal="center" vertical="center" wrapText="1"/>
    </xf>
    <xf numFmtId="3" fontId="13" fillId="16" borderId="5" xfId="0" applyNumberFormat="1" applyFont="1" applyFill="1" applyBorder="1" applyAlignment="1">
      <alignment horizontal="center" vertical="center" wrapText="1"/>
    </xf>
    <xf numFmtId="3" fontId="13" fillId="16" borderId="47" xfId="0" applyNumberFormat="1" applyFont="1" applyFill="1" applyBorder="1" applyAlignment="1">
      <alignment horizontal="center" vertical="center" wrapText="1"/>
    </xf>
    <xf numFmtId="9" fontId="5" fillId="18" borderId="0" xfId="0" applyNumberFormat="1" applyFont="1" applyFill="1" applyAlignment="1">
      <alignment vertical="center"/>
    </xf>
    <xf numFmtId="0" fontId="5" fillId="18" borderId="6" xfId="0" applyFont="1" applyFill="1" applyBorder="1" applyAlignment="1">
      <alignment horizontal="right" vertical="center"/>
    </xf>
    <xf numFmtId="0" fontId="25" fillId="38" borderId="24" xfId="0" applyFont="1" applyFill="1" applyBorder="1" applyAlignment="1">
      <alignment horizontal="center" vertical="center"/>
    </xf>
    <xf numFmtId="0" fontId="25" fillId="38" borderId="3" xfId="0" applyFont="1" applyFill="1" applyBorder="1" applyAlignment="1">
      <alignment horizontal="center" vertical="center"/>
    </xf>
    <xf numFmtId="1" fontId="25" fillId="38" borderId="5" xfId="0" applyNumberFormat="1" applyFont="1" applyFill="1" applyBorder="1" applyAlignment="1">
      <alignment horizontal="center" vertical="center"/>
    </xf>
    <xf numFmtId="0" fontId="25" fillId="38" borderId="7" xfId="0" applyFont="1" applyFill="1" applyBorder="1" applyAlignment="1">
      <alignment horizontal="center" vertical="center"/>
    </xf>
    <xf numFmtId="3" fontId="12" fillId="18" borderId="0" xfId="0" applyNumberFormat="1" applyFont="1" applyFill="1" applyBorder="1" applyAlignment="1">
      <alignment horizontal="center" vertical="center" wrapText="1"/>
    </xf>
    <xf numFmtId="3" fontId="12" fillId="16" borderId="0" xfId="0" applyNumberFormat="1" applyFont="1" applyFill="1" applyBorder="1" applyAlignment="1">
      <alignment horizontal="center" vertical="center" wrapText="1"/>
    </xf>
    <xf numFmtId="3" fontId="102" fillId="16" borderId="0" xfId="0" applyNumberFormat="1" applyFont="1" applyFill="1" applyBorder="1" applyAlignment="1">
      <alignment horizontal="center" vertical="center" wrapText="1"/>
    </xf>
    <xf numFmtId="3" fontId="13" fillId="16" borderId="0" xfId="0" applyNumberFormat="1" applyFont="1" applyFill="1" applyBorder="1" applyAlignment="1">
      <alignment horizontal="center" vertical="center" wrapText="1"/>
    </xf>
    <xf numFmtId="0" fontId="5" fillId="18" borderId="0" xfId="0" applyFont="1" applyFill="1" applyBorder="1" applyAlignment="1">
      <alignment horizontal="right" vertical="center"/>
    </xf>
    <xf numFmtId="0" fontId="137" fillId="39" borderId="5" xfId="0" applyFont="1" applyFill="1" applyBorder="1" applyAlignment="1">
      <alignment horizontal="center" vertical="center"/>
    </xf>
    <xf numFmtId="0" fontId="5" fillId="18" borderId="10" xfId="0" applyFont="1" applyFill="1" applyBorder="1" applyAlignment="1">
      <alignment horizontal="center" vertical="center" wrapText="1"/>
    </xf>
    <xf numFmtId="0" fontId="42" fillId="18" borderId="0" xfId="0" applyFont="1" applyFill="1" applyBorder="1" applyAlignment="1">
      <alignment vertical="center"/>
    </xf>
    <xf numFmtId="0" fontId="0" fillId="0" borderId="0" xfId="0" applyBorder="1"/>
    <xf numFmtId="0" fontId="0" fillId="18" borderId="0" xfId="0" applyFill="1" applyBorder="1"/>
    <xf numFmtId="0" fontId="65" fillId="18" borderId="0" xfId="0" applyFont="1" applyFill="1" applyBorder="1" applyAlignment="1">
      <alignment vertical="center"/>
    </xf>
    <xf numFmtId="0" fontId="27" fillId="24" borderId="0" xfId="1" applyFont="1" applyFill="1" applyAlignment="1" applyProtection="1">
      <alignment horizontal="center" vertical="center"/>
    </xf>
    <xf numFmtId="0" fontId="25" fillId="18" borderId="0" xfId="0" applyFont="1" applyFill="1" applyBorder="1" applyAlignment="1">
      <alignment horizontal="center" vertical="center"/>
    </xf>
    <xf numFmtId="0" fontId="25" fillId="18" borderId="0" xfId="0" applyFont="1" applyFill="1" applyBorder="1" applyAlignment="1">
      <alignment vertical="center" wrapText="1"/>
    </xf>
    <xf numFmtId="0" fontId="6" fillId="18" borderId="0" xfId="1" applyFill="1" applyBorder="1" applyAlignment="1" applyProtection="1">
      <alignment vertical="center" wrapText="1"/>
    </xf>
    <xf numFmtId="0" fontId="25" fillId="18" borderId="0" xfId="0" applyFont="1" applyFill="1" applyBorder="1" applyAlignment="1">
      <alignment horizontal="center" vertical="center" wrapText="1"/>
    </xf>
    <xf numFmtId="0" fontId="5" fillId="18" borderId="0" xfId="0" applyFont="1" applyFill="1" applyAlignment="1">
      <alignment horizontal="left" vertical="center" wrapText="1"/>
    </xf>
    <xf numFmtId="0" fontId="25" fillId="15" borderId="44" xfId="0" applyFont="1" applyFill="1" applyBorder="1" applyAlignment="1">
      <alignment horizontal="center" vertical="center"/>
    </xf>
    <xf numFmtId="0" fontId="25" fillId="15" borderId="26" xfId="0" applyFont="1" applyFill="1" applyBorder="1" applyAlignment="1">
      <alignment horizontal="center" vertical="center"/>
    </xf>
    <xf numFmtId="0" fontId="25" fillId="15" borderId="24" xfId="0" applyFont="1" applyFill="1" applyBorder="1" applyAlignment="1">
      <alignment horizontal="center" vertical="center"/>
    </xf>
    <xf numFmtId="0" fontId="27" fillId="24" borderId="0" xfId="1" applyFont="1" applyFill="1" applyAlignment="1" applyProtection="1">
      <alignment horizontal="center" vertical="center"/>
    </xf>
    <xf numFmtId="0" fontId="28" fillId="18" borderId="42" xfId="0" applyFont="1" applyFill="1" applyBorder="1" applyAlignment="1">
      <alignment horizontal="left" vertical="center" wrapText="1"/>
    </xf>
    <xf numFmtId="0" fontId="28" fillId="16" borderId="42" xfId="0" applyFont="1" applyFill="1" applyBorder="1" applyAlignment="1">
      <alignment horizontal="left" vertical="center" wrapText="1"/>
    </xf>
    <xf numFmtId="0" fontId="25" fillId="15" borderId="44" xfId="0" applyFont="1" applyFill="1" applyBorder="1" applyAlignment="1">
      <alignment horizontal="center" vertical="center" wrapText="1"/>
    </xf>
    <xf numFmtId="0" fontId="28" fillId="16" borderId="22" xfId="0" applyFont="1" applyFill="1" applyBorder="1" applyAlignment="1">
      <alignment horizontal="left" vertical="center" wrapText="1"/>
    </xf>
    <xf numFmtId="0" fontId="5" fillId="18" borderId="1" xfId="0" applyFont="1" applyFill="1" applyBorder="1" applyAlignment="1">
      <alignment horizontal="center" vertical="center"/>
    </xf>
    <xf numFmtId="0" fontId="28" fillId="18" borderId="8" xfId="0" applyFont="1" applyFill="1" applyBorder="1" applyAlignment="1">
      <alignment horizontal="center" vertical="center"/>
    </xf>
    <xf numFmtId="0" fontId="28" fillId="16" borderId="3" xfId="0" applyFont="1" applyFill="1" applyBorder="1" applyAlignment="1">
      <alignment horizontal="center" vertical="center"/>
    </xf>
    <xf numFmtId="0" fontId="5" fillId="18" borderId="3" xfId="0" applyFont="1" applyFill="1" applyBorder="1" applyAlignment="1">
      <alignment horizontal="center" vertical="center"/>
    </xf>
    <xf numFmtId="0" fontId="5" fillId="16" borderId="5" xfId="0" applyFont="1" applyFill="1" applyBorder="1" applyAlignment="1">
      <alignment horizontal="center" vertical="center"/>
    </xf>
    <xf numFmtId="0" fontId="28" fillId="18" borderId="44" xfId="0" applyFont="1" applyFill="1" applyBorder="1" applyAlignment="1">
      <alignment horizontal="left" vertical="center" wrapText="1"/>
    </xf>
    <xf numFmtId="0" fontId="28" fillId="18" borderId="44" xfId="0" applyFont="1" applyFill="1" applyBorder="1" applyAlignment="1">
      <alignment vertical="center" wrapText="1"/>
    </xf>
    <xf numFmtId="0" fontId="28" fillId="18" borderId="42" xfId="0" applyFont="1" applyFill="1" applyBorder="1" applyAlignment="1">
      <alignment vertical="center" wrapText="1"/>
    </xf>
    <xf numFmtId="0" fontId="28" fillId="18" borderId="61" xfId="0" applyFont="1" applyFill="1" applyBorder="1" applyAlignment="1">
      <alignment horizontal="left" vertical="center" wrapText="1"/>
    </xf>
    <xf numFmtId="0" fontId="5" fillId="18" borderId="0" xfId="0" applyFont="1" applyFill="1" applyAlignment="1">
      <alignment horizontal="center" vertical="center"/>
    </xf>
    <xf numFmtId="0" fontId="5" fillId="18" borderId="15" xfId="0" applyFont="1" applyFill="1" applyBorder="1" applyAlignment="1">
      <alignment horizontal="center" vertical="center"/>
    </xf>
    <xf numFmtId="0" fontId="5" fillId="18" borderId="0" xfId="0" applyFont="1" applyFill="1" applyAlignment="1">
      <alignment horizontal="center" vertical="center" wrapText="1"/>
    </xf>
    <xf numFmtId="0" fontId="5" fillId="18" borderId="3" xfId="0" applyFont="1" applyFill="1" applyBorder="1" applyAlignment="1">
      <alignment horizontal="left" vertical="center" wrapText="1"/>
    </xf>
    <xf numFmtId="0" fontId="42" fillId="18" borderId="0" xfId="0" applyFont="1" applyFill="1" applyAlignment="1">
      <alignment horizontal="left" vertical="center" wrapText="1"/>
    </xf>
    <xf numFmtId="0" fontId="5" fillId="16" borderId="21" xfId="0" applyFont="1" applyFill="1" applyBorder="1" applyAlignment="1">
      <alignment horizontal="center" vertical="center"/>
    </xf>
    <xf numFmtId="0" fontId="5" fillId="16" borderId="3" xfId="0" applyFont="1" applyFill="1" applyBorder="1" applyAlignment="1">
      <alignment horizontal="center" vertical="center"/>
    </xf>
    <xf numFmtId="0" fontId="5" fillId="18" borderId="21" xfId="0" applyFont="1" applyFill="1" applyBorder="1" applyAlignment="1">
      <alignment horizontal="center" vertical="center"/>
    </xf>
    <xf numFmtId="0" fontId="5" fillId="16" borderId="32" xfId="0" applyFont="1" applyFill="1" applyBorder="1" applyAlignment="1">
      <alignment horizontal="left" vertical="center" wrapText="1" indent="1"/>
    </xf>
    <xf numFmtId="0" fontId="25" fillId="15" borderId="1" xfId="0" applyFont="1" applyFill="1" applyBorder="1" applyAlignment="1">
      <alignment horizontal="center" vertical="center"/>
    </xf>
    <xf numFmtId="0" fontId="25" fillId="18" borderId="0" xfId="0" applyFont="1" applyFill="1" applyAlignment="1">
      <alignment horizontal="center" vertical="center"/>
    </xf>
    <xf numFmtId="0" fontId="5" fillId="16" borderId="1" xfId="0" applyFont="1" applyFill="1" applyBorder="1" applyAlignment="1">
      <alignment horizontal="center" vertical="center"/>
    </xf>
    <xf numFmtId="0" fontId="5" fillId="18" borderId="12" xfId="0" applyFont="1" applyFill="1" applyBorder="1" applyAlignment="1">
      <alignment horizontal="center" vertical="center"/>
    </xf>
    <xf numFmtId="0" fontId="5" fillId="18" borderId="24" xfId="0" applyFont="1" applyFill="1" applyBorder="1" applyAlignment="1">
      <alignment horizontal="center" vertical="center"/>
    </xf>
    <xf numFmtId="0" fontId="27" fillId="24" borderId="0" xfId="1" applyFont="1" applyFill="1" applyAlignment="1" applyProtection="1">
      <alignment horizontal="center" vertical="center" wrapText="1"/>
    </xf>
    <xf numFmtId="0" fontId="138" fillId="2" borderId="0" xfId="0" applyFont="1" applyFill="1" applyAlignment="1">
      <alignment horizontal="center" vertical="center"/>
    </xf>
    <xf numFmtId="0" fontId="25" fillId="15" borderId="2" xfId="0" applyFont="1" applyFill="1" applyBorder="1" applyAlignment="1">
      <alignment horizontal="center" vertical="center"/>
    </xf>
    <xf numFmtId="0" fontId="25" fillId="15" borderId="60" xfId="0" applyFont="1" applyFill="1" applyBorder="1" applyAlignment="1">
      <alignment horizontal="center" vertical="center"/>
    </xf>
    <xf numFmtId="0" fontId="5" fillId="22" borderId="56" xfId="0" applyFont="1" applyFill="1" applyBorder="1" applyAlignment="1">
      <alignment horizontal="center" vertical="center" wrapText="1"/>
    </xf>
    <xf numFmtId="0" fontId="35" fillId="25" borderId="61" xfId="0" applyFont="1" applyFill="1" applyBorder="1" applyAlignment="1">
      <alignment horizontal="center" vertical="center" wrapText="1"/>
    </xf>
    <xf numFmtId="0" fontId="35" fillId="25" borderId="37" xfId="0" applyFont="1" applyFill="1" applyBorder="1" applyAlignment="1">
      <alignment horizontal="center" vertical="center" wrapText="1"/>
    </xf>
    <xf numFmtId="0" fontId="40" fillId="25" borderId="37" xfId="0" applyFont="1" applyFill="1" applyBorder="1" applyAlignment="1">
      <alignment horizontal="center" vertical="center" wrapText="1"/>
    </xf>
    <xf numFmtId="0" fontId="40" fillId="25" borderId="51" xfId="0" applyFont="1" applyFill="1" applyBorder="1" applyAlignment="1">
      <alignment horizontal="center" vertical="center" wrapText="1"/>
    </xf>
    <xf numFmtId="0" fontId="5" fillId="18" borderId="41" xfId="0" applyFont="1" applyFill="1" applyBorder="1" applyAlignment="1">
      <alignment horizontal="center" vertical="center"/>
    </xf>
    <xf numFmtId="0" fontId="28" fillId="18" borderId="0" xfId="0" applyFont="1" applyFill="1" applyBorder="1" applyAlignment="1">
      <alignment vertical="center"/>
    </xf>
    <xf numFmtId="0" fontId="5" fillId="18" borderId="0" xfId="0" applyFont="1" applyFill="1" applyAlignment="1">
      <alignment horizontal="left" vertical="center"/>
    </xf>
    <xf numFmtId="0" fontId="27" fillId="24" borderId="0" xfId="1" applyFont="1" applyFill="1" applyAlignment="1" applyProtection="1">
      <alignment horizontal="center" vertical="center"/>
    </xf>
    <xf numFmtId="0" fontId="28" fillId="18" borderId="0" xfId="0" applyFont="1" applyFill="1" applyBorder="1" applyAlignment="1">
      <alignment horizontal="left" vertical="center" wrapText="1"/>
    </xf>
    <xf numFmtId="0" fontId="5" fillId="18" borderId="2" xfId="0" applyFont="1" applyFill="1" applyBorder="1" applyAlignment="1">
      <alignment horizontal="center" vertical="center"/>
    </xf>
    <xf numFmtId="0" fontId="5" fillId="18" borderId="1" xfId="0" applyFont="1" applyFill="1" applyBorder="1" applyAlignment="1">
      <alignment horizontal="center" vertical="center"/>
    </xf>
    <xf numFmtId="0" fontId="5" fillId="18" borderId="3" xfId="0" applyFont="1" applyFill="1" applyBorder="1" applyAlignment="1">
      <alignment horizontal="center" vertical="center"/>
    </xf>
    <xf numFmtId="0" fontId="5" fillId="18" borderId="0" xfId="0" applyFont="1" applyFill="1" applyAlignment="1">
      <alignment horizontal="center" vertical="center"/>
    </xf>
    <xf numFmtId="0" fontId="5" fillId="16" borderId="2" xfId="0" applyFont="1" applyFill="1" applyBorder="1" applyAlignment="1">
      <alignment horizontal="center" vertical="center" wrapText="1"/>
    </xf>
    <xf numFmtId="0" fontId="5" fillId="16" borderId="4" xfId="0" applyFont="1" applyFill="1" applyBorder="1" applyAlignment="1">
      <alignment horizontal="center" vertical="center" wrapText="1"/>
    </xf>
    <xf numFmtId="0" fontId="5" fillId="18" borderId="2" xfId="0" applyFont="1" applyFill="1" applyBorder="1" applyAlignment="1">
      <alignment horizontal="center" vertical="center" wrapText="1"/>
    </xf>
    <xf numFmtId="0" fontId="42" fillId="18" borderId="0" xfId="0" applyFont="1" applyFill="1" applyAlignment="1">
      <alignment horizontal="left" vertical="center" wrapText="1"/>
    </xf>
    <xf numFmtId="0" fontId="25" fillId="18" borderId="67" xfId="0" applyFont="1" applyFill="1" applyBorder="1" applyAlignment="1">
      <alignment horizontal="right" vertical="center" wrapText="1"/>
    </xf>
    <xf numFmtId="0" fontId="25" fillId="42" borderId="12" xfId="0" applyFont="1" applyFill="1" applyBorder="1" applyAlignment="1">
      <alignment horizontal="center" vertical="center"/>
    </xf>
    <xf numFmtId="0" fontId="71" fillId="43" borderId="13" xfId="0" applyFont="1" applyFill="1" applyBorder="1" applyAlignment="1">
      <alignment horizontal="center" vertical="center"/>
    </xf>
    <xf numFmtId="0" fontId="71" fillId="43" borderId="5" xfId="0" applyFont="1" applyFill="1" applyBorder="1" applyAlignment="1">
      <alignment horizontal="center" vertical="center"/>
    </xf>
    <xf numFmtId="0" fontId="25" fillId="44" borderId="24" xfId="0" applyFont="1" applyFill="1" applyBorder="1" applyAlignment="1">
      <alignment horizontal="center" vertical="center"/>
    </xf>
    <xf numFmtId="0" fontId="5" fillId="18" borderId="49" xfId="0" applyFont="1" applyFill="1" applyBorder="1" applyAlignment="1">
      <alignment vertical="center" wrapText="1"/>
    </xf>
    <xf numFmtId="0" fontId="139" fillId="44" borderId="5" xfId="0" applyFont="1" applyFill="1" applyBorder="1" applyAlignment="1">
      <alignment horizontal="center" vertical="center"/>
    </xf>
    <xf numFmtId="0" fontId="25" fillId="44" borderId="13" xfId="0" applyFont="1" applyFill="1" applyBorder="1" applyAlignment="1">
      <alignment horizontal="center" vertical="center"/>
    </xf>
    <xf numFmtId="0" fontId="25" fillId="18" borderId="11" xfId="0" applyFont="1" applyFill="1" applyBorder="1" applyAlignment="1">
      <alignment horizontal="center" vertical="center" wrapText="1"/>
    </xf>
    <xf numFmtId="0" fontId="25" fillId="18" borderId="84" xfId="0" applyFont="1" applyFill="1" applyBorder="1" applyAlignment="1">
      <alignment horizontal="center" vertical="center" wrapText="1"/>
    </xf>
    <xf numFmtId="0" fontId="5" fillId="18" borderId="86" xfId="0" applyFont="1" applyFill="1" applyBorder="1" applyAlignment="1">
      <alignment horizontal="center" vertical="center"/>
    </xf>
    <xf numFmtId="0" fontId="25" fillId="18" borderId="43" xfId="0" applyFont="1" applyFill="1" applyBorder="1" applyAlignment="1">
      <alignment vertical="center"/>
    </xf>
    <xf numFmtId="0" fontId="28" fillId="18" borderId="1" xfId="0" applyFont="1" applyFill="1" applyBorder="1" applyAlignment="1">
      <alignment vertical="center"/>
    </xf>
    <xf numFmtId="49" fontId="28" fillId="18" borderId="1" xfId="0" applyNumberFormat="1" applyFont="1" applyFill="1" applyBorder="1" applyAlignment="1">
      <alignment vertical="center"/>
    </xf>
    <xf numFmtId="49" fontId="5" fillId="18" borderId="1" xfId="0" applyNumberFormat="1" applyFont="1" applyFill="1" applyBorder="1" applyAlignment="1">
      <alignment vertical="center"/>
    </xf>
    <xf numFmtId="9" fontId="28" fillId="18" borderId="1" xfId="3" applyFont="1" applyFill="1" applyBorder="1" applyAlignment="1">
      <alignment vertical="center"/>
    </xf>
    <xf numFmtId="1" fontId="28" fillId="18" borderId="1" xfId="0" applyNumberFormat="1" applyFont="1" applyFill="1" applyBorder="1" applyAlignment="1">
      <alignment vertical="center"/>
    </xf>
    <xf numFmtId="1" fontId="5" fillId="18" borderId="1" xfId="0" applyNumberFormat="1" applyFont="1" applyFill="1" applyBorder="1" applyAlignment="1">
      <alignment vertical="center"/>
    </xf>
    <xf numFmtId="0" fontId="5" fillId="18" borderId="11" xfId="0" applyFont="1" applyFill="1" applyBorder="1" applyAlignment="1">
      <alignment horizontal="center" vertical="center" wrapText="1"/>
    </xf>
    <xf numFmtId="0" fontId="28" fillId="18" borderId="12" xfId="0" applyFont="1" applyFill="1" applyBorder="1" applyAlignment="1">
      <alignment vertical="center"/>
    </xf>
    <xf numFmtId="0" fontId="0" fillId="0" borderId="2" xfId="0" applyBorder="1" applyAlignment="1">
      <alignment horizontal="center"/>
    </xf>
    <xf numFmtId="0" fontId="28" fillId="18" borderId="13" xfId="0" applyFont="1" applyFill="1" applyBorder="1" applyAlignment="1">
      <alignment vertical="center"/>
    </xf>
    <xf numFmtId="0" fontId="25" fillId="18" borderId="67" xfId="0" applyFont="1" applyFill="1" applyBorder="1" applyAlignment="1">
      <alignment horizontal="center" vertical="center" wrapText="1"/>
    </xf>
    <xf numFmtId="0" fontId="25" fillId="18" borderId="4" xfId="0" applyFont="1" applyFill="1" applyBorder="1" applyAlignment="1">
      <alignment horizontal="center" vertical="center" wrapText="1"/>
    </xf>
    <xf numFmtId="0" fontId="5" fillId="18" borderId="66" xfId="0" applyFont="1" applyFill="1" applyBorder="1" applyAlignment="1">
      <alignment horizontal="right" vertical="center"/>
    </xf>
    <xf numFmtId="0" fontId="5" fillId="33" borderId="35" xfId="0" applyFont="1" applyFill="1" applyBorder="1" applyAlignment="1">
      <alignment horizontal="center" vertical="center"/>
    </xf>
    <xf numFmtId="0" fontId="99" fillId="16" borderId="9" xfId="0" applyFont="1" applyFill="1" applyBorder="1" applyAlignment="1">
      <alignment horizontal="left" vertical="center" wrapText="1"/>
    </xf>
    <xf numFmtId="3" fontId="12" fillId="16" borderId="15" xfId="0" applyNumberFormat="1" applyFont="1" applyFill="1" applyBorder="1" applyAlignment="1">
      <alignment horizontal="center" vertical="center" wrapText="1"/>
    </xf>
    <xf numFmtId="0" fontId="18" fillId="18" borderId="66" xfId="0" applyFont="1" applyFill="1" applyBorder="1" applyAlignment="1">
      <alignment horizontal="left" vertical="center" wrapText="1"/>
    </xf>
    <xf numFmtId="3" fontId="12" fillId="18" borderId="35" xfId="0" applyNumberFormat="1" applyFont="1" applyFill="1" applyBorder="1" applyAlignment="1">
      <alignment horizontal="center" vertical="center" wrapText="1"/>
    </xf>
    <xf numFmtId="0" fontId="5" fillId="18" borderId="120" xfId="0" applyFont="1" applyFill="1" applyBorder="1" applyAlignment="1">
      <alignment vertical="center"/>
    </xf>
    <xf numFmtId="0" fontId="141" fillId="28" borderId="26" xfId="0" applyFont="1" applyFill="1" applyBorder="1" applyAlignment="1">
      <alignment horizontal="center" vertical="center"/>
    </xf>
    <xf numFmtId="0" fontId="25" fillId="18" borderId="25" xfId="0" applyFont="1" applyFill="1" applyBorder="1" applyAlignment="1">
      <alignment vertical="center" wrapText="1"/>
    </xf>
    <xf numFmtId="0" fontId="25" fillId="42" borderId="7" xfId="0" applyFont="1" applyFill="1" applyBorder="1" applyAlignment="1">
      <alignment horizontal="center" vertical="center"/>
    </xf>
    <xf numFmtId="0" fontId="141" fillId="42" borderId="7" xfId="0" applyFont="1" applyFill="1" applyBorder="1" applyAlignment="1">
      <alignment horizontal="center" vertical="center"/>
    </xf>
    <xf numFmtId="0" fontId="141" fillId="42" borderId="4" xfId="0" applyFont="1" applyFill="1" applyBorder="1" applyAlignment="1">
      <alignment horizontal="center" vertical="center"/>
    </xf>
    <xf numFmtId="0" fontId="141" fillId="42" borderId="13" xfId="0" applyFont="1" applyFill="1" applyBorder="1" applyAlignment="1">
      <alignment horizontal="center" vertical="center"/>
    </xf>
    <xf numFmtId="0" fontId="141" fillId="42" borderId="5" xfId="0" applyFont="1" applyFill="1" applyBorder="1" applyAlignment="1">
      <alignment horizontal="center" vertical="center"/>
    </xf>
    <xf numFmtId="0" fontId="141" fillId="42" borderId="18" xfId="0" applyFont="1" applyFill="1" applyBorder="1" applyAlignment="1">
      <alignment horizontal="center" vertical="center"/>
    </xf>
    <xf numFmtId="0" fontId="105" fillId="42" borderId="18" xfId="0" applyFont="1" applyFill="1" applyBorder="1" applyAlignment="1">
      <alignment horizontal="center" vertical="center" wrapText="1"/>
    </xf>
    <xf numFmtId="0" fontId="105" fillId="42" borderId="18" xfId="0" applyFont="1" applyFill="1" applyBorder="1" applyAlignment="1">
      <alignment horizontal="center" vertical="center"/>
    </xf>
    <xf numFmtId="1" fontId="141" fillId="28" borderId="91" xfId="0" applyNumberFormat="1" applyFont="1" applyFill="1" applyBorder="1" applyAlignment="1">
      <alignment horizontal="center" vertical="center"/>
    </xf>
    <xf numFmtId="0" fontId="141" fillId="18" borderId="30" xfId="0" applyFont="1" applyFill="1" applyBorder="1" applyAlignment="1">
      <alignment horizontal="left" vertical="center"/>
    </xf>
    <xf numFmtId="0" fontId="25" fillId="42" borderId="18" xfId="0" applyFont="1" applyFill="1" applyBorder="1" applyAlignment="1">
      <alignment horizontal="center" vertical="center"/>
    </xf>
    <xf numFmtId="49" fontId="0" fillId="15" borderId="1" xfId="0" applyNumberFormat="1" applyFont="1" applyFill="1" applyBorder="1" applyAlignment="1">
      <alignment horizontal="center" vertical="center" wrapText="1"/>
    </xf>
    <xf numFmtId="0" fontId="18" fillId="18" borderId="1" xfId="0" applyFont="1" applyFill="1" applyBorder="1" applyAlignment="1">
      <alignment horizontal="left" vertical="center" wrapText="1"/>
    </xf>
    <xf numFmtId="0" fontId="99" fillId="16" borderId="1" xfId="0" applyFont="1" applyFill="1" applyBorder="1" applyAlignment="1">
      <alignment horizontal="left" vertical="center" wrapText="1"/>
    </xf>
    <xf numFmtId="0" fontId="52" fillId="16" borderId="1" xfId="0" applyFont="1" applyFill="1" applyBorder="1" applyAlignment="1">
      <alignment horizontal="left" vertical="center" wrapText="1"/>
    </xf>
    <xf numFmtId="0" fontId="18" fillId="16" borderId="1" xfId="0" applyFont="1" applyFill="1" applyBorder="1" applyAlignment="1">
      <alignment horizontal="left" vertical="center" wrapText="1"/>
    </xf>
    <xf numFmtId="0" fontId="27" fillId="24" borderId="0" xfId="1" applyFont="1" applyFill="1" applyAlignment="1" applyProtection="1">
      <alignment horizontal="center" vertical="center"/>
    </xf>
    <xf numFmtId="3" fontId="0" fillId="15" borderId="1" xfId="0" applyNumberFormat="1" applyFont="1" applyFill="1" applyBorder="1" applyAlignment="1">
      <alignment horizontal="center" vertical="center" wrapText="1"/>
    </xf>
    <xf numFmtId="0" fontId="5" fillId="18" borderId="0" xfId="0" applyFont="1" applyFill="1" applyAlignment="1">
      <alignment horizontal="right" vertical="center"/>
    </xf>
    <xf numFmtId="0" fontId="5" fillId="15" borderId="37" xfId="0" applyFont="1" applyFill="1" applyBorder="1" applyAlignment="1">
      <alignment horizontal="center" vertical="center"/>
    </xf>
    <xf numFmtId="0" fontId="5" fillId="15" borderId="15" xfId="0" applyFont="1" applyFill="1" applyBorder="1" applyAlignment="1">
      <alignment horizontal="center" vertical="center"/>
    </xf>
    <xf numFmtId="49" fontId="7" fillId="15" borderId="60" xfId="0" applyNumberFormat="1" applyFont="1" applyFill="1" applyBorder="1" applyAlignment="1">
      <alignment horizontal="center" vertical="center" wrapText="1"/>
    </xf>
    <xf numFmtId="49" fontId="7" fillId="15" borderId="21" xfId="0" applyNumberFormat="1" applyFont="1" applyFill="1" applyBorder="1" applyAlignment="1">
      <alignment horizontal="center" vertical="center" wrapText="1"/>
    </xf>
    <xf numFmtId="0" fontId="5" fillId="18" borderId="11" xfId="0" applyFont="1" applyFill="1" applyBorder="1" applyAlignment="1">
      <alignment horizontal="right" vertical="center" wrapText="1"/>
    </xf>
    <xf numFmtId="0" fontId="5" fillId="18" borderId="0" xfId="0" applyFont="1" applyFill="1" applyAlignment="1">
      <alignment horizontal="left" vertical="center"/>
    </xf>
    <xf numFmtId="3" fontId="0" fillId="15" borderId="1" xfId="0" applyNumberFormat="1" applyFont="1" applyFill="1" applyBorder="1" applyAlignment="1">
      <alignment horizontal="center" vertical="center" wrapText="1"/>
    </xf>
    <xf numFmtId="0" fontId="5" fillId="18" borderId="0" xfId="0" applyFont="1" applyFill="1" applyAlignment="1">
      <alignment horizontal="center" vertical="center"/>
    </xf>
    <xf numFmtId="49" fontId="7" fillId="15" borderId="21" xfId="0" applyNumberFormat="1" applyFont="1" applyFill="1" applyBorder="1" applyAlignment="1">
      <alignment horizontal="center" vertical="center" wrapText="1"/>
    </xf>
    <xf numFmtId="0" fontId="25" fillId="18" borderId="0" xfId="0" applyFont="1" applyFill="1" applyBorder="1" applyAlignment="1">
      <alignment vertical="top" wrapText="1"/>
    </xf>
    <xf numFmtId="0" fontId="135" fillId="40" borderId="24" xfId="0" applyFont="1" applyFill="1" applyBorder="1" applyAlignment="1">
      <alignment horizontal="center" vertical="center"/>
    </xf>
    <xf numFmtId="0" fontId="135" fillId="40" borderId="3" xfId="0" applyFont="1" applyFill="1" applyBorder="1" applyAlignment="1">
      <alignment horizontal="center" vertical="center"/>
    </xf>
    <xf numFmtId="0" fontId="135" fillId="40" borderId="5" xfId="0" applyFont="1" applyFill="1" applyBorder="1" applyAlignment="1">
      <alignment horizontal="center" vertical="center"/>
    </xf>
    <xf numFmtId="9" fontId="135" fillId="40" borderId="7" xfId="0" applyNumberFormat="1" applyFont="1" applyFill="1" applyBorder="1" applyAlignment="1">
      <alignment horizontal="center" vertical="center"/>
    </xf>
    <xf numFmtId="0" fontId="25" fillId="18" borderId="4" xfId="0" applyFont="1" applyFill="1" applyBorder="1" applyAlignment="1">
      <alignment horizontal="right" vertical="center" wrapText="1"/>
    </xf>
    <xf numFmtId="1" fontId="137" fillId="33" borderId="24" xfId="0" applyNumberFormat="1" applyFont="1" applyFill="1" applyBorder="1" applyAlignment="1">
      <alignment horizontal="center" vertical="center"/>
    </xf>
    <xf numFmtId="0" fontId="5" fillId="18" borderId="31" xfId="0" applyFont="1" applyFill="1" applyBorder="1" applyAlignment="1">
      <alignment horizontal="left" vertical="center"/>
    </xf>
    <xf numFmtId="0" fontId="5" fillId="18" borderId="32" xfId="0" applyFont="1" applyFill="1" applyBorder="1" applyAlignment="1">
      <alignment horizontal="left" vertical="center"/>
    </xf>
    <xf numFmtId="0" fontId="5" fillId="18" borderId="33" xfId="0" applyFont="1" applyFill="1" applyBorder="1" applyAlignment="1">
      <alignment horizontal="left" vertical="center"/>
    </xf>
    <xf numFmtId="0" fontId="25" fillId="25" borderId="16" xfId="0" applyFont="1" applyFill="1" applyBorder="1" applyAlignment="1">
      <alignment horizontal="right" vertical="center"/>
    </xf>
    <xf numFmtId="0" fontId="25" fillId="25" borderId="17" xfId="0" applyFont="1" applyFill="1" applyBorder="1" applyAlignment="1">
      <alignment horizontal="right" vertical="center"/>
    </xf>
    <xf numFmtId="0" fontId="5" fillId="18" borderId="0" xfId="0" applyFont="1" applyFill="1" applyAlignment="1">
      <alignment horizontal="left" vertical="center"/>
    </xf>
    <xf numFmtId="0" fontId="26" fillId="18" borderId="0" xfId="0" applyFont="1" applyFill="1" applyAlignment="1">
      <alignment horizontal="left" vertical="center" wrapText="1"/>
    </xf>
    <xf numFmtId="0" fontId="5" fillId="18" borderId="0" xfId="0" applyFont="1" applyFill="1" applyAlignment="1">
      <alignment horizontal="center" vertical="center"/>
    </xf>
    <xf numFmtId="0" fontId="25" fillId="18" borderId="0" xfId="0" applyFont="1" applyFill="1" applyAlignment="1">
      <alignment horizontal="center" vertical="center"/>
    </xf>
    <xf numFmtId="0" fontId="25" fillId="25" borderId="17" xfId="0" applyFont="1" applyFill="1" applyBorder="1" applyAlignment="1">
      <alignment horizontal="right" vertical="center" wrapText="1"/>
    </xf>
    <xf numFmtId="0" fontId="26" fillId="18" borderId="0" xfId="0" applyFont="1" applyFill="1" applyAlignment="1">
      <alignment vertical="center" wrapText="1"/>
    </xf>
    <xf numFmtId="3" fontId="0" fillId="18" borderId="0" xfId="0" applyNumberFormat="1" applyFont="1" applyFill="1" applyBorder="1" applyAlignment="1">
      <alignment horizontal="left" vertical="center" wrapText="1"/>
    </xf>
    <xf numFmtId="1" fontId="5" fillId="18" borderId="0" xfId="0" applyNumberFormat="1" applyFont="1" applyFill="1" applyAlignment="1">
      <alignment horizontal="center" vertical="center"/>
    </xf>
    <xf numFmtId="0" fontId="5" fillId="18" borderId="16" xfId="0" applyFont="1" applyFill="1" applyBorder="1" applyAlignment="1">
      <alignment horizontal="right" vertical="center"/>
    </xf>
    <xf numFmtId="0" fontId="5" fillId="18" borderId="17" xfId="0" applyFont="1" applyFill="1" applyBorder="1" applyAlignment="1">
      <alignment horizontal="right" vertical="center"/>
    </xf>
    <xf numFmtId="0" fontId="5" fillId="18" borderId="42" xfId="0" applyFont="1" applyFill="1" applyBorder="1" applyAlignment="1">
      <alignment horizontal="right" vertical="center"/>
    </xf>
    <xf numFmtId="0" fontId="5" fillId="18" borderId="43" xfId="0" applyFont="1" applyFill="1" applyBorder="1" applyAlignment="1">
      <alignment horizontal="right" vertical="center"/>
    </xf>
    <xf numFmtId="0" fontId="5" fillId="18" borderId="18" xfId="0" applyFont="1" applyFill="1" applyBorder="1" applyAlignment="1">
      <alignment horizontal="right" vertical="center"/>
    </xf>
    <xf numFmtId="0" fontId="5" fillId="18" borderId="0" xfId="0" applyFont="1" applyFill="1" applyAlignment="1">
      <alignment horizontal="left" vertical="center"/>
    </xf>
    <xf numFmtId="0" fontId="5" fillId="18" borderId="0" xfId="0" applyFont="1" applyFill="1" applyAlignment="1">
      <alignment horizontal="center" vertical="center"/>
    </xf>
    <xf numFmtId="0" fontId="5" fillId="18" borderId="0" xfId="0" applyFont="1" applyFill="1" applyAlignment="1">
      <alignment horizontal="right" vertical="center"/>
    </xf>
    <xf numFmtId="0" fontId="28" fillId="18" borderId="0" xfId="0" applyFont="1" applyFill="1" applyBorder="1" applyAlignment="1">
      <alignment horizontal="center" vertical="center" wrapText="1"/>
    </xf>
    <xf numFmtId="0" fontId="5" fillId="18" borderId="0" xfId="0" applyFont="1" applyFill="1" applyAlignment="1">
      <alignment horizontal="center" vertical="center"/>
    </xf>
    <xf numFmtId="0" fontId="5" fillId="18" borderId="68" xfId="0" applyFont="1" applyFill="1" applyBorder="1" applyAlignment="1">
      <alignment horizontal="right" vertical="center"/>
    </xf>
    <xf numFmtId="2" fontId="5" fillId="18" borderId="32" xfId="0" applyNumberFormat="1" applyFont="1" applyFill="1" applyBorder="1" applyAlignment="1">
      <alignment horizontal="left" vertical="center"/>
    </xf>
    <xf numFmtId="2" fontId="5" fillId="18" borderId="0" xfId="0" applyNumberFormat="1" applyFont="1" applyFill="1" applyAlignment="1">
      <alignment horizontal="left" vertical="center"/>
    </xf>
    <xf numFmtId="0" fontId="5" fillId="18" borderId="0" xfId="0" applyFont="1" applyFill="1" applyAlignment="1">
      <alignment horizontal="left" vertical="center"/>
    </xf>
    <xf numFmtId="0" fontId="25" fillId="18" borderId="0" xfId="0" applyFont="1" applyFill="1" applyAlignment="1">
      <alignment horizontal="left" vertical="center"/>
    </xf>
    <xf numFmtId="0" fontId="28" fillId="16" borderId="5" xfId="0" applyFont="1" applyFill="1" applyBorder="1" applyAlignment="1">
      <alignment horizontal="left" vertical="center" wrapText="1"/>
    </xf>
    <xf numFmtId="0" fontId="28" fillId="18" borderId="0" xfId="0" applyFont="1" applyFill="1" applyBorder="1" applyAlignment="1">
      <alignment horizontal="left" vertical="center" wrapText="1"/>
    </xf>
    <xf numFmtId="0" fontId="5" fillId="18" borderId="0" xfId="0" applyFont="1" applyFill="1" applyBorder="1" applyAlignment="1">
      <alignment horizontal="left" vertical="center"/>
    </xf>
    <xf numFmtId="0" fontId="5" fillId="18" borderId="0" xfId="0" applyFont="1" applyFill="1" applyAlignment="1">
      <alignment horizontal="center" vertical="center"/>
    </xf>
    <xf numFmtId="0" fontId="5" fillId="18" borderId="0" xfId="0" applyFont="1" applyFill="1" applyAlignment="1">
      <alignment horizontal="right" vertical="center"/>
    </xf>
    <xf numFmtId="0" fontId="5" fillId="16" borderId="5" xfId="0" applyFont="1" applyFill="1" applyBorder="1" applyAlignment="1">
      <alignment horizontal="left" vertical="center" wrapText="1"/>
    </xf>
    <xf numFmtId="0" fontId="28" fillId="18" borderId="0" xfId="0" applyFont="1" applyFill="1" applyBorder="1" applyAlignment="1">
      <alignment horizontal="center" vertical="center" wrapText="1"/>
    </xf>
    <xf numFmtId="0" fontId="5" fillId="18" borderId="0" xfId="0" applyFont="1" applyFill="1" applyBorder="1" applyAlignment="1">
      <alignment horizontal="center" vertical="center"/>
    </xf>
    <xf numFmtId="1" fontId="5" fillId="18" borderId="31" xfId="0" applyNumberFormat="1" applyFont="1" applyFill="1" applyBorder="1" applyAlignment="1">
      <alignment horizontal="left" vertical="center"/>
    </xf>
    <xf numFmtId="1" fontId="5" fillId="18" borderId="32" xfId="0" applyNumberFormat="1" applyFont="1" applyFill="1" applyBorder="1" applyAlignment="1">
      <alignment horizontal="left" vertical="center"/>
    </xf>
    <xf numFmtId="1" fontId="5" fillId="18" borderId="33" xfId="0" applyNumberFormat="1" applyFont="1" applyFill="1" applyBorder="1" applyAlignment="1">
      <alignment horizontal="left" vertical="center"/>
    </xf>
    <xf numFmtId="0" fontId="5" fillId="16" borderId="8" xfId="0" applyFont="1" applyFill="1" applyBorder="1" applyAlignment="1">
      <alignment vertical="center" wrapText="1"/>
    </xf>
    <xf numFmtId="0" fontId="25" fillId="18" borderId="0" xfId="0" applyFont="1" applyFill="1" applyBorder="1" applyAlignment="1">
      <alignment horizontal="right" vertical="center" wrapText="1"/>
    </xf>
    <xf numFmtId="0" fontId="25" fillId="18" borderId="68" xfId="0" applyFont="1" applyFill="1" applyBorder="1" applyAlignment="1">
      <alignment horizontal="right" vertical="center" wrapText="1"/>
    </xf>
    <xf numFmtId="0" fontId="25" fillId="18" borderId="43" xfId="0" applyFont="1" applyFill="1" applyBorder="1" applyAlignment="1">
      <alignment horizontal="right" vertical="center" wrapText="1"/>
    </xf>
    <xf numFmtId="3" fontId="0" fillId="18" borderId="0" xfId="0" applyNumberFormat="1" applyFill="1" applyBorder="1" applyAlignment="1">
      <alignment vertical="center" wrapText="1"/>
    </xf>
    <xf numFmtId="3" fontId="0" fillId="18" borderId="0" xfId="0" applyNumberFormat="1" applyFont="1" applyFill="1" applyBorder="1" applyAlignment="1">
      <alignment vertical="center" wrapText="1"/>
    </xf>
    <xf numFmtId="0" fontId="28" fillId="18" borderId="60" xfId="0" applyFont="1" applyFill="1" applyBorder="1" applyAlignment="1">
      <alignment horizontal="left" vertical="center" wrapText="1"/>
    </xf>
    <xf numFmtId="0" fontId="28" fillId="16" borderId="60" xfId="0" applyFont="1" applyFill="1" applyBorder="1" applyAlignment="1">
      <alignment horizontal="left" vertical="center" wrapText="1"/>
    </xf>
    <xf numFmtId="0" fontId="25" fillId="20" borderId="31" xfId="0" applyFont="1" applyFill="1" applyBorder="1" applyAlignment="1">
      <alignment horizontal="left" vertical="center" indent="1"/>
    </xf>
    <xf numFmtId="0" fontId="25" fillId="20" borderId="33" xfId="0" applyFont="1" applyFill="1" applyBorder="1" applyAlignment="1">
      <alignment horizontal="left" vertical="center" indent="1"/>
    </xf>
    <xf numFmtId="0" fontId="5" fillId="20" borderId="32" xfId="0" applyFont="1" applyFill="1" applyBorder="1" applyAlignment="1">
      <alignment horizontal="left" vertical="center" indent="1"/>
    </xf>
    <xf numFmtId="0" fontId="5" fillId="20" borderId="33" xfId="0" applyFont="1" applyFill="1" applyBorder="1" applyAlignment="1">
      <alignment horizontal="left" vertical="center" indent="1"/>
    </xf>
    <xf numFmtId="0" fontId="5" fillId="18" borderId="51" xfId="0" applyFont="1" applyFill="1" applyBorder="1" applyAlignment="1">
      <alignment horizontal="center" vertical="center"/>
    </xf>
    <xf numFmtId="0" fontId="5" fillId="18" borderId="83" xfId="0" applyFont="1" applyFill="1" applyBorder="1" applyAlignment="1">
      <alignment horizontal="center" vertical="center"/>
    </xf>
    <xf numFmtId="1" fontId="137" fillId="38" borderId="16" xfId="0" applyNumberFormat="1" applyFont="1" applyFill="1" applyBorder="1" applyAlignment="1">
      <alignment horizontal="center" vertical="center"/>
    </xf>
    <xf numFmtId="1" fontId="137" fillId="38" borderId="18" xfId="0" applyNumberFormat="1" applyFont="1" applyFill="1" applyBorder="1" applyAlignment="1">
      <alignment horizontal="center" vertical="center"/>
    </xf>
    <xf numFmtId="0" fontId="137" fillId="38" borderId="19" xfId="0" applyFont="1" applyFill="1" applyBorder="1" applyAlignment="1">
      <alignment horizontal="center" vertical="center"/>
    </xf>
    <xf numFmtId="0" fontId="137" fillId="38" borderId="82" xfId="0" applyFont="1" applyFill="1" applyBorder="1" applyAlignment="1">
      <alignment horizontal="center" vertical="center"/>
    </xf>
    <xf numFmtId="0" fontId="137" fillId="38" borderId="16" xfId="0" applyFont="1" applyFill="1" applyBorder="1" applyAlignment="1">
      <alignment horizontal="center" vertical="center"/>
    </xf>
    <xf numFmtId="0" fontId="137" fillId="38" borderId="18" xfId="0" applyFont="1" applyFill="1" applyBorder="1" applyAlignment="1">
      <alignment horizontal="center" vertical="center"/>
    </xf>
    <xf numFmtId="0" fontId="141" fillId="34" borderId="16" xfId="0" applyFont="1" applyFill="1" applyBorder="1" applyAlignment="1">
      <alignment horizontal="center" vertical="center"/>
    </xf>
    <xf numFmtId="0" fontId="5" fillId="18" borderId="0" xfId="0" applyFont="1" applyFill="1" applyAlignment="1">
      <alignment horizontal="left" vertical="center" wrapText="1"/>
    </xf>
    <xf numFmtId="0" fontId="5" fillId="18" borderId="0" xfId="0" applyFont="1" applyFill="1" applyAlignment="1">
      <alignment horizontal="left" vertical="center"/>
    </xf>
    <xf numFmtId="0" fontId="5" fillId="18" borderId="0" xfId="0" applyFont="1" applyFill="1" applyAlignment="1">
      <alignment horizontal="center" vertical="center"/>
    </xf>
    <xf numFmtId="0" fontId="27" fillId="24" borderId="0" xfId="1" applyFont="1" applyFill="1" applyAlignment="1" applyProtection="1">
      <alignment horizontal="center" vertical="center" wrapText="1"/>
    </xf>
    <xf numFmtId="0" fontId="5" fillId="18" borderId="0" xfId="0" applyFont="1" applyFill="1" applyAlignment="1">
      <alignment horizontal="left" vertical="center" wrapText="1"/>
    </xf>
    <xf numFmtId="0" fontId="27" fillId="24" borderId="0" xfId="1" applyFont="1" applyFill="1" applyAlignment="1" applyProtection="1">
      <alignment horizontal="center" vertical="center"/>
    </xf>
    <xf numFmtId="0" fontId="0" fillId="18" borderId="0" xfId="0" applyNumberFormat="1" applyFill="1" applyAlignment="1">
      <alignment horizontal="left" vertical="center" wrapText="1"/>
    </xf>
    <xf numFmtId="0" fontId="5" fillId="18" borderId="3" xfId="0" applyFont="1" applyFill="1" applyBorder="1" applyAlignment="1">
      <alignment horizontal="left" vertical="center" wrapText="1"/>
    </xf>
    <xf numFmtId="0" fontId="25" fillId="20" borderId="18" xfId="0" applyFont="1" applyFill="1" applyBorder="1" applyAlignment="1">
      <alignment horizontal="left" vertical="center" indent="1"/>
    </xf>
    <xf numFmtId="0" fontId="137" fillId="18" borderId="0" xfId="0" applyFont="1" applyFill="1" applyAlignment="1">
      <alignment horizontal="center" vertical="center"/>
    </xf>
    <xf numFmtId="0" fontId="3" fillId="18" borderId="67" xfId="0" applyFont="1" applyFill="1" applyBorder="1" applyAlignment="1">
      <alignment horizontal="right" vertical="center"/>
    </xf>
    <xf numFmtId="0" fontId="3" fillId="18" borderId="67" xfId="0" applyFont="1" applyFill="1" applyBorder="1" applyAlignment="1">
      <alignment horizontal="left" vertical="center"/>
    </xf>
    <xf numFmtId="0" fontId="62" fillId="18" borderId="0" xfId="0" applyFont="1" applyFill="1" applyAlignment="1">
      <alignment horizontal="center" vertical="center"/>
    </xf>
    <xf numFmtId="0" fontId="5" fillId="18" borderId="0" xfId="0" applyFont="1" applyFill="1" applyAlignment="1">
      <alignment horizontal="left" vertical="center" wrapText="1"/>
    </xf>
    <xf numFmtId="0" fontId="119" fillId="18" borderId="0" xfId="0" applyFont="1" applyFill="1" applyBorder="1" applyAlignment="1">
      <alignment vertical="center"/>
    </xf>
    <xf numFmtId="0" fontId="27" fillId="24" borderId="0" xfId="1" applyFont="1" applyFill="1" applyAlignment="1" applyProtection="1">
      <alignment horizontal="center" vertical="center"/>
    </xf>
    <xf numFmtId="0" fontId="25" fillId="18" borderId="0" xfId="0" applyFont="1" applyFill="1" applyBorder="1" applyAlignment="1">
      <alignment horizontal="center" vertical="center"/>
    </xf>
    <xf numFmtId="0" fontId="25" fillId="18" borderId="0" xfId="0" applyFont="1" applyFill="1" applyAlignment="1">
      <alignment horizontal="center" vertical="center"/>
    </xf>
    <xf numFmtId="0" fontId="5" fillId="18" borderId="0" xfId="0" applyFont="1" applyFill="1" applyBorder="1" applyAlignment="1">
      <alignment horizontal="left" vertical="center" wrapText="1"/>
    </xf>
    <xf numFmtId="0" fontId="0" fillId="18" borderId="0" xfId="0" applyFill="1" applyBorder="1" applyAlignment="1">
      <alignment horizontal="left" vertical="center"/>
    </xf>
    <xf numFmtId="0" fontId="65" fillId="18" borderId="0" xfId="0" applyFont="1" applyFill="1" applyBorder="1" applyAlignment="1">
      <alignment horizontal="center" vertical="center"/>
    </xf>
    <xf numFmtId="0" fontId="86" fillId="18" borderId="0" xfId="0" applyFont="1" applyFill="1" applyAlignment="1">
      <alignment horizontal="left" vertical="center"/>
    </xf>
    <xf numFmtId="0" fontId="5" fillId="18" borderId="51" xfId="0" applyFont="1" applyFill="1" applyBorder="1" applyAlignment="1">
      <alignment vertical="center"/>
    </xf>
    <xf numFmtId="0" fontId="5" fillId="18" borderId="49" xfId="0" applyFont="1" applyFill="1" applyBorder="1" applyAlignment="1">
      <alignment vertical="center"/>
    </xf>
    <xf numFmtId="0" fontId="5" fillId="18" borderId="50" xfId="0" applyFont="1" applyFill="1" applyBorder="1" applyAlignment="1">
      <alignment vertical="center"/>
    </xf>
    <xf numFmtId="0" fontId="5" fillId="18" borderId="60" xfId="0" applyFont="1" applyFill="1" applyBorder="1" applyAlignment="1">
      <alignment vertical="center"/>
    </xf>
    <xf numFmtId="0" fontId="5" fillId="18" borderId="27" xfId="0" applyFont="1" applyFill="1" applyBorder="1" applyAlignment="1">
      <alignment vertical="center"/>
    </xf>
    <xf numFmtId="0" fontId="5" fillId="18" borderId="21" xfId="0" applyFont="1" applyFill="1" applyBorder="1" applyAlignment="1">
      <alignment vertical="center"/>
    </xf>
    <xf numFmtId="0" fontId="5" fillId="18" borderId="0" xfId="0" applyFont="1" applyFill="1" applyAlignment="1">
      <alignment horizontal="left" vertical="center" wrapText="1"/>
    </xf>
    <xf numFmtId="0" fontId="27" fillId="24" borderId="0" xfId="1" applyFont="1" applyFill="1" applyAlignment="1" applyProtection="1">
      <alignment horizontal="center" vertical="center"/>
    </xf>
    <xf numFmtId="0" fontId="5" fillId="18" borderId="1" xfId="0" applyFont="1" applyFill="1" applyBorder="1" applyAlignment="1">
      <alignment horizontal="right" vertical="center" wrapText="1"/>
    </xf>
    <xf numFmtId="0" fontId="6" fillId="24" borderId="0" xfId="1" applyFont="1" applyFill="1" applyAlignment="1" applyProtection="1">
      <alignment horizontal="center" vertical="center"/>
    </xf>
    <xf numFmtId="0" fontId="86" fillId="18" borderId="0" xfId="0" applyFont="1" applyFill="1" applyAlignment="1">
      <alignment horizontal="left" vertical="center" indent="1"/>
    </xf>
    <xf numFmtId="0" fontId="5" fillId="18" borderId="0" xfId="0" applyFont="1" applyFill="1" applyAlignment="1">
      <alignment horizontal="left" vertical="center" wrapText="1"/>
    </xf>
    <xf numFmtId="0" fontId="5" fillId="18" borderId="1" xfId="0" applyFont="1" applyFill="1" applyBorder="1" applyAlignment="1">
      <alignment horizontal="right" vertical="center" wrapText="1"/>
    </xf>
    <xf numFmtId="0" fontId="5" fillId="18" borderId="0" xfId="0" applyFont="1" applyFill="1" applyAlignment="1">
      <alignment horizontal="center" vertical="center"/>
    </xf>
    <xf numFmtId="0" fontId="25" fillId="18" borderId="1" xfId="0" applyFont="1" applyFill="1" applyBorder="1" applyAlignment="1">
      <alignment horizontal="center" vertical="center" wrapText="1"/>
    </xf>
    <xf numFmtId="49" fontId="25" fillId="18" borderId="1" xfId="0" applyNumberFormat="1" applyFont="1" applyFill="1" applyBorder="1" applyAlignment="1">
      <alignment horizontal="center" vertical="center" wrapText="1"/>
    </xf>
    <xf numFmtId="0" fontId="25" fillId="18" borderId="1" xfId="0" applyFont="1" applyFill="1" applyBorder="1" applyAlignment="1">
      <alignment horizontal="center" vertical="center" wrapText="1"/>
    </xf>
    <xf numFmtId="0" fontId="5" fillId="18" borderId="0" xfId="0" applyFont="1" applyFill="1" applyAlignment="1">
      <alignment horizontal="left" vertical="center" wrapText="1"/>
    </xf>
    <xf numFmtId="0" fontId="5" fillId="18" borderId="1" xfId="0" applyFont="1" applyFill="1" applyBorder="1" applyAlignment="1">
      <alignment horizontal="right" vertical="center" wrapText="1"/>
    </xf>
    <xf numFmtId="0" fontId="5" fillId="18" borderId="3" xfId="0" applyFont="1" applyFill="1" applyBorder="1" applyAlignment="1">
      <alignment horizontal="left" vertical="center" wrapText="1"/>
    </xf>
    <xf numFmtId="0" fontId="5" fillId="16" borderId="3" xfId="0" applyFont="1" applyFill="1" applyBorder="1" applyAlignment="1">
      <alignment horizontal="left" vertical="center" wrapText="1"/>
    </xf>
    <xf numFmtId="0" fontId="25" fillId="18" borderId="1" xfId="0" applyFont="1" applyFill="1" applyBorder="1" applyAlignment="1">
      <alignment horizontal="center" vertical="center" wrapText="1"/>
    </xf>
    <xf numFmtId="0" fontId="5" fillId="18" borderId="49" xfId="0" applyFont="1" applyFill="1" applyBorder="1" applyAlignment="1">
      <alignment vertical="center" wrapText="1"/>
    </xf>
    <xf numFmtId="0" fontId="5" fillId="18" borderId="0" xfId="0" applyFont="1" applyFill="1" applyAlignment="1">
      <alignment horizontal="left" vertical="center" wrapText="1"/>
    </xf>
    <xf numFmtId="0" fontId="5" fillId="18" borderId="1" xfId="0" applyFont="1" applyFill="1" applyBorder="1" applyAlignment="1">
      <alignment horizontal="right" vertical="center" wrapText="1"/>
    </xf>
    <xf numFmtId="0" fontId="25" fillId="18" borderId="1" xfId="0" applyFont="1" applyFill="1" applyBorder="1" applyAlignment="1">
      <alignment horizontal="center" vertical="center" wrapText="1"/>
    </xf>
    <xf numFmtId="0" fontId="5" fillId="18" borderId="0" xfId="0" applyFont="1" applyFill="1" applyAlignment="1">
      <alignment horizontal="left" vertical="center" wrapText="1"/>
    </xf>
    <xf numFmtId="0" fontId="5" fillId="18" borderId="1" xfId="0" applyFont="1" applyFill="1" applyBorder="1" applyAlignment="1">
      <alignment horizontal="right" vertical="center" wrapText="1"/>
    </xf>
    <xf numFmtId="0" fontId="5" fillId="16" borderId="3" xfId="0" applyFont="1" applyFill="1" applyBorder="1" applyAlignment="1">
      <alignment horizontal="left" vertical="center" wrapText="1"/>
    </xf>
    <xf numFmtId="0" fontId="25" fillId="18" borderId="1" xfId="0" applyFont="1" applyFill="1" applyBorder="1" applyAlignment="1">
      <alignment horizontal="center" vertical="center" wrapText="1"/>
    </xf>
    <xf numFmtId="0" fontId="5" fillId="18" borderId="0" xfId="0" applyFont="1" applyFill="1" applyAlignment="1">
      <alignment horizontal="left" vertical="center" wrapText="1"/>
    </xf>
    <xf numFmtId="0" fontId="5" fillId="18" borderId="1" xfId="0" applyFont="1" applyFill="1" applyBorder="1" applyAlignment="1">
      <alignment horizontal="right" vertical="center" wrapText="1"/>
    </xf>
    <xf numFmtId="0" fontId="5" fillId="18" borderId="49" xfId="0" applyFont="1" applyFill="1" applyBorder="1" applyAlignment="1">
      <alignment vertical="center" wrapText="1"/>
    </xf>
    <xf numFmtId="0" fontId="25" fillId="18" borderId="1" xfId="0" applyFont="1" applyFill="1" applyBorder="1" applyAlignment="1">
      <alignment horizontal="center" vertical="center" wrapText="1"/>
    </xf>
    <xf numFmtId="0" fontId="42" fillId="18" borderId="0" xfId="0" applyFont="1" applyFill="1" applyBorder="1" applyAlignment="1"/>
    <xf numFmtId="0" fontId="5" fillId="18" borderId="0" xfId="0" applyFont="1" applyFill="1" applyAlignment="1">
      <alignment horizontal="left" vertical="center" wrapText="1"/>
    </xf>
    <xf numFmtId="0" fontId="5" fillId="18" borderId="1" xfId="0" applyFont="1" applyFill="1" applyBorder="1" applyAlignment="1">
      <alignment horizontal="right" vertical="center" wrapText="1"/>
    </xf>
    <xf numFmtId="0" fontId="5" fillId="18" borderId="3" xfId="0" applyFont="1" applyFill="1" applyBorder="1" applyAlignment="1">
      <alignment horizontal="left" vertical="center" wrapText="1"/>
    </xf>
    <xf numFmtId="0" fontId="25" fillId="18" borderId="1" xfId="0" applyFont="1" applyFill="1" applyBorder="1" applyAlignment="1">
      <alignment horizontal="center" vertical="center" wrapText="1"/>
    </xf>
    <xf numFmtId="0" fontId="5" fillId="18" borderId="49" xfId="0" applyFont="1" applyFill="1" applyBorder="1" applyAlignment="1">
      <alignment vertical="center" wrapText="1"/>
    </xf>
    <xf numFmtId="0" fontId="5" fillId="18" borderId="0" xfId="0" applyFont="1" applyFill="1" applyAlignment="1">
      <alignment horizontal="left" vertical="center" wrapText="1"/>
    </xf>
    <xf numFmtId="0" fontId="5" fillId="18" borderId="1" xfId="0" applyFont="1" applyFill="1" applyBorder="1" applyAlignment="1">
      <alignment horizontal="right" vertical="center" wrapText="1"/>
    </xf>
    <xf numFmtId="0" fontId="5" fillId="18" borderId="49" xfId="0" applyFont="1" applyFill="1" applyBorder="1" applyAlignment="1">
      <alignment vertical="center" wrapText="1"/>
    </xf>
    <xf numFmtId="0" fontId="25" fillId="18" borderId="1" xfId="0" applyFont="1" applyFill="1" applyBorder="1" applyAlignment="1">
      <alignment horizontal="center" vertical="center" wrapText="1"/>
    </xf>
    <xf numFmtId="0" fontId="5" fillId="18" borderId="1" xfId="0" applyFont="1" applyFill="1" applyBorder="1" applyAlignment="1">
      <alignment horizontal="right" vertical="center" wrapText="1"/>
    </xf>
    <xf numFmtId="0" fontId="5" fillId="16" borderId="3" xfId="0" applyFont="1" applyFill="1" applyBorder="1" applyAlignment="1">
      <alignment horizontal="left" vertical="center" wrapText="1"/>
    </xf>
    <xf numFmtId="0" fontId="25" fillId="18" borderId="1" xfId="0" applyFont="1" applyFill="1" applyBorder="1" applyAlignment="1">
      <alignment horizontal="center" vertical="center" wrapText="1"/>
    </xf>
    <xf numFmtId="0" fontId="5" fillId="18" borderId="49" xfId="0" applyFont="1" applyFill="1" applyBorder="1" applyAlignment="1">
      <alignment vertical="center" wrapText="1"/>
    </xf>
    <xf numFmtId="0" fontId="5" fillId="18" borderId="0" xfId="0" applyFont="1" applyFill="1" applyBorder="1" applyAlignment="1">
      <alignment horizontal="left" vertical="center" wrapText="1"/>
    </xf>
    <xf numFmtId="0" fontId="5" fillId="18" borderId="1" xfId="0" applyFont="1" applyFill="1" applyBorder="1" applyAlignment="1">
      <alignment horizontal="right" vertical="center" wrapText="1"/>
    </xf>
    <xf numFmtId="0" fontId="5" fillId="16" borderId="3" xfId="0" applyFont="1" applyFill="1" applyBorder="1" applyAlignment="1">
      <alignment horizontal="left" vertical="center" wrapText="1"/>
    </xf>
    <xf numFmtId="0" fontId="5" fillId="18" borderId="5" xfId="0" applyFont="1" applyFill="1" applyBorder="1" applyAlignment="1">
      <alignment horizontal="left" vertical="center" wrapText="1"/>
    </xf>
    <xf numFmtId="0" fontId="5" fillId="18" borderId="3" xfId="0" applyFont="1" applyFill="1" applyBorder="1" applyAlignment="1">
      <alignment horizontal="left" vertical="center" wrapText="1"/>
    </xf>
    <xf numFmtId="0" fontId="5" fillId="18" borderId="49" xfId="0" applyFont="1" applyFill="1" applyBorder="1" applyAlignment="1">
      <alignment vertical="center" wrapText="1"/>
    </xf>
    <xf numFmtId="0" fontId="25" fillId="18" borderId="1" xfId="0" applyFont="1" applyFill="1" applyBorder="1" applyAlignment="1">
      <alignment horizontal="center" vertical="center" wrapText="1"/>
    </xf>
    <xf numFmtId="49" fontId="0" fillId="18" borderId="0" xfId="0" applyNumberFormat="1" applyFill="1" applyAlignment="1">
      <alignment horizontal="left" vertical="center" wrapText="1"/>
    </xf>
    <xf numFmtId="0" fontId="27" fillId="24" borderId="0" xfId="1" applyFont="1" applyFill="1" applyAlignment="1" applyProtection="1">
      <alignment horizontal="center" vertical="center" wrapText="1"/>
    </xf>
    <xf numFmtId="0" fontId="27" fillId="24" borderId="0" xfId="1" applyFont="1" applyFill="1" applyAlignment="1" applyProtection="1">
      <alignment horizontal="center" vertical="center"/>
    </xf>
    <xf numFmtId="0" fontId="0" fillId="18" borderId="0" xfId="0" applyFont="1" applyFill="1" applyAlignment="1">
      <alignment horizontal="left" vertical="center" wrapText="1" indent="1"/>
    </xf>
    <xf numFmtId="0" fontId="0" fillId="18" borderId="0" xfId="0" applyFont="1" applyFill="1" applyAlignment="1">
      <alignment horizontal="center" vertical="center" wrapText="1"/>
    </xf>
    <xf numFmtId="49" fontId="0" fillId="18" borderId="0" xfId="0" applyNumberFormat="1" applyFont="1" applyFill="1" applyAlignment="1">
      <alignment horizontal="left" vertical="center" wrapText="1"/>
    </xf>
    <xf numFmtId="0" fontId="86" fillId="18" borderId="0" xfId="0" applyFont="1" applyFill="1" applyAlignment="1">
      <alignment vertical="center" wrapText="1"/>
    </xf>
    <xf numFmtId="0" fontId="5" fillId="52" borderId="19" xfId="0" applyFont="1" applyFill="1" applyBorder="1" applyAlignment="1">
      <alignment horizontal="left" vertical="center" indent="1"/>
    </xf>
    <xf numFmtId="0" fontId="5" fillId="52" borderId="17" xfId="0" applyFont="1" applyFill="1" applyBorder="1" applyAlignment="1">
      <alignment horizontal="left" vertical="center" indent="1"/>
    </xf>
    <xf numFmtId="0" fontId="5" fillId="52" borderId="31" xfId="0" applyFont="1" applyFill="1" applyBorder="1" applyAlignment="1">
      <alignment horizontal="left" vertical="center" indent="1"/>
    </xf>
    <xf numFmtId="0" fontId="5" fillId="52" borderId="32" xfId="0" applyFont="1" applyFill="1" applyBorder="1" applyAlignment="1">
      <alignment horizontal="left" vertical="center" indent="1"/>
    </xf>
    <xf numFmtId="0" fontId="5" fillId="52" borderId="16" xfId="0" applyFont="1" applyFill="1" applyBorder="1" applyAlignment="1">
      <alignment horizontal="left" vertical="center" indent="1"/>
    </xf>
    <xf numFmtId="0" fontId="5" fillId="52" borderId="59" xfId="0" applyFont="1" applyFill="1" applyBorder="1" applyAlignment="1">
      <alignment horizontal="left" vertical="center" indent="1"/>
    </xf>
    <xf numFmtId="0" fontId="5" fillId="18" borderId="0" xfId="0" applyFont="1" applyFill="1" applyAlignment="1">
      <alignment horizontal="left" vertical="center" wrapText="1"/>
    </xf>
    <xf numFmtId="0" fontId="25" fillId="18" borderId="0" xfId="0" applyFont="1" applyFill="1" applyAlignment="1">
      <alignment horizontal="left" vertical="center" wrapText="1"/>
    </xf>
    <xf numFmtId="0" fontId="5" fillId="18" borderId="0" xfId="0" applyFont="1" applyFill="1" applyBorder="1" applyAlignment="1">
      <alignment horizontal="left" vertical="center" wrapText="1"/>
    </xf>
    <xf numFmtId="0" fontId="25" fillId="18" borderId="0" xfId="0" applyFont="1" applyFill="1" applyAlignment="1">
      <alignment horizontal="right" vertical="center"/>
    </xf>
    <xf numFmtId="0" fontId="5" fillId="18" borderId="3" xfId="0" applyFont="1" applyFill="1" applyBorder="1" applyAlignment="1">
      <alignment horizontal="left" vertical="center" wrapText="1"/>
    </xf>
    <xf numFmtId="0" fontId="5" fillId="16" borderId="3" xfId="0" applyFont="1" applyFill="1" applyBorder="1" applyAlignment="1">
      <alignment horizontal="left" vertical="center" wrapText="1"/>
    </xf>
    <xf numFmtId="0" fontId="5" fillId="16" borderId="5" xfId="0" applyFont="1" applyFill="1" applyBorder="1" applyAlignment="1">
      <alignment horizontal="left" vertical="center" wrapText="1"/>
    </xf>
    <xf numFmtId="0" fontId="35" fillId="18" borderId="0" xfId="0" applyFont="1" applyFill="1" applyAlignment="1">
      <alignment horizontal="left" vertical="center" wrapText="1"/>
    </xf>
    <xf numFmtId="49" fontId="5" fillId="18" borderId="0" xfId="0" applyNumberFormat="1" applyFont="1" applyFill="1" applyAlignment="1">
      <alignment horizontal="left" vertical="center" wrapText="1"/>
    </xf>
    <xf numFmtId="49" fontId="66" fillId="15" borderId="30" xfId="0" applyNumberFormat="1" applyFont="1" applyFill="1" applyBorder="1" applyAlignment="1">
      <alignment horizontal="center" vertical="center" wrapText="1"/>
    </xf>
    <xf numFmtId="49" fontId="65" fillId="16" borderId="43" xfId="0" applyNumberFormat="1" applyFont="1" applyFill="1" applyBorder="1" applyAlignment="1">
      <alignment horizontal="center" vertical="center" wrapText="1"/>
    </xf>
    <xf numFmtId="49" fontId="65" fillId="18" borderId="42" xfId="0" applyNumberFormat="1" applyFont="1" applyFill="1" applyBorder="1" applyAlignment="1">
      <alignment horizontal="center" vertical="center" wrapText="1"/>
    </xf>
    <xf numFmtId="49" fontId="65" fillId="16" borderId="42" xfId="0" applyNumberFormat="1" applyFont="1" applyFill="1" applyBorder="1" applyAlignment="1">
      <alignment horizontal="center" vertical="center" wrapText="1"/>
    </xf>
    <xf numFmtId="49" fontId="65" fillId="18" borderId="44" xfId="0" applyNumberFormat="1" applyFont="1" applyFill="1" applyBorder="1" applyAlignment="1">
      <alignment horizontal="center" vertical="center" wrapText="1"/>
    </xf>
    <xf numFmtId="0" fontId="26" fillId="18" borderId="0" xfId="0" applyFont="1" applyFill="1" applyAlignment="1">
      <alignment horizontal="left" vertical="center" wrapText="1"/>
    </xf>
    <xf numFmtId="0" fontId="25" fillId="15" borderId="14" xfId="0" applyFont="1" applyFill="1" applyBorder="1" applyAlignment="1">
      <alignment horizontal="center" vertical="center" wrapText="1"/>
    </xf>
    <xf numFmtId="0" fontId="25" fillId="15" borderId="7" xfId="0" applyFont="1" applyFill="1" applyBorder="1" applyAlignment="1">
      <alignment horizontal="center" vertical="center" wrapText="1"/>
    </xf>
    <xf numFmtId="0" fontId="5" fillId="18" borderId="1"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5" fillId="16" borderId="13" xfId="0" applyFont="1" applyFill="1" applyBorder="1" applyAlignment="1">
      <alignment horizontal="center" vertical="center" wrapText="1"/>
    </xf>
    <xf numFmtId="0" fontId="5" fillId="18" borderId="15" xfId="0" applyFont="1" applyFill="1" applyBorder="1" applyAlignment="1">
      <alignment horizontal="center" vertical="center" wrapText="1"/>
    </xf>
    <xf numFmtId="0" fontId="5" fillId="16" borderId="3" xfId="0" applyFont="1" applyFill="1" applyBorder="1" applyAlignment="1">
      <alignment horizontal="center" vertical="center" wrapText="1"/>
    </xf>
    <xf numFmtId="0" fontId="5" fillId="18" borderId="3" xfId="0" applyFont="1" applyFill="1" applyBorder="1" applyAlignment="1">
      <alignment horizontal="center" vertical="center" wrapText="1"/>
    </xf>
    <xf numFmtId="0" fontId="5" fillId="16" borderId="5" xfId="0" applyFont="1" applyFill="1" applyBorder="1" applyAlignment="1">
      <alignment horizontal="center" vertical="center" wrapText="1"/>
    </xf>
    <xf numFmtId="0" fontId="5" fillId="18" borderId="8" xfId="0" applyFont="1" applyFill="1" applyBorder="1" applyAlignment="1">
      <alignment horizontal="center" vertical="center" wrapText="1"/>
    </xf>
    <xf numFmtId="0" fontId="5" fillId="18" borderId="3" xfId="0" applyFont="1" applyFill="1" applyBorder="1" applyAlignment="1">
      <alignment horizontal="center" vertical="center"/>
    </xf>
    <xf numFmtId="0" fontId="5" fillId="18" borderId="0" xfId="0" applyFont="1" applyFill="1" applyAlignment="1">
      <alignment horizontal="left" vertical="center" wrapText="1" indent="1"/>
    </xf>
    <xf numFmtId="0" fontId="25" fillId="18" borderId="0" xfId="0" applyFont="1" applyFill="1" applyAlignment="1">
      <alignment horizontal="left" vertical="center" wrapText="1" indent="1"/>
    </xf>
    <xf numFmtId="0" fontId="5" fillId="18" borderId="2" xfId="0" applyFont="1" applyFill="1" applyBorder="1" applyAlignment="1">
      <alignment horizontal="left" vertical="center" wrapText="1"/>
    </xf>
    <xf numFmtId="0" fontId="5" fillId="18" borderId="1" xfId="0" applyFont="1" applyFill="1" applyBorder="1" applyAlignment="1">
      <alignment horizontal="center" vertical="center"/>
    </xf>
    <xf numFmtId="0" fontId="35" fillId="18" borderId="0" xfId="0" applyFont="1" applyFill="1" applyAlignment="1">
      <alignment horizontal="left" vertical="center" wrapText="1"/>
    </xf>
    <xf numFmtId="0" fontId="5" fillId="18" borderId="47" xfId="0" applyFont="1" applyFill="1" applyBorder="1" applyAlignment="1">
      <alignment vertical="center" wrapText="1"/>
    </xf>
    <xf numFmtId="0" fontId="29" fillId="18" borderId="0" xfId="0" applyFont="1" applyFill="1" applyAlignment="1">
      <alignment horizontal="left" vertical="center" wrapText="1"/>
    </xf>
    <xf numFmtId="0" fontId="5" fillId="16" borderId="3" xfId="0" applyFont="1" applyFill="1" applyBorder="1" applyAlignment="1">
      <alignment horizontal="left" vertical="center" wrapText="1"/>
    </xf>
    <xf numFmtId="0" fontId="5" fillId="18" borderId="49" xfId="0" applyFont="1" applyFill="1" applyBorder="1" applyAlignment="1">
      <alignment vertical="center" wrapText="1"/>
    </xf>
    <xf numFmtId="0" fontId="40" fillId="17" borderId="6" xfId="0" applyFont="1" applyFill="1" applyBorder="1" applyAlignment="1">
      <alignment horizontal="center" vertical="center"/>
    </xf>
    <xf numFmtId="0" fontId="40" fillId="17" borderId="14" xfId="0" applyFont="1" applyFill="1" applyBorder="1" applyAlignment="1">
      <alignment horizontal="center" vertical="center"/>
    </xf>
    <xf numFmtId="0" fontId="40" fillId="17" borderId="7" xfId="0" applyFont="1" applyFill="1" applyBorder="1" applyAlignment="1">
      <alignment horizontal="center" vertical="center"/>
    </xf>
    <xf numFmtId="0" fontId="35" fillId="18" borderId="0" xfId="0" applyFont="1" applyFill="1" applyAlignment="1">
      <alignment horizontal="left" vertical="center" wrapText="1" indent="1"/>
    </xf>
    <xf numFmtId="0" fontId="40" fillId="17" borderId="6" xfId="0" applyFont="1" applyFill="1" applyBorder="1" applyAlignment="1">
      <alignment horizontal="left" vertical="center"/>
    </xf>
    <xf numFmtId="0" fontId="40" fillId="17" borderId="7" xfId="0" applyFont="1" applyFill="1" applyBorder="1" applyAlignment="1">
      <alignment horizontal="left" vertical="center"/>
    </xf>
    <xf numFmtId="0" fontId="40" fillId="17" borderId="34" xfId="0" applyFont="1" applyFill="1" applyBorder="1" applyAlignment="1">
      <alignment horizontal="left" vertical="center"/>
    </xf>
    <xf numFmtId="0" fontId="35" fillId="18" borderId="0" xfId="0" applyFont="1" applyFill="1" applyAlignment="1">
      <alignment horizontal="left" vertical="center"/>
    </xf>
    <xf numFmtId="0" fontId="40" fillId="17" borderId="1" xfId="0" applyFont="1" applyFill="1" applyBorder="1" applyAlignment="1">
      <alignment horizontal="left" vertical="center" wrapText="1"/>
    </xf>
    <xf numFmtId="49" fontId="141" fillId="18" borderId="10" xfId="0" applyNumberFormat="1" applyFont="1" applyFill="1" applyBorder="1" applyAlignment="1">
      <alignment horizontal="right" vertical="center" wrapText="1"/>
    </xf>
    <xf numFmtId="2" fontId="65" fillId="18" borderId="44" xfId="0" applyNumberFormat="1" applyFont="1" applyFill="1" applyBorder="1" applyAlignment="1">
      <alignment horizontal="center" vertical="center" wrapText="1"/>
    </xf>
    <xf numFmtId="2" fontId="65" fillId="18" borderId="16" xfId="0" applyNumberFormat="1" applyFont="1" applyFill="1" applyBorder="1" applyAlignment="1">
      <alignment horizontal="center" vertical="center" wrapText="1"/>
    </xf>
    <xf numFmtId="2" fontId="63" fillId="18" borderId="26" xfId="0" applyNumberFormat="1" applyFont="1" applyFill="1" applyBorder="1" applyAlignment="1">
      <alignment horizontal="center" vertical="center" wrapText="1"/>
    </xf>
    <xf numFmtId="2" fontId="63" fillId="18" borderId="16" xfId="0" applyNumberFormat="1" applyFont="1" applyFill="1" applyBorder="1" applyAlignment="1">
      <alignment horizontal="center" vertical="center" wrapText="1"/>
    </xf>
    <xf numFmtId="2" fontId="65" fillId="16" borderId="42" xfId="0" applyNumberFormat="1" applyFont="1" applyFill="1" applyBorder="1" applyAlignment="1">
      <alignment horizontal="center" vertical="center" wrapText="1"/>
    </xf>
    <xf numFmtId="2" fontId="63" fillId="16" borderId="17" xfId="0" applyNumberFormat="1" applyFont="1" applyFill="1" applyBorder="1" applyAlignment="1">
      <alignment horizontal="center" vertical="center" wrapText="1"/>
    </xf>
    <xf numFmtId="2" fontId="65" fillId="16" borderId="27" xfId="0" applyNumberFormat="1" applyFont="1" applyFill="1" applyBorder="1" applyAlignment="1">
      <alignment horizontal="center" vertical="center" wrapText="1"/>
    </xf>
    <xf numFmtId="2" fontId="65" fillId="16" borderId="17" xfId="0" applyNumberFormat="1" applyFont="1" applyFill="1" applyBorder="1" applyAlignment="1">
      <alignment horizontal="center" vertical="center" wrapText="1"/>
    </xf>
    <xf numFmtId="2" fontId="65" fillId="18" borderId="42" xfId="0" applyNumberFormat="1" applyFont="1" applyFill="1" applyBorder="1" applyAlignment="1">
      <alignment horizontal="center" vertical="center" wrapText="1"/>
    </xf>
    <xf numFmtId="2" fontId="65" fillId="18" borderId="17" xfId="0" applyNumberFormat="1" applyFont="1" applyFill="1" applyBorder="1" applyAlignment="1">
      <alignment horizontal="center" vertical="center" wrapText="1"/>
    </xf>
    <xf numFmtId="2" fontId="63" fillId="18" borderId="27" xfId="0" applyNumberFormat="1" applyFont="1" applyFill="1" applyBorder="1" applyAlignment="1">
      <alignment horizontal="center" vertical="center" wrapText="1"/>
    </xf>
    <xf numFmtId="2" fontId="63" fillId="18" borderId="17" xfId="0" applyNumberFormat="1" applyFont="1" applyFill="1" applyBorder="1" applyAlignment="1">
      <alignment horizontal="center" vertical="center" wrapText="1"/>
    </xf>
    <xf numFmtId="2" fontId="63" fillId="16" borderId="42" xfId="0" applyNumberFormat="1" applyFont="1" applyFill="1" applyBorder="1" applyAlignment="1">
      <alignment horizontal="center" vertical="center" wrapText="1"/>
    </xf>
    <xf numFmtId="2" fontId="63" fillId="16" borderId="27" xfId="0" applyNumberFormat="1" applyFont="1" applyFill="1" applyBorder="1" applyAlignment="1">
      <alignment horizontal="center" vertical="center" wrapText="1"/>
    </xf>
    <xf numFmtId="2" fontId="65" fillId="18" borderId="27" xfId="0" applyNumberFormat="1" applyFont="1" applyFill="1" applyBorder="1" applyAlignment="1">
      <alignment horizontal="center" vertical="center" wrapText="1"/>
    </xf>
    <xf numFmtId="2" fontId="68" fillId="16" borderId="17" xfId="0" applyNumberFormat="1" applyFont="1" applyFill="1" applyBorder="1" applyAlignment="1">
      <alignment horizontal="center" vertical="center" wrapText="1"/>
    </xf>
    <xf numFmtId="2" fontId="68" fillId="16" borderId="27" xfId="0" applyNumberFormat="1" applyFont="1" applyFill="1" applyBorder="1" applyAlignment="1">
      <alignment horizontal="center" vertical="center" wrapText="1"/>
    </xf>
    <xf numFmtId="2" fontId="68" fillId="18" borderId="42" xfId="0" applyNumberFormat="1" applyFont="1" applyFill="1" applyBorder="1" applyAlignment="1">
      <alignment horizontal="center" vertical="center" wrapText="1"/>
    </xf>
    <xf numFmtId="2" fontId="63" fillId="18" borderId="42" xfId="0" applyNumberFormat="1" applyFont="1" applyFill="1" applyBorder="1" applyAlignment="1">
      <alignment horizontal="center" vertical="center" wrapText="1"/>
    </xf>
    <xf numFmtId="2" fontId="68" fillId="18" borderId="17" xfId="0" applyNumberFormat="1" applyFont="1" applyFill="1" applyBorder="1" applyAlignment="1">
      <alignment horizontal="center" vertical="center" wrapText="1"/>
    </xf>
    <xf numFmtId="2" fontId="63" fillId="16" borderId="68" xfId="0" applyNumberFormat="1" applyFont="1" applyFill="1" applyBorder="1" applyAlignment="1">
      <alignment horizontal="center" vertical="center" wrapText="1"/>
    </xf>
    <xf numFmtId="2" fontId="65" fillId="16" borderId="19" xfId="0" applyNumberFormat="1" applyFont="1" applyFill="1" applyBorder="1" applyAlignment="1">
      <alignment horizontal="center" vertical="center" wrapText="1"/>
    </xf>
    <xf numFmtId="2" fontId="65" fillId="16" borderId="58" xfId="0" applyNumberFormat="1" applyFont="1" applyFill="1" applyBorder="1" applyAlignment="1">
      <alignment horizontal="center" vertical="center" wrapText="1"/>
    </xf>
    <xf numFmtId="2" fontId="63" fillId="16" borderId="43" xfId="0" applyNumberFormat="1" applyFont="1" applyFill="1" applyBorder="1" applyAlignment="1">
      <alignment horizontal="center" vertical="center" wrapText="1"/>
    </xf>
    <xf numFmtId="2" fontId="63" fillId="16" borderId="18" xfId="0" applyNumberFormat="1" applyFont="1" applyFill="1" applyBorder="1" applyAlignment="1">
      <alignment horizontal="center" vertical="center" wrapText="1"/>
    </xf>
    <xf numFmtId="2" fontId="68" fillId="16" borderId="28" xfId="0" applyNumberFormat="1" applyFont="1" applyFill="1" applyBorder="1" applyAlignment="1">
      <alignment horizontal="center" vertical="center" wrapText="1"/>
    </xf>
    <xf numFmtId="2" fontId="68" fillId="16" borderId="18" xfId="0" applyNumberFormat="1" applyFont="1" applyFill="1" applyBorder="1" applyAlignment="1">
      <alignment horizontal="center" vertical="center" wrapText="1"/>
    </xf>
    <xf numFmtId="2" fontId="65" fillId="18" borderId="68" xfId="0" applyNumberFormat="1" applyFont="1" applyFill="1" applyBorder="1" applyAlignment="1">
      <alignment horizontal="center" vertical="center" wrapText="1"/>
    </xf>
    <xf numFmtId="2" fontId="65" fillId="18" borderId="19" xfId="0" applyNumberFormat="1" applyFont="1" applyFill="1" applyBorder="1" applyAlignment="1">
      <alignment horizontal="center" vertical="center" wrapText="1"/>
    </xf>
    <xf numFmtId="2" fontId="65" fillId="18" borderId="58" xfId="0" applyNumberFormat="1" applyFont="1" applyFill="1" applyBorder="1" applyAlignment="1">
      <alignment horizontal="center" vertical="center" wrapText="1"/>
    </xf>
    <xf numFmtId="2" fontId="5" fillId="18" borderId="44" xfId="0" applyNumberFormat="1" applyFont="1" applyFill="1" applyBorder="1" applyAlignment="1">
      <alignment horizontal="center" vertical="center" wrapText="1"/>
    </xf>
    <xf numFmtId="2" fontId="62" fillId="18" borderId="16" xfId="0" applyNumberFormat="1" applyFont="1" applyFill="1" applyBorder="1" applyAlignment="1">
      <alignment horizontal="center" vertical="center" wrapText="1"/>
    </xf>
    <xf numFmtId="2" fontId="5" fillId="18" borderId="26" xfId="0" applyNumberFormat="1" applyFont="1" applyFill="1" applyBorder="1" applyAlignment="1">
      <alignment horizontal="center" vertical="center" wrapText="1"/>
    </xf>
    <xf numFmtId="2" fontId="5" fillId="16" borderId="17" xfId="0" applyNumberFormat="1" applyFont="1" applyFill="1" applyBorder="1" applyAlignment="1">
      <alignment horizontal="center" vertical="center" wrapText="1"/>
    </xf>
    <xf numFmtId="2" fontId="5" fillId="16" borderId="27" xfId="0" applyNumberFormat="1" applyFont="1" applyFill="1" applyBorder="1" applyAlignment="1">
      <alignment horizontal="center" vertical="center" wrapText="1"/>
    </xf>
    <xf numFmtId="2" fontId="62" fillId="16" borderId="17" xfId="0" applyNumberFormat="1" applyFont="1" applyFill="1" applyBorder="1" applyAlignment="1">
      <alignment horizontal="center" vertical="center" wrapText="1"/>
    </xf>
    <xf numFmtId="2" fontId="5" fillId="18" borderId="42" xfId="0" applyNumberFormat="1" applyFont="1" applyFill="1" applyBorder="1" applyAlignment="1">
      <alignment horizontal="center" vertical="center" wrapText="1"/>
    </xf>
    <xf numFmtId="2" fontId="62" fillId="18" borderId="17" xfId="0" applyNumberFormat="1" applyFont="1" applyFill="1" applyBorder="1" applyAlignment="1">
      <alignment horizontal="center" vertical="center" wrapText="1"/>
    </xf>
    <xf numFmtId="2" fontId="5" fillId="18" borderId="27" xfId="0" applyNumberFormat="1" applyFont="1" applyFill="1" applyBorder="1" applyAlignment="1">
      <alignment horizontal="center" vertical="center" wrapText="1"/>
    </xf>
    <xf numFmtId="2" fontId="5" fillId="16" borderId="42" xfId="0" applyNumberFormat="1" applyFont="1" applyFill="1" applyBorder="1" applyAlignment="1">
      <alignment horizontal="center" vertical="center" wrapText="1"/>
    </xf>
    <xf numFmtId="2" fontId="5" fillId="18" borderId="17" xfId="0" applyNumberFormat="1" applyFont="1" applyFill="1" applyBorder="1" applyAlignment="1">
      <alignment horizontal="center" vertical="center" wrapText="1"/>
    </xf>
    <xf numFmtId="2" fontId="62" fillId="16" borderId="27" xfId="0" applyNumberFormat="1" applyFont="1" applyFill="1" applyBorder="1" applyAlignment="1">
      <alignment horizontal="center" vertical="center" wrapText="1"/>
    </xf>
    <xf numFmtId="2" fontId="62" fillId="18" borderId="42" xfId="0" applyNumberFormat="1" applyFont="1" applyFill="1" applyBorder="1" applyAlignment="1">
      <alignment horizontal="center" vertical="center" wrapText="1"/>
    </xf>
    <xf numFmtId="2" fontId="62" fillId="16" borderId="19" xfId="0" applyNumberFormat="1" applyFont="1" applyFill="1" applyBorder="1" applyAlignment="1">
      <alignment horizontal="center" vertical="center" wrapText="1"/>
    </xf>
    <xf numFmtId="2" fontId="5" fillId="16" borderId="19" xfId="0" applyNumberFormat="1" applyFont="1" applyFill="1" applyBorder="1" applyAlignment="1">
      <alignment horizontal="center" vertical="center" wrapText="1"/>
    </xf>
    <xf numFmtId="2" fontId="5" fillId="16" borderId="58" xfId="0" applyNumberFormat="1" applyFont="1" applyFill="1" applyBorder="1" applyAlignment="1">
      <alignment horizontal="center" vertical="center" wrapText="1"/>
    </xf>
    <xf numFmtId="2" fontId="65" fillId="16" borderId="43" xfId="0" applyNumberFormat="1" applyFont="1" applyFill="1" applyBorder="1" applyAlignment="1">
      <alignment horizontal="center" vertical="center" wrapText="1"/>
    </xf>
    <xf numFmtId="2" fontId="65" fillId="16" borderId="18" xfId="0" applyNumberFormat="1" applyFont="1" applyFill="1" applyBorder="1" applyAlignment="1">
      <alignment horizontal="center" vertical="center" wrapText="1"/>
    </xf>
    <xf numFmtId="2" fontId="65" fillId="16" borderId="28" xfId="0" applyNumberFormat="1" applyFont="1" applyFill="1" applyBorder="1" applyAlignment="1">
      <alignment horizontal="center" vertical="center" wrapText="1"/>
    </xf>
    <xf numFmtId="2" fontId="5" fillId="16" borderId="43" xfId="0" applyNumberFormat="1" applyFont="1" applyFill="1" applyBorder="1" applyAlignment="1">
      <alignment horizontal="center" vertical="center" wrapText="1"/>
    </xf>
    <xf numFmtId="2" fontId="5" fillId="16" borderId="18" xfId="0" applyNumberFormat="1" applyFont="1" applyFill="1" applyBorder="1" applyAlignment="1">
      <alignment horizontal="center" vertical="center" wrapText="1"/>
    </xf>
    <xf numFmtId="2" fontId="5" fillId="16" borderId="28" xfId="0" applyNumberFormat="1" applyFont="1" applyFill="1" applyBorder="1" applyAlignment="1">
      <alignment horizontal="center" vertical="center" wrapText="1"/>
    </xf>
    <xf numFmtId="2" fontId="5" fillId="18" borderId="0" xfId="0" applyNumberFormat="1" applyFont="1" applyFill="1" applyAlignment="1">
      <alignment horizontal="right" vertical="center" wrapText="1"/>
    </xf>
    <xf numFmtId="2" fontId="5" fillId="18" borderId="0" xfId="0" applyNumberFormat="1" applyFont="1" applyFill="1" applyAlignment="1">
      <alignment horizontal="left" vertical="center" wrapText="1"/>
    </xf>
    <xf numFmtId="0" fontId="139" fillId="34" borderId="87" xfId="0" applyNumberFormat="1" applyFont="1" applyFill="1" applyBorder="1" applyAlignment="1">
      <alignment horizontal="left" vertical="center" wrapText="1"/>
    </xf>
    <xf numFmtId="0" fontId="141" fillId="53" borderId="47" xfId="0" applyFont="1" applyFill="1" applyBorder="1" applyAlignment="1">
      <alignment horizontal="center" vertical="center"/>
    </xf>
    <xf numFmtId="0" fontId="141" fillId="42" borderId="89" xfId="0" applyFont="1" applyFill="1" applyBorder="1" applyAlignment="1">
      <alignment horizontal="center" vertical="center"/>
    </xf>
    <xf numFmtId="0" fontId="4" fillId="41" borderId="3" xfId="0" applyFont="1" applyFill="1" applyBorder="1" applyAlignment="1">
      <alignment horizontal="center" vertical="center"/>
    </xf>
    <xf numFmtId="0" fontId="31" fillId="18" borderId="0" xfId="0" applyFont="1" applyFill="1" applyAlignment="1">
      <alignment horizontal="left"/>
    </xf>
    <xf numFmtId="0" fontId="5" fillId="18" borderId="0" xfId="0" applyFont="1" applyFill="1" applyAlignment="1">
      <alignment horizontal="left"/>
    </xf>
    <xf numFmtId="0" fontId="5" fillId="18" borderId="0" xfId="0" applyFont="1" applyFill="1" applyAlignment="1">
      <alignment horizontal="center" vertical="center"/>
    </xf>
    <xf numFmtId="0" fontId="7" fillId="15" borderId="39" xfId="0" applyFont="1" applyFill="1" applyBorder="1" applyAlignment="1">
      <alignment horizontal="center" vertical="center" wrapText="1"/>
    </xf>
    <xf numFmtId="0" fontId="5" fillId="18" borderId="1" xfId="0" applyFont="1" applyFill="1" applyBorder="1" applyAlignment="1">
      <alignment horizontal="left" vertical="center" indent="1"/>
    </xf>
    <xf numFmtId="0" fontId="5" fillId="16" borderId="1" xfId="0" applyFont="1" applyFill="1" applyBorder="1" applyAlignment="1">
      <alignment horizontal="left" vertical="center" indent="1"/>
    </xf>
    <xf numFmtId="0" fontId="5" fillId="16" borderId="3" xfId="0" applyFont="1" applyFill="1" applyBorder="1" applyAlignment="1">
      <alignment horizontal="center" vertical="center"/>
    </xf>
    <xf numFmtId="0" fontId="5" fillId="18" borderId="3" xfId="0" applyFont="1" applyFill="1" applyBorder="1" applyAlignment="1">
      <alignment horizontal="center" vertical="center"/>
    </xf>
    <xf numFmtId="0" fontId="5" fillId="18" borderId="0" xfId="0" applyFont="1" applyFill="1" applyAlignment="1">
      <alignment horizontal="left" vertical="center" indent="1"/>
    </xf>
    <xf numFmtId="0" fontId="5" fillId="18" borderId="1" xfId="0" applyFont="1" applyFill="1" applyBorder="1" applyAlignment="1">
      <alignment horizontal="center" vertical="center"/>
    </xf>
    <xf numFmtId="0" fontId="5" fillId="16" borderId="1" xfId="0" applyFont="1" applyFill="1" applyBorder="1" applyAlignment="1">
      <alignment horizontal="center" vertical="center"/>
    </xf>
    <xf numFmtId="0" fontId="5" fillId="18" borderId="13" xfId="0" applyFont="1" applyFill="1" applyBorder="1" applyAlignment="1">
      <alignment horizontal="center" vertical="center"/>
    </xf>
    <xf numFmtId="0" fontId="5" fillId="18" borderId="5" xfId="0" applyFont="1" applyFill="1" applyBorder="1" applyAlignment="1">
      <alignment horizontal="center" vertical="center"/>
    </xf>
    <xf numFmtId="0" fontId="5" fillId="18" borderId="0" xfId="0" applyFont="1" applyFill="1" applyAlignment="1">
      <alignment horizontal="left" vertical="center" wrapText="1"/>
    </xf>
    <xf numFmtId="49" fontId="65" fillId="18" borderId="0" xfId="0" applyNumberFormat="1" applyFont="1" applyFill="1" applyAlignment="1">
      <alignment horizontal="left" vertical="center" wrapText="1"/>
    </xf>
    <xf numFmtId="0" fontId="27" fillId="24" borderId="0" xfId="1" applyFont="1" applyFill="1" applyAlignment="1" applyProtection="1">
      <alignment horizontal="center" vertical="center"/>
    </xf>
    <xf numFmtId="0" fontId="0" fillId="18" borderId="0" xfId="0" applyFont="1" applyFill="1" applyAlignment="1">
      <alignment vertical="center"/>
    </xf>
    <xf numFmtId="0" fontId="0" fillId="18" borderId="11" xfId="0" applyFont="1" applyFill="1" applyBorder="1" applyAlignment="1">
      <alignment horizontal="center" vertical="center"/>
    </xf>
    <xf numFmtId="0" fontId="0" fillId="18" borderId="12" xfId="0" applyFont="1" applyFill="1" applyBorder="1" applyAlignment="1">
      <alignment horizontal="center" vertical="center"/>
    </xf>
    <xf numFmtId="0" fontId="0" fillId="16" borderId="2" xfId="0" applyFont="1" applyFill="1" applyBorder="1" applyAlignment="1">
      <alignment horizontal="center" vertical="center"/>
    </xf>
    <xf numFmtId="0" fontId="0" fillId="16" borderId="1" xfId="0" applyFont="1" applyFill="1" applyBorder="1" applyAlignment="1">
      <alignment horizontal="center" vertical="center"/>
    </xf>
    <xf numFmtId="0" fontId="0" fillId="18" borderId="2" xfId="0" applyFont="1" applyFill="1" applyBorder="1" applyAlignment="1">
      <alignment horizontal="center" vertical="center"/>
    </xf>
    <xf numFmtId="0" fontId="0" fillId="18" borderId="1" xfId="0" applyFont="1" applyFill="1" applyBorder="1" applyAlignment="1">
      <alignment horizontal="center" vertical="center"/>
    </xf>
    <xf numFmtId="0" fontId="0" fillId="16" borderId="1" xfId="0" applyFill="1" applyBorder="1" applyAlignment="1">
      <alignment horizontal="left" vertical="center" indent="1"/>
    </xf>
    <xf numFmtId="0" fontId="0" fillId="18" borderId="1" xfId="0" applyFill="1" applyBorder="1" applyAlignment="1">
      <alignment horizontal="left" vertical="center" indent="1"/>
    </xf>
    <xf numFmtId="0" fontId="1" fillId="18" borderId="0" xfId="0" applyFont="1" applyFill="1" applyBorder="1" applyAlignment="1">
      <alignment horizontal="left" vertical="center" indent="1"/>
    </xf>
    <xf numFmtId="0" fontId="7" fillId="15" borderId="38" xfId="0" applyFont="1" applyFill="1" applyBorder="1" applyAlignment="1">
      <alignment horizontal="center" vertical="center" wrapText="1"/>
    </xf>
    <xf numFmtId="0" fontId="7" fillId="15" borderId="40" xfId="0" applyFont="1" applyFill="1" applyBorder="1" applyAlignment="1">
      <alignment horizontal="left" vertical="center" wrapText="1" indent="1"/>
    </xf>
    <xf numFmtId="0" fontId="7" fillId="15" borderId="40" xfId="0" applyFont="1" applyFill="1" applyBorder="1" applyAlignment="1">
      <alignment horizontal="center" vertical="center" wrapText="1"/>
    </xf>
    <xf numFmtId="0" fontId="0" fillId="18" borderId="13" xfId="0" applyFill="1" applyBorder="1" applyAlignment="1">
      <alignment horizontal="left" vertical="center" indent="1"/>
    </xf>
    <xf numFmtId="0" fontId="0" fillId="18" borderId="4" xfId="0" applyFont="1" applyFill="1" applyBorder="1" applyAlignment="1">
      <alignment horizontal="center" vertical="center"/>
    </xf>
    <xf numFmtId="0" fontId="122" fillId="16" borderId="42" xfId="1" applyFont="1" applyFill="1" applyBorder="1" applyAlignment="1" applyProtection="1">
      <alignment horizontal="center" vertical="center"/>
    </xf>
    <xf numFmtId="0" fontId="122" fillId="18" borderId="89" xfId="1" applyFont="1" applyFill="1" applyBorder="1" applyAlignment="1" applyProtection="1">
      <alignment horizontal="center" vertical="center" wrapText="1"/>
    </xf>
    <xf numFmtId="0" fontId="122" fillId="16" borderId="89" xfId="1" applyFont="1" applyFill="1" applyBorder="1" applyAlignment="1" applyProtection="1">
      <alignment horizontal="center" vertical="center" wrapText="1"/>
    </xf>
    <xf numFmtId="0" fontId="122" fillId="16" borderId="24" xfId="1" applyFont="1" applyFill="1" applyBorder="1" applyAlignment="1" applyProtection="1">
      <alignment horizontal="center" vertical="center"/>
    </xf>
    <xf numFmtId="0" fontId="122" fillId="16" borderId="3" xfId="1" applyFont="1" applyFill="1" applyBorder="1" applyAlignment="1" applyProtection="1">
      <alignment horizontal="center" vertical="center"/>
    </xf>
    <xf numFmtId="0" fontId="122" fillId="18" borderId="27" xfId="1" applyFont="1" applyFill="1" applyBorder="1" applyAlignment="1" applyProtection="1">
      <alignment horizontal="left" vertical="center" indent="1"/>
    </xf>
    <xf numFmtId="0" fontId="122" fillId="16" borderId="60" xfId="1" applyFont="1" applyFill="1" applyBorder="1" applyAlignment="1" applyProtection="1">
      <alignment horizontal="left" vertical="center" wrapText="1" indent="1"/>
    </xf>
    <xf numFmtId="0" fontId="122" fillId="18" borderId="51" xfId="1" applyFont="1" applyFill="1" applyBorder="1" applyAlignment="1" applyProtection="1">
      <alignment horizontal="left" vertical="center" wrapText="1" indent="1"/>
    </xf>
    <xf numFmtId="0" fontId="122" fillId="16" borderId="51" xfId="1" applyFont="1" applyFill="1" applyBorder="1" applyAlignment="1" applyProtection="1">
      <alignment horizontal="left" vertical="center" wrapText="1" indent="1"/>
    </xf>
    <xf numFmtId="0" fontId="122" fillId="18" borderId="83" xfId="1" applyFont="1" applyFill="1" applyBorder="1" applyAlignment="1" applyProtection="1">
      <alignment horizontal="left" vertical="center" wrapText="1" indent="1"/>
    </xf>
    <xf numFmtId="0" fontId="122" fillId="16" borderId="62" xfId="1" applyFont="1" applyFill="1" applyBorder="1" applyAlignment="1" applyProtection="1">
      <alignment horizontal="left" vertical="center"/>
    </xf>
    <xf numFmtId="0" fontId="122" fillId="18" borderId="17" xfId="1" applyFont="1" applyFill="1" applyBorder="1" applyAlignment="1" applyProtection="1">
      <alignment horizontal="left" vertical="center"/>
    </xf>
    <xf numFmtId="0" fontId="122" fillId="16" borderId="18" xfId="1" applyFont="1" applyFill="1" applyBorder="1" applyAlignment="1" applyProtection="1">
      <alignment horizontal="left" vertical="center"/>
    </xf>
    <xf numFmtId="0" fontId="122" fillId="16" borderId="17" xfId="1" applyFont="1" applyFill="1" applyBorder="1" applyAlignment="1" applyProtection="1">
      <alignment horizontal="left" vertical="center"/>
    </xf>
    <xf numFmtId="0" fontId="122" fillId="16" borderId="19" xfId="1" applyFont="1" applyFill="1" applyBorder="1" applyAlignment="1" applyProtection="1">
      <alignment horizontal="left" vertical="center" wrapText="1"/>
    </xf>
    <xf numFmtId="0" fontId="122" fillId="16" borderId="3" xfId="1" applyFont="1" applyFill="1" applyBorder="1" applyAlignment="1" applyProtection="1">
      <alignment horizontal="left" vertical="center" wrapText="1"/>
    </xf>
    <xf numFmtId="0" fontId="122" fillId="16" borderId="89" xfId="1" applyFont="1" applyFill="1" applyBorder="1" applyAlignment="1" applyProtection="1">
      <alignment horizontal="center" vertical="center" wrapText="1"/>
    </xf>
    <xf numFmtId="0" fontId="5" fillId="18" borderId="89" xfId="0" applyFont="1" applyFill="1" applyBorder="1" applyAlignment="1">
      <alignment horizontal="center" vertical="center" wrapText="1"/>
    </xf>
    <xf numFmtId="0" fontId="5" fillId="16" borderId="89" xfId="0" applyFont="1" applyFill="1" applyBorder="1" applyAlignment="1">
      <alignment horizontal="center" vertical="center" wrapText="1"/>
    </xf>
    <xf numFmtId="0" fontId="28" fillId="16" borderId="5" xfId="0" applyFont="1" applyFill="1" applyBorder="1" applyAlignment="1">
      <alignment horizontal="left" vertical="center" wrapText="1"/>
    </xf>
    <xf numFmtId="0" fontId="5" fillId="16" borderId="27" xfId="0" applyFont="1" applyFill="1" applyBorder="1" applyAlignment="1">
      <alignment horizontal="center" vertical="center" wrapText="1"/>
    </xf>
    <xf numFmtId="0" fontId="5" fillId="16" borderId="17" xfId="0" applyFont="1" applyFill="1" applyBorder="1" applyAlignment="1">
      <alignment horizontal="center" vertical="center" wrapText="1"/>
    </xf>
    <xf numFmtId="0" fontId="5" fillId="16" borderId="18" xfId="0" applyFont="1" applyFill="1" applyBorder="1" applyAlignment="1">
      <alignment horizontal="center" vertical="center" wrapText="1"/>
    </xf>
    <xf numFmtId="0" fontId="5" fillId="16" borderId="42" xfId="0" applyFont="1" applyFill="1" applyBorder="1" applyAlignment="1">
      <alignment horizontal="center" vertical="center" wrapText="1"/>
    </xf>
    <xf numFmtId="0" fontId="0" fillId="16" borderId="27" xfId="0" applyFill="1" applyBorder="1" applyAlignment="1">
      <alignment horizontal="center" vertical="center" wrapText="1"/>
    </xf>
    <xf numFmtId="0" fontId="0" fillId="18" borderId="27" xfId="0" applyFill="1" applyBorder="1" applyAlignment="1">
      <alignment horizontal="center" vertical="center" wrapText="1"/>
    </xf>
    <xf numFmtId="0" fontId="5" fillId="18" borderId="1"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5" fillId="16" borderId="13" xfId="0" applyFont="1" applyFill="1" applyBorder="1" applyAlignment="1">
      <alignment horizontal="center" vertical="center" wrapText="1"/>
    </xf>
    <xf numFmtId="0" fontId="0" fillId="16" borderId="28" xfId="0" applyFill="1" applyBorder="1" applyAlignment="1">
      <alignment horizontal="center" vertical="center" wrapText="1"/>
    </xf>
    <xf numFmtId="0" fontId="5" fillId="16" borderId="13" xfId="0" applyFont="1" applyFill="1" applyBorder="1" applyAlignment="1">
      <alignment horizontal="center" vertical="center"/>
    </xf>
    <xf numFmtId="0" fontId="5" fillId="16" borderId="3" xfId="0" applyFont="1" applyFill="1" applyBorder="1" applyAlignment="1">
      <alignment horizontal="left" vertical="center" wrapText="1"/>
    </xf>
    <xf numFmtId="0" fontId="5" fillId="18" borderId="3" xfId="0" applyFont="1" applyFill="1" applyBorder="1" applyAlignment="1">
      <alignment horizontal="left" vertical="center" wrapText="1"/>
    </xf>
    <xf numFmtId="0" fontId="5" fillId="16" borderId="21" xfId="0" applyFont="1" applyFill="1" applyBorder="1" applyAlignment="1">
      <alignment horizontal="center" vertical="center"/>
    </xf>
    <xf numFmtId="0" fontId="5" fillId="18" borderId="21" xfId="0" applyFont="1" applyFill="1" applyBorder="1" applyAlignment="1">
      <alignment horizontal="center" vertical="center"/>
    </xf>
    <xf numFmtId="0" fontId="5" fillId="18" borderId="3" xfId="0" applyFont="1" applyFill="1" applyBorder="1" applyAlignment="1">
      <alignment horizontal="center" vertical="center"/>
    </xf>
    <xf numFmtId="0" fontId="5" fillId="16" borderId="22" xfId="0" applyFont="1" applyFill="1" applyBorder="1" applyAlignment="1">
      <alignment horizontal="center" vertical="center"/>
    </xf>
    <xf numFmtId="0" fontId="5" fillId="18" borderId="24" xfId="0" applyFont="1" applyFill="1" applyBorder="1" applyAlignment="1">
      <alignment horizontal="left" vertical="center" wrapText="1"/>
    </xf>
    <xf numFmtId="0" fontId="5" fillId="16" borderId="2" xfId="0" applyFont="1" applyFill="1" applyBorder="1" applyAlignment="1">
      <alignment horizontal="center" vertical="center"/>
    </xf>
    <xf numFmtId="0" fontId="5" fillId="16" borderId="4" xfId="0" applyFont="1" applyFill="1" applyBorder="1" applyAlignment="1">
      <alignment horizontal="center" vertical="center"/>
    </xf>
    <xf numFmtId="0" fontId="5" fillId="18" borderId="1" xfId="0" applyFont="1" applyFill="1" applyBorder="1" applyAlignment="1">
      <alignment horizontal="center" vertical="center"/>
    </xf>
    <xf numFmtId="0" fontId="5" fillId="18" borderId="12" xfId="0" applyFont="1" applyFill="1" applyBorder="1" applyAlignment="1">
      <alignment horizontal="center" vertical="center"/>
    </xf>
    <xf numFmtId="0" fontId="5" fillId="18" borderId="24" xfId="0" applyFont="1" applyFill="1" applyBorder="1" applyAlignment="1">
      <alignment horizontal="center" vertical="center"/>
    </xf>
    <xf numFmtId="0" fontId="5" fillId="16" borderId="1" xfId="0" applyFont="1" applyFill="1" applyBorder="1" applyAlignment="1">
      <alignment horizontal="center" vertical="center"/>
    </xf>
    <xf numFmtId="0" fontId="5" fillId="18" borderId="2" xfId="0" applyFont="1" applyFill="1" applyBorder="1" applyAlignment="1">
      <alignment horizontal="center" vertical="center"/>
    </xf>
    <xf numFmtId="0" fontId="5" fillId="16" borderId="5" xfId="0" applyFont="1" applyFill="1" applyBorder="1" applyAlignment="1">
      <alignment horizontal="left" vertical="center" wrapText="1"/>
    </xf>
    <xf numFmtId="49" fontId="12" fillId="18" borderId="37" xfId="0" applyNumberFormat="1" applyFont="1" applyFill="1" applyBorder="1" applyAlignment="1">
      <alignment horizontal="center" vertical="center" wrapText="1"/>
    </xf>
    <xf numFmtId="3" fontId="12" fillId="18" borderId="37" xfId="0" applyNumberFormat="1" applyFont="1" applyFill="1" applyBorder="1" applyAlignment="1">
      <alignment horizontal="center" vertical="center" wrapText="1"/>
    </xf>
    <xf numFmtId="3" fontId="12" fillId="18" borderId="47" xfId="0" applyNumberFormat="1" applyFont="1" applyFill="1" applyBorder="1" applyAlignment="1">
      <alignment horizontal="center" vertical="center" wrapText="1"/>
    </xf>
    <xf numFmtId="49" fontId="12" fillId="18" borderId="20" xfId="0" applyNumberFormat="1" applyFont="1" applyFill="1" applyBorder="1" applyAlignment="1">
      <alignment horizontal="center" vertical="center" wrapText="1"/>
    </xf>
    <xf numFmtId="49" fontId="12" fillId="18" borderId="22" xfId="0" applyNumberFormat="1" applyFont="1" applyFill="1" applyBorder="1" applyAlignment="1">
      <alignment horizontal="center" vertical="center" wrapText="1"/>
    </xf>
    <xf numFmtId="3" fontId="12" fillId="18" borderId="81" xfId="0" applyNumberFormat="1" applyFont="1" applyFill="1" applyBorder="1" applyAlignment="1">
      <alignment horizontal="center" vertical="center" wrapText="1"/>
    </xf>
    <xf numFmtId="3" fontId="12" fillId="18" borderId="83" xfId="0" applyNumberFormat="1" applyFont="1" applyFill="1" applyBorder="1" applyAlignment="1">
      <alignment horizontal="center" vertical="center" wrapText="1"/>
    </xf>
    <xf numFmtId="3" fontId="12" fillId="18" borderId="11" xfId="0" applyNumberFormat="1" applyFont="1" applyFill="1" applyBorder="1" applyAlignment="1">
      <alignment horizontal="center" vertical="center" wrapText="1"/>
    </xf>
    <xf numFmtId="49" fontId="12" fillId="18" borderId="41" xfId="0" applyNumberFormat="1" applyFont="1" applyFill="1" applyBorder="1" applyAlignment="1">
      <alignment horizontal="center" vertical="center" wrapText="1"/>
    </xf>
    <xf numFmtId="3" fontId="12" fillId="18" borderId="51" xfId="0" applyNumberFormat="1" applyFont="1" applyFill="1" applyBorder="1" applyAlignment="1">
      <alignment horizontal="center" vertical="center" wrapText="1"/>
    </xf>
    <xf numFmtId="49" fontId="12" fillId="18" borderId="23" xfId="0" applyNumberFormat="1" applyFont="1" applyFill="1" applyBorder="1" applyAlignment="1">
      <alignment horizontal="center" vertical="center" wrapText="1"/>
    </xf>
    <xf numFmtId="3" fontId="12" fillId="18" borderId="4" xfId="0" applyNumberFormat="1" applyFont="1" applyFill="1" applyBorder="1" applyAlignment="1">
      <alignment horizontal="center" vertical="center" wrapText="1"/>
    </xf>
    <xf numFmtId="3" fontId="12" fillId="18" borderId="61" xfId="0" applyNumberFormat="1" applyFont="1" applyFill="1" applyBorder="1" applyAlignment="1">
      <alignment horizontal="center" vertical="center" wrapText="1"/>
    </xf>
    <xf numFmtId="3" fontId="12" fillId="18" borderId="9" xfId="0" applyNumberFormat="1" applyFont="1" applyFill="1" applyBorder="1" applyAlignment="1">
      <alignment horizontal="center" vertical="center" wrapText="1"/>
    </xf>
    <xf numFmtId="3" fontId="12" fillId="18" borderId="50" xfId="0" applyNumberFormat="1" applyFont="1" applyFill="1" applyBorder="1" applyAlignment="1">
      <alignment horizontal="center" vertical="center" wrapText="1"/>
    </xf>
    <xf numFmtId="3" fontId="12" fillId="22" borderId="24" xfId="0" applyNumberFormat="1" applyFont="1" applyFill="1" applyBorder="1" applyAlignment="1">
      <alignment horizontal="center" vertical="center" wrapText="1"/>
    </xf>
    <xf numFmtId="3" fontId="158" fillId="22" borderId="47" xfId="0" applyNumberFormat="1" applyFont="1" applyFill="1" applyBorder="1" applyAlignment="1">
      <alignment horizontal="center" vertical="center" wrapText="1"/>
    </xf>
    <xf numFmtId="3" fontId="158" fillId="22" borderId="5" xfId="0" applyNumberFormat="1" applyFont="1" applyFill="1" applyBorder="1" applyAlignment="1">
      <alignment horizontal="center" vertical="center" wrapText="1"/>
    </xf>
    <xf numFmtId="3" fontId="12" fillId="22" borderId="12" xfId="0" applyNumberFormat="1" applyFont="1" applyFill="1" applyBorder="1" applyAlignment="1">
      <alignment horizontal="center" vertical="center" wrapText="1"/>
    </xf>
    <xf numFmtId="3" fontId="159" fillId="22" borderId="13" xfId="0" applyNumberFormat="1" applyFont="1" applyFill="1" applyBorder="1" applyAlignment="1">
      <alignment horizontal="center" vertical="center" wrapText="1"/>
    </xf>
    <xf numFmtId="3" fontId="158" fillId="22" borderId="13" xfId="0" applyNumberFormat="1" applyFont="1" applyFill="1" applyBorder="1" applyAlignment="1">
      <alignment horizontal="center" vertical="center" wrapText="1"/>
    </xf>
    <xf numFmtId="49" fontId="12" fillId="22" borderId="15" xfId="0" applyNumberFormat="1" applyFont="1" applyFill="1" applyBorder="1" applyAlignment="1">
      <alignment horizontal="center" vertical="center" wrapText="1"/>
    </xf>
    <xf numFmtId="49" fontId="158" fillId="22" borderId="37" xfId="0" applyNumberFormat="1" applyFont="1" applyFill="1" applyBorder="1" applyAlignment="1">
      <alignment horizontal="center" vertical="center" wrapText="1"/>
    </xf>
    <xf numFmtId="3" fontId="158" fillId="22" borderId="37" xfId="0" applyNumberFormat="1" applyFont="1" applyFill="1" applyBorder="1" applyAlignment="1">
      <alignment horizontal="center" vertical="center" wrapText="1"/>
    </xf>
    <xf numFmtId="49" fontId="12" fillId="22" borderId="20" xfId="0" applyNumberFormat="1" applyFont="1" applyFill="1" applyBorder="1" applyAlignment="1">
      <alignment horizontal="center" vertical="center" wrapText="1"/>
    </xf>
    <xf numFmtId="49" fontId="158" fillId="22" borderId="41" xfId="0" applyNumberFormat="1" applyFont="1" applyFill="1" applyBorder="1" applyAlignment="1">
      <alignment horizontal="center" vertical="center" wrapText="1"/>
    </xf>
    <xf numFmtId="3" fontId="12" fillId="22" borderId="81" xfId="0" applyNumberFormat="1" applyFont="1" applyFill="1" applyBorder="1" applyAlignment="1">
      <alignment horizontal="center" vertical="center" wrapText="1"/>
    </xf>
    <xf numFmtId="3" fontId="158" fillId="22" borderId="51" xfId="0" applyNumberFormat="1" applyFont="1" applyFill="1" applyBorder="1" applyAlignment="1">
      <alignment horizontal="center" vertical="center" wrapText="1"/>
    </xf>
    <xf numFmtId="3" fontId="12" fillId="22" borderId="11" xfId="0" applyNumberFormat="1" applyFont="1" applyFill="1" applyBorder="1" applyAlignment="1">
      <alignment horizontal="center" vertical="center" wrapText="1"/>
    </xf>
    <xf numFmtId="3" fontId="158" fillId="22" borderId="4" xfId="0" applyNumberFormat="1" applyFont="1" applyFill="1" applyBorder="1" applyAlignment="1">
      <alignment horizontal="center" vertical="center" wrapText="1"/>
    </xf>
    <xf numFmtId="49" fontId="12" fillId="22" borderId="12" xfId="0" applyNumberFormat="1" applyFont="1" applyFill="1" applyBorder="1" applyAlignment="1">
      <alignment horizontal="center" vertical="center" wrapText="1"/>
    </xf>
    <xf numFmtId="49" fontId="158" fillId="22" borderId="13" xfId="0" applyNumberFormat="1" applyFont="1" applyFill="1" applyBorder="1" applyAlignment="1">
      <alignment horizontal="center" vertical="center" wrapText="1"/>
    </xf>
    <xf numFmtId="3" fontId="158" fillId="22" borderId="83" xfId="0" applyNumberFormat="1" applyFont="1" applyFill="1" applyBorder="1" applyAlignment="1">
      <alignment horizontal="center" vertical="center" wrapText="1"/>
    </xf>
    <xf numFmtId="3" fontId="12" fillId="22" borderId="15" xfId="0" applyNumberFormat="1" applyFont="1" applyFill="1" applyBorder="1" applyAlignment="1">
      <alignment horizontal="center" vertical="center" wrapText="1"/>
    </xf>
    <xf numFmtId="49" fontId="12" fillId="16" borderId="20" xfId="0" applyNumberFormat="1" applyFont="1" applyFill="1" applyBorder="1" applyAlignment="1">
      <alignment horizontal="center" vertical="center" wrapText="1"/>
    </xf>
    <xf numFmtId="49" fontId="12" fillId="16" borderId="12" xfId="0" applyNumberFormat="1" applyFont="1" applyFill="1" applyBorder="1" applyAlignment="1">
      <alignment horizontal="center" vertical="center" wrapText="1"/>
    </xf>
    <xf numFmtId="3" fontId="12" fillId="16" borderId="12" xfId="0" applyNumberFormat="1" applyFont="1" applyFill="1" applyBorder="1" applyAlignment="1">
      <alignment horizontal="center" vertical="center" wrapText="1"/>
    </xf>
    <xf numFmtId="3" fontId="12" fillId="16" borderId="81" xfId="0" applyNumberFormat="1" applyFont="1" applyFill="1" applyBorder="1" applyAlignment="1">
      <alignment horizontal="center" vertical="center" wrapText="1"/>
    </xf>
    <xf numFmtId="3" fontId="12" fillId="16" borderId="11" xfId="0" applyNumberFormat="1" applyFont="1" applyFill="1" applyBorder="1" applyAlignment="1">
      <alignment horizontal="center" vertical="center" wrapText="1"/>
    </xf>
    <xf numFmtId="49" fontId="12" fillId="16" borderId="22" xfId="0" applyNumberFormat="1" applyFont="1" applyFill="1" applyBorder="1" applyAlignment="1">
      <alignment horizontal="center" vertical="center" wrapText="1"/>
    </xf>
    <xf numFmtId="3" fontId="12" fillId="16" borderId="83" xfId="0" applyNumberFormat="1" applyFont="1" applyFill="1" applyBorder="1" applyAlignment="1">
      <alignment horizontal="center" vertical="center" wrapText="1"/>
    </xf>
    <xf numFmtId="3" fontId="12" fillId="16" borderId="4" xfId="0" applyNumberFormat="1" applyFont="1" applyFill="1" applyBorder="1" applyAlignment="1">
      <alignment horizontal="center" vertical="center" wrapText="1"/>
    </xf>
    <xf numFmtId="49" fontId="12" fillId="16" borderId="23" xfId="0" applyNumberFormat="1" applyFont="1" applyFill="1" applyBorder="1" applyAlignment="1">
      <alignment horizontal="center" vertical="center" wrapText="1"/>
    </xf>
    <xf numFmtId="49" fontId="12" fillId="16" borderId="41" xfId="0" applyNumberFormat="1" applyFont="1" applyFill="1" applyBorder="1" applyAlignment="1">
      <alignment horizontal="center" vertical="center" wrapText="1"/>
    </xf>
    <xf numFmtId="3" fontId="12" fillId="16" borderId="50" xfId="0" quotePrefix="1" applyNumberFormat="1" applyFont="1" applyFill="1" applyBorder="1" applyAlignment="1">
      <alignment horizontal="center" vertical="center" wrapText="1"/>
    </xf>
    <xf numFmtId="3" fontId="12" fillId="16" borderId="9" xfId="0" applyNumberFormat="1" applyFont="1" applyFill="1" applyBorder="1" applyAlignment="1">
      <alignment horizontal="center" vertical="center" wrapText="1"/>
    </xf>
    <xf numFmtId="3" fontId="12" fillId="16" borderId="8" xfId="0" applyNumberFormat="1" applyFont="1" applyFill="1" applyBorder="1" applyAlignment="1">
      <alignment horizontal="center" vertical="center" wrapText="1"/>
    </xf>
    <xf numFmtId="3" fontId="12" fillId="16" borderId="37" xfId="0" applyNumberFormat="1" applyFont="1" applyFill="1" applyBorder="1" applyAlignment="1">
      <alignment horizontal="center" vertical="center" wrapText="1"/>
    </xf>
    <xf numFmtId="3" fontId="12" fillId="16" borderId="51" xfId="0" quotePrefix="1" applyNumberFormat="1" applyFont="1" applyFill="1" applyBorder="1" applyAlignment="1">
      <alignment horizontal="center" vertical="center" wrapText="1"/>
    </xf>
    <xf numFmtId="3" fontId="12" fillId="16" borderId="61" xfId="0" applyNumberFormat="1" applyFont="1" applyFill="1" applyBorder="1" applyAlignment="1">
      <alignment horizontal="center" vertical="center" wrapText="1"/>
    </xf>
    <xf numFmtId="3" fontId="12" fillId="16" borderId="24" xfId="0" applyNumberFormat="1" applyFont="1" applyFill="1" applyBorder="1" applyAlignment="1">
      <alignment horizontal="center" vertical="center" wrapText="1"/>
    </xf>
    <xf numFmtId="49" fontId="66" fillId="27" borderId="22" xfId="0" applyNumberFormat="1" applyFont="1" applyFill="1" applyBorder="1" applyAlignment="1">
      <alignment horizontal="center" vertical="center" wrapText="1"/>
    </xf>
    <xf numFmtId="49" fontId="66" fillId="27" borderId="4" xfId="0" applyNumberFormat="1" applyFont="1" applyFill="1" applyBorder="1" applyAlignment="1">
      <alignment horizontal="center" vertical="center" wrapText="1"/>
    </xf>
    <xf numFmtId="49" fontId="65" fillId="22" borderId="20" xfId="0" applyNumberFormat="1" applyFont="1" applyFill="1" applyBorder="1" applyAlignment="1">
      <alignment horizontal="center" vertical="center" wrapText="1"/>
    </xf>
    <xf numFmtId="49" fontId="147" fillId="22" borderId="81" xfId="0" applyNumberFormat="1" applyFont="1" applyFill="1" applyBorder="1" applyAlignment="1">
      <alignment horizontal="center" vertical="center" wrapText="1"/>
    </xf>
    <xf numFmtId="49" fontId="65" fillId="22" borderId="11" xfId="0" applyNumberFormat="1" applyFont="1" applyFill="1" applyBorder="1" applyAlignment="1">
      <alignment horizontal="center" vertical="center" wrapText="1"/>
    </xf>
    <xf numFmtId="49" fontId="68" fillId="22" borderId="24" xfId="0" applyNumberFormat="1" applyFont="1" applyFill="1" applyBorder="1" applyAlignment="1">
      <alignment horizontal="center" vertical="center" wrapText="1"/>
    </xf>
    <xf numFmtId="49" fontId="65" fillId="18" borderId="20" xfId="0" applyNumberFormat="1" applyFont="1" applyFill="1" applyBorder="1" applyAlignment="1">
      <alignment horizontal="center" vertical="center" wrapText="1"/>
    </xf>
    <xf numFmtId="49" fontId="65" fillId="18" borderId="24" xfId="0" applyNumberFormat="1" applyFont="1" applyFill="1" applyBorder="1" applyAlignment="1">
      <alignment horizontal="center" vertical="center" wrapText="1"/>
    </xf>
    <xf numFmtId="49" fontId="65" fillId="16" borderId="4" xfId="0" applyNumberFormat="1" applyFont="1" applyFill="1" applyBorder="1" applyAlignment="1">
      <alignment horizontal="center" vertical="center" wrapText="1"/>
    </xf>
    <xf numFmtId="49" fontId="65" fillId="16" borderId="5" xfId="0" applyNumberFormat="1" applyFont="1" applyFill="1" applyBorder="1" applyAlignment="1">
      <alignment horizontal="center" vertical="center" wrapText="1"/>
    </xf>
    <xf numFmtId="49" fontId="65" fillId="22" borderId="21" xfId="0" applyNumberFormat="1" applyFont="1" applyFill="1" applyBorder="1" applyAlignment="1">
      <alignment horizontal="center" vertical="center" wrapText="1"/>
    </xf>
    <xf numFmtId="49" fontId="65" fillId="22" borderId="2" xfId="0" applyNumberFormat="1" applyFont="1" applyFill="1" applyBorder="1" applyAlignment="1">
      <alignment horizontal="center" vertical="center" wrapText="1"/>
    </xf>
    <xf numFmtId="49" fontId="68" fillId="22" borderId="60" xfId="0" applyNumberFormat="1" applyFont="1" applyFill="1" applyBorder="1" applyAlignment="1">
      <alignment horizontal="center" vertical="center" wrapText="1"/>
    </xf>
    <xf numFmtId="49" fontId="68" fillId="22" borderId="3" xfId="0" applyNumberFormat="1" applyFont="1" applyFill="1" applyBorder="1" applyAlignment="1">
      <alignment horizontal="center" vertical="center" wrapText="1"/>
    </xf>
    <xf numFmtId="49" fontId="147" fillId="22" borderId="3" xfId="0" applyNumberFormat="1" applyFont="1" applyFill="1" applyBorder="1" applyAlignment="1">
      <alignment horizontal="center" vertical="center" wrapText="1"/>
    </xf>
    <xf numFmtId="49" fontId="147" fillId="22" borderId="60" xfId="0" applyNumberFormat="1" applyFont="1" applyFill="1" applyBorder="1" applyAlignment="1">
      <alignment horizontal="center" vertical="center" wrapText="1"/>
    </xf>
    <xf numFmtId="49" fontId="65" fillId="22" borderId="22" xfId="0" applyNumberFormat="1" applyFont="1" applyFill="1" applyBorder="1" applyAlignment="1">
      <alignment horizontal="center" vertical="center" wrapText="1"/>
    </xf>
    <xf numFmtId="49" fontId="68" fillId="22" borderId="5" xfId="0" applyNumberFormat="1" applyFont="1" applyFill="1" applyBorder="1" applyAlignment="1">
      <alignment horizontal="center" vertical="center" wrapText="1"/>
    </xf>
    <xf numFmtId="49" fontId="147" fillId="22" borderId="83" xfId="0" applyNumberFormat="1" applyFont="1" applyFill="1" applyBorder="1" applyAlignment="1">
      <alignment horizontal="center" vertical="center" wrapText="1"/>
    </xf>
    <xf numFmtId="0" fontId="18" fillId="52" borderId="16" xfId="0" applyFont="1" applyFill="1" applyBorder="1" applyAlignment="1">
      <alignment horizontal="center" vertical="center" wrapText="1"/>
    </xf>
    <xf numFmtId="0" fontId="18" fillId="52" borderId="19" xfId="0" applyFont="1" applyFill="1" applyBorder="1" applyAlignment="1">
      <alignment horizontal="center" vertical="center" wrapText="1"/>
    </xf>
    <xf numFmtId="0" fontId="18" fillId="38" borderId="18" xfId="0" applyFont="1" applyFill="1" applyBorder="1" applyAlignment="1">
      <alignment horizontal="center" vertical="center" wrapText="1"/>
    </xf>
    <xf numFmtId="0" fontId="18" fillId="38" borderId="82" xfId="0" applyFont="1" applyFill="1" applyBorder="1" applyAlignment="1">
      <alignment horizontal="center" vertical="center" wrapText="1"/>
    </xf>
    <xf numFmtId="49" fontId="66" fillId="33" borderId="83" xfId="0" applyNumberFormat="1" applyFont="1" applyFill="1" applyBorder="1" applyAlignment="1">
      <alignment horizontal="center" vertical="center" wrapText="1"/>
    </xf>
    <xf numFmtId="49" fontId="66" fillId="33" borderId="5" xfId="0" applyNumberFormat="1" applyFont="1" applyFill="1" applyBorder="1" applyAlignment="1">
      <alignment horizontal="center" vertical="center" wrapText="1"/>
    </xf>
    <xf numFmtId="49" fontId="65" fillId="18" borderId="11" xfId="0" applyNumberFormat="1" applyFont="1" applyFill="1" applyBorder="1" applyAlignment="1">
      <alignment horizontal="center" vertical="center" wrapText="1"/>
    </xf>
    <xf numFmtId="49" fontId="5" fillId="22" borderId="2" xfId="0" applyNumberFormat="1" applyFont="1" applyFill="1" applyBorder="1" applyAlignment="1">
      <alignment horizontal="center" vertical="center" wrapText="1"/>
    </xf>
    <xf numFmtId="49" fontId="5" fillId="22" borderId="21" xfId="0" applyNumberFormat="1" applyFont="1" applyFill="1" applyBorder="1" applyAlignment="1">
      <alignment horizontal="center" vertical="center" wrapText="1"/>
    </xf>
    <xf numFmtId="49" fontId="5" fillId="22" borderId="4" xfId="0" applyNumberFormat="1" applyFont="1" applyFill="1" applyBorder="1" applyAlignment="1">
      <alignment horizontal="center" vertical="center" wrapText="1"/>
    </xf>
    <xf numFmtId="49" fontId="147" fillId="22" borderId="5" xfId="0" applyNumberFormat="1" applyFont="1" applyFill="1" applyBorder="1" applyAlignment="1">
      <alignment horizontal="center" vertical="center" wrapText="1"/>
    </xf>
    <xf numFmtId="49" fontId="5" fillId="22" borderId="22" xfId="0" applyNumberFormat="1" applyFont="1" applyFill="1" applyBorder="1" applyAlignment="1">
      <alignment horizontal="center" vertical="center" wrapText="1"/>
    </xf>
    <xf numFmtId="0" fontId="25" fillId="15" borderId="34" xfId="0" applyFont="1" applyFill="1" applyBorder="1" applyAlignment="1">
      <alignment horizontal="center" vertical="center" wrapText="1"/>
    </xf>
    <xf numFmtId="0" fontId="5" fillId="18" borderId="21" xfId="0" applyFont="1" applyFill="1" applyBorder="1" applyAlignment="1">
      <alignment horizontal="center" vertical="center" wrapText="1"/>
    </xf>
    <xf numFmtId="0" fontId="5" fillId="16" borderId="21" xfId="0" applyFont="1" applyFill="1" applyBorder="1" applyAlignment="1">
      <alignment horizontal="center" vertical="center" wrapText="1"/>
    </xf>
    <xf numFmtId="0" fontId="5" fillId="16" borderId="22" xfId="0" applyFont="1" applyFill="1" applyBorder="1" applyAlignment="1">
      <alignment horizontal="center" vertical="center" wrapText="1"/>
    </xf>
    <xf numFmtId="0" fontId="5" fillId="18" borderId="23" xfId="0" applyFont="1" applyFill="1" applyBorder="1" applyAlignment="1">
      <alignment horizontal="center" vertical="center" wrapText="1"/>
    </xf>
    <xf numFmtId="0" fontId="5" fillId="16" borderId="2" xfId="0" applyFont="1" applyFill="1" applyBorder="1" applyAlignment="1">
      <alignment horizontal="left" vertical="center"/>
    </xf>
    <xf numFmtId="0" fontId="5" fillId="18" borderId="2" xfId="0" applyFont="1" applyFill="1" applyBorder="1" applyAlignment="1">
      <alignment horizontal="left" vertical="center"/>
    </xf>
    <xf numFmtId="0" fontId="5" fillId="16" borderId="13" xfId="0" applyFont="1" applyFill="1" applyBorder="1" applyAlignment="1">
      <alignment horizontal="center" vertical="center"/>
    </xf>
    <xf numFmtId="0" fontId="5" fillId="16" borderId="5" xfId="0" applyFont="1" applyFill="1" applyBorder="1" applyAlignment="1">
      <alignment horizontal="center" vertical="center"/>
    </xf>
    <xf numFmtId="0" fontId="5" fillId="16" borderId="3" xfId="0" applyFont="1" applyFill="1" applyBorder="1" applyAlignment="1">
      <alignment horizontal="center" vertical="center"/>
    </xf>
    <xf numFmtId="0" fontId="5" fillId="18" borderId="21" xfId="0" applyFont="1" applyFill="1" applyBorder="1" applyAlignment="1">
      <alignment horizontal="center" vertical="center"/>
    </xf>
    <xf numFmtId="0" fontId="5" fillId="18" borderId="3" xfId="0" applyFont="1" applyFill="1" applyBorder="1" applyAlignment="1">
      <alignment horizontal="center" vertical="center"/>
    </xf>
    <xf numFmtId="0" fontId="5" fillId="16" borderId="2" xfId="0" applyFont="1" applyFill="1" applyBorder="1" applyAlignment="1">
      <alignment horizontal="center" vertical="center"/>
    </xf>
    <xf numFmtId="0" fontId="5" fillId="16" borderId="4" xfId="0" applyFont="1" applyFill="1" applyBorder="1" applyAlignment="1">
      <alignment horizontal="center" vertical="center"/>
    </xf>
    <xf numFmtId="0" fontId="5" fillId="16" borderId="1" xfId="0" applyFont="1" applyFill="1" applyBorder="1" applyAlignment="1">
      <alignment horizontal="center" vertical="center"/>
    </xf>
    <xf numFmtId="0" fontId="5" fillId="18" borderId="1" xfId="0" applyFont="1" applyFill="1" applyBorder="1" applyAlignment="1">
      <alignment horizontal="center" vertical="center"/>
    </xf>
    <xf numFmtId="0" fontId="5" fillId="18" borderId="12" xfId="0" applyFont="1" applyFill="1" applyBorder="1" applyAlignment="1">
      <alignment horizontal="center" vertical="center"/>
    </xf>
    <xf numFmtId="0" fontId="5" fillId="18" borderId="24" xfId="0" applyFont="1" applyFill="1" applyBorder="1" applyAlignment="1">
      <alignment horizontal="center" vertical="center"/>
    </xf>
    <xf numFmtId="0" fontId="5" fillId="16" borderId="4" xfId="0" applyFont="1" applyFill="1" applyBorder="1" applyAlignment="1">
      <alignment horizontal="left" vertical="center"/>
    </xf>
    <xf numFmtId="0" fontId="5" fillId="18" borderId="2" xfId="0" applyFont="1" applyFill="1" applyBorder="1" applyAlignment="1">
      <alignment horizontal="center" vertical="center"/>
    </xf>
    <xf numFmtId="0" fontId="0" fillId="18" borderId="0" xfId="0" applyFill="1" applyAlignment="1">
      <alignment vertical="center" wrapText="1"/>
    </xf>
    <xf numFmtId="0" fontId="5" fillId="18" borderId="11" xfId="0" applyFont="1" applyFill="1" applyBorder="1" applyAlignment="1">
      <alignment horizontal="left" vertical="center"/>
    </xf>
    <xf numFmtId="0" fontId="65" fillId="18" borderId="0" xfId="0" applyFont="1" applyFill="1" applyBorder="1" applyAlignment="1">
      <alignment horizontal="center" vertical="center"/>
    </xf>
    <xf numFmtId="0" fontId="30" fillId="16" borderId="5" xfId="0" applyFont="1" applyFill="1" applyBorder="1" applyAlignment="1">
      <alignment horizontal="center" vertical="center"/>
    </xf>
    <xf numFmtId="0" fontId="30" fillId="16" borderId="59" xfId="0" applyFont="1" applyFill="1" applyBorder="1" applyAlignment="1">
      <alignment horizontal="center" vertical="center"/>
    </xf>
    <xf numFmtId="0" fontId="68" fillId="16" borderId="59" xfId="0" applyFont="1" applyFill="1" applyBorder="1" applyAlignment="1">
      <alignment horizontal="center" vertical="center"/>
    </xf>
    <xf numFmtId="0" fontId="5" fillId="18" borderId="19" xfId="0" applyFont="1" applyFill="1" applyBorder="1" applyAlignment="1">
      <alignment vertical="center" wrapText="1"/>
    </xf>
    <xf numFmtId="0" fontId="5" fillId="16" borderId="17" xfId="0" applyFont="1" applyFill="1" applyBorder="1" applyAlignment="1">
      <alignment vertical="center" wrapText="1"/>
    </xf>
    <xf numFmtId="0" fontId="5" fillId="18" borderId="17" xfId="0" applyFont="1" applyFill="1" applyBorder="1" applyAlignment="1">
      <alignment vertical="center" wrapText="1"/>
    </xf>
    <xf numFmtId="0" fontId="5" fillId="16" borderId="18" xfId="0" applyFont="1" applyFill="1" applyBorder="1" applyAlignment="1">
      <alignment vertical="center" wrapText="1"/>
    </xf>
    <xf numFmtId="0" fontId="5" fillId="16" borderId="17" xfId="0" applyFont="1" applyFill="1" applyBorder="1" applyAlignment="1">
      <alignment horizontal="center" vertical="center" wrapText="1"/>
    </xf>
    <xf numFmtId="0" fontId="28" fillId="18" borderId="44" xfId="0" applyFont="1" applyFill="1" applyBorder="1" applyAlignment="1">
      <alignment horizontal="left" vertical="center" wrapText="1"/>
    </xf>
    <xf numFmtId="0" fontId="5" fillId="16" borderId="3" xfId="0" applyFont="1" applyFill="1" applyBorder="1" applyAlignment="1">
      <alignment horizontal="left" vertical="center" wrapText="1"/>
    </xf>
    <xf numFmtId="0" fontId="5" fillId="16" borderId="32" xfId="0" applyFont="1" applyFill="1" applyBorder="1" applyAlignment="1">
      <alignment horizontal="left" vertical="center" wrapText="1" indent="1"/>
    </xf>
    <xf numFmtId="0" fontId="0" fillId="18" borderId="8" xfId="1" applyFont="1" applyFill="1" applyBorder="1" applyAlignment="1" applyProtection="1">
      <alignment vertical="center" wrapText="1"/>
    </xf>
    <xf numFmtId="0" fontId="6" fillId="16" borderId="17" xfId="1" applyFill="1" applyBorder="1" applyAlignment="1" applyProtection="1">
      <alignment horizontal="left" vertical="center" wrapText="1"/>
    </xf>
    <xf numFmtId="0" fontId="86" fillId="2" borderId="0" xfId="0" applyFont="1" applyFill="1" applyAlignment="1">
      <alignment horizontal="left" vertical="center" wrapText="1"/>
    </xf>
    <xf numFmtId="0" fontId="5" fillId="2" borderId="0" xfId="0" applyFont="1" applyFill="1" applyAlignment="1">
      <alignment horizontal="left" vertical="center" wrapText="1"/>
    </xf>
    <xf numFmtId="0" fontId="4" fillId="2" borderId="0" xfId="0" applyFont="1" applyFill="1" applyAlignment="1">
      <alignment horizontal="left" vertical="center" wrapText="1"/>
    </xf>
    <xf numFmtId="0" fontId="3" fillId="2" borderId="0" xfId="0" applyFont="1" applyFill="1" applyAlignment="1">
      <alignment horizontal="left" vertical="center" wrapText="1"/>
    </xf>
    <xf numFmtId="0" fontId="5" fillId="2" borderId="0" xfId="0" quotePrefix="1" applyFont="1" applyFill="1" applyAlignment="1">
      <alignment horizontal="left" vertical="center" wrapText="1"/>
    </xf>
    <xf numFmtId="0" fontId="85" fillId="38" borderId="51" xfId="1" applyFont="1" applyFill="1" applyBorder="1" applyAlignment="1" applyProtection="1">
      <alignment horizontal="center" vertical="center" wrapText="1"/>
    </xf>
    <xf numFmtId="0" fontId="85" fillId="38" borderId="92" xfId="1" applyFont="1" applyFill="1" applyBorder="1" applyAlignment="1" applyProtection="1">
      <alignment horizontal="center" vertical="center" wrapText="1"/>
    </xf>
    <xf numFmtId="0" fontId="85" fillId="38" borderId="41" xfId="1" applyFont="1" applyFill="1" applyBorder="1" applyAlignment="1" applyProtection="1">
      <alignment horizontal="center" vertical="center" wrapText="1"/>
    </xf>
    <xf numFmtId="0" fontId="85" fillId="38" borderId="50" xfId="1" applyFont="1" applyFill="1" applyBorder="1" applyAlignment="1" applyProtection="1">
      <alignment horizontal="center" vertical="center" wrapText="1"/>
    </xf>
    <xf numFmtId="0" fontId="85" fillId="38" borderId="58" xfId="1" applyFont="1" applyFill="1" applyBorder="1" applyAlignment="1" applyProtection="1">
      <alignment horizontal="center" vertical="center" wrapText="1"/>
    </xf>
    <xf numFmtId="0" fontId="85" fillId="38" borderId="23" xfId="1" applyFont="1" applyFill="1" applyBorder="1" applyAlignment="1" applyProtection="1">
      <alignment horizontal="center" vertical="center" wrapText="1"/>
    </xf>
    <xf numFmtId="0" fontId="27" fillId="4" borderId="0" xfId="1" applyFont="1" applyFill="1" applyAlignment="1" applyProtection="1">
      <alignment horizontal="center" vertical="center" wrapText="1"/>
    </xf>
    <xf numFmtId="0" fontId="2" fillId="2" borderId="0" xfId="0" applyFont="1" applyFill="1" applyAlignment="1">
      <alignment horizontal="left" vertical="center" wrapText="1"/>
    </xf>
    <xf numFmtId="0" fontId="86" fillId="0" borderId="0" xfId="0" applyFont="1" applyAlignment="1">
      <alignment horizontal="left" vertical="center" wrapText="1"/>
    </xf>
    <xf numFmtId="0" fontId="7" fillId="3" borderId="0" xfId="0" applyFont="1" applyFill="1" applyAlignment="1">
      <alignment horizontal="left" vertical="center"/>
    </xf>
    <xf numFmtId="49" fontId="1" fillId="3" borderId="0" xfId="0" applyNumberFormat="1" applyFont="1" applyFill="1" applyAlignment="1">
      <alignment horizontal="center" vertical="center"/>
    </xf>
    <xf numFmtId="49" fontId="16" fillId="2" borderId="0" xfId="0" applyNumberFormat="1" applyFont="1" applyFill="1" applyAlignment="1">
      <alignment horizontal="center" vertical="center"/>
    </xf>
    <xf numFmtId="0" fontId="94" fillId="2" borderId="0" xfId="0" applyFont="1" applyFill="1" applyAlignment="1">
      <alignment horizontal="right" vertical="center"/>
    </xf>
    <xf numFmtId="0" fontId="25" fillId="2" borderId="0" xfId="0" applyFont="1" applyFill="1" applyAlignment="1">
      <alignment horizontal="right" vertical="center"/>
    </xf>
    <xf numFmtId="0" fontId="5" fillId="18" borderId="0" xfId="0" applyFont="1" applyFill="1" applyAlignment="1">
      <alignment horizontal="left" vertical="center" wrapText="1"/>
    </xf>
    <xf numFmtId="0" fontId="5" fillId="18" borderId="55" xfId="0" applyFont="1" applyFill="1" applyBorder="1" applyAlignment="1">
      <alignment horizontal="center" vertical="center" wrapText="1"/>
    </xf>
    <xf numFmtId="0" fontId="25" fillId="15" borderId="44" xfId="0" applyFont="1" applyFill="1" applyBorder="1" applyAlignment="1">
      <alignment horizontal="center" vertical="center"/>
    </xf>
    <xf numFmtId="0" fontId="25" fillId="15" borderId="31" xfId="0" applyFont="1" applyFill="1" applyBorder="1" applyAlignment="1">
      <alignment horizontal="center" vertical="center"/>
    </xf>
    <xf numFmtId="0" fontId="25" fillId="15" borderId="94" xfId="1" applyFont="1" applyFill="1" applyBorder="1" applyAlignment="1" applyProtection="1">
      <alignment horizontal="center" vertical="center"/>
    </xf>
    <xf numFmtId="0" fontId="25" fillId="15" borderId="85" xfId="1" applyFont="1" applyFill="1" applyBorder="1" applyAlignment="1" applyProtection="1">
      <alignment horizontal="center" vertical="center"/>
    </xf>
    <xf numFmtId="0" fontId="7" fillId="15" borderId="45" xfId="0" applyFont="1" applyFill="1" applyBorder="1" applyAlignment="1">
      <alignment horizontal="center" vertical="center" wrapText="1"/>
    </xf>
    <xf numFmtId="0" fontId="7" fillId="15" borderId="59" xfId="0" applyFont="1" applyFill="1" applyBorder="1" applyAlignment="1">
      <alignment horizontal="center" vertical="center" wrapText="1"/>
    </xf>
    <xf numFmtId="0" fontId="122" fillId="15" borderId="95" xfId="1" applyFont="1" applyFill="1" applyBorder="1" applyAlignment="1" applyProtection="1">
      <alignment horizontal="center" vertical="center"/>
    </xf>
    <xf numFmtId="0" fontId="122" fillId="15" borderId="65" xfId="1" applyFont="1" applyFill="1" applyBorder="1" applyAlignment="1" applyProtection="1">
      <alignment horizontal="center" vertical="center"/>
    </xf>
    <xf numFmtId="0" fontId="5" fillId="15" borderId="84" xfId="0" applyFont="1" applyFill="1" applyBorder="1" applyAlignment="1">
      <alignment horizontal="center" vertical="center"/>
    </xf>
    <xf numFmtId="0" fontId="5" fillId="15" borderId="67" xfId="0" applyFont="1" applyFill="1" applyBorder="1" applyAlignment="1">
      <alignment horizontal="center" vertical="center"/>
    </xf>
    <xf numFmtId="0" fontId="122" fillId="18" borderId="0" xfId="1" applyFont="1" applyFill="1" applyAlignment="1" applyProtection="1">
      <alignment horizontal="left" vertical="center" wrapText="1"/>
    </xf>
    <xf numFmtId="0" fontId="86" fillId="18" borderId="0" xfId="0" applyFont="1" applyFill="1" applyAlignment="1">
      <alignment horizontal="left" vertical="center"/>
    </xf>
    <xf numFmtId="0" fontId="25" fillId="15" borderId="43" xfId="0" applyFont="1" applyFill="1" applyBorder="1" applyAlignment="1">
      <alignment horizontal="center" vertical="center"/>
    </xf>
    <xf numFmtId="0" fontId="7" fillId="15" borderId="45" xfId="0" applyFont="1" applyFill="1" applyBorder="1" applyAlignment="1">
      <alignment horizontal="center" vertical="center"/>
    </xf>
    <xf numFmtId="0" fontId="7" fillId="15" borderId="59" xfId="0" applyFont="1" applyFill="1" applyBorder="1" applyAlignment="1">
      <alignment horizontal="center" vertical="center"/>
    </xf>
    <xf numFmtId="0" fontId="25" fillId="15" borderId="26" xfId="0" applyFont="1" applyFill="1" applyBorder="1" applyAlignment="1">
      <alignment horizontal="center" vertical="center"/>
    </xf>
    <xf numFmtId="0" fontId="25" fillId="15" borderId="0" xfId="0" applyFont="1" applyFill="1" applyAlignment="1">
      <alignment horizontal="center" vertical="center"/>
    </xf>
    <xf numFmtId="0" fontId="72" fillId="18" borderId="0" xfId="0" applyFont="1" applyFill="1" applyAlignment="1">
      <alignment horizontal="center" vertical="center"/>
    </xf>
    <xf numFmtId="0" fontId="25" fillId="18" borderId="0" xfId="0" applyFont="1" applyFill="1" applyAlignment="1">
      <alignment horizontal="left" vertical="center" wrapText="1"/>
    </xf>
    <xf numFmtId="49" fontId="5" fillId="18" borderId="0" xfId="0" applyNumberFormat="1" applyFont="1" applyFill="1" applyAlignment="1">
      <alignment horizontal="left" vertical="center"/>
    </xf>
    <xf numFmtId="0" fontId="7" fillId="15" borderId="0" xfId="0" applyFont="1" applyFill="1" applyAlignment="1">
      <alignment horizontal="center" vertical="center" wrapText="1"/>
    </xf>
    <xf numFmtId="0" fontId="151" fillId="18" borderId="0" xfId="1" applyFont="1" applyFill="1" applyAlignment="1" applyProtection="1">
      <alignment horizontal="left" vertical="center"/>
    </xf>
    <xf numFmtId="0" fontId="0" fillId="18" borderId="0" xfId="0" applyFill="1" applyAlignment="1">
      <alignment horizontal="left" vertical="center" wrapText="1"/>
    </xf>
    <xf numFmtId="0" fontId="7" fillId="18" borderId="0" xfId="0" applyFont="1" applyFill="1" applyAlignment="1">
      <alignment horizontal="left" vertical="center" wrapText="1"/>
    </xf>
    <xf numFmtId="44" fontId="0" fillId="18" borderId="67" xfId="2" applyFont="1" applyFill="1" applyBorder="1" applyAlignment="1">
      <alignment horizontal="left" vertical="center" wrapText="1"/>
    </xf>
    <xf numFmtId="0" fontId="0" fillId="18" borderId="0" xfId="0" applyFill="1" applyBorder="1" applyAlignment="1">
      <alignment horizontal="left" vertical="center" wrapText="1"/>
    </xf>
    <xf numFmtId="0" fontId="76" fillId="18" borderId="0" xfId="0" applyFont="1" applyFill="1" applyBorder="1" applyAlignment="1">
      <alignment horizontal="left" vertical="center" wrapText="1"/>
    </xf>
    <xf numFmtId="0" fontId="67" fillId="18" borderId="0" xfId="0" applyFont="1" applyFill="1" applyBorder="1" applyAlignment="1">
      <alignment horizontal="left" vertical="center" wrapText="1"/>
    </xf>
    <xf numFmtId="0" fontId="151" fillId="18" borderId="0" xfId="0" applyFont="1" applyFill="1" applyAlignment="1">
      <alignment horizontal="left" vertical="center" wrapText="1"/>
    </xf>
    <xf numFmtId="0" fontId="25" fillId="15" borderId="45" xfId="0" applyFont="1" applyFill="1" applyBorder="1" applyAlignment="1">
      <alignment horizontal="center" vertical="center"/>
    </xf>
    <xf numFmtId="0" fontId="25" fillId="15" borderId="46" xfId="0" applyFont="1" applyFill="1" applyBorder="1" applyAlignment="1">
      <alignment horizontal="center" vertical="center"/>
    </xf>
    <xf numFmtId="0" fontId="25" fillId="15" borderId="59" xfId="0" applyFont="1" applyFill="1" applyBorder="1" applyAlignment="1">
      <alignment horizontal="center" vertical="center"/>
    </xf>
    <xf numFmtId="0" fontId="25" fillId="15" borderId="95" xfId="0" applyFont="1" applyFill="1" applyBorder="1" applyAlignment="1">
      <alignment horizontal="center" vertical="center" wrapText="1"/>
    </xf>
    <xf numFmtId="0" fontId="25" fillId="15" borderId="65" xfId="0" applyFont="1" applyFill="1" applyBorder="1" applyAlignment="1">
      <alignment horizontal="center" vertical="center" wrapText="1"/>
    </xf>
    <xf numFmtId="0" fontId="25" fillId="15" borderId="94" xfId="0" applyFont="1" applyFill="1" applyBorder="1" applyAlignment="1">
      <alignment horizontal="center" vertical="center" wrapText="1"/>
    </xf>
    <xf numFmtId="0" fontId="25" fillId="15" borderId="88" xfId="0" applyFont="1" applyFill="1" applyBorder="1" applyAlignment="1">
      <alignment horizontal="center" vertical="center" wrapText="1"/>
    </xf>
    <xf numFmtId="0" fontId="25" fillId="15" borderId="0" xfId="0" applyFont="1" applyFill="1" applyBorder="1" applyAlignment="1">
      <alignment horizontal="center" vertical="center" wrapText="1"/>
    </xf>
    <xf numFmtId="0" fontId="25" fillId="15" borderId="55" xfId="0" applyFont="1" applyFill="1" applyBorder="1" applyAlignment="1">
      <alignment horizontal="center" vertical="center" wrapText="1"/>
    </xf>
    <xf numFmtId="0" fontId="5" fillId="18" borderId="0" xfId="0" applyFont="1" applyFill="1" applyAlignment="1">
      <alignment horizontal="left" vertical="center"/>
    </xf>
    <xf numFmtId="49" fontId="5" fillId="18" borderId="0" xfId="0" applyNumberFormat="1" applyFont="1" applyFill="1" applyAlignment="1">
      <alignment horizontal="left" vertical="center" wrapText="1"/>
    </xf>
    <xf numFmtId="0" fontId="7" fillId="15" borderId="6" xfId="0" applyFont="1" applyFill="1" applyBorder="1" applyAlignment="1">
      <alignment horizontal="center" vertical="center" wrapText="1"/>
    </xf>
    <xf numFmtId="0" fontId="7" fillId="15" borderId="7" xfId="0" applyFont="1" applyFill="1" applyBorder="1" applyAlignment="1">
      <alignment horizontal="center" vertical="center" wrapText="1"/>
    </xf>
    <xf numFmtId="49" fontId="0" fillId="18" borderId="9" xfId="0" applyNumberFormat="1" applyFill="1" applyBorder="1" applyAlignment="1">
      <alignment horizontal="center" vertical="center" wrapText="1"/>
    </xf>
    <xf numFmtId="49" fontId="0" fillId="18" borderId="8" xfId="0" applyNumberFormat="1" applyFill="1" applyBorder="1" applyAlignment="1">
      <alignment horizontal="center" vertical="center" wrapText="1"/>
    </xf>
    <xf numFmtId="49" fontId="0" fillId="18" borderId="2" xfId="0" applyNumberFormat="1" applyFill="1" applyBorder="1" applyAlignment="1">
      <alignment horizontal="center" vertical="center" wrapText="1"/>
    </xf>
    <xf numFmtId="49" fontId="0" fillId="18" borderId="3" xfId="0" applyNumberFormat="1" applyFill="1" applyBorder="1" applyAlignment="1">
      <alignment horizontal="center" vertical="center" wrapText="1"/>
    </xf>
    <xf numFmtId="49" fontId="0" fillId="16" borderId="2" xfId="0" applyNumberFormat="1" applyFill="1" applyBorder="1" applyAlignment="1">
      <alignment horizontal="center" vertical="center" wrapText="1"/>
    </xf>
    <xf numFmtId="49" fontId="0" fillId="16" borderId="3" xfId="0" applyNumberFormat="1" applyFill="1" applyBorder="1" applyAlignment="1">
      <alignment horizontal="center" vertical="center" wrapText="1"/>
    </xf>
    <xf numFmtId="49" fontId="0" fillId="18" borderId="4" xfId="0" applyNumberFormat="1" applyFill="1" applyBorder="1" applyAlignment="1">
      <alignment horizontal="center" vertical="center" wrapText="1"/>
    </xf>
    <xf numFmtId="49" fontId="0" fillId="18" borderId="5" xfId="0" applyNumberFormat="1" applyFill="1" applyBorder="1" applyAlignment="1">
      <alignment horizontal="center" vertical="center" wrapText="1"/>
    </xf>
    <xf numFmtId="49" fontId="0" fillId="16" borderId="42" xfId="0" applyNumberFormat="1" applyFill="1" applyBorder="1" applyAlignment="1">
      <alignment horizontal="center" vertical="center" wrapText="1"/>
    </xf>
    <xf numFmtId="49" fontId="0" fillId="16" borderId="32" xfId="0" applyNumberFormat="1" applyFill="1" applyBorder="1" applyAlignment="1">
      <alignment horizontal="center" vertical="center" wrapText="1"/>
    </xf>
    <xf numFmtId="49" fontId="0" fillId="18" borderId="42" xfId="0" applyNumberFormat="1" applyFill="1" applyBorder="1" applyAlignment="1">
      <alignment horizontal="center" vertical="center" wrapText="1"/>
    </xf>
    <xf numFmtId="49" fontId="0" fillId="18" borderId="32" xfId="0" applyNumberFormat="1" applyFill="1" applyBorder="1" applyAlignment="1">
      <alignment horizontal="center" vertical="center" wrapText="1"/>
    </xf>
    <xf numFmtId="0" fontId="0" fillId="16" borderId="4" xfId="0" applyFill="1" applyBorder="1" applyAlignment="1">
      <alignment horizontal="center" vertical="center" wrapText="1"/>
    </xf>
    <xf numFmtId="0" fontId="0" fillId="16" borderId="5" xfId="0" applyFill="1" applyBorder="1" applyAlignment="1">
      <alignment horizontal="center" vertical="center" wrapText="1"/>
    </xf>
    <xf numFmtId="0" fontId="0" fillId="18" borderId="44" xfId="0" applyFill="1" applyBorder="1" applyAlignment="1">
      <alignment horizontal="center" vertical="center" wrapText="1"/>
    </xf>
    <xf numFmtId="0" fontId="0" fillId="18" borderId="31" xfId="0" applyFill="1" applyBorder="1" applyAlignment="1">
      <alignment horizontal="center" vertical="center" wrapText="1"/>
    </xf>
    <xf numFmtId="0" fontId="0" fillId="16" borderId="42" xfId="0" applyFill="1" applyBorder="1" applyAlignment="1">
      <alignment horizontal="center" vertical="center" wrapText="1"/>
    </xf>
    <xf numFmtId="0" fontId="0" fillId="16" borderId="32" xfId="0" applyFill="1" applyBorder="1" applyAlignment="1">
      <alignment horizontal="center" vertical="center" wrapText="1"/>
    </xf>
    <xf numFmtId="0" fontId="0" fillId="18" borderId="68" xfId="0" applyFill="1" applyBorder="1" applyAlignment="1">
      <alignment horizontal="center" vertical="center" wrapText="1"/>
    </xf>
    <xf numFmtId="0" fontId="0" fillId="18" borderId="57" xfId="0" applyFill="1" applyBorder="1" applyAlignment="1">
      <alignment horizontal="center" vertical="center" wrapText="1"/>
    </xf>
    <xf numFmtId="49" fontId="0" fillId="18" borderId="0" xfId="0" applyNumberFormat="1" applyFill="1" applyBorder="1" applyAlignment="1">
      <alignment horizontal="left" vertical="center" wrapText="1"/>
    </xf>
    <xf numFmtId="49" fontId="0" fillId="16" borderId="4" xfId="0" applyNumberFormat="1" applyFill="1" applyBorder="1" applyAlignment="1">
      <alignment horizontal="center" vertical="center" wrapText="1"/>
    </xf>
    <xf numFmtId="49" fontId="0" fillId="16" borderId="5" xfId="0" applyNumberFormat="1" applyFill="1" applyBorder="1" applyAlignment="1">
      <alignment horizontal="center" vertical="center" wrapText="1"/>
    </xf>
    <xf numFmtId="49" fontId="7" fillId="18" borderId="0" xfId="0" applyNumberFormat="1" applyFont="1" applyFill="1" applyBorder="1" applyAlignment="1">
      <alignment horizontal="left" vertical="center" wrapText="1"/>
    </xf>
    <xf numFmtId="0" fontId="0" fillId="18" borderId="2" xfId="0" applyFill="1" applyBorder="1" applyAlignment="1">
      <alignment horizontal="center" vertical="center" wrapText="1"/>
    </xf>
    <xf numFmtId="0" fontId="0" fillId="18" borderId="3" xfId="0" applyFill="1" applyBorder="1" applyAlignment="1">
      <alignment horizontal="center" vertical="center" wrapText="1"/>
    </xf>
    <xf numFmtId="0" fontId="0" fillId="16" borderId="2" xfId="0" applyFill="1" applyBorder="1" applyAlignment="1">
      <alignment horizontal="center" vertical="center" wrapText="1"/>
    </xf>
    <xf numFmtId="0" fontId="0" fillId="16" borderId="3" xfId="0" applyFill="1" applyBorder="1" applyAlignment="1">
      <alignment horizontal="center" vertical="center" wrapText="1"/>
    </xf>
    <xf numFmtId="0" fontId="0" fillId="18" borderId="9" xfId="0" applyFill="1" applyBorder="1" applyAlignment="1">
      <alignment horizontal="center" vertical="center" wrapText="1"/>
    </xf>
    <xf numFmtId="0" fontId="0" fillId="18" borderId="8" xfId="0" applyFill="1" applyBorder="1" applyAlignment="1">
      <alignment horizontal="center" vertical="center" wrapText="1"/>
    </xf>
    <xf numFmtId="49" fontId="0" fillId="18" borderId="0" xfId="0" applyNumberFormat="1" applyFill="1" applyBorder="1" applyAlignment="1">
      <alignment horizontal="center" vertical="center" wrapText="1"/>
    </xf>
    <xf numFmtId="0" fontId="0" fillId="18" borderId="0" xfId="0" applyFill="1" applyAlignment="1">
      <alignment horizontal="center" vertical="center" wrapText="1"/>
    </xf>
    <xf numFmtId="49" fontId="0" fillId="18" borderId="0" xfId="0" applyNumberFormat="1" applyFill="1" applyAlignment="1">
      <alignment horizontal="left" vertical="center" wrapText="1"/>
    </xf>
    <xf numFmtId="49" fontId="65" fillId="16" borderId="42" xfId="0" applyNumberFormat="1" applyFont="1" applyFill="1" applyBorder="1" applyAlignment="1">
      <alignment horizontal="center" vertical="center" wrapText="1"/>
    </xf>
    <xf numFmtId="49" fontId="65" fillId="16" borderId="32" xfId="0" applyNumberFormat="1" applyFont="1" applyFill="1" applyBorder="1" applyAlignment="1">
      <alignment horizontal="center" vertical="center" wrapText="1"/>
    </xf>
    <xf numFmtId="49" fontId="25" fillId="15" borderId="0" xfId="0" applyNumberFormat="1" applyFont="1" applyFill="1" applyAlignment="1">
      <alignment horizontal="center" vertical="center" wrapText="1"/>
    </xf>
    <xf numFmtId="49" fontId="5" fillId="18" borderId="67" xfId="0" applyNumberFormat="1" applyFont="1" applyFill="1" applyBorder="1" applyAlignment="1">
      <alignment horizontal="left" vertical="center" wrapText="1"/>
    </xf>
    <xf numFmtId="49" fontId="5" fillId="18" borderId="0" xfId="0" applyNumberFormat="1" applyFont="1" applyFill="1" applyAlignment="1">
      <alignment vertical="center" wrapText="1"/>
    </xf>
    <xf numFmtId="49" fontId="6" fillId="18" borderId="0" xfId="1" applyNumberFormat="1" applyFill="1" applyAlignment="1" applyProtection="1">
      <alignment horizontal="left" vertical="center" wrapText="1"/>
    </xf>
    <xf numFmtId="49" fontId="137" fillId="41" borderId="6" xfId="0" applyNumberFormat="1" applyFont="1" applyFill="1" applyBorder="1" applyAlignment="1">
      <alignment horizontal="center" vertical="center" wrapText="1"/>
    </xf>
    <xf numFmtId="49" fontId="137" fillId="41" borderId="7" xfId="0" applyNumberFormat="1" applyFont="1" applyFill="1" applyBorder="1" applyAlignment="1">
      <alignment horizontal="center" vertical="center" wrapText="1"/>
    </xf>
    <xf numFmtId="49" fontId="66" fillId="15" borderId="6" xfId="0" applyNumberFormat="1" applyFont="1" applyFill="1" applyBorder="1" applyAlignment="1">
      <alignment horizontal="center" vertical="center" wrapText="1"/>
    </xf>
    <xf numFmtId="49" fontId="66" fillId="15" borderId="90" xfId="0" applyNumberFormat="1" applyFont="1" applyFill="1" applyBorder="1" applyAlignment="1">
      <alignment horizontal="center" vertical="center" wrapText="1"/>
    </xf>
    <xf numFmtId="1" fontId="156" fillId="18" borderId="19" xfId="0" applyNumberFormat="1" applyFont="1" applyFill="1" applyBorder="1" applyAlignment="1">
      <alignment horizontal="center" vertical="center" wrapText="1"/>
    </xf>
    <xf numFmtId="1" fontId="156" fillId="18" borderId="18" xfId="0" applyNumberFormat="1" applyFont="1" applyFill="1" applyBorder="1" applyAlignment="1">
      <alignment horizontal="center" vertical="center" wrapText="1"/>
    </xf>
    <xf numFmtId="1" fontId="156" fillId="18" borderId="58" xfId="0" applyNumberFormat="1" applyFont="1" applyFill="1" applyBorder="1" applyAlignment="1">
      <alignment horizontal="center" vertical="center" wrapText="1"/>
    </xf>
    <xf numFmtId="1" fontId="156" fillId="18" borderId="28" xfId="0" applyNumberFormat="1" applyFont="1" applyFill="1" applyBorder="1" applyAlignment="1">
      <alignment horizontal="center" vertical="center" wrapText="1"/>
    </xf>
    <xf numFmtId="49" fontId="42" fillId="18" borderId="65" xfId="0" applyNumberFormat="1" applyFont="1" applyFill="1" applyBorder="1" applyAlignment="1">
      <alignment horizontal="left" vertical="center" wrapText="1"/>
    </xf>
    <xf numFmtId="49" fontId="65" fillId="18" borderId="42" xfId="0" applyNumberFormat="1" applyFont="1" applyFill="1" applyBorder="1" applyAlignment="1">
      <alignment horizontal="center" vertical="center" wrapText="1"/>
    </xf>
    <xf numFmtId="49" fontId="65" fillId="18" borderId="32" xfId="0" applyNumberFormat="1" applyFont="1" applyFill="1" applyBorder="1" applyAlignment="1">
      <alignment horizontal="center" vertical="center" wrapText="1"/>
    </xf>
    <xf numFmtId="49" fontId="65" fillId="18" borderId="44" xfId="0" applyNumberFormat="1" applyFont="1" applyFill="1" applyBorder="1" applyAlignment="1">
      <alignment horizontal="center" vertical="center" wrapText="1"/>
    </xf>
    <xf numFmtId="49" fontId="65" fillId="18" borderId="31" xfId="0" applyNumberFormat="1" applyFont="1" applyFill="1" applyBorder="1" applyAlignment="1">
      <alignment horizontal="center" vertical="center" wrapText="1"/>
    </xf>
    <xf numFmtId="49" fontId="65" fillId="18" borderId="0" xfId="0" applyNumberFormat="1" applyFont="1" applyFill="1" applyAlignment="1">
      <alignment horizontal="left" vertical="center" wrapText="1"/>
    </xf>
    <xf numFmtId="49" fontId="65" fillId="16" borderId="43" xfId="0" applyNumberFormat="1" applyFont="1" applyFill="1" applyBorder="1" applyAlignment="1">
      <alignment horizontal="center" vertical="center" wrapText="1"/>
    </xf>
    <xf numFmtId="49" fontId="65" fillId="16" borderId="33" xfId="0" applyNumberFormat="1" applyFont="1" applyFill="1" applyBorder="1" applyAlignment="1">
      <alignment horizontal="center" vertical="center" wrapText="1"/>
    </xf>
    <xf numFmtId="49" fontId="66" fillId="15" borderId="25" xfId="0" applyNumberFormat="1" applyFont="1" applyFill="1" applyBorder="1" applyAlignment="1">
      <alignment horizontal="center" vertical="center" wrapText="1"/>
    </xf>
    <xf numFmtId="49" fontId="66" fillId="15" borderId="30" xfId="0" applyNumberFormat="1" applyFont="1" applyFill="1" applyBorder="1" applyAlignment="1">
      <alignment horizontal="center" vertical="center" wrapText="1"/>
    </xf>
    <xf numFmtId="49" fontId="86" fillId="18" borderId="0" xfId="1" applyNumberFormat="1" applyFont="1" applyFill="1" applyAlignment="1" applyProtection="1">
      <alignment horizontal="left" vertical="center"/>
    </xf>
    <xf numFmtId="49" fontId="5" fillId="18" borderId="67" xfId="0" applyNumberFormat="1" applyFont="1" applyFill="1" applyBorder="1" applyAlignment="1">
      <alignment horizontal="center" vertical="center" wrapText="1"/>
    </xf>
    <xf numFmtId="49" fontId="5" fillId="18" borderId="0" xfId="0" applyNumberFormat="1" applyFont="1" applyFill="1" applyAlignment="1">
      <alignment horizontal="center" vertical="center" wrapText="1"/>
    </xf>
    <xf numFmtId="1" fontId="156" fillId="18" borderId="57" xfId="0" applyNumberFormat="1" applyFont="1" applyFill="1" applyBorder="1" applyAlignment="1">
      <alignment horizontal="center" vertical="center" wrapText="1"/>
    </xf>
    <xf numFmtId="1" fontId="156" fillId="18" borderId="33" xfId="0" applyNumberFormat="1" applyFont="1" applyFill="1" applyBorder="1" applyAlignment="1">
      <alignment horizontal="center" vertical="center" wrapText="1"/>
    </xf>
    <xf numFmtId="49" fontId="28" fillId="18" borderId="27" xfId="0" applyNumberFormat="1" applyFont="1" applyFill="1" applyBorder="1" applyAlignment="1">
      <alignment horizontal="left" vertical="center" wrapText="1"/>
    </xf>
    <xf numFmtId="49" fontId="28" fillId="18" borderId="32" xfId="0" applyNumberFormat="1" applyFont="1" applyFill="1" applyBorder="1" applyAlignment="1">
      <alignment horizontal="left" vertical="center" wrapText="1"/>
    </xf>
    <xf numFmtId="49" fontId="28" fillId="18" borderId="82" xfId="0" applyNumberFormat="1" applyFont="1" applyFill="1" applyBorder="1" applyAlignment="1">
      <alignment horizontal="center" vertical="center" wrapText="1"/>
    </xf>
    <xf numFmtId="49" fontId="28" fillId="18" borderId="19" xfId="0" applyNumberFormat="1" applyFont="1" applyFill="1" applyBorder="1" applyAlignment="1">
      <alignment horizontal="center" vertical="center" wrapText="1"/>
    </xf>
    <xf numFmtId="0" fontId="25" fillId="18" borderId="51" xfId="0" applyFont="1" applyFill="1" applyBorder="1" applyAlignment="1">
      <alignment horizontal="center" vertical="center" wrapText="1"/>
    </xf>
    <xf numFmtId="0" fontId="25" fillId="18" borderId="50" xfId="0" applyFont="1" applyFill="1" applyBorder="1" applyAlignment="1">
      <alignment horizontal="center" vertical="center" wrapText="1"/>
    </xf>
    <xf numFmtId="0" fontId="25" fillId="18" borderId="61" xfId="0" applyFont="1" applyFill="1" applyBorder="1" applyAlignment="1">
      <alignment horizontal="left" vertical="center" wrapText="1" indent="1"/>
    </xf>
    <xf numFmtId="0" fontId="25" fillId="18" borderId="9" xfId="0" applyFont="1" applyFill="1" applyBorder="1" applyAlignment="1">
      <alignment horizontal="left" vertical="center" wrapText="1" indent="1"/>
    </xf>
    <xf numFmtId="0" fontId="86" fillId="18" borderId="0" xfId="1" applyFont="1" applyFill="1" applyAlignment="1" applyProtection="1">
      <alignment horizontal="left" vertical="center"/>
    </xf>
    <xf numFmtId="0" fontId="25" fillId="15" borderId="0" xfId="0" applyFont="1" applyFill="1" applyAlignment="1">
      <alignment horizontal="center" vertical="center" wrapText="1"/>
    </xf>
    <xf numFmtId="0" fontId="25" fillId="15" borderId="25" xfId="0" applyFont="1" applyFill="1" applyBorder="1" applyAlignment="1">
      <alignment horizontal="center" vertical="center" wrapText="1"/>
    </xf>
    <xf numFmtId="0" fontId="25" fillId="15" borderId="91" xfId="0" applyFont="1" applyFill="1" applyBorder="1" applyAlignment="1">
      <alignment horizontal="center" vertical="center" wrapText="1"/>
    </xf>
    <xf numFmtId="0" fontId="40" fillId="17" borderId="91" xfId="0" applyFont="1" applyFill="1" applyBorder="1" applyAlignment="1">
      <alignment horizontal="center" vertical="center" wrapText="1"/>
    </xf>
    <xf numFmtId="0" fontId="40" fillId="17" borderId="30" xfId="0" applyFont="1" applyFill="1" applyBorder="1" applyAlignment="1">
      <alignment horizontal="center" vertical="center" wrapText="1"/>
    </xf>
    <xf numFmtId="49" fontId="29" fillId="16" borderId="27" xfId="0" applyNumberFormat="1" applyFont="1" applyFill="1" applyBorder="1" applyAlignment="1">
      <alignment horizontal="left" vertical="center" wrapText="1"/>
    </xf>
    <xf numFmtId="49" fontId="29" fillId="16" borderId="32" xfId="0" applyNumberFormat="1" applyFont="1" applyFill="1" applyBorder="1" applyAlignment="1">
      <alignment horizontal="left" vertical="center" wrapText="1"/>
    </xf>
    <xf numFmtId="0" fontId="25" fillId="16" borderId="89" xfId="0" applyFont="1" applyFill="1" applyBorder="1" applyAlignment="1">
      <alignment horizontal="left" vertical="center" wrapText="1" indent="1"/>
    </xf>
    <xf numFmtId="0" fontId="25" fillId="16" borderId="68" xfId="0" applyFont="1" applyFill="1" applyBorder="1" applyAlignment="1">
      <alignment horizontal="left" vertical="center" wrapText="1" indent="1"/>
    </xf>
    <xf numFmtId="0" fontId="25" fillId="16" borderId="51" xfId="0" applyFont="1" applyFill="1" applyBorder="1" applyAlignment="1">
      <alignment horizontal="center" vertical="center" wrapText="1"/>
    </xf>
    <xf numFmtId="0" fontId="25" fillId="16" borderId="50" xfId="0" applyFont="1" applyFill="1" applyBorder="1" applyAlignment="1">
      <alignment horizontal="center" vertical="center" wrapText="1"/>
    </xf>
    <xf numFmtId="49" fontId="28" fillId="16" borderId="82" xfId="0" applyNumberFormat="1" applyFont="1" applyFill="1" applyBorder="1" applyAlignment="1">
      <alignment horizontal="center" vertical="center" wrapText="1"/>
    </xf>
    <xf numFmtId="49" fontId="28" fillId="16" borderId="19" xfId="0" applyNumberFormat="1" applyFont="1" applyFill="1" applyBorder="1" applyAlignment="1">
      <alignment horizontal="center" vertical="center" wrapText="1"/>
    </xf>
    <xf numFmtId="0" fontId="28" fillId="16" borderId="28" xfId="0" applyNumberFormat="1" applyFont="1" applyFill="1" applyBorder="1" applyAlignment="1">
      <alignment horizontal="left" vertical="center" wrapText="1"/>
    </xf>
    <xf numFmtId="0" fontId="28" fillId="16" borderId="33" xfId="0" applyNumberFormat="1" applyFont="1" applyFill="1" applyBorder="1" applyAlignment="1">
      <alignment horizontal="left" vertical="center" wrapText="1"/>
    </xf>
    <xf numFmtId="49" fontId="28" fillId="16" borderId="82" xfId="1" applyNumberFormat="1" applyFont="1" applyFill="1" applyBorder="1" applyAlignment="1" applyProtection="1">
      <alignment horizontal="center" vertical="center" wrapText="1"/>
    </xf>
    <xf numFmtId="49" fontId="28" fillId="16" borderId="59" xfId="1" applyNumberFormat="1" applyFont="1" applyFill="1" applyBorder="1" applyAlignment="1" applyProtection="1">
      <alignment horizontal="center" vertical="center" wrapText="1"/>
    </xf>
    <xf numFmtId="0" fontId="27" fillId="16" borderId="51" xfId="1" applyFont="1" applyFill="1" applyBorder="1" applyAlignment="1" applyProtection="1">
      <alignment horizontal="center" vertical="center" wrapText="1"/>
    </xf>
    <xf numFmtId="0" fontId="27" fillId="16" borderId="87" xfId="1" applyFont="1" applyFill="1" applyBorder="1" applyAlignment="1" applyProtection="1">
      <alignment horizontal="center" vertical="center" wrapText="1"/>
    </xf>
    <xf numFmtId="0" fontId="122" fillId="16" borderId="89" xfId="1" applyFont="1" applyFill="1" applyBorder="1" applyAlignment="1" applyProtection="1">
      <alignment horizontal="center" vertical="center" wrapText="1"/>
    </xf>
    <xf numFmtId="0" fontId="122" fillId="16" borderId="84" xfId="1" applyFont="1" applyFill="1" applyBorder="1" applyAlignment="1" applyProtection="1">
      <alignment horizontal="center" vertical="center" wrapText="1"/>
    </xf>
    <xf numFmtId="0" fontId="29" fillId="16" borderId="27" xfId="0" applyNumberFormat="1" applyFont="1" applyFill="1" applyBorder="1" applyAlignment="1">
      <alignment horizontal="left" vertical="center" wrapText="1"/>
    </xf>
    <xf numFmtId="0" fontId="29" fillId="16" borderId="32" xfId="0" applyNumberFormat="1" applyFont="1" applyFill="1" applyBorder="1" applyAlignment="1">
      <alignment horizontal="left" vertical="center" wrapText="1"/>
    </xf>
    <xf numFmtId="0" fontId="25" fillId="16" borderId="61" xfId="0" applyFont="1" applyFill="1" applyBorder="1" applyAlignment="1">
      <alignment horizontal="left" vertical="center" wrapText="1" indent="1"/>
    </xf>
    <xf numFmtId="0" fontId="25" fillId="16" borderId="9" xfId="0" applyFont="1" applyFill="1" applyBorder="1" applyAlignment="1">
      <alignment horizontal="left" vertical="center" wrapText="1" indent="1"/>
    </xf>
    <xf numFmtId="0" fontId="28" fillId="16" borderId="27" xfId="0" applyNumberFormat="1" applyFont="1" applyFill="1" applyBorder="1" applyAlignment="1">
      <alignment horizontal="left" vertical="center" wrapText="1"/>
    </xf>
    <xf numFmtId="0" fontId="28" fillId="16" borderId="32" xfId="0" applyNumberFormat="1" applyFont="1" applyFill="1" applyBorder="1" applyAlignment="1">
      <alignment horizontal="left" vertical="center" wrapText="1"/>
    </xf>
    <xf numFmtId="0" fontId="25" fillId="18" borderId="0" xfId="0" applyFont="1" applyFill="1" applyAlignment="1">
      <alignment horizontal="left" vertical="center"/>
    </xf>
    <xf numFmtId="0" fontId="35" fillId="17" borderId="25" xfId="0" applyFont="1" applyFill="1" applyBorder="1" applyAlignment="1">
      <alignment horizontal="center" vertical="center"/>
    </xf>
    <xf numFmtId="0" fontId="35" fillId="17" borderId="91" xfId="0" applyFont="1" applyFill="1" applyBorder="1" applyAlignment="1">
      <alignment horizontal="center" vertical="center"/>
    </xf>
    <xf numFmtId="0" fontId="35" fillId="17" borderId="30" xfId="0" applyFont="1" applyFill="1" applyBorder="1" applyAlignment="1">
      <alignment horizontal="center" vertical="center"/>
    </xf>
    <xf numFmtId="0" fontId="25" fillId="35" borderId="45" xfId="0" applyFont="1" applyFill="1" applyBorder="1" applyAlignment="1">
      <alignment horizontal="center" vertical="center"/>
    </xf>
    <xf numFmtId="0" fontId="25" fillId="35" borderId="59" xfId="0" applyFont="1" applyFill="1" applyBorder="1" applyAlignment="1">
      <alignment horizontal="center" vertical="center"/>
    </xf>
    <xf numFmtId="0" fontId="25" fillId="33" borderId="45" xfId="0" applyFont="1" applyFill="1" applyBorder="1" applyAlignment="1">
      <alignment horizontal="center" vertical="center"/>
    </xf>
    <xf numFmtId="0" fontId="25" fillId="33" borderId="59" xfId="0" applyFont="1" applyFill="1" applyBorder="1" applyAlignment="1">
      <alignment horizontal="center" vertical="center"/>
    </xf>
    <xf numFmtId="0" fontId="25" fillId="19" borderId="45" xfId="0" applyFont="1" applyFill="1" applyBorder="1" applyAlignment="1">
      <alignment horizontal="center" vertical="center"/>
    </xf>
    <xf numFmtId="0" fontId="25" fillId="19" borderId="46" xfId="0" applyFont="1" applyFill="1" applyBorder="1" applyAlignment="1">
      <alignment horizontal="center" vertical="center"/>
    </xf>
    <xf numFmtId="0" fontId="25" fillId="19" borderId="59" xfId="0" applyFont="1" applyFill="1" applyBorder="1" applyAlignment="1">
      <alignment horizontal="center" vertical="center"/>
    </xf>
    <xf numFmtId="0" fontId="25" fillId="35" borderId="46" xfId="0" applyFont="1" applyFill="1" applyBorder="1" applyAlignment="1">
      <alignment horizontal="center" vertical="center"/>
    </xf>
    <xf numFmtId="0" fontId="25" fillId="18" borderId="16" xfId="0" applyFont="1" applyFill="1" applyBorder="1" applyAlignment="1">
      <alignment horizontal="center" vertical="center"/>
    </xf>
    <xf numFmtId="0" fontId="25" fillId="18" borderId="82" xfId="0" applyFont="1" applyFill="1" applyBorder="1" applyAlignment="1">
      <alignment horizontal="center" vertical="center"/>
    </xf>
    <xf numFmtId="0" fontId="25" fillId="18" borderId="18" xfId="0" applyFont="1" applyFill="1" applyBorder="1" applyAlignment="1">
      <alignment horizontal="center" vertical="center"/>
    </xf>
    <xf numFmtId="0" fontId="25" fillId="15" borderId="24" xfId="0" applyFont="1" applyFill="1" applyBorder="1" applyAlignment="1">
      <alignment horizontal="center" vertical="center"/>
    </xf>
    <xf numFmtId="0" fontId="25" fillId="15" borderId="5" xfId="0" applyFont="1" applyFill="1" applyBorder="1" applyAlignment="1">
      <alignment horizontal="center" vertical="center"/>
    </xf>
    <xf numFmtId="0" fontId="25" fillId="18" borderId="19" xfId="0" applyFont="1" applyFill="1" applyBorder="1" applyAlignment="1">
      <alignment horizontal="center" vertical="center"/>
    </xf>
    <xf numFmtId="0" fontId="5" fillId="18" borderId="0" xfId="0" applyNumberFormat="1" applyFont="1" applyFill="1" applyAlignment="1">
      <alignment horizontal="left" vertical="center" wrapText="1"/>
    </xf>
    <xf numFmtId="0" fontId="25" fillId="15" borderId="12" xfId="0" applyFont="1" applyFill="1" applyBorder="1" applyAlignment="1">
      <alignment horizontal="center" vertical="center"/>
    </xf>
    <xf numFmtId="0" fontId="25" fillId="15" borderId="20" xfId="0" applyFont="1" applyFill="1" applyBorder="1" applyAlignment="1">
      <alignment horizontal="center" vertical="center"/>
    </xf>
    <xf numFmtId="0" fontId="25" fillId="15" borderId="22" xfId="0" applyFont="1" applyFill="1" applyBorder="1" applyAlignment="1">
      <alignment horizontal="center" vertical="center"/>
    </xf>
    <xf numFmtId="0" fontId="40" fillId="17" borderId="90" xfId="0" applyFont="1" applyFill="1" applyBorder="1" applyAlignment="1">
      <alignment horizontal="center" vertical="center"/>
    </xf>
    <xf numFmtId="0" fontId="40" fillId="17" borderId="91" xfId="0" applyFont="1" applyFill="1" applyBorder="1" applyAlignment="1">
      <alignment horizontal="center" vertical="center"/>
    </xf>
    <xf numFmtId="0" fontId="40" fillId="17" borderId="30" xfId="0" applyFont="1" applyFill="1" applyBorder="1" applyAlignment="1">
      <alignment horizontal="center" vertical="center"/>
    </xf>
    <xf numFmtId="0" fontId="25" fillId="15" borderId="16" xfId="0" applyFont="1" applyFill="1" applyBorder="1" applyAlignment="1">
      <alignment horizontal="center" vertical="center"/>
    </xf>
    <xf numFmtId="0" fontId="25" fillId="15" borderId="18" xfId="0" applyFont="1" applyFill="1" applyBorder="1" applyAlignment="1">
      <alignment horizontal="center" vertical="center"/>
    </xf>
    <xf numFmtId="0" fontId="27" fillId="24" borderId="0" xfId="1" applyFont="1" applyFill="1" applyAlignment="1" applyProtection="1">
      <alignment horizontal="center" vertical="center"/>
    </xf>
    <xf numFmtId="0" fontId="72" fillId="18" borderId="0" xfId="0" applyFont="1" applyFill="1" applyAlignment="1">
      <alignment horizontal="center" vertical="center" wrapText="1"/>
    </xf>
    <xf numFmtId="0" fontId="37" fillId="18" borderId="0" xfId="0" applyFont="1" applyFill="1" applyAlignment="1">
      <alignment horizontal="left" vertical="center" wrapText="1"/>
    </xf>
    <xf numFmtId="0" fontId="127" fillId="18" borderId="0" xfId="0" applyFont="1" applyFill="1" applyAlignment="1">
      <alignment horizontal="left" vertical="center" wrapText="1"/>
    </xf>
    <xf numFmtId="49" fontId="26" fillId="18" borderId="0" xfId="0" applyNumberFormat="1" applyFont="1" applyFill="1" applyAlignment="1">
      <alignment horizontal="left" vertical="center" wrapText="1"/>
    </xf>
    <xf numFmtId="0" fontId="26" fillId="18" borderId="0" xfId="0" applyFont="1" applyFill="1" applyAlignment="1">
      <alignment horizontal="left" vertical="center" wrapText="1"/>
    </xf>
    <xf numFmtId="49" fontId="26" fillId="18" borderId="95" xfId="0" applyNumberFormat="1" applyFont="1" applyFill="1" applyBorder="1" applyAlignment="1">
      <alignment horizontal="center" vertical="center" wrapText="1"/>
    </xf>
    <xf numFmtId="49" fontId="26" fillId="18" borderId="94" xfId="0" applyNumberFormat="1" applyFont="1" applyFill="1" applyBorder="1" applyAlignment="1">
      <alignment horizontal="center" vertical="center" wrapText="1"/>
    </xf>
    <xf numFmtId="49" fontId="26" fillId="18" borderId="88" xfId="0" applyNumberFormat="1" applyFont="1" applyFill="1" applyBorder="1" applyAlignment="1">
      <alignment horizontal="center" vertical="center" wrapText="1"/>
    </xf>
    <xf numFmtId="49" fontId="26" fillId="18" borderId="55" xfId="0" applyNumberFormat="1" applyFont="1" applyFill="1" applyBorder="1" applyAlignment="1">
      <alignment horizontal="center" vertical="center" wrapText="1"/>
    </xf>
    <xf numFmtId="49" fontId="26" fillId="18" borderId="84" xfId="0" applyNumberFormat="1" applyFont="1" applyFill="1" applyBorder="1" applyAlignment="1">
      <alignment horizontal="center" vertical="center" wrapText="1"/>
    </xf>
    <xf numFmtId="49" fontId="26" fillId="18" borderId="85" xfId="0" applyNumberFormat="1" applyFont="1" applyFill="1" applyBorder="1" applyAlignment="1">
      <alignment horizontal="center" vertical="center" wrapText="1"/>
    </xf>
    <xf numFmtId="0" fontId="39" fillId="18" borderId="0" xfId="0" applyFont="1" applyFill="1" applyAlignment="1">
      <alignment horizontal="left" vertical="center" wrapText="1"/>
    </xf>
    <xf numFmtId="0" fontId="26" fillId="18" borderId="0" xfId="0" applyNumberFormat="1" applyFont="1" applyFill="1" applyAlignment="1">
      <alignment horizontal="left" vertical="center" wrapText="1"/>
    </xf>
    <xf numFmtId="3" fontId="86" fillId="18" borderId="0" xfId="1" applyNumberFormat="1" applyFont="1" applyFill="1" applyAlignment="1" applyProtection="1">
      <alignment horizontal="left" vertical="center"/>
    </xf>
    <xf numFmtId="0" fontId="29" fillId="18" borderId="42" xfId="0" applyFont="1" applyFill="1" applyBorder="1" applyAlignment="1">
      <alignment horizontal="left" vertical="center" wrapText="1"/>
    </xf>
    <xf numFmtId="0" fontId="29" fillId="18" borderId="27" xfId="0" applyFont="1" applyFill="1" applyBorder="1" applyAlignment="1">
      <alignment horizontal="left" vertical="center" wrapText="1"/>
    </xf>
    <xf numFmtId="0" fontId="29" fillId="18" borderId="32" xfId="0" applyFont="1" applyFill="1" applyBorder="1" applyAlignment="1">
      <alignment horizontal="left" vertical="center" wrapText="1"/>
    </xf>
    <xf numFmtId="0" fontId="28" fillId="18" borderId="42" xfId="0" applyFont="1" applyFill="1" applyBorder="1" applyAlignment="1">
      <alignment horizontal="left" vertical="center" wrapText="1"/>
    </xf>
    <xf numFmtId="0" fontId="28" fillId="18" borderId="27" xfId="0" applyFont="1" applyFill="1" applyBorder="1" applyAlignment="1">
      <alignment horizontal="left" vertical="center" wrapText="1"/>
    </xf>
    <xf numFmtId="0" fontId="28" fillId="18" borderId="32" xfId="0" applyFont="1" applyFill="1" applyBorder="1" applyAlignment="1">
      <alignment horizontal="left" vertical="center" wrapText="1"/>
    </xf>
    <xf numFmtId="0" fontId="5" fillId="18" borderId="82" xfId="0" applyFont="1" applyFill="1" applyBorder="1" applyAlignment="1">
      <alignment horizontal="center" vertical="center" wrapText="1"/>
    </xf>
    <xf numFmtId="0" fontId="5" fillId="18" borderId="19" xfId="0" applyFont="1" applyFill="1" applyBorder="1" applyAlignment="1">
      <alignment horizontal="center" vertical="center" wrapText="1"/>
    </xf>
    <xf numFmtId="0" fontId="5" fillId="18" borderId="92" xfId="0" applyFont="1" applyFill="1" applyBorder="1" applyAlignment="1">
      <alignment horizontal="center" vertical="center" wrapText="1"/>
    </xf>
    <xf numFmtId="0" fontId="5" fillId="18" borderId="58" xfId="0" applyFont="1" applyFill="1" applyBorder="1" applyAlignment="1">
      <alignment horizontal="center" vertical="center" wrapText="1"/>
    </xf>
    <xf numFmtId="0" fontId="5" fillId="16" borderId="82" xfId="0" applyFont="1" applyFill="1" applyBorder="1" applyAlignment="1">
      <alignment horizontal="center" vertical="center" wrapText="1"/>
    </xf>
    <xf numFmtId="0" fontId="5" fillId="16" borderId="19" xfId="0" applyFont="1" applyFill="1" applyBorder="1" applyAlignment="1">
      <alignment horizontal="center" vertical="center" wrapText="1"/>
    </xf>
    <xf numFmtId="0" fontId="28" fillId="16" borderId="42" xfId="0" applyFont="1" applyFill="1" applyBorder="1" applyAlignment="1">
      <alignment horizontal="left" vertical="center" wrapText="1"/>
    </xf>
    <xf numFmtId="0" fontId="28" fillId="16" borderId="27" xfId="0" applyFont="1" applyFill="1" applyBorder="1" applyAlignment="1">
      <alignment horizontal="left" vertical="center" wrapText="1"/>
    </xf>
    <xf numFmtId="0" fontId="28" fillId="16" borderId="32" xfId="0" applyFont="1" applyFill="1" applyBorder="1" applyAlignment="1">
      <alignment horizontal="left" vertical="center" wrapText="1"/>
    </xf>
    <xf numFmtId="0" fontId="28" fillId="18" borderId="84" xfId="0" applyFont="1" applyFill="1" applyBorder="1" applyAlignment="1">
      <alignment horizontal="left" vertical="center" wrapText="1"/>
    </xf>
    <xf numFmtId="0" fontId="28" fillId="18" borderId="67" xfId="0" applyFont="1" applyFill="1" applyBorder="1" applyAlignment="1">
      <alignment horizontal="left" vertical="center" wrapText="1"/>
    </xf>
    <xf numFmtId="0" fontId="28" fillId="18" borderId="85" xfId="0" applyFont="1" applyFill="1" applyBorder="1" applyAlignment="1">
      <alignment horizontal="left" vertical="center" wrapText="1"/>
    </xf>
    <xf numFmtId="0" fontId="5" fillId="18" borderId="67" xfId="0" applyFont="1" applyFill="1" applyBorder="1" applyAlignment="1">
      <alignment horizontal="center" vertical="center" wrapText="1"/>
    </xf>
    <xf numFmtId="0" fontId="25" fillId="15" borderId="31" xfId="0" applyFont="1" applyFill="1" applyBorder="1" applyAlignment="1">
      <alignment horizontal="center" vertical="center" wrapText="1"/>
    </xf>
    <xf numFmtId="0" fontId="25" fillId="15" borderId="33" xfId="0" applyFont="1" applyFill="1" applyBorder="1" applyAlignment="1">
      <alignment horizontal="center" vertical="center" wrapText="1"/>
    </xf>
    <xf numFmtId="0" fontId="25" fillId="15" borderId="44" xfId="0" applyFont="1" applyFill="1" applyBorder="1" applyAlignment="1">
      <alignment horizontal="center" vertical="center" wrapText="1"/>
    </xf>
    <xf numFmtId="0" fontId="25" fillId="15" borderId="43" xfId="0" applyFont="1" applyFill="1" applyBorder="1" applyAlignment="1">
      <alignment horizontal="center" vertical="center" wrapText="1"/>
    </xf>
    <xf numFmtId="0" fontId="25" fillId="15" borderId="16" xfId="0" applyFont="1" applyFill="1" applyBorder="1" applyAlignment="1">
      <alignment horizontal="center" vertical="center" wrapText="1"/>
    </xf>
    <xf numFmtId="0" fontId="25" fillId="15" borderId="18" xfId="0" applyFont="1" applyFill="1" applyBorder="1" applyAlignment="1">
      <alignment horizontal="center" vertical="center" wrapText="1"/>
    </xf>
    <xf numFmtId="0" fontId="5" fillId="18" borderId="89" xfId="0" applyFont="1" applyFill="1" applyBorder="1" applyAlignment="1">
      <alignment horizontal="center" vertical="center" wrapText="1"/>
    </xf>
    <xf numFmtId="0" fontId="5" fillId="18" borderId="68" xfId="0" applyFont="1" applyFill="1" applyBorder="1" applyAlignment="1">
      <alignment horizontal="center" vertical="center" wrapText="1"/>
    </xf>
    <xf numFmtId="0" fontId="5" fillId="16" borderId="89" xfId="0" applyFont="1" applyFill="1" applyBorder="1" applyAlignment="1">
      <alignment horizontal="center" vertical="center" wrapText="1"/>
    </xf>
    <xf numFmtId="0" fontId="5" fillId="16" borderId="68" xfId="0" applyFont="1" applyFill="1" applyBorder="1" applyAlignment="1">
      <alignment horizontal="center" vertical="center" wrapText="1"/>
    </xf>
    <xf numFmtId="0" fontId="5" fillId="16" borderId="92" xfId="0" applyFont="1" applyFill="1" applyBorder="1" applyAlignment="1">
      <alignment horizontal="center" vertical="center" wrapText="1"/>
    </xf>
    <xf numFmtId="0" fontId="5" fillId="16" borderId="58" xfId="0" applyFont="1" applyFill="1" applyBorder="1" applyAlignment="1">
      <alignment horizontal="center" vertical="center" wrapText="1"/>
    </xf>
    <xf numFmtId="0" fontId="5" fillId="18" borderId="59" xfId="0" applyFont="1" applyFill="1" applyBorder="1" applyAlignment="1">
      <alignment horizontal="center" vertical="center" wrapText="1"/>
    </xf>
    <xf numFmtId="0" fontId="5" fillId="18" borderId="84" xfId="0" applyFont="1" applyFill="1" applyBorder="1" applyAlignment="1">
      <alignment horizontal="center" vertical="center" wrapText="1"/>
    </xf>
    <xf numFmtId="0" fontId="5" fillId="16" borderId="27" xfId="0" applyFont="1" applyFill="1" applyBorder="1" applyAlignment="1">
      <alignment horizontal="center" vertical="center" wrapText="1"/>
    </xf>
    <xf numFmtId="0" fontId="5" fillId="16" borderId="28" xfId="0" applyFont="1" applyFill="1" applyBorder="1" applyAlignment="1">
      <alignment horizontal="center" vertical="center" wrapText="1"/>
    </xf>
    <xf numFmtId="0" fontId="5" fillId="16" borderId="17" xfId="0" applyFont="1" applyFill="1" applyBorder="1" applyAlignment="1">
      <alignment horizontal="center" vertical="center" wrapText="1"/>
    </xf>
    <xf numFmtId="0" fontId="5" fillId="16" borderId="18" xfId="0" applyFont="1" applyFill="1" applyBorder="1" applyAlignment="1">
      <alignment horizontal="center" vertical="center" wrapText="1"/>
    </xf>
    <xf numFmtId="0" fontId="25" fillId="30" borderId="0" xfId="0" applyFont="1" applyFill="1" applyAlignment="1">
      <alignment horizontal="center" vertical="center"/>
    </xf>
    <xf numFmtId="0" fontId="25" fillId="15" borderId="26" xfId="0" applyFont="1" applyFill="1" applyBorder="1" applyAlignment="1">
      <alignment horizontal="center" vertical="center" wrapText="1"/>
    </xf>
    <xf numFmtId="0" fontId="25" fillId="15" borderId="28" xfId="0" applyFont="1" applyFill="1" applyBorder="1" applyAlignment="1">
      <alignment horizontal="center" vertical="center" wrapText="1"/>
    </xf>
    <xf numFmtId="0" fontId="122" fillId="18" borderId="89" xfId="1" applyFont="1" applyFill="1" applyBorder="1" applyAlignment="1" applyProtection="1">
      <alignment horizontal="center" vertical="center" wrapText="1"/>
    </xf>
    <xf numFmtId="0" fontId="122" fillId="18" borderId="68" xfId="1" applyFont="1" applyFill="1" applyBorder="1" applyAlignment="1" applyProtection="1">
      <alignment horizontal="center" vertical="center" wrapText="1"/>
    </xf>
    <xf numFmtId="0" fontId="122" fillId="16" borderId="68" xfId="1" applyFont="1" applyFill="1" applyBorder="1" applyAlignment="1" applyProtection="1">
      <alignment horizontal="center" vertical="center" wrapText="1"/>
    </xf>
    <xf numFmtId="0" fontId="5" fillId="16" borderId="42" xfId="0" applyFont="1" applyFill="1" applyBorder="1" applyAlignment="1">
      <alignment horizontal="center" vertical="center" wrapText="1"/>
    </xf>
    <xf numFmtId="0" fontId="5" fillId="16" borderId="43" xfId="0" applyFont="1" applyFill="1" applyBorder="1" applyAlignment="1">
      <alignment horizontal="center" vertical="center" wrapText="1"/>
    </xf>
    <xf numFmtId="0" fontId="6" fillId="18" borderId="42" xfId="1" applyFill="1" applyBorder="1" applyAlignment="1" applyProtection="1">
      <alignment horizontal="left" vertical="center" wrapText="1"/>
    </xf>
    <xf numFmtId="0" fontId="6" fillId="18" borderId="27" xfId="1" applyFill="1" applyBorder="1" applyAlignment="1" applyProtection="1">
      <alignment horizontal="left" vertical="center" wrapText="1"/>
    </xf>
    <xf numFmtId="0" fontId="6" fillId="18" borderId="32" xfId="1" applyFill="1" applyBorder="1" applyAlignment="1" applyProtection="1">
      <alignment horizontal="left" vertical="center" wrapText="1"/>
    </xf>
    <xf numFmtId="0" fontId="28" fillId="16" borderId="4" xfId="0" applyFont="1" applyFill="1" applyBorder="1" applyAlignment="1">
      <alignment horizontal="left" vertical="center" wrapText="1"/>
    </xf>
    <xf numFmtId="0" fontId="28" fillId="16" borderId="13" xfId="0" applyFont="1" applyFill="1" applyBorder="1" applyAlignment="1">
      <alignment horizontal="left" vertical="center" wrapText="1"/>
    </xf>
    <xf numFmtId="0" fontId="28" fillId="16" borderId="5" xfId="0" applyFont="1" applyFill="1" applyBorder="1" applyAlignment="1">
      <alignment horizontal="left" vertical="center" wrapText="1"/>
    </xf>
    <xf numFmtId="0" fontId="86" fillId="18" borderId="0" xfId="0" applyFont="1" applyFill="1" applyAlignment="1">
      <alignment horizontal="left" vertical="center" wrapText="1"/>
    </xf>
    <xf numFmtId="0" fontId="25" fillId="24" borderId="0" xfId="0" applyFont="1" applyFill="1" applyAlignment="1">
      <alignment horizontal="center" vertical="center"/>
    </xf>
    <xf numFmtId="0" fontId="28" fillId="18" borderId="0" xfId="0" applyFont="1" applyFill="1" applyBorder="1" applyAlignment="1">
      <alignment horizontal="left" vertical="center" wrapText="1"/>
    </xf>
    <xf numFmtId="0" fontId="25" fillId="18" borderId="0" xfId="0" applyFont="1" applyFill="1" applyBorder="1" applyAlignment="1">
      <alignment horizontal="left" vertical="center" wrapText="1"/>
    </xf>
    <xf numFmtId="0" fontId="25" fillId="18" borderId="0" xfId="0" applyFont="1" applyFill="1" applyBorder="1" applyAlignment="1">
      <alignment horizontal="left" vertical="center"/>
    </xf>
    <xf numFmtId="0" fontId="5" fillId="16" borderId="86" xfId="0" applyFont="1" applyFill="1" applyBorder="1" applyAlignment="1">
      <alignment horizontal="center" vertical="center" wrapText="1"/>
    </xf>
    <xf numFmtId="0" fontId="5" fillId="16" borderId="57" xfId="0" applyFont="1" applyFill="1" applyBorder="1" applyAlignment="1">
      <alignment horizontal="center" vertical="center" wrapText="1"/>
    </xf>
    <xf numFmtId="0" fontId="5" fillId="18" borderId="86" xfId="0" applyFont="1" applyFill="1" applyBorder="1" applyAlignment="1">
      <alignment horizontal="center" vertical="center" wrapText="1"/>
    </xf>
    <xf numFmtId="0" fontId="5" fillId="18" borderId="57" xfId="0" applyFont="1" applyFill="1" applyBorder="1" applyAlignment="1">
      <alignment horizontal="center" vertical="center" wrapText="1"/>
    </xf>
    <xf numFmtId="0" fontId="28" fillId="16" borderId="22" xfId="0" applyFont="1" applyFill="1" applyBorder="1" applyAlignment="1">
      <alignment horizontal="left" vertical="center" wrapText="1"/>
    </xf>
    <xf numFmtId="0" fontId="25" fillId="32" borderId="0" xfId="0" applyFont="1" applyFill="1" applyAlignment="1">
      <alignment horizontal="center" vertical="center"/>
    </xf>
    <xf numFmtId="0" fontId="42" fillId="18" borderId="65" xfId="0" applyFont="1" applyFill="1" applyBorder="1" applyAlignment="1">
      <alignment horizontal="left" vertical="top" wrapText="1"/>
    </xf>
    <xf numFmtId="0" fontId="25" fillId="18" borderId="20" xfId="0" applyFont="1" applyFill="1" applyBorder="1" applyAlignment="1">
      <alignment horizontal="right" vertical="center"/>
    </xf>
    <xf numFmtId="0" fontId="25" fillId="18" borderId="12" xfId="0" applyFont="1" applyFill="1" applyBorder="1" applyAlignment="1">
      <alignment horizontal="right" vertical="center"/>
    </xf>
    <xf numFmtId="0" fontId="28" fillId="33" borderId="12" xfId="0" applyFont="1" applyFill="1" applyBorder="1" applyAlignment="1">
      <alignment horizontal="left" vertical="center"/>
    </xf>
    <xf numFmtId="0" fontId="28" fillId="33" borderId="24" xfId="0" applyFont="1" applyFill="1" applyBorder="1" applyAlignment="1">
      <alignment horizontal="left" vertical="center"/>
    </xf>
    <xf numFmtId="0" fontId="25" fillId="18" borderId="40" xfId="0" applyFont="1" applyFill="1" applyBorder="1" applyAlignment="1">
      <alignment horizontal="center" vertical="center" wrapText="1"/>
    </xf>
    <xf numFmtId="0" fontId="25" fillId="18" borderId="119" xfId="0" applyFont="1" applyFill="1" applyBorder="1" applyAlignment="1">
      <alignment horizontal="center" vertical="center" wrapText="1"/>
    </xf>
    <xf numFmtId="0" fontId="139" fillId="42" borderId="12" xfId="0" applyFont="1" applyFill="1" applyBorder="1" applyAlignment="1">
      <alignment horizontal="center" vertical="center"/>
    </xf>
    <xf numFmtId="0" fontId="139" fillId="42" borderId="35" xfId="0" applyFont="1" applyFill="1" applyBorder="1" applyAlignment="1">
      <alignment horizontal="center" vertical="center"/>
    </xf>
    <xf numFmtId="0" fontId="31" fillId="22" borderId="83" xfId="0" applyFont="1" applyFill="1" applyBorder="1" applyAlignment="1">
      <alignment horizontal="center" vertical="center" wrapText="1"/>
    </xf>
    <xf numFmtId="0" fontId="31" fillId="22" borderId="28" xfId="0" applyFont="1" applyFill="1" applyBorder="1" applyAlignment="1">
      <alignment horizontal="center" vertical="center" wrapText="1"/>
    </xf>
    <xf numFmtId="0" fontId="31" fillId="22" borderId="22" xfId="0" applyFont="1" applyFill="1" applyBorder="1" applyAlignment="1">
      <alignment horizontal="center" vertical="center" wrapText="1"/>
    </xf>
    <xf numFmtId="0" fontId="31" fillId="18" borderId="83" xfId="0" applyFont="1" applyFill="1" applyBorder="1" applyAlignment="1">
      <alignment horizontal="center" vertical="center" wrapText="1"/>
    </xf>
    <xf numFmtId="0" fontId="31" fillId="18" borderId="22" xfId="0" applyFont="1" applyFill="1" applyBorder="1" applyAlignment="1">
      <alignment horizontal="center" vertical="center" wrapText="1"/>
    </xf>
    <xf numFmtId="0" fontId="42" fillId="18" borderId="0" xfId="0" applyFont="1" applyFill="1" applyAlignment="1">
      <alignment horizontal="left" vertical="center" wrapText="1"/>
    </xf>
    <xf numFmtId="0" fontId="5" fillId="18" borderId="61" xfId="0" applyFont="1" applyFill="1" applyBorder="1" applyAlignment="1">
      <alignment horizontal="right" vertical="center"/>
    </xf>
    <xf numFmtId="0" fontId="5" fillId="18" borderId="9" xfId="0" applyFont="1" applyFill="1" applyBorder="1" applyAlignment="1">
      <alignment horizontal="right" vertical="center"/>
    </xf>
    <xf numFmtId="0" fontId="5" fillId="38" borderId="47" xfId="0" applyFont="1" applyFill="1" applyBorder="1" applyAlignment="1">
      <alignment horizontal="center" vertical="center"/>
    </xf>
    <xf numFmtId="0" fontId="5" fillId="38" borderId="8" xfId="0" applyFont="1" applyFill="1" applyBorder="1" applyAlignment="1">
      <alignment horizontal="center" vertical="center"/>
    </xf>
    <xf numFmtId="0" fontId="31" fillId="18" borderId="68" xfId="0" applyFont="1" applyFill="1" applyBorder="1" applyAlignment="1">
      <alignment horizontal="center" vertical="center"/>
    </xf>
    <xf numFmtId="0" fontId="31" fillId="18" borderId="58" xfId="0" applyFont="1" applyFill="1" applyBorder="1" applyAlignment="1">
      <alignment horizontal="center" vertical="center"/>
    </xf>
    <xf numFmtId="0" fontId="31" fillId="18" borderId="57" xfId="0" applyFont="1" applyFill="1" applyBorder="1" applyAlignment="1">
      <alignment horizontal="center" vertical="center"/>
    </xf>
    <xf numFmtId="0" fontId="42" fillId="18" borderId="28" xfId="0" applyFont="1" applyFill="1" applyBorder="1" applyAlignment="1">
      <alignment horizontal="left" vertical="top" wrapText="1"/>
    </xf>
    <xf numFmtId="0" fontId="42" fillId="18" borderId="33" xfId="0" applyFont="1" applyFill="1" applyBorder="1" applyAlignment="1">
      <alignment horizontal="left" vertical="top" wrapText="1"/>
    </xf>
    <xf numFmtId="0" fontId="71" fillId="33" borderId="39" xfId="0" applyFont="1" applyFill="1" applyBorder="1" applyAlignment="1">
      <alignment horizontal="center" vertical="center"/>
    </xf>
    <xf numFmtId="0" fontId="71" fillId="33" borderId="56" xfId="0" applyFont="1" applyFill="1" applyBorder="1" applyAlignment="1">
      <alignment horizontal="center" vertical="center"/>
    </xf>
    <xf numFmtId="0" fontId="71" fillId="33" borderId="80" xfId="0" applyFont="1" applyFill="1" applyBorder="1" applyAlignment="1">
      <alignment horizontal="center" vertical="center"/>
    </xf>
    <xf numFmtId="0" fontId="140" fillId="23" borderId="95" xfId="0" applyFont="1" applyFill="1" applyBorder="1" applyAlignment="1">
      <alignment horizontal="right" vertical="center" wrapText="1"/>
    </xf>
    <xf numFmtId="0" fontId="140" fillId="23" borderId="65" xfId="0" applyFont="1" applyFill="1" applyBorder="1" applyAlignment="1">
      <alignment horizontal="right" vertical="center" wrapText="1"/>
    </xf>
    <xf numFmtId="0" fontId="140" fillId="23" borderId="88" xfId="0" applyFont="1" applyFill="1" applyBorder="1" applyAlignment="1">
      <alignment horizontal="right" vertical="center" wrapText="1"/>
    </xf>
    <xf numFmtId="0" fontId="140" fillId="23" borderId="0" xfId="0" applyFont="1" applyFill="1" applyBorder="1" applyAlignment="1">
      <alignment horizontal="right" vertical="center" wrapText="1"/>
    </xf>
    <xf numFmtId="0" fontId="140" fillId="23" borderId="84" xfId="0" applyFont="1" applyFill="1" applyBorder="1" applyAlignment="1">
      <alignment horizontal="right" vertical="center" wrapText="1"/>
    </xf>
    <xf numFmtId="0" fontId="140" fillId="23" borderId="67" xfId="0" applyFont="1" applyFill="1" applyBorder="1" applyAlignment="1">
      <alignment horizontal="right" vertical="center" wrapText="1"/>
    </xf>
    <xf numFmtId="0" fontId="25" fillId="42" borderId="24" xfId="0" applyFont="1" applyFill="1" applyBorder="1" applyAlignment="1">
      <alignment horizontal="center" vertical="center"/>
    </xf>
    <xf numFmtId="0" fontId="25" fillId="42" borderId="64" xfId="0" applyFont="1" applyFill="1" applyBorder="1" applyAlignment="1">
      <alignment horizontal="center" vertical="center"/>
    </xf>
    <xf numFmtId="0" fontId="42" fillId="18" borderId="67" xfId="0" applyFont="1" applyFill="1" applyBorder="1" applyAlignment="1">
      <alignment horizontal="center" vertical="center"/>
    </xf>
    <xf numFmtId="0" fontId="25" fillId="15" borderId="27" xfId="0" applyFont="1" applyFill="1" applyBorder="1" applyAlignment="1">
      <alignment horizontal="center" vertical="center"/>
    </xf>
    <xf numFmtId="0" fontId="25" fillId="15" borderId="32" xfId="0" applyFont="1" applyFill="1" applyBorder="1" applyAlignment="1">
      <alignment horizontal="center" vertical="center"/>
    </xf>
    <xf numFmtId="0" fontId="25" fillId="18" borderId="21" xfId="0" applyFont="1" applyFill="1" applyBorder="1" applyAlignment="1">
      <alignment horizontal="right" vertical="center"/>
    </xf>
    <xf numFmtId="0" fontId="25" fillId="18" borderId="1" xfId="0" applyFont="1" applyFill="1" applyBorder="1" applyAlignment="1">
      <alignment horizontal="right" vertical="center"/>
    </xf>
    <xf numFmtId="0" fontId="28" fillId="33" borderId="1" xfId="0" applyFont="1" applyFill="1" applyBorder="1" applyAlignment="1">
      <alignment horizontal="left" vertical="center"/>
    </xf>
    <xf numFmtId="0" fontId="28" fillId="33" borderId="3" xfId="0" applyFont="1" applyFill="1" applyBorder="1" applyAlignment="1">
      <alignment horizontal="left" vertical="center"/>
    </xf>
    <xf numFmtId="0" fontId="28" fillId="33" borderId="60" xfId="0" applyFont="1" applyFill="1" applyBorder="1" applyAlignment="1">
      <alignment horizontal="left" vertical="center"/>
    </xf>
    <xf numFmtId="0" fontId="28" fillId="33" borderId="32" xfId="0" applyFont="1" applyFill="1" applyBorder="1" applyAlignment="1">
      <alignment horizontal="left" vertical="center"/>
    </xf>
    <xf numFmtId="0" fontId="5" fillId="18" borderId="0" xfId="0" applyFont="1" applyFill="1" applyBorder="1" applyAlignment="1">
      <alignment horizontal="left" vertical="center" wrapText="1"/>
    </xf>
    <xf numFmtId="0" fontId="40" fillId="17" borderId="25" xfId="0" applyFont="1" applyFill="1" applyBorder="1" applyAlignment="1">
      <alignment horizontal="center" vertical="center" wrapText="1"/>
    </xf>
    <xf numFmtId="0" fontId="27" fillId="24" borderId="0" xfId="1" applyFont="1" applyFill="1" applyAlignment="1" applyProtection="1">
      <alignment horizontal="center" vertical="center" wrapText="1"/>
    </xf>
    <xf numFmtId="0" fontId="1" fillId="18" borderId="0" xfId="0" applyFont="1" applyFill="1" applyAlignment="1">
      <alignment horizontal="left" vertical="center" wrapText="1"/>
    </xf>
    <xf numFmtId="0" fontId="0" fillId="18" borderId="0" xfId="0" applyFont="1" applyFill="1" applyAlignment="1">
      <alignment horizontal="left" vertical="center" wrapText="1"/>
    </xf>
    <xf numFmtId="0" fontId="0" fillId="18" borderId="0" xfId="0" quotePrefix="1" applyFill="1" applyAlignment="1">
      <alignment horizontal="left" vertical="center" wrapText="1"/>
    </xf>
    <xf numFmtId="0" fontId="7" fillId="15" borderId="25" xfId="0" applyFont="1" applyFill="1" applyBorder="1" applyAlignment="1">
      <alignment horizontal="center" vertical="center"/>
    </xf>
    <xf numFmtId="0" fontId="7" fillId="15" borderId="30" xfId="0" applyFont="1" applyFill="1" applyBorder="1" applyAlignment="1">
      <alignment horizontal="center" vertical="center"/>
    </xf>
    <xf numFmtId="0" fontId="0" fillId="25" borderId="68" xfId="0" applyFill="1" applyBorder="1" applyAlignment="1">
      <alignment horizontal="center" vertical="center"/>
    </xf>
    <xf numFmtId="0" fontId="0" fillId="25" borderId="57" xfId="0" applyFill="1" applyBorder="1" applyAlignment="1">
      <alignment horizontal="center" vertical="center"/>
    </xf>
    <xf numFmtId="0" fontId="0" fillId="25" borderId="84" xfId="0" applyFill="1" applyBorder="1" applyAlignment="1">
      <alignment horizontal="center" vertical="center"/>
    </xf>
    <xf numFmtId="0" fontId="0" fillId="25" borderId="85" xfId="0" applyFill="1" applyBorder="1" applyAlignment="1">
      <alignment horizontal="center" vertical="center"/>
    </xf>
    <xf numFmtId="0" fontId="0" fillId="18" borderId="0" xfId="0" quotePrefix="1" applyFill="1" applyAlignment="1">
      <alignment horizontal="left" vertical="center"/>
    </xf>
    <xf numFmtId="0" fontId="7" fillId="18" borderId="0" xfId="0" applyFont="1" applyFill="1" applyAlignment="1">
      <alignment horizontal="left" vertical="center"/>
    </xf>
    <xf numFmtId="0" fontId="0" fillId="18" borderId="0" xfId="0" applyFill="1" applyAlignment="1">
      <alignment horizontal="left" vertical="center"/>
    </xf>
    <xf numFmtId="0" fontId="86" fillId="18" borderId="0" xfId="1" applyFont="1" applyFill="1" applyAlignment="1" applyProtection="1">
      <alignment horizontal="left" vertical="center" wrapText="1"/>
    </xf>
    <xf numFmtId="0" fontId="7" fillId="15" borderId="0" xfId="0" applyFont="1" applyFill="1" applyAlignment="1">
      <alignment horizontal="center" vertical="center"/>
    </xf>
    <xf numFmtId="0" fontId="80" fillId="18" borderId="0" xfId="0" applyFont="1" applyFill="1" applyAlignment="1">
      <alignment horizontal="center" vertical="center"/>
    </xf>
    <xf numFmtId="0" fontId="103" fillId="18" borderId="0" xfId="0" applyFont="1" applyFill="1" applyAlignment="1">
      <alignment horizontal="center" vertical="center"/>
    </xf>
    <xf numFmtId="0" fontId="0" fillId="18" borderId="51" xfId="0" applyFill="1" applyBorder="1" applyAlignment="1">
      <alignment horizontal="center" vertical="center" wrapText="1"/>
    </xf>
    <xf numFmtId="0" fontId="0" fillId="18" borderId="86" xfId="0" applyFill="1" applyBorder="1" applyAlignment="1">
      <alignment horizontal="center" vertical="center" wrapText="1"/>
    </xf>
    <xf numFmtId="0" fontId="0" fillId="18" borderId="87" xfId="0" applyFill="1" applyBorder="1" applyAlignment="1">
      <alignment horizontal="center" vertical="center" wrapText="1"/>
    </xf>
    <xf numFmtId="0" fontId="0" fillId="18" borderId="85" xfId="0" applyFill="1" applyBorder="1" applyAlignment="1">
      <alignment horizontal="center" vertical="center" wrapText="1"/>
    </xf>
    <xf numFmtId="0" fontId="0" fillId="18" borderId="1" xfId="0" applyFill="1" applyBorder="1" applyAlignment="1">
      <alignment horizontal="center" vertical="center" wrapText="1"/>
    </xf>
    <xf numFmtId="0" fontId="0" fillId="16" borderId="1" xfId="0" applyFill="1" applyBorder="1" applyAlignment="1">
      <alignment horizontal="center" vertical="center" wrapText="1"/>
    </xf>
    <xf numFmtId="0" fontId="0" fillId="18" borderId="11" xfId="0" applyFill="1" applyBorder="1" applyAlignment="1">
      <alignment horizontal="center" vertical="center" wrapText="1"/>
    </xf>
    <xf numFmtId="0" fontId="0" fillId="18" borderId="12" xfId="0" applyFill="1" applyBorder="1" applyAlignment="1">
      <alignment horizontal="center" vertical="center" wrapText="1"/>
    </xf>
    <xf numFmtId="0" fontId="0" fillId="18" borderId="24" xfId="0" applyFill="1" applyBorder="1" applyAlignment="1">
      <alignment horizontal="center" vertical="center" wrapText="1"/>
    </xf>
    <xf numFmtId="0" fontId="7" fillId="15" borderId="14" xfId="0" applyFont="1" applyFill="1" applyBorder="1" applyAlignment="1">
      <alignment horizontal="center" vertical="center" wrapText="1"/>
    </xf>
    <xf numFmtId="0" fontId="0" fillId="18" borderId="20" xfId="0" applyFill="1" applyBorder="1" applyAlignment="1">
      <alignment horizontal="center" vertical="center" wrapText="1"/>
    </xf>
    <xf numFmtId="0" fontId="7" fillId="15" borderId="34" xfId="0" applyFont="1" applyFill="1" applyBorder="1" applyAlignment="1">
      <alignment horizontal="center" vertical="center" wrapText="1"/>
    </xf>
    <xf numFmtId="0" fontId="0" fillId="16" borderId="27" xfId="0" applyFill="1" applyBorder="1" applyAlignment="1">
      <alignment horizontal="center" vertical="center" wrapText="1"/>
    </xf>
    <xf numFmtId="0" fontId="0" fillId="16" borderId="21" xfId="0" applyFill="1" applyBorder="1" applyAlignment="1">
      <alignment horizontal="center" vertical="center" wrapText="1"/>
    </xf>
    <xf numFmtId="0" fontId="0" fillId="18" borderId="27" xfId="0" applyFill="1" applyBorder="1" applyAlignment="1">
      <alignment horizontal="center" vertical="center" wrapText="1"/>
    </xf>
    <xf numFmtId="0" fontId="0" fillId="18" borderId="21" xfId="0" applyFill="1" applyBorder="1" applyAlignment="1">
      <alignment horizontal="center" vertical="center" wrapText="1"/>
    </xf>
    <xf numFmtId="0" fontId="0" fillId="18" borderId="13" xfId="0" applyFill="1" applyBorder="1" applyAlignment="1">
      <alignment horizontal="center" vertical="center" wrapText="1"/>
    </xf>
    <xf numFmtId="0" fontId="0" fillId="18" borderId="42" xfId="0" applyFill="1" applyBorder="1" applyAlignment="1">
      <alignment horizontal="center" vertical="center" wrapText="1"/>
    </xf>
    <xf numFmtId="0" fontId="0" fillId="18" borderId="43" xfId="0" applyFill="1" applyBorder="1" applyAlignment="1">
      <alignment horizontal="center" vertical="center" wrapText="1"/>
    </xf>
    <xf numFmtId="0" fontId="0" fillId="16" borderId="11" xfId="0" applyFill="1" applyBorder="1" applyAlignment="1">
      <alignment horizontal="center" vertical="center" wrapText="1"/>
    </xf>
    <xf numFmtId="0" fontId="0" fillId="16" borderId="12" xfId="0" applyFill="1" applyBorder="1" applyAlignment="1">
      <alignment horizontal="center" vertical="center" wrapText="1"/>
    </xf>
    <xf numFmtId="0" fontId="0" fillId="16" borderId="24" xfId="0" applyFill="1" applyBorder="1" applyAlignment="1">
      <alignment horizontal="center" vertical="center" wrapText="1"/>
    </xf>
    <xf numFmtId="0" fontId="0" fillId="16" borderId="20" xfId="0" applyFill="1" applyBorder="1" applyAlignment="1">
      <alignment horizontal="center" vertical="center" wrapText="1"/>
    </xf>
    <xf numFmtId="0" fontId="0" fillId="18" borderId="92" xfId="0" applyFill="1" applyBorder="1" applyAlignment="1">
      <alignment horizontal="center" vertical="center" wrapText="1"/>
    </xf>
    <xf numFmtId="0" fontId="0" fillId="18" borderId="41" xfId="0" applyFill="1" applyBorder="1" applyAlignment="1">
      <alignment horizontal="center" vertical="center" wrapText="1"/>
    </xf>
    <xf numFmtId="0" fontId="0" fillId="18" borderId="67" xfId="0" applyFill="1" applyBorder="1" applyAlignment="1">
      <alignment horizontal="center" vertical="center" wrapText="1"/>
    </xf>
    <xf numFmtId="0" fontId="0" fillId="18" borderId="97" xfId="0" applyFill="1" applyBorder="1" applyAlignment="1">
      <alignment horizontal="center" vertical="center" wrapText="1"/>
    </xf>
    <xf numFmtId="0" fontId="0" fillId="18" borderId="4" xfId="0" applyFill="1" applyBorder="1" applyAlignment="1">
      <alignment horizontal="center" vertical="center" wrapText="1"/>
    </xf>
    <xf numFmtId="0" fontId="0" fillId="18" borderId="5" xfId="0" applyFill="1" applyBorder="1" applyAlignment="1">
      <alignment horizontal="center" vertical="center" wrapText="1"/>
    </xf>
    <xf numFmtId="0" fontId="0" fillId="18" borderId="58" xfId="0" applyFill="1" applyBorder="1" applyAlignment="1">
      <alignment horizontal="center" vertical="center" wrapText="1"/>
    </xf>
    <xf numFmtId="0" fontId="0" fillId="18" borderId="23" xfId="0" applyFill="1" applyBorder="1" applyAlignment="1">
      <alignment horizontal="center" vertical="center" wrapText="1"/>
    </xf>
    <xf numFmtId="0" fontId="0" fillId="16" borderId="92" xfId="0" applyFill="1" applyBorder="1" applyAlignment="1">
      <alignment horizontal="center" vertical="center" wrapText="1"/>
    </xf>
    <xf numFmtId="0" fontId="0" fillId="16" borderId="41" xfId="0" applyFill="1" applyBorder="1" applyAlignment="1">
      <alignment horizontal="center" vertical="center" wrapText="1"/>
    </xf>
    <xf numFmtId="0" fontId="0" fillId="16" borderId="58" xfId="0" applyFill="1" applyBorder="1" applyAlignment="1">
      <alignment horizontal="center" vertical="center" wrapText="1"/>
    </xf>
    <xf numFmtId="0" fontId="0" fillId="16" borderId="23" xfId="0" applyFill="1" applyBorder="1" applyAlignment="1">
      <alignment horizontal="center" vertical="center" wrapText="1"/>
    </xf>
    <xf numFmtId="0" fontId="0" fillId="16" borderId="51" xfId="0" applyFill="1" applyBorder="1" applyAlignment="1">
      <alignment horizontal="center" vertical="center" wrapText="1"/>
    </xf>
    <xf numFmtId="0" fontId="0" fillId="16" borderId="50" xfId="0" applyFill="1" applyBorder="1" applyAlignment="1">
      <alignment horizontal="center" vertical="center" wrapText="1"/>
    </xf>
    <xf numFmtId="0" fontId="0" fillId="18" borderId="50" xfId="0" applyFill="1" applyBorder="1" applyAlignment="1">
      <alignment horizontal="center" vertical="center" wrapText="1"/>
    </xf>
    <xf numFmtId="0" fontId="0" fillId="16" borderId="13" xfId="0" applyFill="1" applyBorder="1" applyAlignment="1">
      <alignment horizontal="center" vertical="center" wrapText="1"/>
    </xf>
    <xf numFmtId="0" fontId="7" fillId="15" borderId="25" xfId="0" applyFont="1" applyFill="1" applyBorder="1" applyAlignment="1">
      <alignment horizontal="center" vertical="center" wrapText="1"/>
    </xf>
    <xf numFmtId="0" fontId="7" fillId="15" borderId="91" xfId="0" applyFont="1" applyFill="1" applyBorder="1" applyAlignment="1">
      <alignment horizontal="center" vertical="center" wrapText="1"/>
    </xf>
    <xf numFmtId="0" fontId="7" fillId="15" borderId="30" xfId="0" applyFont="1" applyFill="1" applyBorder="1" applyAlignment="1">
      <alignment horizontal="center" vertical="center" wrapText="1"/>
    </xf>
    <xf numFmtId="0" fontId="0" fillId="16" borderId="86" xfId="0" applyFill="1" applyBorder="1" applyAlignment="1">
      <alignment horizontal="center" vertical="center" wrapText="1"/>
    </xf>
    <xf numFmtId="0" fontId="0" fillId="16" borderId="57" xfId="0" applyFill="1" applyBorder="1" applyAlignment="1">
      <alignment horizontal="center" vertical="center" wrapText="1"/>
    </xf>
    <xf numFmtId="0" fontId="7" fillId="15" borderId="11" xfId="0" applyFont="1" applyFill="1" applyBorder="1" applyAlignment="1">
      <alignment horizontal="center" vertical="center" wrapText="1"/>
    </xf>
    <xf numFmtId="0" fontId="7" fillId="15" borderId="12" xfId="0" applyFont="1" applyFill="1" applyBorder="1" applyAlignment="1">
      <alignment horizontal="center" vertical="center" wrapText="1"/>
    </xf>
    <xf numFmtId="0" fontId="7" fillId="15" borderId="24" xfId="0" applyFont="1" applyFill="1" applyBorder="1" applyAlignment="1">
      <alignment horizontal="center" vertical="center" wrapText="1"/>
    </xf>
    <xf numFmtId="0" fontId="7" fillId="15" borderId="46" xfId="0" applyFont="1" applyFill="1" applyBorder="1" applyAlignment="1">
      <alignment horizontal="center" vertical="center" wrapText="1"/>
    </xf>
    <xf numFmtId="0" fontId="141" fillId="18" borderId="26" xfId="0" applyFont="1" applyFill="1" applyBorder="1" applyAlignment="1">
      <alignment horizontal="left" vertical="center"/>
    </xf>
    <xf numFmtId="0" fontId="141" fillId="18" borderId="31" xfId="0" applyFont="1" applyFill="1" applyBorder="1" applyAlignment="1">
      <alignment horizontal="left" vertical="center"/>
    </xf>
    <xf numFmtId="0" fontId="142" fillId="18" borderId="84" xfId="0" applyFont="1" applyFill="1" applyBorder="1" applyAlignment="1">
      <alignment horizontal="center" vertical="center"/>
    </xf>
    <xf numFmtId="0" fontId="142" fillId="18" borderId="67" xfId="0" applyFont="1" applyFill="1" applyBorder="1" applyAlignment="1">
      <alignment horizontal="center" vertical="center"/>
    </xf>
    <xf numFmtId="0" fontId="142" fillId="18" borderId="85" xfId="0" applyFont="1" applyFill="1" applyBorder="1" applyAlignment="1">
      <alignment horizontal="center" vertical="center"/>
    </xf>
    <xf numFmtId="0" fontId="141" fillId="18" borderId="44" xfId="0" applyFont="1" applyFill="1" applyBorder="1" applyAlignment="1">
      <alignment horizontal="right" vertical="center"/>
    </xf>
    <xf numFmtId="0" fontId="141" fillId="18" borderId="26" xfId="0" applyFont="1" applyFill="1" applyBorder="1" applyAlignment="1">
      <alignment horizontal="right" vertical="center"/>
    </xf>
    <xf numFmtId="0" fontId="25" fillId="18" borderId="25" xfId="0" applyFont="1" applyFill="1" applyBorder="1" applyAlignment="1">
      <alignment horizontal="center" vertical="center" wrapText="1"/>
    </xf>
    <xf numFmtId="0" fontId="25" fillId="18" borderId="91" xfId="0" applyFont="1" applyFill="1" applyBorder="1" applyAlignment="1">
      <alignment horizontal="center" vertical="center" wrapText="1"/>
    </xf>
    <xf numFmtId="0" fontId="25" fillId="25" borderId="0" xfId="0" applyFont="1" applyFill="1" applyAlignment="1">
      <alignment horizontal="center" vertical="center"/>
    </xf>
    <xf numFmtId="0" fontId="72" fillId="18" borderId="0" xfId="0" applyFont="1" applyFill="1" applyBorder="1" applyAlignment="1">
      <alignment horizontal="center" vertical="center"/>
    </xf>
    <xf numFmtId="0" fontId="25" fillId="18" borderId="0" xfId="0" applyFont="1" applyFill="1" applyBorder="1" applyAlignment="1">
      <alignment horizontal="right" vertical="center"/>
    </xf>
    <xf numFmtId="0" fontId="42" fillId="18" borderId="0" xfId="0" applyFont="1" applyFill="1" applyBorder="1" applyAlignment="1">
      <alignment horizontal="left"/>
    </xf>
    <xf numFmtId="0" fontId="25" fillId="18" borderId="0" xfId="0" applyFont="1" applyFill="1" applyAlignment="1">
      <alignment horizontal="right" vertical="center"/>
    </xf>
    <xf numFmtId="0" fontId="86" fillId="18" borderId="0" xfId="0" applyFont="1" applyFill="1" applyBorder="1" applyAlignment="1">
      <alignment horizontal="left" vertical="center"/>
    </xf>
    <xf numFmtId="0" fontId="25" fillId="25" borderId="60" xfId="0" applyFont="1" applyFill="1" applyBorder="1" applyAlignment="1">
      <alignment horizontal="center" vertical="center"/>
    </xf>
    <xf numFmtId="0" fontId="25" fillId="25" borderId="21" xfId="0" applyFont="1" applyFill="1" applyBorder="1" applyAlignment="1">
      <alignment horizontal="center" vertical="center"/>
    </xf>
    <xf numFmtId="0" fontId="5" fillId="18" borderId="37" xfId="0" applyFont="1" applyFill="1" applyBorder="1" applyAlignment="1">
      <alignment horizontal="left" vertical="center"/>
    </xf>
    <xf numFmtId="0" fontId="5" fillId="18" borderId="36" xfId="0" applyFont="1" applyFill="1" applyBorder="1" applyAlignment="1">
      <alignment horizontal="left" vertical="center"/>
    </xf>
    <xf numFmtId="0" fontId="5" fillId="18" borderId="15" xfId="0" applyFont="1" applyFill="1" applyBorder="1" applyAlignment="1">
      <alignment horizontal="left" vertical="center"/>
    </xf>
    <xf numFmtId="0" fontId="25" fillId="25" borderId="37" xfId="0" applyFont="1" applyFill="1" applyBorder="1" applyAlignment="1">
      <alignment horizontal="right" vertical="center" wrapText="1"/>
    </xf>
    <xf numFmtId="0" fontId="25" fillId="25" borderId="36" xfId="0" applyFont="1" applyFill="1" applyBorder="1" applyAlignment="1">
      <alignment horizontal="right" vertical="center" wrapText="1"/>
    </xf>
    <xf numFmtId="0" fontId="25" fillId="25" borderId="15" xfId="0" applyFont="1" applyFill="1" applyBorder="1" applyAlignment="1">
      <alignment horizontal="right" vertical="center" wrapText="1"/>
    </xf>
    <xf numFmtId="0" fontId="18" fillId="18" borderId="0" xfId="0" applyFont="1" applyFill="1" applyAlignment="1">
      <alignment horizontal="left" vertical="center" wrapText="1"/>
    </xf>
    <xf numFmtId="0" fontId="151" fillId="18" borderId="0" xfId="1" applyFont="1" applyFill="1" applyAlignment="1" applyProtection="1">
      <alignment horizontal="left" vertical="center" wrapText="1"/>
    </xf>
    <xf numFmtId="0" fontId="29" fillId="15" borderId="45" xfId="0" applyFont="1" applyFill="1" applyBorder="1" applyAlignment="1">
      <alignment horizontal="center" vertical="center" wrapText="1"/>
    </xf>
    <xf numFmtId="0" fontId="29" fillId="15" borderId="46" xfId="0" applyFont="1" applyFill="1" applyBorder="1" applyAlignment="1">
      <alignment horizontal="center" vertical="center" wrapText="1"/>
    </xf>
    <xf numFmtId="0" fontId="29" fillId="15" borderId="59" xfId="0" applyFont="1" applyFill="1" applyBorder="1" applyAlignment="1">
      <alignment horizontal="center" vertical="center" wrapText="1"/>
    </xf>
    <xf numFmtId="3" fontId="0" fillId="15" borderId="1" xfId="0" applyNumberFormat="1" applyFont="1" applyFill="1" applyBorder="1" applyAlignment="1">
      <alignment horizontal="center" vertical="center" wrapText="1"/>
    </xf>
    <xf numFmtId="3" fontId="0" fillId="15" borderId="13" xfId="0" applyNumberFormat="1" applyFont="1" applyFill="1" applyBorder="1" applyAlignment="1">
      <alignment horizontal="center" vertical="center" wrapText="1"/>
    </xf>
    <xf numFmtId="3" fontId="0" fillId="15" borderId="3" xfId="0" applyNumberFormat="1" applyFont="1" applyFill="1" applyBorder="1" applyAlignment="1">
      <alignment horizontal="center" vertical="center" wrapText="1"/>
    </xf>
    <xf numFmtId="3" fontId="0" fillId="15" borderId="5" xfId="0" applyNumberFormat="1" applyFont="1" applyFill="1" applyBorder="1" applyAlignment="1">
      <alignment horizontal="center" vertical="center" wrapText="1"/>
    </xf>
    <xf numFmtId="3" fontId="7" fillId="15" borderId="20" xfId="0" applyNumberFormat="1" applyFont="1" applyFill="1" applyBorder="1" applyAlignment="1">
      <alignment horizontal="center" vertical="center" wrapText="1"/>
    </xf>
    <xf numFmtId="3" fontId="7" fillId="15" borderId="24" xfId="0" applyNumberFormat="1" applyFont="1" applyFill="1" applyBorder="1" applyAlignment="1">
      <alignment horizontal="center" vertical="center" wrapText="1"/>
    </xf>
    <xf numFmtId="3" fontId="0" fillId="15" borderId="21" xfId="0" applyNumberFormat="1" applyFont="1" applyFill="1" applyBorder="1" applyAlignment="1">
      <alignment horizontal="center" vertical="center" wrapText="1"/>
    </xf>
    <xf numFmtId="3" fontId="0" fillId="15" borderId="22" xfId="0" applyNumberFormat="1" applyFont="1" applyFill="1" applyBorder="1" applyAlignment="1">
      <alignment horizontal="center" vertical="center" wrapText="1"/>
    </xf>
    <xf numFmtId="3" fontId="7" fillId="15" borderId="11" xfId="0" applyNumberFormat="1" applyFont="1" applyFill="1" applyBorder="1" applyAlignment="1">
      <alignment horizontal="center" vertical="center" wrapText="1"/>
    </xf>
    <xf numFmtId="3" fontId="7" fillId="15" borderId="12" xfId="0" applyNumberFormat="1" applyFont="1" applyFill="1" applyBorder="1" applyAlignment="1">
      <alignment horizontal="center" vertical="center" wrapText="1"/>
    </xf>
    <xf numFmtId="0" fontId="50" fillId="15" borderId="11" xfId="0" applyFont="1" applyFill="1" applyBorder="1" applyAlignment="1">
      <alignment horizontal="center" vertical="center" wrapText="1"/>
    </xf>
    <xf numFmtId="0" fontId="50" fillId="15" borderId="81" xfId="0" applyFont="1" applyFill="1" applyBorder="1" applyAlignment="1">
      <alignment horizontal="center" vertical="center" wrapText="1"/>
    </xf>
    <xf numFmtId="0" fontId="50" fillId="15" borderId="2" xfId="0" applyFont="1" applyFill="1" applyBorder="1" applyAlignment="1">
      <alignment horizontal="center" vertical="center" wrapText="1"/>
    </xf>
    <xf numFmtId="0" fontId="50" fillId="15" borderId="60" xfId="0" applyFont="1" applyFill="1" applyBorder="1" applyAlignment="1">
      <alignment horizontal="center" vertical="center" wrapText="1"/>
    </xf>
    <xf numFmtId="0" fontId="50" fillId="15" borderId="4" xfId="0" applyFont="1" applyFill="1" applyBorder="1" applyAlignment="1">
      <alignment horizontal="center" vertical="center" wrapText="1"/>
    </xf>
    <xf numFmtId="0" fontId="50" fillId="15" borderId="83" xfId="0" applyFont="1" applyFill="1" applyBorder="1" applyAlignment="1">
      <alignment horizontal="center" vertical="center" wrapText="1"/>
    </xf>
    <xf numFmtId="0" fontId="7" fillId="15" borderId="16" xfId="0" applyFont="1" applyFill="1" applyBorder="1" applyAlignment="1">
      <alignment horizontal="center" vertical="center" wrapText="1"/>
    </xf>
    <xf numFmtId="0" fontId="7" fillId="15" borderId="17" xfId="0" applyFont="1" applyFill="1" applyBorder="1" applyAlignment="1">
      <alignment horizontal="center" vertical="center" wrapText="1"/>
    </xf>
    <xf numFmtId="0" fontId="7" fillId="15" borderId="18" xfId="0" applyFont="1" applyFill="1" applyBorder="1" applyAlignment="1">
      <alignment horizontal="center" vertical="center" wrapText="1"/>
    </xf>
    <xf numFmtId="0" fontId="7" fillId="15" borderId="26" xfId="0" applyFont="1" applyFill="1" applyBorder="1" applyAlignment="1">
      <alignment horizontal="center" vertical="center" wrapText="1"/>
    </xf>
    <xf numFmtId="0" fontId="7" fillId="15" borderId="27" xfId="0" applyFont="1" applyFill="1" applyBorder="1" applyAlignment="1">
      <alignment horizontal="center" vertical="center" wrapText="1"/>
    </xf>
    <xf numFmtId="0" fontId="7" fillId="15" borderId="28" xfId="0" applyFont="1" applyFill="1" applyBorder="1" applyAlignment="1">
      <alignment horizontal="center" vertical="center" wrapText="1"/>
    </xf>
    <xf numFmtId="49" fontId="7" fillId="15" borderId="2" xfId="0" applyNumberFormat="1" applyFont="1" applyFill="1" applyBorder="1" applyAlignment="1">
      <alignment horizontal="center" vertical="center" wrapText="1"/>
    </xf>
    <xf numFmtId="49" fontId="7" fillId="15" borderId="1" xfId="0" applyNumberFormat="1" applyFont="1" applyFill="1" applyBorder="1" applyAlignment="1">
      <alignment horizontal="center" vertical="center" wrapText="1"/>
    </xf>
    <xf numFmtId="0" fontId="5" fillId="16" borderId="37" xfId="0" applyFont="1" applyFill="1" applyBorder="1" applyAlignment="1">
      <alignment horizontal="center" vertical="center" wrapText="1"/>
    </xf>
    <xf numFmtId="0" fontId="5" fillId="16" borderId="15" xfId="0" applyFont="1" applyFill="1" applyBorder="1" applyAlignment="1">
      <alignment horizontal="center" vertical="center" wrapText="1"/>
    </xf>
    <xf numFmtId="0" fontId="72" fillId="18" borderId="0" xfId="0" applyFont="1" applyFill="1" applyBorder="1" applyAlignment="1">
      <alignment horizontal="center" vertical="center" wrapText="1"/>
    </xf>
    <xf numFmtId="0" fontId="18" fillId="16" borderId="61" xfId="0" applyFont="1" applyFill="1" applyBorder="1" applyAlignment="1">
      <alignment horizontal="center" vertical="center" wrapText="1"/>
    </xf>
    <xf numFmtId="0" fontId="18" fillId="16" borderId="9" xfId="0" applyFont="1" applyFill="1" applyBorder="1" applyAlignment="1">
      <alignment horizontal="center" vertical="center" wrapText="1"/>
    </xf>
    <xf numFmtId="0" fontId="18" fillId="16" borderId="61" xfId="0" applyFont="1" applyFill="1" applyBorder="1" applyAlignment="1">
      <alignment horizontal="left" vertical="center" wrapText="1"/>
    </xf>
    <xf numFmtId="0" fontId="18" fillId="16" borderId="9" xfId="0" applyFont="1" applyFill="1" applyBorder="1" applyAlignment="1">
      <alignment horizontal="left" vertical="center" wrapText="1"/>
    </xf>
    <xf numFmtId="0" fontId="35" fillId="16" borderId="42" xfId="0" applyFont="1" applyFill="1" applyBorder="1" applyAlignment="1">
      <alignment horizontal="left" vertical="center" wrapText="1"/>
    </xf>
    <xf numFmtId="0" fontId="35" fillId="16" borderId="27" xfId="0" applyFont="1" applyFill="1" applyBorder="1" applyAlignment="1">
      <alignment horizontal="left" vertical="center" wrapText="1"/>
    </xf>
    <xf numFmtId="0" fontId="35" fillId="16" borderId="32" xfId="0" applyFont="1" applyFill="1" applyBorder="1" applyAlignment="1">
      <alignment horizontal="left" vertical="center" wrapText="1"/>
    </xf>
    <xf numFmtId="0" fontId="35" fillId="18" borderId="89" xfId="0" applyFont="1" applyFill="1" applyBorder="1" applyAlignment="1">
      <alignment horizontal="left" vertical="center" wrapText="1"/>
    </xf>
    <xf numFmtId="0" fontId="35" fillId="18" borderId="92" xfId="0" applyFont="1" applyFill="1" applyBorder="1" applyAlignment="1">
      <alignment horizontal="left" vertical="center" wrapText="1"/>
    </xf>
    <xf numFmtId="0" fontId="35" fillId="18" borderId="86" xfId="0" applyFont="1" applyFill="1" applyBorder="1" applyAlignment="1">
      <alignment horizontal="left" vertical="center" wrapText="1"/>
    </xf>
    <xf numFmtId="0" fontId="35" fillId="18" borderId="88" xfId="0" applyFont="1" applyFill="1" applyBorder="1" applyAlignment="1">
      <alignment horizontal="left" vertical="center" wrapText="1"/>
    </xf>
    <xf numFmtId="0" fontId="35" fillId="18" borderId="0" xfId="0" applyFont="1" applyFill="1" applyBorder="1" applyAlignment="1">
      <alignment horizontal="left" vertical="center" wrapText="1"/>
    </xf>
    <xf numFmtId="0" fontId="35" fillId="18" borderId="55" xfId="0" applyFont="1" applyFill="1" applyBorder="1" applyAlignment="1">
      <alignment horizontal="left" vertical="center" wrapText="1"/>
    </xf>
    <xf numFmtId="0" fontId="35" fillId="18" borderId="68" xfId="0" applyFont="1" applyFill="1" applyBorder="1" applyAlignment="1">
      <alignment horizontal="left" vertical="center" wrapText="1"/>
    </xf>
    <xf numFmtId="0" fontId="35" fillId="18" borderId="58" xfId="0" applyFont="1" applyFill="1" applyBorder="1" applyAlignment="1">
      <alignment horizontal="left" vertical="center" wrapText="1"/>
    </xf>
    <xf numFmtId="0" fontId="35" fillId="18" borderId="57" xfId="0" applyFont="1" applyFill="1" applyBorder="1" applyAlignment="1">
      <alignment horizontal="left" vertical="center" wrapText="1"/>
    </xf>
    <xf numFmtId="0" fontId="35" fillId="18" borderId="42" xfId="0" applyFont="1" applyFill="1" applyBorder="1" applyAlignment="1">
      <alignment horizontal="left" vertical="center" wrapText="1"/>
    </xf>
    <xf numFmtId="0" fontId="35" fillId="18" borderId="27" xfId="0" applyFont="1" applyFill="1" applyBorder="1" applyAlignment="1">
      <alignment horizontal="left" vertical="center" wrapText="1"/>
    </xf>
    <xf numFmtId="0" fontId="35" fillId="18" borderId="32" xfId="0" applyFont="1" applyFill="1" applyBorder="1" applyAlignment="1">
      <alignment horizontal="left" vertical="center" wrapText="1"/>
    </xf>
    <xf numFmtId="0" fontId="35" fillId="16" borderId="43" xfId="0" applyFont="1" applyFill="1" applyBorder="1" applyAlignment="1">
      <alignment horizontal="left" vertical="center" wrapText="1"/>
    </xf>
    <xf numFmtId="0" fontId="35" fillId="16" borderId="28" xfId="0" applyFont="1" applyFill="1" applyBorder="1" applyAlignment="1">
      <alignment horizontal="left" vertical="center" wrapText="1"/>
    </xf>
    <xf numFmtId="0" fontId="35" fillId="16" borderId="33" xfId="0" applyFont="1" applyFill="1" applyBorder="1" applyAlignment="1">
      <alignment horizontal="left" vertical="center" wrapText="1"/>
    </xf>
    <xf numFmtId="0" fontId="35" fillId="18" borderId="43" xfId="0" applyFont="1" applyFill="1" applyBorder="1" applyAlignment="1">
      <alignment horizontal="left" vertical="center" wrapText="1"/>
    </xf>
    <xf numFmtId="0" fontId="35" fillId="18" borderId="28" xfId="0" applyFont="1" applyFill="1" applyBorder="1" applyAlignment="1">
      <alignment horizontal="left" vertical="center" wrapText="1"/>
    </xf>
    <xf numFmtId="0" fontId="35" fillId="18" borderId="33" xfId="0" applyFont="1" applyFill="1" applyBorder="1" applyAlignment="1">
      <alignment horizontal="left" vertical="center" wrapText="1"/>
    </xf>
    <xf numFmtId="0" fontId="35" fillId="16" borderId="95" xfId="0" applyFont="1" applyFill="1" applyBorder="1" applyAlignment="1">
      <alignment horizontal="left" vertical="center" wrapText="1"/>
    </xf>
    <xf numFmtId="0" fontId="35" fillId="16" borderId="65" xfId="0" applyFont="1" applyFill="1" applyBorder="1" applyAlignment="1">
      <alignment horizontal="left" vertical="center" wrapText="1"/>
    </xf>
    <xf numFmtId="0" fontId="35" fillId="16" borderId="94" xfId="0" applyFont="1" applyFill="1" applyBorder="1" applyAlignment="1">
      <alignment horizontal="left" vertical="center" wrapText="1"/>
    </xf>
    <xf numFmtId="0" fontId="35" fillId="16" borderId="88" xfId="0" applyFont="1" applyFill="1" applyBorder="1" applyAlignment="1">
      <alignment horizontal="left" vertical="center" wrapText="1"/>
    </xf>
    <xf numFmtId="0" fontId="35" fillId="16" borderId="0" xfId="0" applyFont="1" applyFill="1" applyBorder="1" applyAlignment="1">
      <alignment horizontal="left" vertical="center" wrapText="1"/>
    </xf>
    <xf numFmtId="0" fontId="35" fillId="16" borderId="55" xfId="0" applyFont="1" applyFill="1" applyBorder="1" applyAlignment="1">
      <alignment horizontal="left" vertical="center" wrapText="1"/>
    </xf>
    <xf numFmtId="0" fontId="35" fillId="16" borderId="68" xfId="0" applyFont="1" applyFill="1" applyBorder="1" applyAlignment="1">
      <alignment horizontal="left" vertical="center" wrapText="1"/>
    </xf>
    <xf numFmtId="0" fontId="35" fillId="16" borderId="58" xfId="0" applyFont="1" applyFill="1" applyBorder="1" applyAlignment="1">
      <alignment horizontal="left" vertical="center" wrapText="1"/>
    </xf>
    <xf numFmtId="0" fontId="35" fillId="16" borderId="57" xfId="0" applyFont="1" applyFill="1" applyBorder="1" applyAlignment="1">
      <alignment horizontal="left" vertical="center" wrapText="1"/>
    </xf>
    <xf numFmtId="0" fontId="35" fillId="16" borderId="44" xfId="0" applyFont="1" applyFill="1" applyBorder="1" applyAlignment="1">
      <alignment horizontal="left" vertical="center" wrapText="1"/>
    </xf>
    <xf numFmtId="0" fontId="35" fillId="16" borderId="26" xfId="0" applyFont="1" applyFill="1" applyBorder="1" applyAlignment="1">
      <alignment horizontal="left" vertical="center" wrapText="1"/>
    </xf>
    <xf numFmtId="0" fontId="35" fillId="16" borderId="31" xfId="0" applyFont="1" applyFill="1" applyBorder="1" applyAlignment="1">
      <alignment horizontal="left" vertical="center" wrapText="1"/>
    </xf>
    <xf numFmtId="0" fontId="35" fillId="18" borderId="44" xfId="0" applyFont="1" applyFill="1" applyBorder="1" applyAlignment="1">
      <alignment horizontal="left" vertical="center" wrapText="1"/>
    </xf>
    <xf numFmtId="0" fontId="35" fillId="18" borderId="26" xfId="0" applyFont="1" applyFill="1" applyBorder="1" applyAlignment="1">
      <alignment horizontal="left" vertical="center" wrapText="1"/>
    </xf>
    <xf numFmtId="0" fontId="35" fillId="18" borderId="31" xfId="0" applyFont="1" applyFill="1" applyBorder="1" applyAlignment="1">
      <alignment horizontal="left" vertical="center" wrapText="1"/>
    </xf>
    <xf numFmtId="0" fontId="5" fillId="18" borderId="0" xfId="0" quotePrefix="1" applyFont="1" applyFill="1" applyAlignment="1">
      <alignment horizontal="left" vertical="center"/>
    </xf>
    <xf numFmtId="0" fontId="28" fillId="18" borderId="44" xfId="0" applyFont="1" applyFill="1" applyBorder="1" applyAlignment="1">
      <alignment horizontal="left" vertical="center" wrapText="1"/>
    </xf>
    <xf numFmtId="0" fontId="28" fillId="18" borderId="43" xfId="0" applyFont="1" applyFill="1" applyBorder="1" applyAlignment="1">
      <alignment horizontal="left" vertical="center" wrapText="1"/>
    </xf>
    <xf numFmtId="0" fontId="25" fillId="15" borderId="95" xfId="0" applyFont="1" applyFill="1" applyBorder="1" applyAlignment="1">
      <alignment horizontal="center" vertical="center"/>
    </xf>
    <xf numFmtId="0" fontId="25" fillId="15" borderId="94" xfId="0" applyFont="1" applyFill="1" applyBorder="1" applyAlignment="1">
      <alignment horizontal="center" vertical="center"/>
    </xf>
    <xf numFmtId="0" fontId="29" fillId="15" borderId="95" xfId="0" applyFont="1" applyFill="1" applyBorder="1" applyAlignment="1">
      <alignment horizontal="center" vertical="center"/>
    </xf>
    <xf numFmtId="0" fontId="29" fillId="15" borderId="65" xfId="0" applyFont="1" applyFill="1" applyBorder="1" applyAlignment="1">
      <alignment horizontal="center" vertical="center"/>
    </xf>
    <xf numFmtId="0" fontId="29" fillId="15" borderId="94" xfId="0" applyFont="1" applyFill="1" applyBorder="1" applyAlignment="1">
      <alignment horizontal="center" vertical="center"/>
    </xf>
    <xf numFmtId="0" fontId="35" fillId="18" borderId="95" xfId="0" applyFont="1" applyFill="1" applyBorder="1" applyAlignment="1">
      <alignment horizontal="left" vertical="center" wrapText="1"/>
    </xf>
    <xf numFmtId="0" fontId="35" fillId="18" borderId="65" xfId="0" applyFont="1" applyFill="1" applyBorder="1" applyAlignment="1">
      <alignment horizontal="left" vertical="center" wrapText="1"/>
    </xf>
    <xf numFmtId="0" fontId="35" fillId="18" borderId="94" xfId="0" applyFont="1" applyFill="1" applyBorder="1" applyAlignment="1">
      <alignment horizontal="left" vertical="center" wrapText="1"/>
    </xf>
    <xf numFmtId="0" fontId="35" fillId="18" borderId="84" xfId="0" applyFont="1" applyFill="1" applyBorder="1" applyAlignment="1">
      <alignment horizontal="left" vertical="center" wrapText="1"/>
    </xf>
    <xf numFmtId="0" fontId="35" fillId="18" borderId="67" xfId="0" applyFont="1" applyFill="1" applyBorder="1" applyAlignment="1">
      <alignment horizontal="left" vertical="center" wrapText="1"/>
    </xf>
    <xf numFmtId="0" fontId="35" fillId="18" borderId="85" xfId="0" applyFont="1" applyFill="1" applyBorder="1" applyAlignment="1">
      <alignment horizontal="left" vertical="center" wrapText="1"/>
    </xf>
    <xf numFmtId="0" fontId="28" fillId="18" borderId="44" xfId="0" applyFont="1" applyFill="1" applyBorder="1" applyAlignment="1">
      <alignment vertical="center" wrapText="1"/>
    </xf>
    <xf numFmtId="0" fontId="28" fillId="18" borderId="42" xfId="0" applyFont="1" applyFill="1" applyBorder="1" applyAlignment="1">
      <alignment vertical="center" wrapText="1"/>
    </xf>
    <xf numFmtId="0" fontId="28" fillId="18" borderId="61" xfId="0" applyFont="1" applyFill="1" applyBorder="1" applyAlignment="1">
      <alignment horizontal="left" vertical="center" wrapText="1"/>
    </xf>
    <xf numFmtId="0" fontId="28" fillId="18" borderId="54" xfId="0" applyFont="1" applyFill="1" applyBorder="1" applyAlignment="1">
      <alignment horizontal="left" vertical="center" wrapText="1"/>
    </xf>
    <xf numFmtId="0" fontId="28" fillId="18" borderId="9" xfId="0" applyFont="1" applyFill="1" applyBorder="1" applyAlignment="1">
      <alignment horizontal="left" vertical="center" wrapText="1"/>
    </xf>
    <xf numFmtId="0" fontId="28" fillId="18" borderId="95" xfId="0" applyFont="1" applyFill="1" applyBorder="1" applyAlignment="1">
      <alignment horizontal="left" vertical="center" wrapText="1"/>
    </xf>
    <xf numFmtId="0" fontId="28" fillId="18" borderId="88" xfId="0" applyFont="1" applyFill="1" applyBorder="1" applyAlignment="1">
      <alignment horizontal="left" vertical="center" wrapText="1"/>
    </xf>
    <xf numFmtId="0" fontId="5" fillId="18" borderId="0" xfId="0" quotePrefix="1" applyFont="1" applyFill="1" applyAlignment="1">
      <alignment horizontal="left" vertical="center" wrapText="1"/>
    </xf>
    <xf numFmtId="0" fontId="5" fillId="22" borderId="25" xfId="0" applyFont="1" applyFill="1" applyBorder="1" applyAlignment="1">
      <alignment horizontal="center" vertical="top"/>
    </xf>
    <xf numFmtId="0" fontId="5" fillId="22" borderId="91" xfId="0" applyFont="1" applyFill="1" applyBorder="1" applyAlignment="1">
      <alignment horizontal="center" vertical="top"/>
    </xf>
    <xf numFmtId="0" fontId="5" fillId="22" borderId="30" xfId="0" applyFont="1" applyFill="1" applyBorder="1" applyAlignment="1">
      <alignment horizontal="center" vertical="top"/>
    </xf>
    <xf numFmtId="0" fontId="5" fillId="22" borderId="25" xfId="0" applyFont="1" applyFill="1" applyBorder="1" applyAlignment="1">
      <alignment horizontal="right" vertical="top"/>
    </xf>
    <xf numFmtId="0" fontId="5" fillId="22" borderId="91" xfId="0" applyFont="1" applyFill="1" applyBorder="1" applyAlignment="1">
      <alignment horizontal="right" vertical="top"/>
    </xf>
    <xf numFmtId="0" fontId="5" fillId="22" borderId="30" xfId="0" applyFont="1" applyFill="1" applyBorder="1" applyAlignment="1">
      <alignment horizontal="right" vertical="top"/>
    </xf>
    <xf numFmtId="0" fontId="5" fillId="18" borderId="42" xfId="0" applyFont="1" applyFill="1" applyBorder="1" applyAlignment="1">
      <alignment horizontal="center" vertical="center"/>
    </xf>
    <xf numFmtId="0" fontId="25" fillId="15" borderId="65" xfId="0" applyFont="1" applyFill="1" applyBorder="1" applyAlignment="1">
      <alignment horizontal="center" vertical="center"/>
    </xf>
    <xf numFmtId="0" fontId="28" fillId="15" borderId="44" xfId="0" applyFont="1" applyFill="1" applyBorder="1" applyAlignment="1">
      <alignment horizontal="center" vertical="center" wrapText="1"/>
    </xf>
    <xf numFmtId="0" fontId="28" fillId="15" borderId="42" xfId="0" applyFont="1" applyFill="1" applyBorder="1" applyAlignment="1">
      <alignment horizontal="center" vertical="center" wrapText="1"/>
    </xf>
    <xf numFmtId="0" fontId="28" fillId="15" borderId="89" xfId="0" applyFont="1" applyFill="1" applyBorder="1" applyAlignment="1">
      <alignment horizontal="center" vertical="center" wrapText="1"/>
    </xf>
    <xf numFmtId="0" fontId="28" fillId="15" borderId="16" xfId="0" applyFont="1" applyFill="1" applyBorder="1" applyAlignment="1">
      <alignment horizontal="center" vertical="center" wrapText="1"/>
    </xf>
    <xf numFmtId="0" fontId="28" fillId="15" borderId="17" xfId="0" applyFont="1" applyFill="1" applyBorder="1" applyAlignment="1">
      <alignment horizontal="center" vertical="center" wrapText="1"/>
    </xf>
    <xf numFmtId="0" fontId="28" fillId="15" borderId="82" xfId="0" applyFont="1" applyFill="1" applyBorder="1" applyAlignment="1">
      <alignment horizontal="center" vertical="center" wrapText="1"/>
    </xf>
    <xf numFmtId="0" fontId="42" fillId="18" borderId="0" xfId="0" applyFont="1" applyFill="1" applyBorder="1" applyAlignment="1">
      <alignment horizontal="left" vertical="center"/>
    </xf>
    <xf numFmtId="0" fontId="29" fillId="24" borderId="95" xfId="0" applyFont="1" applyFill="1" applyBorder="1" applyAlignment="1">
      <alignment horizontal="left" vertical="top" wrapText="1"/>
    </xf>
    <xf numFmtId="0" fontId="29" fillId="24" borderId="65" xfId="0" applyFont="1" applyFill="1" applyBorder="1" applyAlignment="1">
      <alignment horizontal="left" vertical="top" wrapText="1"/>
    </xf>
    <xf numFmtId="0" fontId="29" fillId="24" borderId="94" xfId="0" applyFont="1" applyFill="1" applyBorder="1" applyAlignment="1">
      <alignment horizontal="left" vertical="top" wrapText="1"/>
    </xf>
    <xf numFmtId="0" fontId="29" fillId="24" borderId="88" xfId="0" applyFont="1" applyFill="1" applyBorder="1" applyAlignment="1">
      <alignment horizontal="left" vertical="top" wrapText="1"/>
    </xf>
    <xf numFmtId="0" fontId="29" fillId="24" borderId="0" xfId="0" applyFont="1" applyFill="1" applyBorder="1" applyAlignment="1">
      <alignment horizontal="left" vertical="top" wrapText="1"/>
    </xf>
    <xf numFmtId="0" fontId="29" fillId="24" borderId="55" xfId="0" applyFont="1" applyFill="1" applyBorder="1" applyAlignment="1">
      <alignment horizontal="left" vertical="top" wrapText="1"/>
    </xf>
    <xf numFmtId="0" fontId="29" fillId="24" borderId="84" xfId="0" applyFont="1" applyFill="1" applyBorder="1" applyAlignment="1">
      <alignment horizontal="left" vertical="top" wrapText="1"/>
    </xf>
    <xf numFmtId="0" fontId="29" fillId="24" borderId="67" xfId="0" applyFont="1" applyFill="1" applyBorder="1" applyAlignment="1">
      <alignment horizontal="left" vertical="top" wrapText="1"/>
    </xf>
    <xf numFmtId="0" fontId="29" fillId="24" borderId="85" xfId="0" applyFont="1" applyFill="1" applyBorder="1" applyAlignment="1">
      <alignment horizontal="left" vertical="top" wrapText="1"/>
    </xf>
    <xf numFmtId="0" fontId="5" fillId="18" borderId="4" xfId="0" applyFont="1" applyFill="1" applyBorder="1" applyAlignment="1">
      <alignment horizontal="right" vertical="center" wrapText="1"/>
    </xf>
    <xf numFmtId="0" fontId="5" fillId="18" borderId="13" xfId="0" applyFont="1" applyFill="1" applyBorder="1" applyAlignment="1">
      <alignment horizontal="right" vertical="center" wrapText="1"/>
    </xf>
    <xf numFmtId="1" fontId="137" fillId="18" borderId="0" xfId="0" applyNumberFormat="1" applyFont="1" applyFill="1" applyBorder="1" applyAlignment="1">
      <alignment horizontal="center" vertical="center"/>
    </xf>
    <xf numFmtId="0" fontId="5" fillId="18" borderId="11" xfId="0" applyFont="1" applyFill="1" applyBorder="1" applyAlignment="1">
      <alignment horizontal="right" vertical="center" wrapText="1"/>
    </xf>
    <xf numFmtId="0" fontId="5" fillId="18" borderId="12" xfId="0" applyFont="1" applyFill="1" applyBorder="1" applyAlignment="1">
      <alignment horizontal="right" vertical="center" wrapText="1"/>
    </xf>
    <xf numFmtId="0" fontId="73" fillId="18" borderId="0" xfId="0" applyFont="1" applyFill="1" applyAlignment="1">
      <alignment horizontal="center" vertical="center" wrapText="1"/>
    </xf>
    <xf numFmtId="0" fontId="136" fillId="37" borderId="24" xfId="0" applyFont="1" applyFill="1" applyBorder="1" applyAlignment="1">
      <alignment horizontal="center" vertical="center"/>
    </xf>
    <xf numFmtId="0" fontId="136" fillId="37" borderId="5" xfId="0" applyFont="1" applyFill="1" applyBorder="1" applyAlignment="1">
      <alignment horizontal="center" vertical="center"/>
    </xf>
    <xf numFmtId="0" fontId="5" fillId="18" borderId="38" xfId="0" applyFont="1" applyFill="1" applyBorder="1" applyAlignment="1">
      <alignment horizontal="center" vertical="center" wrapText="1"/>
    </xf>
    <xf numFmtId="0" fontId="5" fillId="18" borderId="10" xfId="0" applyFont="1" applyFill="1" applyBorder="1" applyAlignment="1">
      <alignment horizontal="center" vertical="center" wrapText="1"/>
    </xf>
    <xf numFmtId="0" fontId="136" fillId="18" borderId="0" xfId="0" applyFont="1" applyFill="1" applyBorder="1" applyAlignment="1">
      <alignment horizontal="center" vertical="center"/>
    </xf>
    <xf numFmtId="0" fontId="135" fillId="40" borderId="96" xfId="0" applyFont="1" applyFill="1" applyBorder="1" applyAlignment="1">
      <alignment horizontal="center" vertical="center"/>
    </xf>
    <xf numFmtId="0" fontId="135" fillId="40" borderId="80" xfId="0" applyFont="1" applyFill="1" applyBorder="1" applyAlignment="1">
      <alignment horizontal="center" vertical="center"/>
    </xf>
    <xf numFmtId="0" fontId="136" fillId="37" borderId="14" xfId="0" applyFont="1" applyFill="1" applyBorder="1" applyAlignment="1">
      <alignment horizontal="center" vertical="center"/>
    </xf>
    <xf numFmtId="0" fontId="136" fillId="37" borderId="7" xfId="0" applyFont="1" applyFill="1" applyBorder="1" applyAlignment="1">
      <alignment horizontal="center" vertical="center"/>
    </xf>
    <xf numFmtId="0" fontId="5" fillId="18" borderId="6" xfId="0" applyFont="1" applyFill="1" applyBorder="1" applyAlignment="1">
      <alignment horizontal="right" vertical="center"/>
    </xf>
    <xf numFmtId="0" fontId="5" fillId="18" borderId="14" xfId="0" applyFont="1" applyFill="1" applyBorder="1" applyAlignment="1">
      <alignment horizontal="right" vertical="center"/>
    </xf>
    <xf numFmtId="0" fontId="137" fillId="18" borderId="0" xfId="0" applyFont="1" applyFill="1" applyBorder="1" applyAlignment="1">
      <alignment horizontal="center" vertical="center"/>
    </xf>
    <xf numFmtId="0" fontId="5" fillId="18" borderId="0" xfId="0" applyFont="1" applyFill="1" applyBorder="1" applyAlignment="1">
      <alignment horizontal="center" vertical="center"/>
    </xf>
    <xf numFmtId="0" fontId="5" fillId="18" borderId="6" xfId="0" applyFont="1" applyFill="1" applyBorder="1" applyAlignment="1">
      <alignment horizontal="right" vertical="center" wrapText="1"/>
    </xf>
    <xf numFmtId="0" fontId="5" fillId="18" borderId="14" xfId="0" applyFont="1" applyFill="1" applyBorder="1" applyAlignment="1">
      <alignment horizontal="right" vertical="center" wrapText="1"/>
    </xf>
    <xf numFmtId="0" fontId="5" fillId="18" borderId="2" xfId="0" applyFont="1" applyFill="1" applyBorder="1" applyAlignment="1">
      <alignment horizontal="right" vertical="center" wrapText="1"/>
    </xf>
    <xf numFmtId="0" fontId="5" fillId="18" borderId="1" xfId="0" applyFont="1" applyFill="1" applyBorder="1" applyAlignment="1">
      <alignment horizontal="right" vertical="center" wrapText="1"/>
    </xf>
    <xf numFmtId="0" fontId="7" fillId="25" borderId="0" xfId="0" applyFont="1" applyFill="1" applyAlignment="1">
      <alignment horizontal="center" vertical="center" wrapText="1"/>
    </xf>
    <xf numFmtId="0" fontId="0" fillId="18" borderId="6" xfId="0" applyFill="1" applyBorder="1" applyAlignment="1">
      <alignment horizontal="center" vertical="center" wrapText="1"/>
    </xf>
    <xf numFmtId="0" fontId="0" fillId="18" borderId="14" xfId="0" applyFill="1" applyBorder="1" applyAlignment="1">
      <alignment horizontal="center" vertical="center" wrapText="1"/>
    </xf>
    <xf numFmtId="0" fontId="0" fillId="18" borderId="7" xfId="0" applyFill="1" applyBorder="1" applyAlignment="1">
      <alignment horizontal="center" vertical="center" wrapText="1"/>
    </xf>
    <xf numFmtId="0" fontId="0" fillId="16" borderId="61" xfId="0" applyFill="1" applyBorder="1" applyAlignment="1">
      <alignment horizontal="center" vertical="center" wrapText="1"/>
    </xf>
    <xf numFmtId="0" fontId="0" fillId="16" borderId="60" xfId="0" applyFill="1" applyBorder="1" applyAlignment="1">
      <alignment horizontal="center" vertical="center" wrapText="1"/>
    </xf>
    <xf numFmtId="0" fontId="0" fillId="18" borderId="60" xfId="0" applyFill="1" applyBorder="1" applyAlignment="1">
      <alignment horizontal="center" vertical="center" wrapText="1"/>
    </xf>
    <xf numFmtId="0" fontId="7" fillId="15" borderId="81" xfId="0" applyFont="1" applyFill="1" applyBorder="1" applyAlignment="1">
      <alignment horizontal="center" vertical="center" wrapText="1"/>
    </xf>
    <xf numFmtId="0" fontId="7" fillId="15" borderId="4" xfId="0" applyFont="1" applyFill="1" applyBorder="1" applyAlignment="1">
      <alignment horizontal="center" vertical="center" wrapText="1"/>
    </xf>
    <xf numFmtId="0" fontId="7" fillId="15" borderId="83" xfId="0" applyFont="1" applyFill="1" applyBorder="1" applyAlignment="1">
      <alignment horizontal="center" vertical="center" wrapText="1"/>
    </xf>
    <xf numFmtId="0" fontId="0" fillId="15" borderId="11" xfId="0" applyFill="1" applyBorder="1" applyAlignment="1">
      <alignment horizontal="center" vertical="center" wrapText="1"/>
    </xf>
    <xf numFmtId="0" fontId="0" fillId="15" borderId="12" xfId="0" applyFill="1" applyBorder="1" applyAlignment="1">
      <alignment horizontal="center" vertical="center" wrapText="1"/>
    </xf>
    <xf numFmtId="0" fontId="0" fillId="15" borderId="24" xfId="0" applyFill="1" applyBorder="1" applyAlignment="1">
      <alignment horizontal="center" vertical="center" wrapText="1"/>
    </xf>
    <xf numFmtId="0" fontId="69" fillId="18" borderId="0" xfId="0" applyFont="1" applyFill="1" applyAlignment="1">
      <alignment horizontal="center" vertical="center" wrapText="1"/>
    </xf>
    <xf numFmtId="49" fontId="5" fillId="18" borderId="21" xfId="0" applyNumberFormat="1" applyFont="1" applyFill="1" applyBorder="1" applyAlignment="1">
      <alignment horizontal="left" vertical="center" wrapText="1" indent="1"/>
    </xf>
    <xf numFmtId="49" fontId="5" fillId="18" borderId="1" xfId="0" applyNumberFormat="1" applyFont="1" applyFill="1" applyBorder="1" applyAlignment="1">
      <alignment horizontal="left" vertical="center" wrapText="1" indent="1"/>
    </xf>
    <xf numFmtId="49" fontId="5" fillId="18" borderId="3" xfId="0" applyNumberFormat="1" applyFont="1" applyFill="1" applyBorder="1" applyAlignment="1">
      <alignment horizontal="left" vertical="center" wrapText="1" indent="1"/>
    </xf>
    <xf numFmtId="3" fontId="25" fillId="15" borderId="34" xfId="0" applyNumberFormat="1" applyFont="1" applyFill="1" applyBorder="1" applyAlignment="1">
      <alignment horizontal="center" vertical="center" wrapText="1"/>
    </xf>
    <xf numFmtId="3" fontId="25" fillId="15" borderId="14" xfId="0" applyNumberFormat="1" applyFont="1" applyFill="1" applyBorder="1" applyAlignment="1">
      <alignment horizontal="center" vertical="center" wrapText="1"/>
    </xf>
    <xf numFmtId="3" fontId="25" fillId="15" borderId="7" xfId="0" applyNumberFormat="1" applyFont="1" applyFill="1" applyBorder="1" applyAlignment="1">
      <alignment horizontal="center" vertical="center" wrapText="1"/>
    </xf>
    <xf numFmtId="49" fontId="5" fillId="18" borderId="22" xfId="0" applyNumberFormat="1" applyFont="1" applyFill="1" applyBorder="1" applyAlignment="1">
      <alignment horizontal="left" vertical="center" wrapText="1" indent="1"/>
    </xf>
    <xf numFmtId="49" fontId="5" fillId="18" borderId="13" xfId="0" applyNumberFormat="1" applyFont="1" applyFill="1" applyBorder="1" applyAlignment="1">
      <alignment horizontal="left" vertical="center" wrapText="1" indent="1"/>
    </xf>
    <xf numFmtId="49" fontId="5" fillId="18" borderId="5" xfId="0" applyNumberFormat="1" applyFont="1" applyFill="1" applyBorder="1" applyAlignment="1">
      <alignment horizontal="left" vertical="center" wrapText="1" indent="1"/>
    </xf>
    <xf numFmtId="0" fontId="5" fillId="18" borderId="4" xfId="0" applyFont="1" applyFill="1" applyBorder="1" applyAlignment="1">
      <alignment horizontal="left" vertical="center" wrapText="1" indent="1"/>
    </xf>
    <xf numFmtId="0" fontId="5" fillId="18" borderId="13" xfId="0" applyFont="1" applyFill="1" applyBorder="1" applyAlignment="1">
      <alignment horizontal="left" vertical="center" wrapText="1" indent="1"/>
    </xf>
    <xf numFmtId="0" fontId="5" fillId="18" borderId="5" xfId="0" applyFont="1" applyFill="1" applyBorder="1" applyAlignment="1">
      <alignment horizontal="left" vertical="center" wrapText="1" indent="1"/>
    </xf>
    <xf numFmtId="49" fontId="5" fillId="16" borderId="21" xfId="0" applyNumberFormat="1" applyFont="1" applyFill="1" applyBorder="1" applyAlignment="1">
      <alignment horizontal="left" vertical="center" wrapText="1" indent="1"/>
    </xf>
    <xf numFmtId="49" fontId="5" fillId="16" borderId="1" xfId="0" applyNumberFormat="1" applyFont="1" applyFill="1" applyBorder="1" applyAlignment="1">
      <alignment horizontal="left" vertical="center" wrapText="1" indent="1"/>
    </xf>
    <xf numFmtId="49" fontId="5" fillId="16" borderId="3" xfId="0" applyNumberFormat="1" applyFont="1" applyFill="1" applyBorder="1" applyAlignment="1">
      <alignment horizontal="left" vertical="center" wrapText="1" indent="1"/>
    </xf>
    <xf numFmtId="0" fontId="5" fillId="18" borderId="9" xfId="0" applyFont="1" applyFill="1" applyBorder="1" applyAlignment="1">
      <alignment horizontal="left" vertical="center" wrapText="1" indent="1"/>
    </xf>
    <xf numFmtId="0" fontId="5" fillId="18" borderId="15" xfId="0" applyFont="1" applyFill="1" applyBorder="1" applyAlignment="1">
      <alignment horizontal="left" vertical="center" wrapText="1" indent="1"/>
    </xf>
    <xf numFmtId="0" fontId="5" fillId="18" borderId="8" xfId="0" applyFont="1" applyFill="1" applyBorder="1" applyAlignment="1">
      <alignment horizontal="left" vertical="center" wrapText="1" indent="1"/>
    </xf>
    <xf numFmtId="0" fontId="5" fillId="16" borderId="2" xfId="0" applyFont="1" applyFill="1" applyBorder="1" applyAlignment="1">
      <alignment horizontal="left" vertical="center" wrapText="1" indent="1"/>
    </xf>
    <xf numFmtId="0" fontId="5" fillId="16" borderId="1" xfId="0" applyFont="1" applyFill="1" applyBorder="1" applyAlignment="1">
      <alignment horizontal="left" vertical="center" wrapText="1" indent="1"/>
    </xf>
    <xf numFmtId="0" fontId="5" fillId="16" borderId="3" xfId="0" applyFont="1" applyFill="1" applyBorder="1" applyAlignment="1">
      <alignment horizontal="left" vertical="center" wrapText="1" indent="1"/>
    </xf>
    <xf numFmtId="0" fontId="5" fillId="18" borderId="2" xfId="0" applyFont="1" applyFill="1" applyBorder="1" applyAlignment="1">
      <alignment horizontal="left" vertical="center" wrapText="1" indent="1"/>
    </xf>
    <xf numFmtId="0" fontId="5" fillId="18" borderId="1" xfId="0" applyFont="1" applyFill="1" applyBorder="1" applyAlignment="1">
      <alignment horizontal="left" vertical="center" wrapText="1" indent="1"/>
    </xf>
    <xf numFmtId="0" fontId="5" fillId="18" borderId="3" xfId="0" applyFont="1" applyFill="1" applyBorder="1" applyAlignment="1">
      <alignment horizontal="left" vertical="center" wrapText="1" indent="1"/>
    </xf>
    <xf numFmtId="49" fontId="5" fillId="18" borderId="23" xfId="0" applyNumberFormat="1" applyFont="1" applyFill="1" applyBorder="1" applyAlignment="1">
      <alignment horizontal="left" vertical="center" wrapText="1" indent="1"/>
    </xf>
    <xf numFmtId="49" fontId="5" fillId="18" borderId="15" xfId="0" applyNumberFormat="1" applyFont="1" applyFill="1" applyBorder="1" applyAlignment="1">
      <alignment horizontal="left" vertical="center" wrapText="1" indent="1"/>
    </xf>
    <xf numFmtId="49" fontId="5" fillId="18" borderId="8" xfId="0" applyNumberFormat="1" applyFont="1" applyFill="1" applyBorder="1" applyAlignment="1">
      <alignment horizontal="left" vertical="center" wrapText="1" indent="1"/>
    </xf>
    <xf numFmtId="0" fontId="25" fillId="15" borderId="6" xfId="0" applyFont="1" applyFill="1" applyBorder="1" applyAlignment="1">
      <alignment horizontal="center" vertical="center" wrapText="1"/>
    </xf>
    <xf numFmtId="0" fontId="25" fillId="15" borderId="14" xfId="0" applyFont="1" applyFill="1" applyBorder="1" applyAlignment="1">
      <alignment horizontal="center" vertical="center" wrapText="1"/>
    </xf>
    <xf numFmtId="0" fontId="25" fillId="15" borderId="7" xfId="0" applyFont="1" applyFill="1" applyBorder="1" applyAlignment="1">
      <alignment horizontal="center" vertical="center" wrapText="1"/>
    </xf>
    <xf numFmtId="0" fontId="0" fillId="18" borderId="0" xfId="0" applyNumberFormat="1" applyFill="1" applyBorder="1" applyAlignment="1">
      <alignment horizontal="left" vertical="center" wrapText="1"/>
    </xf>
    <xf numFmtId="0" fontId="0" fillId="18" borderId="0" xfId="0" applyNumberFormat="1" applyFill="1" applyBorder="1" applyAlignment="1">
      <alignment horizontal="left" vertical="center"/>
    </xf>
    <xf numFmtId="0" fontId="5" fillId="18" borderId="60" xfId="0" applyFont="1" applyFill="1" applyBorder="1" applyAlignment="1">
      <alignment horizontal="left" vertical="center" wrapText="1"/>
    </xf>
    <xf numFmtId="0" fontId="5" fillId="18" borderId="27" xfId="0" applyFont="1" applyFill="1" applyBorder="1" applyAlignment="1">
      <alignment horizontal="left" vertical="center" wrapText="1"/>
    </xf>
    <xf numFmtId="0" fontId="5" fillId="18" borderId="32" xfId="0" applyFont="1" applyFill="1" applyBorder="1" applyAlignment="1">
      <alignment horizontal="left" vertical="center" wrapText="1"/>
    </xf>
    <xf numFmtId="0" fontId="5" fillId="18" borderId="42" xfId="0" applyFont="1" applyFill="1" applyBorder="1" applyAlignment="1">
      <alignment horizontal="left" vertical="center" wrapText="1"/>
    </xf>
    <xf numFmtId="0" fontId="5" fillId="18" borderId="21" xfId="0" applyFont="1" applyFill="1" applyBorder="1" applyAlignment="1">
      <alignment horizontal="left" vertical="center" wrapText="1"/>
    </xf>
    <xf numFmtId="0" fontId="5" fillId="16" borderId="43" xfId="0" applyFont="1" applyFill="1" applyBorder="1" applyAlignment="1">
      <alignment horizontal="left" vertical="center" wrapText="1"/>
    </xf>
    <xf numFmtId="0" fontId="5" fillId="16" borderId="22" xfId="0" applyFont="1" applyFill="1" applyBorder="1" applyAlignment="1">
      <alignment horizontal="left" vertical="center" wrapText="1"/>
    </xf>
    <xf numFmtId="0" fontId="5" fillId="16" borderId="42" xfId="0" applyFont="1" applyFill="1" applyBorder="1" applyAlignment="1">
      <alignment horizontal="left" vertical="center" wrapText="1"/>
    </xf>
    <xf numFmtId="0" fontId="5" fillId="16" borderId="21" xfId="0" applyFont="1" applyFill="1" applyBorder="1" applyAlignment="1">
      <alignment horizontal="left" vertical="center" wrapText="1"/>
    </xf>
    <xf numFmtId="0" fontId="0" fillId="18" borderId="0" xfId="0" applyNumberFormat="1" applyFill="1" applyBorder="1" applyAlignment="1">
      <alignment horizontal="right" vertical="center"/>
    </xf>
    <xf numFmtId="0" fontId="25" fillId="25" borderId="0" xfId="0" applyFont="1" applyFill="1" applyBorder="1" applyAlignment="1">
      <alignment horizontal="left" vertical="center"/>
    </xf>
    <xf numFmtId="0" fontId="25" fillId="25" borderId="0" xfId="0" quotePrefix="1" applyFont="1" applyFill="1" applyBorder="1" applyAlignment="1">
      <alignment horizontal="left" vertical="center"/>
    </xf>
    <xf numFmtId="0" fontId="25" fillId="25" borderId="93" xfId="0" quotePrefix="1" applyFont="1" applyFill="1" applyBorder="1" applyAlignment="1">
      <alignment horizontal="left" vertical="center"/>
    </xf>
    <xf numFmtId="0" fontId="25" fillId="25" borderId="92" xfId="0" applyFont="1" applyFill="1" applyBorder="1" applyAlignment="1">
      <alignment horizontal="left" vertical="center"/>
    </xf>
    <xf numFmtId="0" fontId="0" fillId="25" borderId="92" xfId="0" applyFill="1" applyBorder="1" applyAlignment="1">
      <alignment vertical="center"/>
    </xf>
    <xf numFmtId="0" fontId="0" fillId="25" borderId="41" xfId="0" applyFill="1" applyBorder="1" applyAlignment="1">
      <alignment vertical="center"/>
    </xf>
    <xf numFmtId="0" fontId="0" fillId="25" borderId="0" xfId="0" applyFill="1" applyAlignment="1">
      <alignment vertical="center"/>
    </xf>
    <xf numFmtId="0" fontId="0" fillId="25" borderId="93" xfId="0" applyFill="1" applyBorder="1" applyAlignment="1">
      <alignment vertical="center"/>
    </xf>
    <xf numFmtId="0" fontId="30" fillId="25" borderId="58" xfId="0" applyFont="1" applyFill="1" applyBorder="1" applyAlignment="1">
      <alignment horizontal="left" vertical="center"/>
    </xf>
    <xf numFmtId="0" fontId="30" fillId="25" borderId="58" xfId="0" quotePrefix="1" applyFont="1" applyFill="1" applyBorder="1" applyAlignment="1">
      <alignment horizontal="left" vertical="center"/>
    </xf>
    <xf numFmtId="0" fontId="30" fillId="25" borderId="23" xfId="0" quotePrefix="1" applyFont="1" applyFill="1" applyBorder="1" applyAlignment="1">
      <alignment horizontal="left" vertical="center"/>
    </xf>
    <xf numFmtId="0" fontId="30" fillId="25" borderId="23" xfId="0" applyFont="1" applyFill="1" applyBorder="1" applyAlignment="1">
      <alignment horizontal="left" vertical="center"/>
    </xf>
    <xf numFmtId="0" fontId="5" fillId="25" borderId="0" xfId="0" quotePrefix="1" applyFont="1" applyFill="1" applyBorder="1" applyAlignment="1">
      <alignment horizontal="left" vertical="center"/>
    </xf>
    <xf numFmtId="0" fontId="5" fillId="25" borderId="93" xfId="0" quotePrefix="1" applyFont="1" applyFill="1" applyBorder="1" applyAlignment="1">
      <alignment horizontal="left" vertical="center"/>
    </xf>
    <xf numFmtId="0" fontId="30" fillId="25" borderId="0" xfId="0" applyFont="1" applyFill="1" applyBorder="1" applyAlignment="1">
      <alignment horizontal="left" vertical="center"/>
    </xf>
    <xf numFmtId="0" fontId="30" fillId="25" borderId="93" xfId="0" applyFont="1" applyFill="1" applyBorder="1" applyAlignment="1">
      <alignment horizontal="left" vertical="center"/>
    </xf>
    <xf numFmtId="0" fontId="7" fillId="25" borderId="0" xfId="0" applyFont="1" applyFill="1" applyAlignment="1">
      <alignment vertical="center"/>
    </xf>
    <xf numFmtId="0" fontId="7" fillId="25" borderId="93" xfId="0" applyFont="1" applyFill="1" applyBorder="1" applyAlignment="1">
      <alignment vertical="center"/>
    </xf>
    <xf numFmtId="0" fontId="5" fillId="16" borderId="60" xfId="0" applyFont="1" applyFill="1" applyBorder="1" applyAlignment="1">
      <alignment horizontal="left" vertical="center" wrapText="1"/>
    </xf>
    <xf numFmtId="0" fontId="5" fillId="16" borderId="27" xfId="0" applyFont="1" applyFill="1" applyBorder="1" applyAlignment="1">
      <alignment horizontal="left" vertical="center" wrapText="1"/>
    </xf>
    <xf numFmtId="0" fontId="5" fillId="16" borderId="32" xfId="0" applyFont="1" applyFill="1" applyBorder="1" applyAlignment="1">
      <alignment horizontal="left" vertical="center" wrapText="1"/>
    </xf>
    <xf numFmtId="0" fontId="0" fillId="25" borderId="58" xfId="0" applyFill="1" applyBorder="1" applyAlignment="1">
      <alignment vertical="center"/>
    </xf>
    <xf numFmtId="0" fontId="0" fillId="25" borderId="23" xfId="0" applyFill="1" applyBorder="1" applyAlignment="1">
      <alignment vertical="center"/>
    </xf>
    <xf numFmtId="0" fontId="5" fillId="16" borderId="87" xfId="0" applyFont="1" applyFill="1" applyBorder="1" applyAlignment="1">
      <alignment horizontal="left" vertical="center" wrapText="1"/>
    </xf>
    <xf numFmtId="0" fontId="5" fillId="16" borderId="67" xfId="0" applyFont="1" applyFill="1" applyBorder="1" applyAlignment="1">
      <alignment horizontal="left" vertical="center" wrapText="1"/>
    </xf>
    <xf numFmtId="0" fontId="5" fillId="16" borderId="85" xfId="0" applyFont="1" applyFill="1" applyBorder="1" applyAlignment="1">
      <alignment horizontal="left" vertical="center" wrapText="1"/>
    </xf>
    <xf numFmtId="0" fontId="5" fillId="18" borderId="81" xfId="0" applyFont="1" applyFill="1" applyBorder="1" applyAlignment="1">
      <alignment horizontal="left" vertical="center" wrapText="1"/>
    </xf>
    <xf numFmtId="0" fontId="5" fillId="18" borderId="26" xfId="0" applyFont="1" applyFill="1" applyBorder="1" applyAlignment="1">
      <alignment horizontal="left" vertical="center" wrapText="1"/>
    </xf>
    <xf numFmtId="0" fontId="5" fillId="18" borderId="31" xfId="0" applyFont="1" applyFill="1" applyBorder="1" applyAlignment="1">
      <alignment horizontal="left" vertical="center" wrapText="1"/>
    </xf>
    <xf numFmtId="0" fontId="5" fillId="18" borderId="0" xfId="0" applyFont="1" applyFill="1" applyAlignment="1">
      <alignment horizontal="center" vertical="center"/>
    </xf>
    <xf numFmtId="0" fontId="5" fillId="18" borderId="67" xfId="0" applyFont="1" applyFill="1" applyBorder="1" applyAlignment="1">
      <alignment horizontal="left" vertical="center" wrapText="1"/>
    </xf>
    <xf numFmtId="0" fontId="25" fillId="15" borderId="90" xfId="0" applyFont="1" applyFill="1" applyBorder="1" applyAlignment="1">
      <alignment horizontal="center" vertical="center" wrapText="1"/>
    </xf>
    <xf numFmtId="0" fontId="25" fillId="15" borderId="30" xfId="0" applyFont="1" applyFill="1" applyBorder="1" applyAlignment="1">
      <alignment horizontal="center" vertical="center" wrapText="1"/>
    </xf>
    <xf numFmtId="0" fontId="25" fillId="15" borderId="34" xfId="0" applyFont="1" applyFill="1" applyBorder="1" applyAlignment="1">
      <alignment horizontal="center" vertical="center" wrapText="1"/>
    </xf>
    <xf numFmtId="0" fontId="5" fillId="18" borderId="44" xfId="0" applyFont="1" applyFill="1" applyBorder="1" applyAlignment="1">
      <alignment horizontal="left" vertical="center" wrapText="1"/>
    </xf>
    <xf numFmtId="0" fontId="5" fillId="18" borderId="20" xfId="0" applyFont="1" applyFill="1" applyBorder="1" applyAlignment="1">
      <alignment horizontal="left" vertical="center" wrapText="1"/>
    </xf>
    <xf numFmtId="3" fontId="5" fillId="16" borderId="60" xfId="0" applyNumberFormat="1" applyFont="1" applyFill="1" applyBorder="1" applyAlignment="1">
      <alignment horizontal="left" vertical="center" wrapText="1"/>
    </xf>
    <xf numFmtId="3" fontId="5" fillId="16" borderId="27" xfId="0" applyNumberFormat="1" applyFont="1" applyFill="1" applyBorder="1" applyAlignment="1">
      <alignment horizontal="left" vertical="center" wrapText="1"/>
    </xf>
    <xf numFmtId="3" fontId="5" fillId="16" borderId="32" xfId="0" applyNumberFormat="1" applyFont="1" applyFill="1" applyBorder="1" applyAlignment="1">
      <alignment horizontal="left" vertical="center" wrapText="1"/>
    </xf>
    <xf numFmtId="3" fontId="5" fillId="18" borderId="60" xfId="0" applyNumberFormat="1" applyFont="1" applyFill="1" applyBorder="1" applyAlignment="1">
      <alignment horizontal="left" vertical="center" wrapText="1"/>
    </xf>
    <xf numFmtId="3" fontId="5" fillId="18" borderId="27" xfId="0" applyNumberFormat="1" applyFont="1" applyFill="1" applyBorder="1" applyAlignment="1">
      <alignment horizontal="left" vertical="center" wrapText="1"/>
    </xf>
    <xf numFmtId="3" fontId="5" fillId="18" borderId="32" xfId="0" applyNumberFormat="1" applyFont="1" applyFill="1" applyBorder="1" applyAlignment="1">
      <alignment horizontal="left" vertical="center" wrapText="1"/>
    </xf>
    <xf numFmtId="3" fontId="5" fillId="16" borderId="83" xfId="0" applyNumberFormat="1" applyFont="1" applyFill="1" applyBorder="1" applyAlignment="1">
      <alignment horizontal="left" vertical="center" wrapText="1"/>
    </xf>
    <xf numFmtId="3" fontId="5" fillId="16" borderId="28" xfId="0" applyNumberFormat="1" applyFont="1" applyFill="1" applyBorder="1" applyAlignment="1">
      <alignment horizontal="left" vertical="center" wrapText="1"/>
    </xf>
    <xf numFmtId="3" fontId="5" fillId="16" borderId="33" xfId="0" applyNumberFormat="1" applyFont="1" applyFill="1" applyBorder="1" applyAlignment="1">
      <alignment horizontal="left" vertical="center" wrapText="1"/>
    </xf>
    <xf numFmtId="0" fontId="5" fillId="18" borderId="21" xfId="0" applyFont="1" applyFill="1" applyBorder="1" applyAlignment="1">
      <alignment horizontal="center" vertical="center" wrapText="1"/>
    </xf>
    <xf numFmtId="0" fontId="5" fillId="18" borderId="1" xfId="0" applyFont="1" applyFill="1" applyBorder="1" applyAlignment="1">
      <alignment horizontal="center" vertical="center" wrapText="1"/>
    </xf>
    <xf numFmtId="0" fontId="5" fillId="16" borderId="21"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5" fillId="16" borderId="22" xfId="0" applyFont="1" applyFill="1" applyBorder="1" applyAlignment="1">
      <alignment horizontal="center" vertical="center" wrapText="1"/>
    </xf>
    <xf numFmtId="0" fontId="5" fillId="16" borderId="13" xfId="0" applyFont="1" applyFill="1" applyBorder="1" applyAlignment="1">
      <alignment horizontal="center" vertical="center" wrapText="1"/>
    </xf>
    <xf numFmtId="0" fontId="5" fillId="18" borderId="23" xfId="0" applyFont="1" applyFill="1" applyBorder="1" applyAlignment="1">
      <alignment horizontal="center" vertical="center" wrapText="1"/>
    </xf>
    <xf numFmtId="0" fontId="5" fillId="18" borderId="15" xfId="0" applyFont="1" applyFill="1" applyBorder="1" applyAlignment="1">
      <alignment horizontal="center" vertical="center" wrapText="1"/>
    </xf>
    <xf numFmtId="3" fontId="5" fillId="18" borderId="50" xfId="0" applyNumberFormat="1" applyFont="1" applyFill="1" applyBorder="1" applyAlignment="1">
      <alignment horizontal="left" vertical="center" wrapText="1"/>
    </xf>
    <xf numFmtId="3" fontId="5" fillId="18" borderId="58" xfId="0" applyNumberFormat="1" applyFont="1" applyFill="1" applyBorder="1" applyAlignment="1">
      <alignment horizontal="left" vertical="center" wrapText="1"/>
    </xf>
    <xf numFmtId="3" fontId="5" fillId="18" borderId="57" xfId="0" applyNumberFormat="1" applyFont="1" applyFill="1" applyBorder="1" applyAlignment="1">
      <alignment horizontal="left" vertical="center" wrapText="1"/>
    </xf>
    <xf numFmtId="0" fontId="7" fillId="18" borderId="0" xfId="0" applyFont="1" applyFill="1" applyAlignment="1">
      <alignment horizontal="center" vertical="center"/>
    </xf>
    <xf numFmtId="0" fontId="0" fillId="18" borderId="0" xfId="0" applyNumberFormat="1" applyFill="1" applyAlignment="1">
      <alignment horizontal="left" vertical="center" wrapText="1"/>
    </xf>
    <xf numFmtId="0" fontId="0" fillId="18" borderId="0" xfId="0" applyNumberFormat="1" applyFill="1" applyAlignment="1">
      <alignment horizontal="left" vertical="center" wrapText="1" indent="2"/>
    </xf>
    <xf numFmtId="0" fontId="0" fillId="18" borderId="88" xfId="0" applyFill="1" applyBorder="1" applyAlignment="1">
      <alignment horizontal="left" vertical="center" wrapText="1"/>
    </xf>
    <xf numFmtId="0" fontId="7" fillId="18" borderId="0" xfId="0" applyNumberFormat="1" applyFont="1" applyFill="1" applyAlignment="1">
      <alignment horizontal="left" vertical="center" wrapText="1"/>
    </xf>
    <xf numFmtId="0" fontId="17" fillId="18" borderId="0" xfId="0" applyNumberFormat="1" applyFont="1" applyFill="1" applyAlignment="1">
      <alignment horizontal="left" vertical="center" wrapText="1"/>
    </xf>
    <xf numFmtId="0" fontId="10" fillId="18" borderId="0" xfId="0" applyFont="1" applyFill="1" applyAlignment="1">
      <alignment horizontal="left" vertical="center"/>
    </xf>
    <xf numFmtId="0" fontId="0" fillId="18" borderId="0" xfId="0" applyFill="1" applyAlignment="1">
      <alignment horizontal="left" vertical="center" wrapText="1" indent="5"/>
    </xf>
    <xf numFmtId="0" fontId="5" fillId="18" borderId="0" xfId="0" applyFont="1" applyFill="1" applyBorder="1" applyAlignment="1">
      <alignment horizontal="left" vertical="center"/>
    </xf>
    <xf numFmtId="0" fontId="25" fillId="15" borderId="52" xfId="0" applyFont="1" applyFill="1" applyBorder="1" applyAlignment="1">
      <alignment horizontal="center" vertical="center"/>
    </xf>
    <xf numFmtId="0" fontId="25" fillId="15" borderId="53" xfId="0" applyFont="1" applyFill="1" applyBorder="1" applyAlignment="1">
      <alignment horizontal="center" vertical="center"/>
    </xf>
    <xf numFmtId="0" fontId="25" fillId="15" borderId="48" xfId="0" applyFont="1" applyFill="1" applyBorder="1" applyAlignment="1">
      <alignment horizontal="center" vertical="center"/>
    </xf>
    <xf numFmtId="0" fontId="5" fillId="18" borderId="9" xfId="0" applyFont="1" applyFill="1" applyBorder="1" applyAlignment="1">
      <alignment horizontal="left" vertical="center"/>
    </xf>
    <xf numFmtId="0" fontId="5" fillId="16" borderId="2" xfId="0" applyFont="1" applyFill="1" applyBorder="1" applyAlignment="1">
      <alignment horizontal="left" vertical="center"/>
    </xf>
    <xf numFmtId="0" fontId="5" fillId="16" borderId="1" xfId="0" applyFont="1" applyFill="1" applyBorder="1" applyAlignment="1">
      <alignment horizontal="left" vertical="center"/>
    </xf>
    <xf numFmtId="0" fontId="5" fillId="18" borderId="2" xfId="0" applyFont="1" applyFill="1" applyBorder="1" applyAlignment="1">
      <alignment horizontal="left" vertical="center"/>
    </xf>
    <xf numFmtId="0" fontId="5" fillId="18" borderId="1" xfId="0" applyFont="1" applyFill="1" applyBorder="1" applyAlignment="1">
      <alignment horizontal="left" vertical="center"/>
    </xf>
    <xf numFmtId="0" fontId="5" fillId="18" borderId="4" xfId="0" applyFont="1" applyFill="1" applyBorder="1" applyAlignment="1">
      <alignment horizontal="left" vertical="center"/>
    </xf>
    <xf numFmtId="0" fontId="5" fillId="18" borderId="13" xfId="0" applyFont="1" applyFill="1" applyBorder="1" applyAlignment="1">
      <alignment horizontal="left" vertical="center"/>
    </xf>
    <xf numFmtId="0" fontId="7" fillId="15" borderId="6" xfId="0" applyFont="1" applyFill="1" applyBorder="1" applyAlignment="1">
      <alignment horizontal="center" vertical="center"/>
    </xf>
    <xf numFmtId="0" fontId="7" fillId="15" borderId="7" xfId="0" applyFont="1" applyFill="1" applyBorder="1" applyAlignment="1">
      <alignment horizontal="center" vertical="center"/>
    </xf>
    <xf numFmtId="0" fontId="7" fillId="15" borderId="44" xfId="0" applyNumberFormat="1" applyFont="1" applyFill="1" applyBorder="1" applyAlignment="1">
      <alignment horizontal="center" vertical="center"/>
    </xf>
    <xf numFmtId="0" fontId="7" fillId="15" borderId="43" xfId="0" applyNumberFormat="1" applyFont="1" applyFill="1" applyBorder="1" applyAlignment="1">
      <alignment horizontal="center" vertical="center"/>
    </xf>
    <xf numFmtId="0" fontId="7" fillId="15" borderId="39" xfId="0" applyFont="1" applyFill="1" applyBorder="1" applyAlignment="1">
      <alignment horizontal="center" vertical="center" wrapText="1"/>
    </xf>
    <xf numFmtId="0" fontId="7" fillId="15" borderId="80" xfId="0" applyFont="1" applyFill="1" applyBorder="1" applyAlignment="1">
      <alignment horizontal="center" vertical="center" wrapText="1"/>
    </xf>
    <xf numFmtId="0" fontId="7" fillId="15" borderId="16" xfId="0" applyNumberFormat="1" applyFont="1" applyFill="1" applyBorder="1" applyAlignment="1">
      <alignment horizontal="center" vertical="center"/>
    </xf>
    <xf numFmtId="0" fontId="7" fillId="15" borderId="18" xfId="0" applyNumberFormat="1" applyFont="1" applyFill="1" applyBorder="1" applyAlignment="1">
      <alignment horizontal="center" vertical="center"/>
    </xf>
    <xf numFmtId="0" fontId="7" fillId="15" borderId="11" xfId="0" applyNumberFormat="1" applyFont="1" applyFill="1" applyBorder="1" applyAlignment="1">
      <alignment horizontal="center" vertical="center"/>
    </xf>
    <xf numFmtId="0" fontId="7" fillId="15" borderId="4" xfId="0" applyNumberFormat="1" applyFont="1" applyFill="1" applyBorder="1" applyAlignment="1">
      <alignment horizontal="center" vertical="center"/>
    </xf>
    <xf numFmtId="0" fontId="7" fillId="15" borderId="12" xfId="0" applyNumberFormat="1" applyFont="1" applyFill="1" applyBorder="1" applyAlignment="1">
      <alignment horizontal="center" vertical="center"/>
    </xf>
    <xf numFmtId="0" fontId="7" fillId="15" borderId="13" xfId="0" applyNumberFormat="1" applyFont="1" applyFill="1" applyBorder="1" applyAlignment="1">
      <alignment horizontal="center" vertical="center"/>
    </xf>
    <xf numFmtId="0" fontId="7" fillId="15" borderId="12" xfId="0" applyFont="1" applyFill="1" applyBorder="1" applyAlignment="1">
      <alignment horizontal="center" vertical="center"/>
    </xf>
    <xf numFmtId="0" fontId="0" fillId="16" borderId="43" xfId="0" applyFill="1" applyBorder="1" applyAlignment="1">
      <alignment horizontal="center" vertical="center" wrapText="1"/>
    </xf>
    <xf numFmtId="0" fontId="0" fillId="16" borderId="28" xfId="0" applyFill="1" applyBorder="1" applyAlignment="1">
      <alignment horizontal="center" vertical="center" wrapText="1"/>
    </xf>
    <xf numFmtId="0" fontId="0" fillId="16" borderId="33" xfId="0" applyFill="1" applyBorder="1" applyAlignment="1">
      <alignment horizontal="center" vertical="center" wrapText="1"/>
    </xf>
    <xf numFmtId="9" fontId="5" fillId="18" borderId="0" xfId="0" applyNumberFormat="1" applyFont="1" applyFill="1" applyBorder="1" applyAlignment="1">
      <alignment horizontal="left" vertical="center"/>
    </xf>
    <xf numFmtId="0" fontId="33" fillId="15" borderId="90" xfId="0" applyFont="1" applyFill="1" applyBorder="1" applyAlignment="1">
      <alignment horizontal="center" vertical="center" wrapText="1"/>
    </xf>
    <xf numFmtId="0" fontId="33" fillId="15" borderId="30" xfId="0" applyFont="1" applyFill="1" applyBorder="1" applyAlignment="1">
      <alignment horizontal="center" vertical="center" wrapText="1"/>
    </xf>
    <xf numFmtId="0" fontId="5" fillId="16" borderId="13" xfId="0" applyFont="1" applyFill="1" applyBorder="1" applyAlignment="1">
      <alignment horizontal="center" vertical="center"/>
    </xf>
    <xf numFmtId="0" fontId="5" fillId="16" borderId="5" xfId="0" applyFont="1" applyFill="1" applyBorder="1" applyAlignment="1">
      <alignment horizontal="center" vertical="center"/>
    </xf>
    <xf numFmtId="0" fontId="26" fillId="18" borderId="60" xfId="0" applyFont="1" applyFill="1" applyBorder="1" applyAlignment="1">
      <alignment horizontal="center" vertical="center" wrapText="1"/>
    </xf>
    <xf numFmtId="0" fontId="26" fillId="18" borderId="32" xfId="0" applyFont="1" applyFill="1" applyBorder="1" applyAlignment="1">
      <alignment horizontal="center" vertical="center" wrapText="1"/>
    </xf>
    <xf numFmtId="0" fontId="26" fillId="18" borderId="81" xfId="0" applyFont="1" applyFill="1" applyBorder="1" applyAlignment="1">
      <alignment horizontal="center" vertical="center" wrapText="1"/>
    </xf>
    <xf numFmtId="0" fontId="26" fillId="18" borderId="31" xfId="0" applyFont="1" applyFill="1" applyBorder="1" applyAlignment="1">
      <alignment horizontal="center" vertical="center" wrapText="1"/>
    </xf>
    <xf numFmtId="0" fontId="26" fillId="16" borderId="60" xfId="0" applyFont="1" applyFill="1" applyBorder="1" applyAlignment="1">
      <alignment horizontal="center" vertical="center" wrapText="1"/>
    </xf>
    <xf numFmtId="0" fontId="26" fillId="16" borderId="32" xfId="0" applyFont="1" applyFill="1" applyBorder="1" applyAlignment="1">
      <alignment horizontal="center" vertical="center" wrapText="1"/>
    </xf>
    <xf numFmtId="0" fontId="5" fillId="18" borderId="15" xfId="0" applyFont="1" applyFill="1" applyBorder="1" applyAlignment="1">
      <alignment horizontal="center" vertical="center"/>
    </xf>
    <xf numFmtId="0" fontId="5" fillId="18" borderId="8" xfId="0" applyFont="1" applyFill="1" applyBorder="1" applyAlignment="1">
      <alignment horizontal="center" vertical="center"/>
    </xf>
    <xf numFmtId="0" fontId="42" fillId="18" borderId="0" xfId="0" applyFont="1" applyFill="1" applyAlignment="1">
      <alignment horizontal="right" vertical="center" wrapText="1"/>
    </xf>
    <xf numFmtId="9" fontId="5" fillId="18" borderId="0" xfId="0" applyNumberFormat="1" applyFont="1" applyFill="1" applyBorder="1" applyAlignment="1">
      <alignment horizontal="left" vertical="center" wrapText="1"/>
    </xf>
    <xf numFmtId="0" fontId="5" fillId="18" borderId="0" xfId="0" applyFont="1" applyFill="1" applyAlignment="1">
      <alignment horizontal="center" vertical="center" wrapText="1"/>
    </xf>
    <xf numFmtId="0" fontId="5" fillId="18" borderId="0" xfId="0" applyFont="1" applyFill="1" applyAlignment="1">
      <alignment horizontal="center" vertical="top" wrapText="1"/>
    </xf>
    <xf numFmtId="0" fontId="26" fillId="18" borderId="50" xfId="0" applyFont="1" applyFill="1" applyBorder="1" applyAlignment="1">
      <alignment horizontal="center" vertical="center" wrapText="1"/>
    </xf>
    <xf numFmtId="0" fontId="26" fillId="18" borderId="57" xfId="0" applyFont="1" applyFill="1" applyBorder="1" applyAlignment="1">
      <alignment horizontal="center" vertical="center" wrapText="1"/>
    </xf>
    <xf numFmtId="0" fontId="26" fillId="16" borderId="83" xfId="0" applyFont="1" applyFill="1" applyBorder="1" applyAlignment="1">
      <alignment horizontal="center" vertical="center" wrapText="1"/>
    </xf>
    <xf numFmtId="0" fontId="26" fillId="16" borderId="33" xfId="0" applyFont="1" applyFill="1" applyBorder="1" applyAlignment="1">
      <alignment horizontal="center" vertical="center" wrapText="1"/>
    </xf>
    <xf numFmtId="0" fontId="25" fillId="15" borderId="14" xfId="0" applyFont="1" applyFill="1" applyBorder="1" applyAlignment="1">
      <alignment horizontal="center" vertical="center"/>
    </xf>
    <xf numFmtId="0" fontId="25" fillId="15" borderId="7" xfId="0" applyFont="1" applyFill="1" applyBorder="1" applyAlignment="1">
      <alignment horizontal="center" vertical="center"/>
    </xf>
    <xf numFmtId="0" fontId="33" fillId="15" borderId="81" xfId="0" applyFont="1" applyFill="1" applyBorder="1" applyAlignment="1">
      <alignment horizontal="center" vertical="center" wrapText="1"/>
    </xf>
    <xf numFmtId="0" fontId="33" fillId="15" borderId="31" xfId="0" applyFont="1" applyFill="1" applyBorder="1" applyAlignment="1">
      <alignment horizontal="center" vertical="center" wrapText="1"/>
    </xf>
    <xf numFmtId="0" fontId="26" fillId="18" borderId="83" xfId="0" applyFont="1" applyFill="1" applyBorder="1" applyAlignment="1">
      <alignment horizontal="center" vertical="center" wrapText="1"/>
    </xf>
    <xf numFmtId="0" fontId="26" fillId="18" borderId="33" xfId="0" applyFont="1" applyFill="1" applyBorder="1" applyAlignment="1">
      <alignment horizontal="center" vertical="center" wrapText="1"/>
    </xf>
    <xf numFmtId="0" fontId="5" fillId="18" borderId="0" xfId="0" applyFont="1" applyFill="1" applyAlignment="1">
      <alignment horizontal="right" vertical="center"/>
    </xf>
    <xf numFmtId="0" fontId="5" fillId="18" borderId="9" xfId="0" applyFont="1" applyFill="1" applyBorder="1" applyAlignment="1">
      <alignment horizontal="center" vertical="center" wrapText="1"/>
    </xf>
    <xf numFmtId="0" fontId="5" fillId="18" borderId="8"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16" borderId="4" xfId="0" applyFont="1" applyFill="1" applyBorder="1" applyAlignment="1">
      <alignment horizontal="center" vertical="center" wrapText="1"/>
    </xf>
    <xf numFmtId="0" fontId="5" fillId="16" borderId="5" xfId="0" applyFont="1" applyFill="1" applyBorder="1" applyAlignment="1">
      <alignment horizontal="center" vertical="center" wrapText="1"/>
    </xf>
    <xf numFmtId="0" fontId="5" fillId="16" borderId="3" xfId="0" applyFont="1" applyFill="1" applyBorder="1" applyAlignment="1">
      <alignment horizontal="center" vertical="center" wrapText="1"/>
    </xf>
    <xf numFmtId="0" fontId="5" fillId="18" borderId="2" xfId="0" applyFont="1" applyFill="1" applyBorder="1" applyAlignment="1">
      <alignment horizontal="center" vertical="center" wrapText="1"/>
    </xf>
    <xf numFmtId="0" fontId="5" fillId="18" borderId="3" xfId="0" applyFont="1" applyFill="1" applyBorder="1" applyAlignment="1">
      <alignment horizontal="center" vertical="center" wrapText="1"/>
    </xf>
    <xf numFmtId="0" fontId="25" fillId="15" borderId="6" xfId="0" applyFont="1" applyFill="1" applyBorder="1" applyAlignment="1">
      <alignment horizontal="center" vertical="center"/>
    </xf>
    <xf numFmtId="0" fontId="5" fillId="16" borderId="13" xfId="0" applyFont="1" applyFill="1" applyBorder="1" applyAlignment="1">
      <alignment horizontal="left" vertical="center" indent="1"/>
    </xf>
    <xf numFmtId="0" fontId="5" fillId="16" borderId="5" xfId="0" applyFont="1" applyFill="1" applyBorder="1" applyAlignment="1">
      <alignment horizontal="left" vertical="center" indent="1"/>
    </xf>
    <xf numFmtId="0" fontId="5" fillId="18" borderId="1" xfId="0" applyFont="1" applyFill="1" applyBorder="1" applyAlignment="1">
      <alignment horizontal="left" vertical="center" indent="1"/>
    </xf>
    <xf numFmtId="0" fontId="5" fillId="18" borderId="3" xfId="0" applyFont="1" applyFill="1" applyBorder="1" applyAlignment="1">
      <alignment horizontal="left" vertical="center" indent="1"/>
    </xf>
    <xf numFmtId="0" fontId="5" fillId="16" borderId="1" xfId="0" applyFont="1" applyFill="1" applyBorder="1" applyAlignment="1">
      <alignment horizontal="left" vertical="center" indent="1"/>
    </xf>
    <xf numFmtId="0" fontId="5" fillId="16" borderId="3" xfId="0" applyFont="1" applyFill="1" applyBorder="1" applyAlignment="1">
      <alignment horizontal="left" vertical="center" indent="1"/>
    </xf>
    <xf numFmtId="0" fontId="5" fillId="18" borderId="15" xfId="0" applyFont="1" applyFill="1" applyBorder="1" applyAlignment="1">
      <alignment horizontal="left" vertical="center" indent="1"/>
    </xf>
    <xf numFmtId="0" fontId="5" fillId="18" borderId="8" xfId="0" applyFont="1" applyFill="1" applyBorder="1" applyAlignment="1">
      <alignment horizontal="left" vertical="center" indent="1"/>
    </xf>
    <xf numFmtId="0" fontId="5" fillId="18" borderId="1" xfId="0" applyFont="1" applyFill="1" applyBorder="1" applyAlignment="1">
      <alignment horizontal="left" vertical="center" wrapText="1"/>
    </xf>
    <xf numFmtId="0" fontId="5" fillId="18" borderId="3" xfId="0" applyFont="1" applyFill="1" applyBorder="1" applyAlignment="1">
      <alignment horizontal="left" vertical="center" wrapText="1"/>
    </xf>
    <xf numFmtId="0" fontId="25" fillId="15" borderId="34" xfId="0" applyFont="1" applyFill="1" applyBorder="1" applyAlignment="1">
      <alignment horizontal="center" vertical="center"/>
    </xf>
    <xf numFmtId="0" fontId="5" fillId="18" borderId="23" xfId="0" applyFont="1" applyFill="1" applyBorder="1" applyAlignment="1">
      <alignment horizontal="left" vertical="center" wrapText="1"/>
    </xf>
    <xf numFmtId="0" fontId="5" fillId="18" borderId="15" xfId="0" applyFont="1" applyFill="1" applyBorder="1" applyAlignment="1">
      <alignment horizontal="left" vertical="center" wrapText="1"/>
    </xf>
    <xf numFmtId="0" fontId="5" fillId="18" borderId="8" xfId="0" applyFont="1" applyFill="1" applyBorder="1" applyAlignment="1">
      <alignment horizontal="left" vertical="center" wrapText="1"/>
    </xf>
    <xf numFmtId="0" fontId="5" fillId="16" borderId="1" xfId="0" applyFont="1" applyFill="1" applyBorder="1" applyAlignment="1">
      <alignment horizontal="left" vertical="center" wrapText="1"/>
    </xf>
    <xf numFmtId="0" fontId="5" fillId="16" borderId="3" xfId="0" applyFont="1" applyFill="1" applyBorder="1" applyAlignment="1">
      <alignment horizontal="left" vertical="center" wrapText="1"/>
    </xf>
    <xf numFmtId="0" fontId="5" fillId="18" borderId="0" xfId="0" applyFont="1" applyFill="1" applyAlignment="1">
      <alignment horizontal="center" wrapText="1"/>
    </xf>
    <xf numFmtId="0" fontId="5" fillId="18" borderId="65" xfId="0" applyFont="1" applyFill="1" applyBorder="1" applyAlignment="1">
      <alignment horizontal="left" vertical="center" wrapText="1"/>
    </xf>
    <xf numFmtId="0" fontId="5" fillId="18" borderId="22" xfId="0" applyFont="1" applyFill="1" applyBorder="1" applyAlignment="1">
      <alignment horizontal="left" vertical="center" wrapText="1"/>
    </xf>
    <xf numFmtId="0" fontId="5" fillId="18" borderId="13" xfId="0" applyFont="1" applyFill="1" applyBorder="1" applyAlignment="1">
      <alignment horizontal="left" vertical="center" wrapText="1"/>
    </xf>
    <xf numFmtId="0" fontId="5" fillId="18" borderId="5" xfId="0" applyFont="1" applyFill="1" applyBorder="1" applyAlignment="1">
      <alignment horizontal="left" vertical="center" wrapText="1"/>
    </xf>
    <xf numFmtId="0" fontId="5" fillId="18" borderId="65" xfId="0" applyFont="1" applyFill="1" applyBorder="1" applyAlignment="1">
      <alignment horizontal="left" vertical="center"/>
    </xf>
    <xf numFmtId="0" fontId="5" fillId="18" borderId="0" xfId="0" applyFont="1" applyFill="1" applyAlignment="1">
      <alignment horizontal="left" vertical="top" wrapText="1"/>
    </xf>
    <xf numFmtId="0" fontId="122" fillId="18" borderId="0" xfId="1" applyFont="1" applyFill="1" applyAlignment="1" applyProtection="1">
      <alignment horizontal="left" vertical="center"/>
    </xf>
    <xf numFmtId="0" fontId="5" fillId="18" borderId="88" xfId="0" applyFont="1" applyFill="1" applyBorder="1" applyAlignment="1">
      <alignment horizontal="center" vertical="center" wrapText="1"/>
    </xf>
    <xf numFmtId="0" fontId="25" fillId="18" borderId="0" xfId="0" applyFont="1" applyFill="1" applyBorder="1" applyAlignment="1">
      <alignment horizontal="center" vertical="center"/>
    </xf>
    <xf numFmtId="0" fontId="5" fillId="18" borderId="23" xfId="0" applyFont="1" applyFill="1" applyBorder="1" applyAlignment="1">
      <alignment horizontal="center" vertical="center"/>
    </xf>
    <xf numFmtId="0" fontId="5" fillId="16" borderId="21" xfId="0" applyFont="1" applyFill="1" applyBorder="1" applyAlignment="1">
      <alignment horizontal="center" vertical="center"/>
    </xf>
    <xf numFmtId="0" fontId="5" fillId="16" borderId="3" xfId="0" applyFont="1" applyFill="1" applyBorder="1" applyAlignment="1">
      <alignment horizontal="center" vertical="center"/>
    </xf>
    <xf numFmtId="0" fontId="5" fillId="18" borderId="21" xfId="0" applyFont="1" applyFill="1" applyBorder="1" applyAlignment="1">
      <alignment horizontal="center" vertical="center"/>
    </xf>
    <xf numFmtId="0" fontId="5" fillId="18" borderId="3" xfId="0" applyFont="1" applyFill="1" applyBorder="1" applyAlignment="1">
      <alignment horizontal="center" vertical="center"/>
    </xf>
    <xf numFmtId="0" fontId="5" fillId="16" borderId="22" xfId="0" applyFont="1" applyFill="1" applyBorder="1" applyAlignment="1">
      <alignment horizontal="center" vertical="center"/>
    </xf>
    <xf numFmtId="0" fontId="5" fillId="18" borderId="88" xfId="0" applyFont="1" applyFill="1" applyBorder="1" applyAlignment="1">
      <alignment horizontal="left" vertical="center" wrapText="1"/>
    </xf>
    <xf numFmtId="0" fontId="130" fillId="16" borderId="83" xfId="0" applyFont="1" applyFill="1" applyBorder="1" applyAlignment="1">
      <alignment horizontal="center" vertical="center" wrapText="1"/>
    </xf>
    <xf numFmtId="0" fontId="130" fillId="16" borderId="33" xfId="0" applyFont="1" applyFill="1" applyBorder="1" applyAlignment="1">
      <alignment horizontal="center" vertical="center" wrapText="1"/>
    </xf>
    <xf numFmtId="0" fontId="25" fillId="18" borderId="0" xfId="0" applyFont="1" applyFill="1" applyAlignment="1">
      <alignment horizontal="left"/>
    </xf>
    <xf numFmtId="0" fontId="5" fillId="18" borderId="0" xfId="0" applyFont="1" applyFill="1" applyAlignment="1">
      <alignment horizontal="center"/>
    </xf>
    <xf numFmtId="49" fontId="42" fillId="18" borderId="0" xfId="0" applyNumberFormat="1" applyFont="1" applyFill="1" applyBorder="1" applyAlignment="1">
      <alignment horizontal="left" vertical="center" wrapText="1"/>
    </xf>
    <xf numFmtId="49" fontId="42" fillId="18" borderId="0" xfId="0" applyNumberFormat="1" applyFont="1" applyFill="1" applyAlignment="1">
      <alignment horizontal="left" vertical="top" wrapText="1"/>
    </xf>
    <xf numFmtId="0" fontId="25" fillId="15" borderId="0" xfId="0" applyFont="1" applyFill="1" applyAlignment="1">
      <alignment horizontal="center"/>
    </xf>
    <xf numFmtId="0" fontId="108" fillId="18" borderId="0" xfId="0" applyFont="1" applyFill="1" applyAlignment="1">
      <alignment horizontal="left" vertical="center"/>
    </xf>
    <xf numFmtId="0" fontId="5" fillId="18" borderId="0" xfId="0" applyFont="1" applyFill="1" applyAlignment="1">
      <alignment horizontal="left" wrapText="1"/>
    </xf>
    <xf numFmtId="0" fontId="106" fillId="18" borderId="0" xfId="0" applyFont="1" applyFill="1" applyAlignment="1">
      <alignment horizontal="left" vertical="center" wrapText="1"/>
    </xf>
    <xf numFmtId="0" fontId="107" fillId="18" borderId="0" xfId="0" applyFont="1" applyFill="1" applyAlignment="1">
      <alignment horizontal="left" vertical="center" wrapText="1"/>
    </xf>
    <xf numFmtId="0" fontId="107" fillId="18" borderId="0" xfId="0" applyFont="1" applyFill="1" applyAlignment="1">
      <alignment horizontal="left" vertical="top" wrapText="1"/>
    </xf>
    <xf numFmtId="0" fontId="5" fillId="18" borderId="0" xfId="0" applyFont="1" applyFill="1" applyAlignment="1">
      <alignment horizontal="left" vertical="center" wrapText="1" indent="1"/>
    </xf>
    <xf numFmtId="0" fontId="5" fillId="18" borderId="0" xfId="0" applyFont="1" applyFill="1" applyAlignment="1">
      <alignment horizontal="left" vertical="center" wrapText="1" indent="3"/>
    </xf>
    <xf numFmtId="0" fontId="28" fillId="18" borderId="0" xfId="0" applyFont="1" applyFill="1" applyAlignment="1">
      <alignment horizontal="left" wrapText="1"/>
    </xf>
    <xf numFmtId="0" fontId="25" fillId="15" borderId="45" xfId="0" applyFont="1" applyFill="1" applyBorder="1" applyAlignment="1">
      <alignment horizontal="center" vertical="center" wrapText="1"/>
    </xf>
    <xf numFmtId="0" fontId="25" fillId="15" borderId="59" xfId="0" applyFont="1" applyFill="1" applyBorder="1" applyAlignment="1">
      <alignment horizontal="center" vertical="center" wrapText="1"/>
    </xf>
    <xf numFmtId="0" fontId="5" fillId="18" borderId="21" xfId="0" applyFont="1" applyFill="1" applyBorder="1" applyAlignment="1">
      <alignment horizontal="left" vertical="center" wrapText="1" indent="1"/>
    </xf>
    <xf numFmtId="0" fontId="5" fillId="16" borderId="21" xfId="0" applyFont="1" applyFill="1" applyBorder="1" applyAlignment="1">
      <alignment horizontal="left" vertical="center" wrapText="1" indent="1"/>
    </xf>
    <xf numFmtId="0" fontId="5" fillId="18" borderId="4" xfId="0" applyFont="1" applyFill="1" applyBorder="1" applyAlignment="1">
      <alignment horizontal="center" vertical="center" wrapText="1"/>
    </xf>
    <xf numFmtId="0" fontId="5" fillId="18" borderId="5" xfId="0" applyFont="1" applyFill="1" applyBorder="1" applyAlignment="1">
      <alignment horizontal="center" vertical="center" wrapText="1"/>
    </xf>
    <xf numFmtId="0" fontId="5" fillId="18" borderId="22" xfId="0" applyFont="1" applyFill="1" applyBorder="1" applyAlignment="1">
      <alignment horizontal="left" vertical="center" wrapText="1" indent="1"/>
    </xf>
    <xf numFmtId="0" fontId="25" fillId="15" borderId="11" xfId="0" applyFont="1" applyFill="1" applyBorder="1" applyAlignment="1">
      <alignment horizontal="center" vertical="center" wrapText="1"/>
    </xf>
    <xf numFmtId="0" fontId="25" fillId="15" borderId="12" xfId="0" applyFont="1" applyFill="1" applyBorder="1" applyAlignment="1">
      <alignment horizontal="center" vertical="center" wrapText="1"/>
    </xf>
    <xf numFmtId="0" fontId="25" fillId="15" borderId="24" xfId="0" applyFont="1" applyFill="1" applyBorder="1" applyAlignment="1">
      <alignment horizontal="center" vertical="center" wrapText="1"/>
    </xf>
    <xf numFmtId="0" fontId="5" fillId="18" borderId="1" xfId="0" applyNumberFormat="1" applyFont="1" applyFill="1" applyBorder="1" applyAlignment="1">
      <alignment horizontal="left" vertical="center" wrapText="1"/>
    </xf>
    <xf numFmtId="0" fontId="5" fillId="18" borderId="3" xfId="0" applyNumberFormat="1" applyFont="1" applyFill="1" applyBorder="1" applyAlignment="1">
      <alignment horizontal="left" vertical="center" wrapText="1"/>
    </xf>
    <xf numFmtId="0" fontId="5" fillId="16" borderId="1" xfId="0" applyNumberFormat="1" applyFont="1" applyFill="1" applyBorder="1" applyAlignment="1">
      <alignment horizontal="left" vertical="center" wrapText="1"/>
    </xf>
    <xf numFmtId="0" fontId="5" fillId="16" borderId="3" xfId="0" applyNumberFormat="1" applyFont="1" applyFill="1" applyBorder="1" applyAlignment="1">
      <alignment horizontal="left" vertical="center" wrapText="1"/>
    </xf>
    <xf numFmtId="0" fontId="5" fillId="18" borderId="12" xfId="0" applyNumberFormat="1" applyFont="1" applyFill="1" applyBorder="1" applyAlignment="1">
      <alignment horizontal="left" vertical="center" wrapText="1"/>
    </xf>
    <xf numFmtId="0" fontId="5" fillId="18" borderId="24" xfId="0" applyNumberFormat="1" applyFont="1" applyFill="1" applyBorder="1" applyAlignment="1">
      <alignment horizontal="left" vertical="center" wrapText="1"/>
    </xf>
    <xf numFmtId="0" fontId="5" fillId="16" borderId="13" xfId="0" applyNumberFormat="1" applyFont="1" applyFill="1" applyBorder="1" applyAlignment="1">
      <alignment horizontal="left" vertical="center" wrapText="1"/>
    </xf>
    <xf numFmtId="0" fontId="5" fillId="16" borderId="5" xfId="0" applyNumberFormat="1" applyFont="1" applyFill="1" applyBorder="1" applyAlignment="1">
      <alignment horizontal="left" vertical="center" wrapText="1"/>
    </xf>
    <xf numFmtId="0" fontId="5" fillId="18" borderId="23" xfId="0" applyFont="1" applyFill="1" applyBorder="1" applyAlignment="1">
      <alignment horizontal="left" vertical="center" wrapText="1" indent="1"/>
    </xf>
    <xf numFmtId="0" fontId="33" fillId="18" borderId="0" xfId="0" applyFont="1" applyFill="1" applyAlignment="1">
      <alignment horizontal="left" vertical="center" wrapText="1"/>
    </xf>
    <xf numFmtId="0" fontId="32" fillId="18" borderId="67" xfId="0" applyFont="1" applyFill="1" applyBorder="1" applyAlignment="1">
      <alignment horizontal="left" vertical="center" indent="5"/>
    </xf>
    <xf numFmtId="0" fontId="28" fillId="18" borderId="27" xfId="0" applyFont="1" applyFill="1" applyBorder="1" applyAlignment="1">
      <alignment horizontal="left" vertical="center" indent="1"/>
    </xf>
    <xf numFmtId="0" fontId="28" fillId="18" borderId="32" xfId="0" applyFont="1" applyFill="1" applyBorder="1" applyAlignment="1">
      <alignment horizontal="left" vertical="center" indent="1"/>
    </xf>
    <xf numFmtId="0" fontId="28" fillId="16" borderId="27" xfId="0" applyFont="1" applyFill="1" applyBorder="1" applyAlignment="1">
      <alignment horizontal="left" vertical="center" wrapText="1" indent="1"/>
    </xf>
    <xf numFmtId="0" fontId="28" fillId="16" borderId="32" xfId="0" applyFont="1" applyFill="1" applyBorder="1" applyAlignment="1">
      <alignment horizontal="left" vertical="center" wrapText="1" indent="1"/>
    </xf>
    <xf numFmtId="0" fontId="28" fillId="18" borderId="27" xfId="0" applyFont="1" applyFill="1" applyBorder="1" applyAlignment="1">
      <alignment horizontal="left" vertical="center" wrapText="1" indent="1"/>
    </xf>
    <xf numFmtId="0" fontId="28" fillId="18" borderId="32" xfId="0" applyFont="1" applyFill="1" applyBorder="1" applyAlignment="1">
      <alignment horizontal="left" vertical="center" wrapText="1" indent="1"/>
    </xf>
    <xf numFmtId="0" fontId="28" fillId="16" borderId="28" xfId="0" applyFont="1" applyFill="1" applyBorder="1" applyAlignment="1">
      <alignment horizontal="left" vertical="center" wrapText="1" indent="1"/>
    </xf>
    <xf numFmtId="0" fontId="28" fillId="16" borderId="33" xfId="0" applyFont="1" applyFill="1" applyBorder="1" applyAlignment="1">
      <alignment horizontal="left" vertical="center" wrapText="1" indent="1"/>
    </xf>
    <xf numFmtId="49" fontId="7" fillId="15" borderId="91" xfId="0" applyNumberFormat="1" applyFont="1" applyFill="1" applyBorder="1" applyAlignment="1">
      <alignment horizontal="center" vertical="center" wrapText="1"/>
    </xf>
    <xf numFmtId="49" fontId="7" fillId="15" borderId="30" xfId="0" applyNumberFormat="1" applyFont="1" applyFill="1" applyBorder="1" applyAlignment="1">
      <alignment horizontal="center" vertical="center" wrapText="1"/>
    </xf>
    <xf numFmtId="49" fontId="7" fillId="15" borderId="25" xfId="0" applyNumberFormat="1" applyFont="1" applyFill="1" applyBorder="1" applyAlignment="1">
      <alignment horizontal="center" vertical="center" wrapText="1"/>
    </xf>
    <xf numFmtId="0" fontId="5" fillId="18" borderId="44" xfId="0" applyFont="1" applyFill="1" applyBorder="1" applyAlignment="1">
      <alignment horizontal="left" vertical="center" wrapText="1" indent="1"/>
    </xf>
    <xf numFmtId="0" fontId="5" fillId="18" borderId="31" xfId="0" applyFont="1" applyFill="1" applyBorder="1" applyAlignment="1">
      <alignment horizontal="left" vertical="center" wrapText="1" indent="1"/>
    </xf>
    <xf numFmtId="0" fontId="5" fillId="16" borderId="42" xfId="0" applyFont="1" applyFill="1" applyBorder="1" applyAlignment="1">
      <alignment horizontal="left" vertical="center" wrapText="1" indent="1"/>
    </xf>
    <xf numFmtId="0" fontId="5" fillId="16" borderId="32" xfId="0" applyFont="1" applyFill="1" applyBorder="1" applyAlignment="1">
      <alignment horizontal="left" vertical="center" wrapText="1" indent="1"/>
    </xf>
    <xf numFmtId="0" fontId="5" fillId="18" borderId="84" xfId="0" applyFont="1" applyFill="1" applyBorder="1" applyAlignment="1">
      <alignment horizontal="left" vertical="center" wrapText="1" indent="1"/>
    </xf>
    <xf numFmtId="0" fontId="5" fillId="18" borderId="85" xfId="0" applyFont="1" applyFill="1" applyBorder="1" applyAlignment="1">
      <alignment horizontal="left" vertical="center" wrapText="1" indent="1"/>
    </xf>
    <xf numFmtId="0" fontId="25" fillId="18" borderId="0" xfId="0" applyFont="1" applyFill="1" applyAlignment="1">
      <alignment horizontal="left" vertical="center" wrapText="1" indent="1"/>
    </xf>
    <xf numFmtId="0" fontId="33" fillId="18" borderId="0" xfId="0" applyFont="1" applyFill="1" applyAlignment="1">
      <alignment horizontal="left" wrapText="1"/>
    </xf>
    <xf numFmtId="0" fontId="26" fillId="18" borderId="0" xfId="0" applyFont="1" applyFill="1" applyAlignment="1">
      <alignment horizontal="left" wrapText="1"/>
    </xf>
    <xf numFmtId="0" fontId="25" fillId="15" borderId="0" xfId="0" applyFont="1" applyFill="1" applyBorder="1" applyAlignment="1">
      <alignment horizontal="center" vertical="center"/>
    </xf>
    <xf numFmtId="0" fontId="35" fillId="17" borderId="26" xfId="0" applyFont="1" applyFill="1" applyBorder="1" applyAlignment="1">
      <alignment horizontal="center" vertical="center"/>
    </xf>
    <xf numFmtId="0" fontId="35" fillId="17" borderId="31" xfId="0" applyFont="1" applyFill="1" applyBorder="1" applyAlignment="1">
      <alignment horizontal="center" vertical="center"/>
    </xf>
    <xf numFmtId="0" fontId="25" fillId="15" borderId="45" xfId="0" applyNumberFormat="1" applyFont="1" applyFill="1" applyBorder="1" applyAlignment="1">
      <alignment horizontal="center" vertical="center"/>
    </xf>
    <xf numFmtId="0" fontId="25" fillId="15" borderId="46" xfId="0" applyNumberFormat="1" applyFont="1" applyFill="1" applyBorder="1" applyAlignment="1">
      <alignment horizontal="center" vertical="center"/>
    </xf>
    <xf numFmtId="0" fontId="25" fillId="15" borderId="59" xfId="0" applyNumberFormat="1" applyFont="1" applyFill="1" applyBorder="1" applyAlignment="1">
      <alignment horizontal="center" vertical="center"/>
    </xf>
    <xf numFmtId="0" fontId="25" fillId="15" borderId="1" xfId="0" applyFont="1" applyFill="1" applyBorder="1" applyAlignment="1">
      <alignment horizontal="center" vertical="center"/>
    </xf>
    <xf numFmtId="0" fontId="25" fillId="15" borderId="3" xfId="0" applyFont="1" applyFill="1" applyBorder="1" applyAlignment="1">
      <alignment horizontal="center" vertical="center"/>
    </xf>
    <xf numFmtId="0" fontId="25" fillId="15" borderId="21" xfId="0" applyFont="1" applyFill="1" applyBorder="1" applyAlignment="1">
      <alignment horizontal="center" vertical="center"/>
    </xf>
    <xf numFmtId="0" fontId="25" fillId="15" borderId="37" xfId="0" applyFont="1" applyFill="1" applyBorder="1" applyAlignment="1">
      <alignment horizontal="center" vertical="center" wrapText="1"/>
    </xf>
    <xf numFmtId="0" fontId="25" fillId="15" borderId="36" xfId="0" applyFont="1" applyFill="1" applyBorder="1" applyAlignment="1">
      <alignment horizontal="center" vertical="center" wrapText="1"/>
    </xf>
    <xf numFmtId="0" fontId="25" fillId="15" borderId="96" xfId="0" applyFont="1" applyFill="1" applyBorder="1" applyAlignment="1">
      <alignment horizontal="center" vertical="center" wrapText="1"/>
    </xf>
    <xf numFmtId="0" fontId="35" fillId="18" borderId="0" xfId="0" applyFont="1" applyFill="1" applyAlignment="1">
      <alignment horizontal="center" vertical="center"/>
    </xf>
    <xf numFmtId="0" fontId="33" fillId="18" borderId="0" xfId="0" applyFont="1" applyFill="1" applyAlignment="1">
      <alignment vertical="center" wrapText="1"/>
    </xf>
    <xf numFmtId="0" fontId="31" fillId="18" borderId="0" xfId="0" applyFont="1" applyFill="1" applyAlignment="1">
      <alignment horizontal="left" vertical="center"/>
    </xf>
    <xf numFmtId="0" fontId="5" fillId="18" borderId="0" xfId="0" applyFont="1" applyFill="1" applyAlignment="1">
      <alignment horizontal="left" vertical="center" indent="1"/>
    </xf>
    <xf numFmtId="0" fontId="26" fillId="18" borderId="0" xfId="0" applyFont="1" applyFill="1" applyAlignment="1">
      <alignment horizontal="justify" vertical="center" wrapText="1"/>
    </xf>
    <xf numFmtId="0" fontId="32" fillId="18" borderId="0" xfId="0" applyFont="1" applyFill="1" applyAlignment="1">
      <alignment horizontal="left" vertical="center"/>
    </xf>
    <xf numFmtId="0" fontId="1" fillId="18" borderId="0" xfId="0" applyFont="1" applyFill="1" applyAlignment="1">
      <alignment horizontal="left" vertical="center"/>
    </xf>
    <xf numFmtId="0" fontId="0" fillId="18" borderId="9" xfId="0" applyFill="1" applyBorder="1" applyAlignment="1">
      <alignment horizontal="left" vertical="center" wrapText="1"/>
    </xf>
    <xf numFmtId="0" fontId="0" fillId="18" borderId="15" xfId="0" applyFill="1" applyBorder="1" applyAlignment="1">
      <alignment horizontal="left" vertical="center" wrapText="1"/>
    </xf>
    <xf numFmtId="0" fontId="0" fillId="16" borderId="2" xfId="0" applyFill="1" applyBorder="1" applyAlignment="1">
      <alignment horizontal="left" vertical="center" wrapText="1"/>
    </xf>
    <xf numFmtId="0" fontId="0" fillId="16" borderId="1" xfId="0" applyFill="1" applyBorder="1" applyAlignment="1">
      <alignment horizontal="left" vertical="center" wrapText="1"/>
    </xf>
    <xf numFmtId="0" fontId="0" fillId="18" borderId="2" xfId="0" applyFill="1" applyBorder="1" applyAlignment="1">
      <alignment horizontal="left" vertical="center" wrapText="1"/>
    </xf>
    <xf numFmtId="0" fontId="0" fillId="18" borderId="1" xfId="0" applyFill="1" applyBorder="1" applyAlignment="1">
      <alignment horizontal="left" vertical="center" wrapText="1"/>
    </xf>
    <xf numFmtId="0" fontId="0" fillId="16" borderId="4" xfId="0" applyFill="1" applyBorder="1" applyAlignment="1">
      <alignment horizontal="left" vertical="center" wrapText="1"/>
    </xf>
    <xf numFmtId="0" fontId="0" fillId="16" borderId="13" xfId="0" applyFill="1" applyBorder="1" applyAlignment="1">
      <alignment horizontal="left" vertical="center" wrapText="1"/>
    </xf>
    <xf numFmtId="9" fontId="0" fillId="18" borderId="15" xfId="0" applyNumberFormat="1" applyFill="1" applyBorder="1" applyAlignment="1">
      <alignment horizontal="center" vertical="center" wrapText="1"/>
    </xf>
    <xf numFmtId="9" fontId="0" fillId="16" borderId="1" xfId="0" applyNumberFormat="1" applyFill="1" applyBorder="1" applyAlignment="1">
      <alignment horizontal="center" vertical="center" wrapText="1"/>
    </xf>
    <xf numFmtId="9" fontId="0" fillId="18" borderId="1" xfId="0" applyNumberFormat="1" applyFill="1" applyBorder="1" applyAlignment="1">
      <alignment horizontal="center" vertical="center" wrapText="1"/>
    </xf>
    <xf numFmtId="9" fontId="0" fillId="16" borderId="13" xfId="0" applyNumberFormat="1" applyFill="1" applyBorder="1" applyAlignment="1">
      <alignment horizontal="center" vertical="center" wrapText="1"/>
    </xf>
    <xf numFmtId="9" fontId="0" fillId="18" borderId="13" xfId="0" applyNumberFormat="1" applyFill="1" applyBorder="1" applyAlignment="1">
      <alignment horizontal="center" vertical="center" wrapText="1"/>
    </xf>
    <xf numFmtId="0" fontId="0" fillId="18" borderId="0" xfId="0" applyFont="1" applyFill="1" applyBorder="1" applyAlignment="1">
      <alignment horizontal="left" vertical="center" wrapText="1"/>
    </xf>
    <xf numFmtId="0" fontId="0" fillId="18" borderId="15" xfId="0" applyFill="1" applyBorder="1" applyAlignment="1">
      <alignment horizontal="center" vertical="center" wrapText="1"/>
    </xf>
    <xf numFmtId="0" fontId="7" fillId="15" borderId="44" xfId="0" applyFont="1" applyFill="1" applyBorder="1" applyAlignment="1">
      <alignment horizontal="center" vertical="center"/>
    </xf>
    <xf numFmtId="0" fontId="7" fillId="15" borderId="43" xfId="0" applyFont="1" applyFill="1" applyBorder="1" applyAlignment="1">
      <alignment horizontal="center" vertical="center"/>
    </xf>
    <xf numFmtId="0" fontId="69" fillId="18" borderId="0" xfId="0" applyFont="1" applyFill="1" applyBorder="1" applyAlignment="1">
      <alignment horizontal="left" vertical="center" wrapText="1"/>
    </xf>
    <xf numFmtId="0" fontId="7" fillId="25" borderId="0" xfId="0" applyFont="1" applyFill="1" applyBorder="1" applyAlignment="1">
      <alignment horizontal="center" vertical="center" wrapText="1"/>
    </xf>
    <xf numFmtId="0" fontId="7" fillId="15" borderId="20" xfId="0" applyFont="1" applyFill="1" applyBorder="1" applyAlignment="1">
      <alignment horizontal="center" vertical="center"/>
    </xf>
    <xf numFmtId="0" fontId="7" fillId="15" borderId="24" xfId="0" applyFont="1" applyFill="1" applyBorder="1" applyAlignment="1">
      <alignment horizontal="center" vertical="center"/>
    </xf>
    <xf numFmtId="0" fontId="6" fillId="18" borderId="0" xfId="1" applyFill="1" applyBorder="1" applyAlignment="1" applyProtection="1">
      <alignment horizontal="left" vertical="center" wrapText="1"/>
    </xf>
    <xf numFmtId="0" fontId="6" fillId="18" borderId="0" xfId="1" applyFill="1" applyAlignment="1" applyProtection="1">
      <alignment horizontal="left" vertical="center" wrapText="1"/>
    </xf>
    <xf numFmtId="0" fontId="5" fillId="18" borderId="2" xfId="0" applyFont="1" applyFill="1" applyBorder="1" applyAlignment="1">
      <alignment horizontal="left" vertical="center" wrapText="1"/>
    </xf>
    <xf numFmtId="0" fontId="5" fillId="16" borderId="2" xfId="0" applyFont="1" applyFill="1" applyBorder="1" applyAlignment="1">
      <alignment horizontal="left" vertical="center" wrapText="1"/>
    </xf>
    <xf numFmtId="0" fontId="5" fillId="18" borderId="49" xfId="0" applyFont="1" applyFill="1" applyBorder="1" applyAlignment="1">
      <alignment horizontal="left" vertical="center" wrapText="1"/>
    </xf>
    <xf numFmtId="0" fontId="5" fillId="18" borderId="11" xfId="0" applyFont="1" applyFill="1" applyBorder="1" applyAlignment="1">
      <alignment horizontal="left" vertical="center" wrapText="1"/>
    </xf>
    <xf numFmtId="0" fontId="5" fillId="18" borderId="12" xfId="0" applyFont="1" applyFill="1" applyBorder="1" applyAlignment="1">
      <alignment horizontal="left" vertical="center" wrapText="1"/>
    </xf>
    <xf numFmtId="3" fontId="28" fillId="16" borderId="1" xfId="0" applyNumberFormat="1" applyFont="1" applyFill="1" applyBorder="1" applyAlignment="1">
      <alignment horizontal="center" vertical="center" wrapText="1"/>
    </xf>
    <xf numFmtId="0" fontId="5" fillId="15" borderId="1" xfId="0" applyFont="1" applyFill="1" applyBorder="1" applyAlignment="1">
      <alignment horizontal="center" vertical="center" wrapText="1"/>
    </xf>
    <xf numFmtId="0" fontId="5" fillId="16" borderId="4" xfId="0" applyFont="1" applyFill="1" applyBorder="1" applyAlignment="1">
      <alignment horizontal="left" vertical="center" wrapText="1"/>
    </xf>
    <xf numFmtId="0" fontId="5" fillId="16" borderId="13" xfId="0" applyFont="1" applyFill="1" applyBorder="1" applyAlignment="1">
      <alignment horizontal="left" vertical="center" wrapText="1"/>
    </xf>
    <xf numFmtId="0" fontId="36" fillId="18" borderId="23" xfId="0" applyFont="1" applyFill="1" applyBorder="1" applyAlignment="1">
      <alignment horizontal="left" vertical="center" wrapText="1"/>
    </xf>
    <xf numFmtId="0" fontId="36" fillId="18" borderId="15" xfId="0" applyFont="1" applyFill="1" applyBorder="1" applyAlignment="1">
      <alignment horizontal="left" vertical="center" wrapText="1"/>
    </xf>
    <xf numFmtId="0" fontId="36" fillId="16" borderId="21" xfId="0" applyFont="1" applyFill="1" applyBorder="1" applyAlignment="1">
      <alignment horizontal="left" vertical="center" wrapText="1"/>
    </xf>
    <xf numFmtId="0" fontId="36" fillId="16" borderId="1" xfId="0" applyFont="1" applyFill="1" applyBorder="1" applyAlignment="1">
      <alignment horizontal="left" vertical="center" wrapText="1"/>
    </xf>
    <xf numFmtId="0" fontId="36" fillId="18" borderId="41" xfId="0" applyFont="1" applyFill="1" applyBorder="1" applyAlignment="1">
      <alignment horizontal="left" vertical="center" wrapText="1"/>
    </xf>
    <xf numFmtId="0" fontId="36" fillId="18" borderId="37" xfId="0" applyFont="1" applyFill="1" applyBorder="1" applyAlignment="1">
      <alignment horizontal="left" vertical="center" wrapText="1"/>
    </xf>
    <xf numFmtId="0" fontId="36" fillId="16" borderId="20" xfId="0" applyFont="1" applyFill="1" applyBorder="1" applyAlignment="1">
      <alignment horizontal="left" vertical="center" wrapText="1"/>
    </xf>
    <xf numFmtId="0" fontId="36" fillId="16" borderId="12" xfId="0" applyFont="1" applyFill="1" applyBorder="1" applyAlignment="1">
      <alignment horizontal="left" vertical="center" wrapText="1"/>
    </xf>
    <xf numFmtId="0" fontId="5" fillId="16" borderId="12" xfId="0" applyFont="1" applyFill="1" applyBorder="1" applyAlignment="1">
      <alignment horizontal="left" vertical="center" wrapText="1"/>
    </xf>
    <xf numFmtId="0" fontId="5" fillId="16" borderId="24" xfId="0" applyFont="1" applyFill="1" applyBorder="1" applyAlignment="1">
      <alignment horizontal="left" vertical="center" wrapText="1"/>
    </xf>
    <xf numFmtId="0" fontId="5" fillId="18" borderId="37" xfId="0" applyFont="1" applyFill="1" applyBorder="1" applyAlignment="1">
      <alignment horizontal="left" vertical="center" wrapText="1"/>
    </xf>
    <xf numFmtId="0" fontId="5" fillId="18" borderId="47" xfId="0" applyFont="1" applyFill="1" applyBorder="1" applyAlignment="1">
      <alignment horizontal="left" vertical="center" wrapText="1"/>
    </xf>
    <xf numFmtId="0" fontId="5" fillId="16" borderId="14" xfId="0" applyFont="1" applyFill="1" applyBorder="1" applyAlignment="1">
      <alignment horizontal="left" vertical="center" wrapText="1"/>
    </xf>
    <xf numFmtId="0" fontId="5" fillId="16" borderId="7" xfId="0" applyFont="1" applyFill="1" applyBorder="1" applyAlignment="1">
      <alignment horizontal="left" vertical="center" wrapText="1"/>
    </xf>
    <xf numFmtId="0" fontId="5" fillId="18" borderId="14" xfId="0" applyFont="1" applyFill="1" applyBorder="1" applyAlignment="1">
      <alignment horizontal="left" vertical="center" wrapText="1"/>
    </xf>
    <xf numFmtId="0" fontId="5" fillId="18" borderId="7" xfId="0" applyFont="1" applyFill="1" applyBorder="1" applyAlignment="1">
      <alignment horizontal="left" vertical="center" wrapText="1"/>
    </xf>
    <xf numFmtId="0" fontId="5" fillId="16" borderId="37" xfId="0" applyFont="1" applyFill="1" applyBorder="1" applyAlignment="1">
      <alignment horizontal="left" vertical="center" wrapText="1"/>
    </xf>
    <xf numFmtId="0" fontId="5" fillId="16" borderId="47" xfId="0" applyFont="1" applyFill="1" applyBorder="1" applyAlignment="1">
      <alignment horizontal="left" vertical="center" wrapText="1"/>
    </xf>
    <xf numFmtId="0" fontId="5" fillId="16" borderId="15" xfId="0" applyFont="1" applyFill="1" applyBorder="1" applyAlignment="1">
      <alignment horizontal="left" vertical="center" wrapText="1"/>
    </xf>
    <xf numFmtId="0" fontId="5" fillId="16" borderId="8" xfId="0" applyFont="1" applyFill="1" applyBorder="1" applyAlignment="1">
      <alignment horizontal="left" vertical="center" wrapText="1"/>
    </xf>
    <xf numFmtId="0" fontId="1" fillId="18" borderId="0" xfId="0" applyNumberFormat="1" applyFont="1" applyFill="1" applyAlignment="1">
      <alignment horizontal="left" vertical="center" wrapText="1"/>
    </xf>
    <xf numFmtId="0" fontId="25" fillId="18" borderId="19" xfId="0" applyFont="1" applyFill="1" applyBorder="1" applyAlignment="1">
      <alignment horizontal="left" vertical="center"/>
    </xf>
    <xf numFmtId="0" fontId="25" fillId="18" borderId="17" xfId="0" applyFont="1" applyFill="1" applyBorder="1" applyAlignment="1">
      <alignment horizontal="left" vertical="center"/>
    </xf>
    <xf numFmtId="0" fontId="25" fillId="18" borderId="82" xfId="0" applyFont="1" applyFill="1" applyBorder="1" applyAlignment="1">
      <alignment horizontal="left" vertical="center"/>
    </xf>
    <xf numFmtId="0" fontId="25" fillId="18" borderId="16" xfId="0" applyFont="1" applyFill="1" applyBorder="1" applyAlignment="1">
      <alignment horizontal="left" vertical="center"/>
    </xf>
    <xf numFmtId="0" fontId="25" fillId="18" borderId="18" xfId="0" applyFont="1" applyFill="1" applyBorder="1" applyAlignment="1">
      <alignment horizontal="left" vertical="center"/>
    </xf>
    <xf numFmtId="0" fontId="36" fillId="16" borderId="34" xfId="0" applyFont="1" applyFill="1" applyBorder="1" applyAlignment="1">
      <alignment horizontal="left" vertical="center" wrapText="1"/>
    </xf>
    <xf numFmtId="0" fontId="36" fillId="16" borderId="14" xfId="0" applyFont="1" applyFill="1" applyBorder="1" applyAlignment="1">
      <alignment horizontal="left" vertical="center" wrapText="1"/>
    </xf>
    <xf numFmtId="0" fontId="36" fillId="18" borderId="20" xfId="0" applyFont="1" applyFill="1" applyBorder="1" applyAlignment="1">
      <alignment horizontal="left" vertical="center" wrapText="1"/>
    </xf>
    <xf numFmtId="0" fontId="36" fillId="18" borderId="12" xfId="0" applyFont="1" applyFill="1" applyBorder="1" applyAlignment="1">
      <alignment horizontal="left" vertical="center" wrapText="1"/>
    </xf>
    <xf numFmtId="0" fontId="25" fillId="25" borderId="42" xfId="0" applyFont="1" applyFill="1" applyBorder="1" applyAlignment="1">
      <alignment horizontal="center" vertical="center" wrapText="1"/>
    </xf>
    <xf numFmtId="0" fontId="25" fillId="25" borderId="27" xfId="0" applyFont="1" applyFill="1" applyBorder="1" applyAlignment="1">
      <alignment horizontal="center" vertical="center" wrapText="1"/>
    </xf>
    <xf numFmtId="0" fontId="25" fillId="25" borderId="32" xfId="0" applyFont="1" applyFill="1" applyBorder="1" applyAlignment="1">
      <alignment horizontal="center" vertical="center" wrapText="1"/>
    </xf>
    <xf numFmtId="0" fontId="36" fillId="18" borderId="21" xfId="0" applyFont="1" applyFill="1" applyBorder="1" applyAlignment="1">
      <alignment horizontal="left" vertical="center" wrapText="1"/>
    </xf>
    <xf numFmtId="0" fontId="36" fillId="18" borderId="1" xfId="0" applyFont="1" applyFill="1" applyBorder="1" applyAlignment="1">
      <alignment horizontal="left" vertical="center" wrapText="1"/>
    </xf>
    <xf numFmtId="0" fontId="36" fillId="18" borderId="22" xfId="0" applyFont="1" applyFill="1" applyBorder="1" applyAlignment="1">
      <alignment horizontal="left" vertical="center" wrapText="1"/>
    </xf>
    <xf numFmtId="0" fontId="36" fillId="18" borderId="13" xfId="0" applyFont="1" applyFill="1" applyBorder="1" applyAlignment="1">
      <alignment horizontal="left" vertical="center" wrapText="1"/>
    </xf>
    <xf numFmtId="0" fontId="36" fillId="16" borderId="23" xfId="0" applyFont="1" applyFill="1" applyBorder="1" applyAlignment="1">
      <alignment horizontal="left" vertical="center" wrapText="1"/>
    </xf>
    <xf numFmtId="0" fontId="36" fillId="16" borderId="15" xfId="0" applyFont="1" applyFill="1" applyBorder="1" applyAlignment="1">
      <alignment horizontal="left" vertical="center" wrapText="1"/>
    </xf>
    <xf numFmtId="0" fontId="5" fillId="18" borderId="24" xfId="0" applyFont="1" applyFill="1" applyBorder="1" applyAlignment="1">
      <alignment horizontal="left" vertical="center" wrapText="1"/>
    </xf>
    <xf numFmtId="0" fontId="36" fillId="16" borderId="41" xfId="0" applyFont="1" applyFill="1" applyBorder="1" applyAlignment="1">
      <alignment horizontal="left" vertical="center" wrapText="1"/>
    </xf>
    <xf numFmtId="0" fontId="36" fillId="16" borderId="37" xfId="0" applyFont="1" applyFill="1" applyBorder="1" applyAlignment="1">
      <alignment horizontal="left" vertical="center" wrapText="1"/>
    </xf>
    <xf numFmtId="0" fontId="36" fillId="18" borderId="34" xfId="0" applyFont="1" applyFill="1" applyBorder="1" applyAlignment="1">
      <alignment horizontal="left" vertical="center" wrapText="1"/>
    </xf>
    <xf numFmtId="0" fontId="36" fillId="18" borderId="14" xfId="0" applyFont="1" applyFill="1" applyBorder="1" applyAlignment="1">
      <alignment horizontal="left" vertical="center" wrapText="1"/>
    </xf>
    <xf numFmtId="0" fontId="5" fillId="18" borderId="23" xfId="0" applyFont="1" applyFill="1" applyBorder="1" applyAlignment="1">
      <alignment horizontal="left" vertical="center"/>
    </xf>
    <xf numFmtId="0" fontId="5" fillId="18" borderId="8" xfId="0" applyFont="1" applyFill="1" applyBorder="1" applyAlignment="1">
      <alignment horizontal="left" vertical="center"/>
    </xf>
    <xf numFmtId="0" fontId="5" fillId="18" borderId="21" xfId="0" applyFont="1" applyFill="1" applyBorder="1" applyAlignment="1">
      <alignment horizontal="left" vertical="center"/>
    </xf>
    <xf numFmtId="0" fontId="5" fillId="18" borderId="3" xfId="0" applyFont="1" applyFill="1" applyBorder="1" applyAlignment="1">
      <alignment horizontal="left" vertical="center"/>
    </xf>
    <xf numFmtId="0" fontId="5" fillId="18" borderId="41" xfId="0" applyFont="1" applyFill="1" applyBorder="1" applyAlignment="1">
      <alignment horizontal="left" vertical="center"/>
    </xf>
    <xf numFmtId="0" fontId="5" fillId="18" borderId="47" xfId="0" applyFont="1" applyFill="1" applyBorder="1" applyAlignment="1">
      <alignment horizontal="left" vertical="center"/>
    </xf>
    <xf numFmtId="0" fontId="31" fillId="25" borderId="2" xfId="0" applyFont="1" applyFill="1" applyBorder="1" applyAlignment="1">
      <alignment horizontal="center" vertical="center" wrapText="1"/>
    </xf>
    <xf numFmtId="0" fontId="31" fillId="25" borderId="1" xfId="0" applyFont="1" applyFill="1" applyBorder="1" applyAlignment="1">
      <alignment horizontal="center" vertical="center" wrapText="1"/>
    </xf>
    <xf numFmtId="0" fontId="31" fillId="25" borderId="3" xfId="0" applyFont="1" applyFill="1" applyBorder="1" applyAlignment="1">
      <alignment horizontal="center" vertical="center" wrapText="1"/>
    </xf>
    <xf numFmtId="0" fontId="5" fillId="18" borderId="1" xfId="0" quotePrefix="1" applyFont="1" applyFill="1" applyBorder="1" applyAlignment="1">
      <alignment horizontal="left" vertical="center" wrapText="1"/>
    </xf>
    <xf numFmtId="0" fontId="25" fillId="25" borderId="60" xfId="0" applyFont="1" applyFill="1" applyBorder="1" applyAlignment="1">
      <alignment horizontal="left" vertical="center" wrapText="1"/>
    </xf>
    <xf numFmtId="0" fontId="25" fillId="25" borderId="27" xfId="0" applyFont="1" applyFill="1" applyBorder="1" applyAlignment="1">
      <alignment horizontal="left" vertical="center" wrapText="1"/>
    </xf>
    <xf numFmtId="0" fontId="5" fillId="25" borderId="27" xfId="0" applyFont="1" applyFill="1" applyBorder="1" applyAlignment="1">
      <alignment horizontal="left" vertical="center" wrapText="1"/>
    </xf>
    <xf numFmtId="0" fontId="5" fillId="25" borderId="21" xfId="0" applyFont="1" applyFill="1" applyBorder="1" applyAlignment="1">
      <alignment horizontal="left" vertical="center" wrapText="1"/>
    </xf>
    <xf numFmtId="0" fontId="25" fillId="18" borderId="0" xfId="0" applyFont="1" applyFill="1" applyAlignment="1">
      <alignment horizontal="center" vertical="center"/>
    </xf>
    <xf numFmtId="0" fontId="25" fillId="15" borderId="42" xfId="0" applyFont="1" applyFill="1" applyBorder="1" applyAlignment="1">
      <alignment horizontal="center" vertical="center"/>
    </xf>
    <xf numFmtId="0" fontId="25" fillId="15" borderId="11" xfId="0" applyFont="1" applyFill="1" applyBorder="1" applyAlignment="1">
      <alignment horizontal="center" vertical="center"/>
    </xf>
    <xf numFmtId="0" fontId="5" fillId="15" borderId="21" xfId="0" applyFont="1" applyFill="1" applyBorder="1" applyAlignment="1">
      <alignment horizontal="center" vertical="center" wrapText="1"/>
    </xf>
    <xf numFmtId="0" fontId="5" fillId="15" borderId="22" xfId="0" applyFont="1" applyFill="1" applyBorder="1" applyAlignment="1">
      <alignment horizontal="center" vertical="center" wrapText="1"/>
    </xf>
    <xf numFmtId="0" fontId="5" fillId="15" borderId="1" xfId="0" applyFont="1" applyFill="1" applyBorder="1" applyAlignment="1">
      <alignment horizontal="center" vertical="center"/>
    </xf>
    <xf numFmtId="0" fontId="5" fillId="15" borderId="13" xfId="0" applyFont="1" applyFill="1" applyBorder="1" applyAlignment="1">
      <alignment horizontal="center" vertical="center"/>
    </xf>
    <xf numFmtId="0" fontId="5" fillId="15" borderId="3" xfId="0" applyFont="1" applyFill="1" applyBorder="1" applyAlignment="1">
      <alignment horizontal="center" vertical="center"/>
    </xf>
    <xf numFmtId="0" fontId="5" fillId="15" borderId="5" xfId="0" applyFont="1" applyFill="1" applyBorder="1" applyAlignment="1">
      <alignment horizontal="center" vertical="center"/>
    </xf>
    <xf numFmtId="0" fontId="25" fillId="18" borderId="0" xfId="0" applyNumberFormat="1" applyFont="1" applyFill="1" applyAlignment="1">
      <alignment horizontal="left" vertical="center" wrapText="1"/>
    </xf>
    <xf numFmtId="0" fontId="42" fillId="18" borderId="0" xfId="0" applyNumberFormat="1" applyFont="1" applyFill="1" applyAlignment="1">
      <alignment horizontal="left" vertical="center" wrapText="1"/>
    </xf>
    <xf numFmtId="0" fontId="5" fillId="18" borderId="0" xfId="0" quotePrefix="1" applyNumberFormat="1" applyFont="1" applyFill="1" applyAlignment="1">
      <alignment horizontal="left" vertical="center" wrapText="1"/>
    </xf>
    <xf numFmtId="49" fontId="5" fillId="18" borderId="0" xfId="0" quotePrefix="1" applyNumberFormat="1" applyFont="1" applyFill="1" applyAlignment="1">
      <alignment horizontal="left" vertical="center"/>
    </xf>
    <xf numFmtId="0" fontId="5" fillId="15" borderId="2" xfId="0" applyFont="1" applyFill="1" applyBorder="1" applyAlignment="1">
      <alignment horizontal="center" vertical="center" wrapText="1"/>
    </xf>
    <xf numFmtId="0" fontId="5" fillId="15" borderId="4" xfId="0" applyFont="1" applyFill="1" applyBorder="1" applyAlignment="1">
      <alignment horizontal="center" vertical="center" wrapText="1"/>
    </xf>
    <xf numFmtId="0" fontId="5" fillId="16" borderId="2" xfId="0" applyFont="1" applyFill="1" applyBorder="1" applyAlignment="1">
      <alignment horizontal="center" vertical="center"/>
    </xf>
    <xf numFmtId="0" fontId="5" fillId="16" borderId="4" xfId="0" applyFont="1" applyFill="1" applyBorder="1" applyAlignment="1">
      <alignment horizontal="center" vertical="center"/>
    </xf>
    <xf numFmtId="0" fontId="95" fillId="18" borderId="0" xfId="0" applyFont="1" applyFill="1" applyAlignment="1">
      <alignment horizontal="center" vertical="center"/>
    </xf>
    <xf numFmtId="0" fontId="95" fillId="18" borderId="67" xfId="0" applyFont="1" applyFill="1" applyBorder="1" applyAlignment="1">
      <alignment horizontal="center" vertical="center"/>
    </xf>
    <xf numFmtId="0" fontId="25" fillId="15" borderId="82" xfId="0" applyFont="1" applyFill="1" applyBorder="1" applyAlignment="1">
      <alignment horizontal="center" vertical="center"/>
    </xf>
    <xf numFmtId="0" fontId="5" fillId="16" borderId="106" xfId="0" applyFont="1" applyFill="1" applyBorder="1" applyAlignment="1">
      <alignment horizontal="center" vertical="center"/>
    </xf>
    <xf numFmtId="0" fontId="5" fillId="16" borderId="15" xfId="0" applyFont="1" applyFill="1" applyBorder="1" applyAlignment="1">
      <alignment horizontal="center" vertical="center"/>
    </xf>
    <xf numFmtId="0" fontId="5" fillId="15" borderId="16" xfId="0" applyFont="1" applyFill="1" applyBorder="1" applyAlignment="1">
      <alignment horizontal="center" vertical="center"/>
    </xf>
    <xf numFmtId="0" fontId="5" fillId="15" borderId="82" xfId="0" applyFont="1" applyFill="1" applyBorder="1" applyAlignment="1">
      <alignment horizontal="center" vertical="center"/>
    </xf>
    <xf numFmtId="0" fontId="5" fillId="15" borderId="20" xfId="0" applyFont="1" applyFill="1" applyBorder="1" applyAlignment="1">
      <alignment horizontal="center" vertical="center"/>
    </xf>
    <xf numFmtId="0" fontId="5" fillId="15" borderId="12" xfId="0" applyFont="1" applyFill="1" applyBorder="1" applyAlignment="1">
      <alignment horizontal="center" vertical="center"/>
    </xf>
    <xf numFmtId="0" fontId="5" fillId="15" borderId="24" xfId="0" applyFont="1" applyFill="1" applyBorder="1" applyAlignment="1">
      <alignment horizontal="center" vertical="center"/>
    </xf>
    <xf numFmtId="0" fontId="5" fillId="16" borderId="107" xfId="0" applyFont="1" applyFill="1" applyBorder="1" applyAlignment="1">
      <alignment horizontal="center" vertical="center"/>
    </xf>
    <xf numFmtId="0" fontId="5" fillId="16" borderId="8" xfId="0" applyFont="1" applyFill="1" applyBorder="1" applyAlignment="1">
      <alignment horizontal="center" vertical="center"/>
    </xf>
    <xf numFmtId="3" fontId="86" fillId="18" borderId="0" xfId="0" applyNumberFormat="1" applyFont="1" applyFill="1" applyAlignment="1">
      <alignment horizontal="left" vertical="center"/>
    </xf>
    <xf numFmtId="0" fontId="5" fillId="16" borderId="0" xfId="0" applyFont="1" applyFill="1" applyAlignment="1">
      <alignment horizontal="left" vertical="center"/>
    </xf>
    <xf numFmtId="0" fontId="5" fillId="16" borderId="104" xfId="0" applyFont="1" applyFill="1" applyBorder="1" applyAlignment="1">
      <alignment horizontal="left" vertical="center"/>
    </xf>
    <xf numFmtId="0" fontId="5" fillId="16" borderId="19" xfId="0" applyFont="1" applyFill="1" applyBorder="1" applyAlignment="1">
      <alignment horizontal="left" vertical="center"/>
    </xf>
    <xf numFmtId="3" fontId="5" fillId="16" borderId="105" xfId="0" applyNumberFormat="1" applyFont="1" applyFill="1" applyBorder="1" applyAlignment="1">
      <alignment horizontal="center" vertical="center"/>
    </xf>
    <xf numFmtId="3" fontId="5" fillId="16" borderId="9" xfId="0" applyNumberFormat="1" applyFont="1" applyFill="1" applyBorder="1" applyAlignment="1">
      <alignment horizontal="center" vertical="center"/>
    </xf>
    <xf numFmtId="0" fontId="5" fillId="16" borderId="1" xfId="0" applyFont="1" applyFill="1" applyBorder="1" applyAlignment="1">
      <alignment horizontal="center" vertical="center"/>
    </xf>
    <xf numFmtId="0" fontId="25" fillId="15" borderId="28" xfId="0" applyFont="1" applyFill="1" applyBorder="1" applyAlignment="1">
      <alignment horizontal="center" vertical="center"/>
    </xf>
    <xf numFmtId="0" fontId="5" fillId="18" borderId="11" xfId="0" applyNumberFormat="1" applyFont="1" applyFill="1" applyBorder="1" applyAlignment="1">
      <alignment horizontal="left" vertical="center"/>
    </xf>
    <xf numFmtId="0" fontId="5" fillId="18" borderId="24" xfId="0" applyNumberFormat="1" applyFont="1" applyFill="1" applyBorder="1" applyAlignment="1">
      <alignment horizontal="left" vertical="center"/>
    </xf>
    <xf numFmtId="0" fontId="5" fillId="18" borderId="13" xfId="0" applyFont="1" applyFill="1" applyBorder="1" applyAlignment="1">
      <alignment horizontal="center" vertical="center"/>
    </xf>
    <xf numFmtId="0" fontId="5" fillId="18" borderId="5" xfId="0" applyFont="1" applyFill="1" applyBorder="1" applyAlignment="1">
      <alignment horizontal="center" vertical="center"/>
    </xf>
    <xf numFmtId="0" fontId="5" fillId="18" borderId="1" xfId="0" applyFont="1" applyFill="1" applyBorder="1" applyAlignment="1">
      <alignment horizontal="center" vertical="center"/>
    </xf>
    <xf numFmtId="0" fontId="5" fillId="18" borderId="4" xfId="0" applyNumberFormat="1" applyFont="1" applyFill="1" applyBorder="1" applyAlignment="1">
      <alignment horizontal="left" vertical="center"/>
    </xf>
    <xf numFmtId="0" fontId="5" fillId="18" borderId="5" xfId="0" applyNumberFormat="1" applyFont="1" applyFill="1" applyBorder="1" applyAlignment="1">
      <alignment horizontal="left" vertical="center"/>
    </xf>
    <xf numFmtId="0" fontId="5" fillId="18" borderId="2" xfId="0" applyNumberFormat="1" applyFont="1" applyFill="1" applyBorder="1" applyAlignment="1">
      <alignment horizontal="left" vertical="center"/>
    </xf>
    <xf numFmtId="0" fontId="5" fillId="18" borderId="3" xfId="0" applyNumberFormat="1" applyFont="1" applyFill="1" applyBorder="1" applyAlignment="1">
      <alignment horizontal="left" vertical="center"/>
    </xf>
    <xf numFmtId="0" fontId="5" fillId="16" borderId="2" xfId="0" applyNumberFormat="1" applyFont="1" applyFill="1" applyBorder="1" applyAlignment="1">
      <alignment horizontal="left" vertical="center"/>
    </xf>
    <xf numFmtId="0" fontId="5" fillId="16" borderId="3" xfId="0" applyNumberFormat="1" applyFont="1" applyFill="1" applyBorder="1" applyAlignment="1">
      <alignment horizontal="left" vertical="center"/>
    </xf>
    <xf numFmtId="0" fontId="25" fillId="15" borderId="13" xfId="0" applyFont="1" applyFill="1" applyBorder="1" applyAlignment="1">
      <alignment horizontal="center" vertical="center"/>
    </xf>
    <xf numFmtId="0" fontId="25" fillId="15" borderId="84" xfId="0" applyFont="1" applyFill="1" applyBorder="1" applyAlignment="1">
      <alignment horizontal="center" vertical="center"/>
    </xf>
    <xf numFmtId="0" fontId="25" fillId="15" borderId="85" xfId="0" applyFont="1" applyFill="1" applyBorder="1" applyAlignment="1">
      <alignment horizontal="center" vertical="center"/>
    </xf>
    <xf numFmtId="0" fontId="5" fillId="18" borderId="12" xfId="0" applyFont="1" applyFill="1" applyBorder="1" applyAlignment="1">
      <alignment horizontal="center" vertical="center"/>
    </xf>
    <xf numFmtId="0" fontId="5" fillId="18" borderId="24" xfId="0" applyFont="1" applyFill="1" applyBorder="1" applyAlignment="1">
      <alignment horizontal="center" vertical="center"/>
    </xf>
    <xf numFmtId="0" fontId="25" fillId="15" borderId="33" xfId="0" applyFont="1" applyFill="1" applyBorder="1" applyAlignment="1">
      <alignment horizontal="center" vertical="center"/>
    </xf>
    <xf numFmtId="0" fontId="25" fillId="15" borderId="4" xfId="0" applyFont="1" applyFill="1" applyBorder="1" applyAlignment="1">
      <alignment horizontal="center" vertical="center"/>
    </xf>
    <xf numFmtId="0" fontId="44" fillId="2" borderId="0" xfId="0" applyFont="1" applyFill="1" applyAlignment="1">
      <alignment horizontal="left" vertical="center" wrapText="1"/>
    </xf>
    <xf numFmtId="0" fontId="5" fillId="3" borderId="0" xfId="0" applyFont="1" applyFill="1" applyAlignment="1">
      <alignment horizontal="center" vertical="center" wrapText="1"/>
    </xf>
    <xf numFmtId="0" fontId="27" fillId="4" borderId="0" xfId="1" applyFont="1" applyFill="1" applyAlignment="1" applyProtection="1">
      <alignment horizontal="center" vertical="center"/>
    </xf>
    <xf numFmtId="0" fontId="25" fillId="3" borderId="0" xfId="0" applyFont="1" applyFill="1" applyAlignment="1">
      <alignment horizontal="center" vertical="center" wrapText="1"/>
    </xf>
    <xf numFmtId="0" fontId="24" fillId="2" borderId="0" xfId="0" applyFont="1" applyFill="1" applyAlignment="1">
      <alignment horizontal="left" vertical="center" wrapText="1"/>
    </xf>
    <xf numFmtId="0" fontId="0" fillId="3" borderId="0" xfId="0" applyFill="1" applyAlignment="1">
      <alignment horizontal="center" vertical="center" wrapText="1"/>
    </xf>
    <xf numFmtId="0" fontId="6" fillId="4" borderId="0" xfId="1" applyFill="1" applyAlignment="1" applyProtection="1">
      <alignment horizontal="center" vertical="center"/>
    </xf>
    <xf numFmtId="0" fontId="7" fillId="3" borderId="0" xfId="0" applyFont="1" applyFill="1" applyAlignment="1">
      <alignment horizontal="center" vertical="center" wrapText="1"/>
    </xf>
    <xf numFmtId="0" fontId="151" fillId="2" borderId="0" xfId="0" applyFont="1" applyFill="1" applyAlignment="1">
      <alignment horizontal="left" vertical="center" wrapText="1"/>
    </xf>
    <xf numFmtId="0" fontId="44" fillId="2" borderId="0" xfId="0" applyFont="1" applyFill="1" applyAlignment="1">
      <alignment horizontal="center" vertical="center" wrapText="1"/>
    </xf>
    <xf numFmtId="0" fontId="25" fillId="3" borderId="0" xfId="0" applyFont="1" applyFill="1" applyAlignment="1">
      <alignment horizontal="center"/>
    </xf>
    <xf numFmtId="0" fontId="5" fillId="15" borderId="6" xfId="0" applyFont="1" applyFill="1" applyBorder="1" applyAlignment="1">
      <alignment horizontal="center" vertical="center"/>
    </xf>
    <xf numFmtId="0" fontId="5" fillId="15" borderId="14" xfId="0" applyFont="1" applyFill="1" applyBorder="1" applyAlignment="1">
      <alignment horizontal="center" vertical="center"/>
    </xf>
    <xf numFmtId="0" fontId="5" fillId="15" borderId="90" xfId="0" applyFont="1" applyFill="1" applyBorder="1" applyAlignment="1">
      <alignment horizontal="center" vertical="center"/>
    </xf>
    <xf numFmtId="0" fontId="5" fillId="15" borderId="7" xfId="0" applyFont="1" applyFill="1" applyBorder="1" applyAlignment="1">
      <alignment horizontal="center" vertical="center"/>
    </xf>
    <xf numFmtId="0" fontId="25" fillId="15" borderId="38" xfId="0" applyFont="1" applyFill="1" applyBorder="1" applyAlignment="1">
      <alignment horizontal="center" vertical="center"/>
    </xf>
    <xf numFmtId="0" fontId="25" fillId="15" borderId="40" xfId="0" applyFont="1" applyFill="1" applyBorder="1" applyAlignment="1">
      <alignment horizontal="center" vertical="center"/>
    </xf>
    <xf numFmtId="0" fontId="25" fillId="15" borderId="39" xfId="0" applyFont="1" applyFill="1" applyBorder="1" applyAlignment="1">
      <alignment horizontal="center" vertical="center"/>
    </xf>
    <xf numFmtId="0" fontId="5" fillId="15" borderId="44" xfId="0" applyFont="1" applyFill="1" applyBorder="1" applyAlignment="1">
      <alignment horizontal="center" vertical="center" wrapText="1"/>
    </xf>
    <xf numFmtId="0" fontId="5" fillId="15" borderId="42" xfId="0" applyFont="1" applyFill="1" applyBorder="1" applyAlignment="1">
      <alignment horizontal="center" vertical="center" wrapText="1"/>
    </xf>
    <xf numFmtId="0" fontId="5" fillId="15" borderId="43" xfId="0" applyFont="1" applyFill="1" applyBorder="1" applyAlignment="1">
      <alignment horizontal="center" vertical="center" wrapText="1"/>
    </xf>
    <xf numFmtId="0" fontId="5" fillId="15" borderId="34" xfId="0" applyFont="1" applyFill="1" applyBorder="1" applyAlignment="1">
      <alignment horizontal="center" vertical="center"/>
    </xf>
    <xf numFmtId="0" fontId="5" fillId="16" borderId="4" xfId="0" applyFont="1" applyFill="1" applyBorder="1" applyAlignment="1">
      <alignment horizontal="left" vertical="center"/>
    </xf>
    <xf numFmtId="0" fontId="5" fillId="16" borderId="13" xfId="0" applyFont="1" applyFill="1" applyBorder="1" applyAlignment="1">
      <alignment horizontal="left" vertical="center"/>
    </xf>
    <xf numFmtId="0" fontId="5" fillId="16" borderId="83" xfId="0" applyFont="1" applyFill="1" applyBorder="1" applyAlignment="1">
      <alignment horizontal="left" vertical="center"/>
    </xf>
    <xf numFmtId="0" fontId="5" fillId="18" borderId="60" xfId="0" applyFont="1" applyFill="1" applyBorder="1" applyAlignment="1">
      <alignment horizontal="left" vertical="center"/>
    </xf>
    <xf numFmtId="0" fontId="28" fillId="16" borderId="2" xfId="0" applyFont="1" applyFill="1" applyBorder="1" applyAlignment="1">
      <alignment horizontal="left" vertical="center"/>
    </xf>
    <xf numFmtId="0" fontId="28" fillId="16" borderId="1" xfId="0" applyFont="1" applyFill="1" applyBorder="1" applyAlignment="1">
      <alignment horizontal="left" vertical="center"/>
    </xf>
    <xf numFmtId="0" fontId="28" fillId="16" borderId="60" xfId="0" applyFont="1" applyFill="1" applyBorder="1" applyAlignment="1">
      <alignment horizontal="left" vertical="center"/>
    </xf>
    <xf numFmtId="0" fontId="28" fillId="18" borderId="9" xfId="0" applyFont="1" applyFill="1" applyBorder="1" applyAlignment="1">
      <alignment horizontal="left" vertical="center"/>
    </xf>
    <xf numFmtId="0" fontId="28" fillId="18" borderId="15" xfId="0" applyFont="1" applyFill="1" applyBorder="1" applyAlignment="1">
      <alignment horizontal="left" vertical="center"/>
    </xf>
    <xf numFmtId="0" fontId="28" fillId="18" borderId="50" xfId="0" applyFont="1" applyFill="1" applyBorder="1" applyAlignment="1">
      <alignment horizontal="left" vertical="center"/>
    </xf>
    <xf numFmtId="0" fontId="28" fillId="18" borderId="9" xfId="0" applyFont="1" applyFill="1" applyBorder="1" applyAlignment="1">
      <alignment horizontal="center" vertical="center"/>
    </xf>
    <xf numFmtId="0" fontId="28" fillId="18" borderId="15" xfId="0" applyFont="1" applyFill="1" applyBorder="1" applyAlignment="1">
      <alignment horizontal="center" vertical="center"/>
    </xf>
    <xf numFmtId="0" fontId="28" fillId="16" borderId="2" xfId="0" applyFont="1" applyFill="1" applyBorder="1" applyAlignment="1">
      <alignment horizontal="center" vertical="center"/>
    </xf>
    <xf numFmtId="0" fontId="28" fillId="16" borderId="1" xfId="0" applyFont="1" applyFill="1" applyBorder="1" applyAlignment="1">
      <alignment horizontal="center" vertical="center"/>
    </xf>
    <xf numFmtId="0" fontId="5" fillId="18" borderId="2" xfId="0" applyFont="1" applyFill="1" applyBorder="1" applyAlignment="1">
      <alignment horizontal="center" vertical="center"/>
    </xf>
    <xf numFmtId="0" fontId="28" fillId="18" borderId="8" xfId="0" applyFont="1" applyFill="1" applyBorder="1" applyAlignment="1">
      <alignment horizontal="center" vertical="center"/>
    </xf>
    <xf numFmtId="0" fontId="28" fillId="16" borderId="3" xfId="0" applyFont="1" applyFill="1" applyBorder="1" applyAlignment="1">
      <alignment horizontal="center" vertical="center"/>
    </xf>
    <xf numFmtId="0" fontId="25" fillId="25" borderId="0" xfId="0" applyFont="1" applyFill="1" applyAlignment="1">
      <alignment horizontal="center" vertical="center" wrapText="1"/>
    </xf>
    <xf numFmtId="0" fontId="5" fillId="16" borderId="23" xfId="0" applyFont="1" applyFill="1" applyBorder="1" applyAlignment="1">
      <alignment horizontal="left" vertical="center" wrapText="1"/>
    </xf>
    <xf numFmtId="0" fontId="5" fillId="16" borderId="5" xfId="0" applyFont="1" applyFill="1" applyBorder="1" applyAlignment="1">
      <alignment horizontal="left" vertical="center" wrapText="1"/>
    </xf>
    <xf numFmtId="0" fontId="35" fillId="18" borderId="0" xfId="0" applyFont="1" applyFill="1" applyAlignment="1">
      <alignment horizontal="left" vertical="center" wrapText="1"/>
    </xf>
    <xf numFmtId="0" fontId="36" fillId="18" borderId="0" xfId="0" applyFont="1" applyFill="1" applyAlignment="1">
      <alignment horizontal="left" vertical="center" wrapText="1"/>
    </xf>
    <xf numFmtId="0" fontId="35" fillId="18" borderId="0" xfId="0" applyFont="1" applyFill="1" applyAlignment="1">
      <alignment horizontal="center" vertical="center" wrapText="1"/>
    </xf>
    <xf numFmtId="0" fontId="36" fillId="18" borderId="0" xfId="0" applyFont="1" applyFill="1" applyAlignment="1">
      <alignment horizontal="left" vertical="center"/>
    </xf>
    <xf numFmtId="0" fontId="25" fillId="25" borderId="0" xfId="0" applyFont="1" applyFill="1" applyAlignment="1">
      <alignment horizontal="left" vertical="center" wrapText="1" indent="1"/>
    </xf>
    <xf numFmtId="0" fontId="5" fillId="18" borderId="37" xfId="0" applyFont="1" applyFill="1" applyBorder="1" applyAlignment="1">
      <alignment horizontal="right" vertical="center" wrapText="1"/>
    </xf>
    <xf numFmtId="0" fontId="5" fillId="18" borderId="15" xfId="0" applyFont="1" applyFill="1" applyBorder="1" applyAlignment="1">
      <alignment horizontal="right" vertical="center" wrapText="1"/>
    </xf>
    <xf numFmtId="49" fontId="152" fillId="18" borderId="60" xfId="0" applyNumberFormat="1" applyFont="1" applyFill="1" applyBorder="1" applyAlignment="1">
      <alignment horizontal="right" vertical="center" wrapText="1"/>
    </xf>
    <xf numFmtId="49" fontId="152" fillId="18" borderId="21" xfId="0" applyNumberFormat="1" applyFont="1" applyFill="1" applyBorder="1" applyAlignment="1">
      <alignment horizontal="right" vertical="center" wrapText="1"/>
    </xf>
    <xf numFmtId="0" fontId="25" fillId="51" borderId="0" xfId="0" applyFont="1" applyFill="1" applyAlignment="1">
      <alignment horizontal="center" vertical="center" wrapText="1"/>
    </xf>
    <xf numFmtId="0" fontId="25" fillId="22" borderId="0" xfId="0" applyFont="1" applyFill="1" applyAlignment="1">
      <alignment horizontal="center" vertical="center" wrapText="1"/>
    </xf>
    <xf numFmtId="0" fontId="25" fillId="50" borderId="0" xfId="0" applyFont="1" applyFill="1" applyAlignment="1">
      <alignment horizontal="left" vertical="center" wrapText="1" indent="1"/>
    </xf>
    <xf numFmtId="49" fontId="68" fillId="18" borderId="60" xfId="0" applyNumberFormat="1" applyFont="1" applyFill="1" applyBorder="1" applyAlignment="1">
      <alignment horizontal="right" vertical="center" wrapText="1"/>
    </xf>
    <xf numFmtId="49" fontId="68" fillId="18" borderId="21" xfId="0" applyNumberFormat="1" applyFont="1" applyFill="1" applyBorder="1" applyAlignment="1">
      <alignment horizontal="right" vertical="center" wrapText="1"/>
    </xf>
    <xf numFmtId="0" fontId="135" fillId="49" borderId="0" xfId="0" applyFont="1" applyFill="1" applyAlignment="1">
      <alignment horizontal="center" vertical="center" wrapText="1"/>
    </xf>
    <xf numFmtId="0" fontId="25" fillId="23" borderId="0" xfId="0" applyFont="1" applyFill="1" applyAlignment="1">
      <alignment horizontal="left" vertical="center" wrapText="1" indent="1"/>
    </xf>
    <xf numFmtId="49" fontId="153" fillId="18" borderId="60" xfId="0" applyNumberFormat="1" applyFont="1" applyFill="1" applyBorder="1" applyAlignment="1">
      <alignment horizontal="right" vertical="center" wrapText="1"/>
    </xf>
    <xf numFmtId="49" fontId="153" fillId="18" borderId="21" xfId="0" applyNumberFormat="1" applyFont="1" applyFill="1" applyBorder="1" applyAlignment="1">
      <alignment horizontal="right" vertical="center" wrapText="1"/>
    </xf>
    <xf numFmtId="0" fontId="135" fillId="39" borderId="0" xfId="0" applyFont="1" applyFill="1" applyAlignment="1">
      <alignment horizontal="center" vertical="center" wrapText="1"/>
    </xf>
    <xf numFmtId="0" fontId="25" fillId="33" borderId="0" xfId="0" applyFont="1" applyFill="1" applyAlignment="1">
      <alignment horizontal="left" vertical="center" wrapText="1" indent="1"/>
    </xf>
    <xf numFmtId="0" fontId="135" fillId="48" borderId="0" xfId="0" applyFont="1" applyFill="1" applyAlignment="1">
      <alignment horizontal="center" vertical="center" wrapText="1"/>
    </xf>
    <xf numFmtId="0" fontId="25" fillId="43" borderId="0" xfId="0" applyFont="1" applyFill="1" applyAlignment="1">
      <alignment horizontal="left" vertical="center" wrapText="1" indent="1"/>
    </xf>
    <xf numFmtId="0" fontId="135" fillId="45" borderId="0" xfId="0" applyFont="1" applyFill="1" applyAlignment="1">
      <alignment horizontal="center" vertical="center" wrapText="1"/>
    </xf>
    <xf numFmtId="0" fontId="25" fillId="44" borderId="0" xfId="0" applyFont="1" applyFill="1" applyAlignment="1">
      <alignment horizontal="left" vertical="center" wrapText="1" indent="1"/>
    </xf>
    <xf numFmtId="0" fontId="135" fillId="46" borderId="0" xfId="0" applyFont="1" applyFill="1" applyAlignment="1">
      <alignment horizontal="center" vertical="center" wrapText="1"/>
    </xf>
    <xf numFmtId="0" fontId="135" fillId="36" borderId="0" xfId="0" applyFont="1" applyFill="1" applyAlignment="1">
      <alignment horizontal="center" vertical="center" wrapText="1"/>
    </xf>
    <xf numFmtId="49" fontId="147" fillId="18" borderId="60" xfId="0" applyNumberFormat="1" applyFont="1" applyFill="1" applyBorder="1" applyAlignment="1">
      <alignment horizontal="right" vertical="center" wrapText="1"/>
    </xf>
    <xf numFmtId="49" fontId="147" fillId="18" borderId="21" xfId="0" applyNumberFormat="1" applyFont="1" applyFill="1" applyBorder="1" applyAlignment="1">
      <alignment horizontal="right" vertical="center" wrapText="1"/>
    </xf>
    <xf numFmtId="0" fontId="135" fillId="47" borderId="0" xfId="0" applyFont="1" applyFill="1" applyAlignment="1">
      <alignment horizontal="center" vertical="center" wrapText="1"/>
    </xf>
    <xf numFmtId="0" fontId="25" fillId="34" borderId="0" xfId="0" applyFont="1" applyFill="1" applyAlignment="1">
      <alignment horizontal="left" vertical="center" wrapText="1" indent="1"/>
    </xf>
    <xf numFmtId="0" fontId="135" fillId="21" borderId="0" xfId="0" applyFont="1" applyFill="1" applyAlignment="1">
      <alignment horizontal="center" vertical="center" wrapText="1"/>
    </xf>
    <xf numFmtId="0" fontId="25" fillId="15" borderId="0" xfId="0" applyFont="1" applyFill="1" applyAlignment="1">
      <alignment horizontal="left" vertical="center" wrapText="1" indent="1"/>
    </xf>
    <xf numFmtId="49" fontId="25" fillId="18" borderId="60" xfId="0" applyNumberFormat="1" applyFont="1" applyFill="1" applyBorder="1" applyAlignment="1">
      <alignment horizontal="right" vertical="center" wrapText="1"/>
    </xf>
    <xf numFmtId="49" fontId="25" fillId="18" borderId="21" xfId="0" applyNumberFormat="1" applyFont="1" applyFill="1" applyBorder="1" applyAlignment="1">
      <alignment horizontal="right" vertical="center" wrapText="1"/>
    </xf>
    <xf numFmtId="0" fontId="25" fillId="18" borderId="37" xfId="0" applyFont="1" applyFill="1" applyBorder="1" applyAlignment="1">
      <alignment horizontal="center" vertical="center" wrapText="1"/>
    </xf>
    <xf numFmtId="0" fontId="25" fillId="18" borderId="15" xfId="0" applyFont="1" applyFill="1" applyBorder="1" applyAlignment="1">
      <alignment horizontal="center" vertical="center" wrapText="1"/>
    </xf>
    <xf numFmtId="0" fontId="25" fillId="18" borderId="1" xfId="0" applyFont="1" applyFill="1" applyBorder="1" applyAlignment="1">
      <alignment horizontal="center" vertical="center" wrapText="1"/>
    </xf>
    <xf numFmtId="0" fontId="25" fillId="18" borderId="1" xfId="0" applyFont="1" applyFill="1" applyBorder="1" applyAlignment="1">
      <alignment horizontal="right" vertical="center" wrapText="1"/>
    </xf>
    <xf numFmtId="0" fontId="5" fillId="18" borderId="49" xfId="0" applyFont="1" applyFill="1" applyBorder="1" applyAlignment="1">
      <alignment vertical="center" wrapText="1"/>
    </xf>
    <xf numFmtId="0" fontId="5" fillId="18" borderId="0" xfId="0" applyFont="1" applyFill="1" applyAlignment="1">
      <alignment horizontal="justify" vertical="center" wrapText="1"/>
    </xf>
    <xf numFmtId="0" fontId="48" fillId="18" borderId="0" xfId="0" applyFont="1" applyFill="1" applyAlignment="1">
      <alignment horizontal="justify" vertical="center" wrapText="1"/>
    </xf>
    <xf numFmtId="0" fontId="7" fillId="15" borderId="65" xfId="0" applyFont="1" applyFill="1" applyBorder="1" applyAlignment="1">
      <alignment horizontal="center" vertical="center"/>
    </xf>
    <xf numFmtId="0" fontId="7" fillId="15" borderId="94" xfId="0" applyFont="1" applyFill="1" applyBorder="1" applyAlignment="1">
      <alignment horizontal="center" vertical="center"/>
    </xf>
    <xf numFmtId="0" fontId="4" fillId="18" borderId="0" xfId="0" applyFont="1" applyFill="1" applyAlignment="1">
      <alignment horizontal="justify" vertical="center" wrapText="1"/>
    </xf>
    <xf numFmtId="0" fontId="7" fillId="15" borderId="45" xfId="0" applyNumberFormat="1" applyFont="1" applyFill="1" applyBorder="1" applyAlignment="1">
      <alignment horizontal="center" vertical="center"/>
    </xf>
    <xf numFmtId="0" fontId="7" fillId="15" borderId="59" xfId="0" applyNumberFormat="1" applyFont="1" applyFill="1" applyBorder="1" applyAlignment="1">
      <alignment horizontal="center" vertical="center"/>
    </xf>
    <xf numFmtId="0" fontId="4" fillId="18" borderId="0" xfId="0" applyFont="1" applyFill="1" applyAlignment="1">
      <alignment horizontal="left" vertical="center" wrapText="1"/>
    </xf>
    <xf numFmtId="0" fontId="25" fillId="18" borderId="0" xfId="0" applyFont="1" applyFill="1" applyAlignment="1">
      <alignment horizontal="justify" vertical="center" wrapText="1"/>
    </xf>
    <xf numFmtId="0" fontId="48" fillId="18" borderId="0" xfId="0" applyFont="1" applyFill="1" applyAlignment="1">
      <alignment horizontal="left" vertical="center" wrapText="1"/>
    </xf>
    <xf numFmtId="0" fontId="5" fillId="18" borderId="23" xfId="0" applyNumberFormat="1" applyFont="1" applyFill="1" applyBorder="1" applyAlignment="1">
      <alignment horizontal="left" vertical="center" wrapText="1"/>
    </xf>
    <xf numFmtId="0" fontId="5" fillId="18" borderId="15" xfId="0" applyNumberFormat="1" applyFont="1" applyFill="1" applyBorder="1" applyAlignment="1">
      <alignment horizontal="left" vertical="center" wrapText="1"/>
    </xf>
    <xf numFmtId="0" fontId="5" fillId="18" borderId="8" xfId="0" applyNumberFormat="1" applyFont="1" applyFill="1" applyBorder="1" applyAlignment="1">
      <alignment horizontal="left" vertical="center" wrapText="1"/>
    </xf>
    <xf numFmtId="0" fontId="5" fillId="16" borderId="27" xfId="0" applyNumberFormat="1" applyFont="1" applyFill="1" applyBorder="1" applyAlignment="1">
      <alignment horizontal="center" vertical="center" wrapText="1"/>
    </xf>
    <xf numFmtId="0" fontId="5" fillId="16" borderId="32" xfId="0" applyNumberFormat="1" applyFont="1" applyFill="1" applyBorder="1" applyAlignment="1">
      <alignment horizontal="center" vertical="center" wrapText="1"/>
    </xf>
    <xf numFmtId="0" fontId="5" fillId="18" borderId="27" xfId="0" applyNumberFormat="1" applyFont="1" applyFill="1" applyBorder="1" applyAlignment="1">
      <alignment horizontal="center" vertical="center" wrapText="1"/>
    </xf>
    <xf numFmtId="0" fontId="5" fillId="18" borderId="32" xfId="0" applyNumberFormat="1" applyFont="1" applyFill="1" applyBorder="1" applyAlignment="1">
      <alignment horizontal="center" vertical="center" wrapText="1"/>
    </xf>
    <xf numFmtId="0" fontId="5" fillId="18" borderId="21" xfId="0" applyNumberFormat="1" applyFont="1" applyFill="1" applyBorder="1" applyAlignment="1">
      <alignment horizontal="left" vertical="center" wrapText="1"/>
    </xf>
    <xf numFmtId="0" fontId="5" fillId="16" borderId="21" xfId="0" applyNumberFormat="1" applyFont="1" applyFill="1" applyBorder="1" applyAlignment="1">
      <alignment horizontal="left" vertical="center" wrapText="1"/>
    </xf>
    <xf numFmtId="0" fontId="5" fillId="18" borderId="92" xfId="0" applyNumberFormat="1" applyFont="1" applyFill="1" applyBorder="1" applyAlignment="1">
      <alignment horizontal="left" vertical="center" wrapText="1"/>
    </xf>
    <xf numFmtId="0" fontId="5" fillId="18" borderId="86" xfId="0" applyNumberFormat="1" applyFont="1" applyFill="1" applyBorder="1" applyAlignment="1">
      <alignment horizontal="left" vertical="center" wrapText="1"/>
    </xf>
    <xf numFmtId="0" fontId="5" fillId="18" borderId="0" xfId="0" applyNumberFormat="1" applyFont="1" applyFill="1" applyBorder="1" applyAlignment="1">
      <alignment horizontal="left" vertical="center" wrapText="1"/>
    </xf>
    <xf numFmtId="0" fontId="5" fillId="18" borderId="55" xfId="0" applyNumberFormat="1" applyFont="1" applyFill="1" applyBorder="1" applyAlignment="1">
      <alignment horizontal="left" vertical="center" wrapText="1"/>
    </xf>
    <xf numFmtId="0" fontId="5" fillId="18" borderId="58" xfId="0" applyNumberFormat="1" applyFont="1" applyFill="1" applyBorder="1" applyAlignment="1">
      <alignment horizontal="left" vertical="center" wrapText="1"/>
    </xf>
    <xf numFmtId="0" fontId="5" fillId="18" borderId="57" xfId="0" applyNumberFormat="1" applyFont="1" applyFill="1" applyBorder="1" applyAlignment="1">
      <alignment horizontal="left" vertical="center" wrapText="1"/>
    </xf>
    <xf numFmtId="0" fontId="5" fillId="18" borderId="22" xfId="0" applyNumberFormat="1" applyFont="1" applyFill="1" applyBorder="1" applyAlignment="1">
      <alignment horizontal="left" vertical="center" wrapText="1"/>
    </xf>
    <xf numFmtId="0" fontId="5" fillId="18" borderId="13" xfId="0" applyNumberFormat="1" applyFont="1" applyFill="1" applyBorder="1" applyAlignment="1">
      <alignment horizontal="left" vertical="center" wrapText="1"/>
    </xf>
    <xf numFmtId="0" fontId="5" fillId="18" borderId="5" xfId="0" applyNumberFormat="1" applyFont="1" applyFill="1" applyBorder="1" applyAlignment="1">
      <alignment horizontal="left" vertical="center" wrapText="1"/>
    </xf>
    <xf numFmtId="0" fontId="25" fillId="15" borderId="84" xfId="0" applyFont="1" applyFill="1" applyBorder="1" applyAlignment="1">
      <alignment horizontal="center" vertical="center" wrapText="1"/>
    </xf>
    <xf numFmtId="0" fontId="25" fillId="15" borderId="34" xfId="0" applyNumberFormat="1" applyFont="1" applyFill="1" applyBorder="1" applyAlignment="1">
      <alignment horizontal="center" vertical="center" wrapText="1"/>
    </xf>
    <xf numFmtId="0" fontId="25" fillId="15" borderId="14" xfId="0" applyNumberFormat="1" applyFont="1" applyFill="1" applyBorder="1" applyAlignment="1">
      <alignment horizontal="center" vertical="center" wrapText="1"/>
    </xf>
    <xf numFmtId="0" fontId="25" fillId="15" borderId="7" xfId="0" applyNumberFormat="1" applyFont="1" applyFill="1" applyBorder="1" applyAlignment="1">
      <alignment horizontal="center" vertical="center" wrapText="1"/>
    </xf>
    <xf numFmtId="0" fontId="49" fillId="18" borderId="0" xfId="0" applyFont="1" applyFill="1" applyAlignment="1">
      <alignment horizontal="left" vertical="center" wrapText="1"/>
    </xf>
    <xf numFmtId="0" fontId="42" fillId="18" borderId="0" xfId="0" quotePrefix="1" applyFont="1" applyFill="1" applyAlignment="1">
      <alignment horizontal="left" vertical="center" wrapText="1"/>
    </xf>
    <xf numFmtId="0" fontId="76" fillId="18" borderId="0" xfId="0" applyFont="1" applyFill="1" applyAlignment="1">
      <alignment horizontal="left" vertical="center"/>
    </xf>
    <xf numFmtId="0" fontId="10" fillId="18" borderId="88" xfId="0" applyFont="1" applyFill="1" applyBorder="1" applyAlignment="1">
      <alignment horizontal="left" vertical="center" wrapText="1"/>
    </xf>
    <xf numFmtId="0" fontId="10" fillId="18" borderId="0" xfId="0" applyFont="1" applyFill="1" applyAlignment="1">
      <alignment horizontal="left" vertical="center" wrapText="1"/>
    </xf>
    <xf numFmtId="0" fontId="7" fillId="15" borderId="11" xfId="0" applyFont="1" applyFill="1" applyBorder="1" applyAlignment="1">
      <alignment horizontal="center" vertical="center"/>
    </xf>
    <xf numFmtId="0" fontId="0" fillId="16" borderId="42" xfId="0" applyFill="1" applyBorder="1" applyAlignment="1">
      <alignment horizontal="left" vertical="center" wrapText="1"/>
    </xf>
    <xf numFmtId="0" fontId="0" fillId="16" borderId="27" xfId="0" applyFill="1" applyBorder="1" applyAlignment="1">
      <alignment horizontal="left" vertical="center" wrapText="1"/>
    </xf>
    <xf numFmtId="0" fontId="0" fillId="16" borderId="32" xfId="0" applyFill="1" applyBorder="1" applyAlignment="1">
      <alignment horizontal="left" vertical="center" wrapText="1"/>
    </xf>
    <xf numFmtId="0" fontId="0" fillId="18" borderId="43" xfId="0" applyFill="1" applyBorder="1" applyAlignment="1">
      <alignment horizontal="left" vertical="center" wrapText="1"/>
    </xf>
    <xf numFmtId="0" fontId="0" fillId="18" borderId="28" xfId="0" applyFill="1" applyBorder="1" applyAlignment="1">
      <alignment horizontal="left" vertical="center" wrapText="1"/>
    </xf>
    <xf numFmtId="0" fontId="0" fillId="18" borderId="33" xfId="0" applyFill="1" applyBorder="1" applyAlignment="1">
      <alignment horizontal="left" vertical="center" wrapText="1"/>
    </xf>
    <xf numFmtId="0" fontId="0" fillId="18" borderId="42" xfId="0" applyFill="1" applyBorder="1" applyAlignment="1">
      <alignment horizontal="left" vertical="center" wrapText="1"/>
    </xf>
    <xf numFmtId="0" fontId="0" fillId="18" borderId="27" xfId="0" applyFill="1" applyBorder="1" applyAlignment="1">
      <alignment horizontal="left" vertical="center" wrapText="1"/>
    </xf>
    <xf numFmtId="0" fontId="0" fillId="18" borderId="32" xfId="0" applyFill="1" applyBorder="1" applyAlignment="1">
      <alignment horizontal="left" vertical="center" wrapText="1"/>
    </xf>
    <xf numFmtId="0" fontId="0" fillId="18" borderId="44" xfId="0" applyFill="1" applyBorder="1" applyAlignment="1">
      <alignment horizontal="left" vertical="center" wrapText="1"/>
    </xf>
    <xf numFmtId="0" fontId="0" fillId="18" borderId="26" xfId="0" applyFill="1" applyBorder="1" applyAlignment="1">
      <alignment horizontal="left" vertical="center" wrapText="1"/>
    </xf>
    <xf numFmtId="0" fontId="0" fillId="18" borderId="31" xfId="0" applyFill="1" applyBorder="1" applyAlignment="1">
      <alignment horizontal="left" vertical="center" wrapText="1"/>
    </xf>
    <xf numFmtId="0" fontId="76" fillId="18" borderId="67" xfId="0" applyFont="1" applyFill="1" applyBorder="1" applyAlignment="1">
      <alignment horizontal="left" vertical="center"/>
    </xf>
    <xf numFmtId="0" fontId="7" fillId="3" borderId="0" xfId="0" applyFont="1" applyFill="1" applyAlignment="1">
      <alignment horizontal="center" vertical="center"/>
    </xf>
    <xf numFmtId="0" fontId="10" fillId="18" borderId="0" xfId="0" applyFont="1" applyFill="1" applyBorder="1" applyAlignment="1">
      <alignment horizontal="left" vertical="center" wrapText="1"/>
    </xf>
    <xf numFmtId="0" fontId="57" fillId="18" borderId="0" xfId="0" applyFont="1" applyFill="1" applyAlignment="1">
      <alignment horizontal="left" vertical="center" wrapText="1"/>
    </xf>
    <xf numFmtId="0" fontId="7" fillId="15" borderId="90" xfId="0" applyFont="1" applyFill="1" applyBorder="1" applyAlignment="1">
      <alignment horizontal="center" vertical="center"/>
    </xf>
    <xf numFmtId="0" fontId="0" fillId="16" borderId="60" xfId="0" applyFill="1" applyBorder="1" applyAlignment="1">
      <alignment horizontal="left" vertical="center" wrapText="1"/>
    </xf>
    <xf numFmtId="0" fontId="0" fillId="18" borderId="0" xfId="0" applyFill="1" applyBorder="1" applyAlignment="1">
      <alignment horizontal="left" vertical="center"/>
    </xf>
    <xf numFmtId="0" fontId="7" fillId="15" borderId="83" xfId="0" applyFont="1" applyFill="1" applyBorder="1" applyAlignment="1">
      <alignment horizontal="center" vertical="center"/>
    </xf>
    <xf numFmtId="0" fontId="7" fillId="15" borderId="22" xfId="0" applyFont="1" applyFill="1" applyBorder="1" applyAlignment="1">
      <alignment horizontal="center" vertical="center"/>
    </xf>
    <xf numFmtId="0" fontId="0" fillId="18" borderId="60" xfId="0" applyFill="1" applyBorder="1" applyAlignment="1">
      <alignment horizontal="center" vertical="center"/>
    </xf>
    <xf numFmtId="0" fontId="0" fillId="18" borderId="21" xfId="0" applyFill="1" applyBorder="1" applyAlignment="1">
      <alignment horizontal="center" vertical="center"/>
    </xf>
    <xf numFmtId="9" fontId="0" fillId="18" borderId="81" xfId="0" applyNumberFormat="1" applyFill="1" applyBorder="1" applyAlignment="1">
      <alignment horizontal="center" vertical="center"/>
    </xf>
    <xf numFmtId="9" fontId="0" fillId="18" borderId="20" xfId="0" applyNumberFormat="1" applyFill="1" applyBorder="1" applyAlignment="1">
      <alignment horizontal="center" vertical="center"/>
    </xf>
    <xf numFmtId="9" fontId="0" fillId="16" borderId="83" xfId="0" applyNumberFormat="1" applyFill="1" applyBorder="1" applyAlignment="1">
      <alignment horizontal="center" vertical="center"/>
    </xf>
    <xf numFmtId="9" fontId="0" fillId="16" borderId="22" xfId="0" applyNumberFormat="1" applyFill="1" applyBorder="1" applyAlignment="1">
      <alignment horizontal="center" vertical="center"/>
    </xf>
    <xf numFmtId="0" fontId="0" fillId="16" borderId="60" xfId="0" applyFill="1" applyBorder="1" applyAlignment="1">
      <alignment horizontal="center" vertical="center"/>
    </xf>
    <xf numFmtId="0" fontId="0" fillId="16" borderId="21" xfId="0" applyFill="1" applyBorder="1" applyAlignment="1">
      <alignment horizontal="center" vertical="center"/>
    </xf>
    <xf numFmtId="0" fontId="10" fillId="18" borderId="0" xfId="0" applyFont="1" applyFill="1" applyAlignment="1">
      <alignment horizontal="right" vertical="center" wrapText="1"/>
    </xf>
    <xf numFmtId="49" fontId="0" fillId="18" borderId="0" xfId="0" applyNumberFormat="1" applyFill="1" applyAlignment="1">
      <alignment horizontal="left" vertical="center"/>
    </xf>
    <xf numFmtId="0" fontId="0" fillId="18" borderId="0" xfId="0" applyNumberFormat="1" applyFont="1" applyFill="1" applyAlignment="1">
      <alignment horizontal="left" vertical="center" wrapText="1"/>
    </xf>
    <xf numFmtId="0" fontId="0" fillId="18" borderId="50" xfId="0" applyFill="1" applyBorder="1" applyAlignment="1">
      <alignment horizontal="left" vertical="center" wrapText="1"/>
    </xf>
    <xf numFmtId="0" fontId="0" fillId="16" borderId="2" xfId="0" quotePrefix="1" applyFill="1" applyBorder="1" applyAlignment="1">
      <alignment horizontal="center" vertical="center" wrapText="1"/>
    </xf>
    <xf numFmtId="0" fontId="0" fillId="16" borderId="1" xfId="0" quotePrefix="1" applyFill="1" applyBorder="1" applyAlignment="1">
      <alignment horizontal="center" vertical="center" wrapText="1"/>
    </xf>
    <xf numFmtId="0" fontId="0" fillId="16" borderId="3" xfId="0" quotePrefix="1" applyFill="1" applyBorder="1" applyAlignment="1">
      <alignment horizontal="center" vertical="center" wrapText="1"/>
    </xf>
    <xf numFmtId="0" fontId="0" fillId="18" borderId="9" xfId="0" quotePrefix="1" applyFill="1" applyBorder="1" applyAlignment="1">
      <alignment horizontal="center" vertical="center" wrapText="1"/>
    </xf>
    <xf numFmtId="0" fontId="0" fillId="18" borderId="15" xfId="0" quotePrefix="1" applyFill="1" applyBorder="1" applyAlignment="1">
      <alignment horizontal="center" vertical="center" wrapText="1"/>
    </xf>
    <xf numFmtId="0" fontId="0" fillId="18" borderId="8" xfId="0" quotePrefix="1" applyFill="1" applyBorder="1" applyAlignment="1">
      <alignment horizontal="center" vertical="center" wrapText="1"/>
    </xf>
    <xf numFmtId="0" fontId="0" fillId="18" borderId="10" xfId="0" applyFill="1" applyBorder="1" applyAlignment="1">
      <alignment horizontal="center" vertical="center" wrapText="1"/>
    </xf>
    <xf numFmtId="0" fontId="0" fillId="18" borderId="96" xfId="0" quotePrefix="1" applyFill="1" applyBorder="1" applyAlignment="1">
      <alignment horizontal="center" vertical="center" wrapText="1"/>
    </xf>
    <xf numFmtId="0" fontId="0" fillId="18" borderId="80" xfId="0" quotePrefix="1" applyFill="1" applyBorder="1" applyAlignment="1">
      <alignment horizontal="center" vertical="center" wrapText="1"/>
    </xf>
    <xf numFmtId="0" fontId="0" fillId="18" borderId="10" xfId="0" applyFill="1" applyBorder="1" applyAlignment="1">
      <alignment horizontal="left" vertical="center" wrapText="1"/>
    </xf>
    <xf numFmtId="0" fontId="0" fillId="18" borderId="96" xfId="0" applyFill="1" applyBorder="1" applyAlignment="1">
      <alignment horizontal="left" vertical="center" wrapText="1"/>
    </xf>
    <xf numFmtId="0" fontId="0" fillId="18" borderId="87" xfId="0" applyFill="1" applyBorder="1" applyAlignment="1">
      <alignment horizontal="left" vertical="center" wrapText="1"/>
    </xf>
    <xf numFmtId="0" fontId="0" fillId="18" borderId="23" xfId="0" applyFill="1" applyBorder="1" applyAlignment="1">
      <alignment horizontal="left" vertical="center"/>
    </xf>
    <xf numFmtId="0" fontId="0" fillId="18" borderId="15" xfId="0" applyFill="1" applyBorder="1" applyAlignment="1">
      <alignment horizontal="left" vertical="center"/>
    </xf>
    <xf numFmtId="0" fontId="0" fillId="18" borderId="8" xfId="0" applyFill="1" applyBorder="1" applyAlignment="1">
      <alignment horizontal="left" vertical="center"/>
    </xf>
    <xf numFmtId="0" fontId="0" fillId="16" borderId="21" xfId="0" applyFill="1" applyBorder="1" applyAlignment="1">
      <alignment horizontal="left" vertical="center"/>
    </xf>
    <xf numFmtId="0" fontId="0" fillId="16" borderId="1" xfId="0" applyFill="1" applyBorder="1" applyAlignment="1">
      <alignment horizontal="left" vertical="center"/>
    </xf>
    <xf numFmtId="0" fontId="0" fillId="16" borderId="3" xfId="0" applyFill="1" applyBorder="1" applyAlignment="1">
      <alignment horizontal="left" vertical="center"/>
    </xf>
    <xf numFmtId="0" fontId="0" fillId="18" borderId="22" xfId="0" applyFill="1" applyBorder="1" applyAlignment="1">
      <alignment horizontal="left" vertical="center"/>
    </xf>
    <xf numFmtId="0" fontId="0" fillId="18" borderId="13" xfId="0" applyFill="1" applyBorder="1" applyAlignment="1">
      <alignment horizontal="left" vertical="center"/>
    </xf>
    <xf numFmtId="0" fontId="0" fillId="18" borderId="5" xfId="0" applyFill="1" applyBorder="1" applyAlignment="1">
      <alignment horizontal="left" vertical="center"/>
    </xf>
    <xf numFmtId="0" fontId="7" fillId="15" borderId="91" xfId="0" applyFont="1" applyFill="1" applyBorder="1" applyAlignment="1">
      <alignment horizontal="center" vertical="center"/>
    </xf>
    <xf numFmtId="0" fontId="7" fillId="15" borderId="14" xfId="0" applyFont="1" applyFill="1" applyBorder="1" applyAlignment="1">
      <alignment horizontal="center" vertical="center"/>
    </xf>
    <xf numFmtId="0" fontId="0" fillId="18" borderId="21" xfId="0" applyFill="1" applyBorder="1" applyAlignment="1">
      <alignment horizontal="left" vertical="center"/>
    </xf>
    <xf numFmtId="0" fontId="0" fillId="18" borderId="1" xfId="0" applyFill="1" applyBorder="1" applyAlignment="1">
      <alignment horizontal="left" vertical="center"/>
    </xf>
    <xf numFmtId="0" fontId="0" fillId="18" borderId="3" xfId="0" applyFill="1" applyBorder="1" applyAlignment="1">
      <alignment horizontal="left" vertical="center"/>
    </xf>
    <xf numFmtId="0" fontId="50" fillId="15" borderId="6" xfId="0" applyFont="1" applyFill="1" applyBorder="1" applyAlignment="1">
      <alignment horizontal="center" vertical="center"/>
    </xf>
    <xf numFmtId="0" fontId="50" fillId="15" borderId="14" xfId="0" applyFont="1" applyFill="1" applyBorder="1" applyAlignment="1">
      <alignment horizontal="center" vertical="center"/>
    </xf>
    <xf numFmtId="0" fontId="50" fillId="15" borderId="7" xfId="0" applyFont="1" applyFill="1" applyBorder="1" applyAlignment="1">
      <alignment horizontal="center" vertical="center"/>
    </xf>
    <xf numFmtId="0" fontId="0" fillId="18" borderId="11" xfId="0" applyFill="1" applyBorder="1" applyAlignment="1">
      <alignment horizontal="left" vertical="center" wrapText="1"/>
    </xf>
    <xf numFmtId="0" fontId="0" fillId="18" borderId="12" xfId="0" applyFill="1" applyBorder="1" applyAlignment="1">
      <alignment horizontal="left" vertical="center" wrapText="1"/>
    </xf>
    <xf numFmtId="0" fontId="0" fillId="18" borderId="81" xfId="0" applyFill="1" applyBorder="1" applyAlignment="1">
      <alignment horizontal="left" vertical="center" wrapText="1"/>
    </xf>
    <xf numFmtId="9" fontId="0" fillId="18" borderId="2" xfId="0" quotePrefix="1" applyNumberFormat="1" applyFill="1" applyBorder="1" applyAlignment="1">
      <alignment horizontal="center" vertical="center"/>
    </xf>
    <xf numFmtId="9" fontId="0" fillId="18" borderId="1" xfId="0" quotePrefix="1" applyNumberFormat="1" applyFill="1" applyBorder="1" applyAlignment="1">
      <alignment horizontal="center" vertical="center"/>
    </xf>
    <xf numFmtId="9" fontId="0" fillId="18" borderId="3" xfId="0" quotePrefix="1" applyNumberFormat="1" applyFill="1" applyBorder="1" applyAlignment="1">
      <alignment horizontal="center" vertical="center"/>
    </xf>
    <xf numFmtId="9" fontId="0" fillId="18" borderId="9" xfId="0" applyNumberFormat="1" applyFill="1" applyBorder="1" applyAlignment="1">
      <alignment horizontal="center" vertical="center"/>
    </xf>
    <xf numFmtId="9" fontId="0" fillId="18" borderId="15" xfId="0" applyNumberFormat="1" applyFill="1" applyBorder="1" applyAlignment="1">
      <alignment horizontal="center" vertical="center"/>
    </xf>
    <xf numFmtId="9" fontId="0" fillId="18" borderId="8" xfId="0" applyNumberFormat="1" applyFill="1" applyBorder="1" applyAlignment="1">
      <alignment horizontal="center" vertical="center"/>
    </xf>
    <xf numFmtId="0" fontId="7" fillId="25" borderId="11" xfId="0" applyFont="1" applyFill="1" applyBorder="1" applyAlignment="1">
      <alignment horizontal="center" vertical="center"/>
    </xf>
    <xf numFmtId="0" fontId="7" fillId="25" borderId="12" xfId="0" applyFont="1" applyFill="1" applyBorder="1" applyAlignment="1">
      <alignment horizontal="center" vertical="center"/>
    </xf>
    <xf numFmtId="0" fontId="7" fillId="25" borderId="24" xfId="0" applyFont="1" applyFill="1" applyBorder="1" applyAlignment="1">
      <alignment horizontal="center" vertical="center"/>
    </xf>
    <xf numFmtId="0" fontId="7" fillId="25" borderId="20" xfId="0" applyFont="1" applyFill="1" applyBorder="1" applyAlignment="1">
      <alignment horizontal="center" vertical="center"/>
    </xf>
    <xf numFmtId="0" fontId="7" fillId="25" borderId="2" xfId="0" applyFont="1" applyFill="1" applyBorder="1" applyAlignment="1">
      <alignment horizontal="center" vertical="center"/>
    </xf>
    <xf numFmtId="0" fontId="7" fillId="25" borderId="4" xfId="0" applyFont="1" applyFill="1" applyBorder="1" applyAlignment="1">
      <alignment horizontal="center" vertical="center"/>
    </xf>
    <xf numFmtId="0" fontId="7" fillId="25" borderId="1" xfId="0" applyFont="1" applyFill="1" applyBorder="1" applyAlignment="1">
      <alignment horizontal="center" vertical="center"/>
    </xf>
    <xf numFmtId="0" fontId="7" fillId="25" borderId="3" xfId="0" applyFont="1" applyFill="1" applyBorder="1" applyAlignment="1">
      <alignment horizontal="center" vertical="center"/>
    </xf>
    <xf numFmtId="0" fontId="7" fillId="25" borderId="21" xfId="0" applyFont="1" applyFill="1" applyBorder="1" applyAlignment="1">
      <alignment horizontal="center" vertical="center"/>
    </xf>
    <xf numFmtId="0" fontId="7" fillId="25" borderId="22" xfId="0" applyFont="1" applyFill="1" applyBorder="1" applyAlignment="1">
      <alignment horizontal="center" vertical="center"/>
    </xf>
    <xf numFmtId="0" fontId="10" fillId="18" borderId="0" xfId="0" applyFont="1" applyFill="1" applyAlignment="1">
      <alignment horizontal="right" vertical="center"/>
    </xf>
    <xf numFmtId="0" fontId="0" fillId="18" borderId="11" xfId="0" quotePrefix="1" applyFill="1" applyBorder="1" applyAlignment="1">
      <alignment horizontal="center" vertical="center" wrapText="1"/>
    </xf>
    <xf numFmtId="0" fontId="0" fillId="18" borderId="12" xfId="0" quotePrefix="1" applyFill="1" applyBorder="1" applyAlignment="1">
      <alignment horizontal="center" vertical="center" wrapText="1"/>
    </xf>
    <xf numFmtId="0" fontId="0" fillId="18" borderId="24" xfId="0" quotePrefix="1" applyFill="1" applyBorder="1" applyAlignment="1">
      <alignment horizontal="center" vertical="center" wrapText="1"/>
    </xf>
    <xf numFmtId="9" fontId="0" fillId="16" borderId="2" xfId="0" quotePrefix="1" applyNumberFormat="1" applyFill="1" applyBorder="1" applyAlignment="1">
      <alignment horizontal="center" vertical="center"/>
    </xf>
    <xf numFmtId="9" fontId="0" fillId="16" borderId="1" xfId="0" quotePrefix="1" applyNumberFormat="1" applyFill="1" applyBorder="1" applyAlignment="1">
      <alignment horizontal="center" vertical="center"/>
    </xf>
    <xf numFmtId="9" fontId="0" fillId="16" borderId="3" xfId="0" quotePrefix="1" applyNumberFormat="1" applyFill="1" applyBorder="1" applyAlignment="1">
      <alignment horizontal="center" vertical="center"/>
    </xf>
    <xf numFmtId="0" fontId="0" fillId="18" borderId="4" xfId="0" applyFill="1" applyBorder="1" applyAlignment="1">
      <alignment horizontal="center" vertical="center"/>
    </xf>
    <xf numFmtId="0" fontId="0" fillId="18" borderId="13" xfId="0" applyFill="1" applyBorder="1" applyAlignment="1">
      <alignment horizontal="center" vertical="center"/>
    </xf>
    <xf numFmtId="0" fontId="0" fillId="18" borderId="5" xfId="0" applyFill="1" applyBorder="1" applyAlignment="1">
      <alignment horizontal="center" vertical="center"/>
    </xf>
    <xf numFmtId="0" fontId="5" fillId="18" borderId="0" xfId="0" applyFont="1" applyFill="1" applyAlignment="1">
      <alignment horizontal="left" vertical="center" wrapText="1" indent="2"/>
    </xf>
    <xf numFmtId="0" fontId="71" fillId="24" borderId="0" xfId="0" applyFont="1" applyFill="1" applyAlignment="1">
      <alignment horizontal="center" vertical="center"/>
    </xf>
    <xf numFmtId="0" fontId="122" fillId="18" borderId="0" xfId="1" applyFont="1" applyFill="1" applyAlignment="1" applyProtection="1">
      <alignment horizontal="right" vertical="center"/>
    </xf>
    <xf numFmtId="0" fontId="33" fillId="18" borderId="0" xfId="0" applyFont="1" applyFill="1" applyAlignment="1">
      <alignment horizontal="left" vertical="center"/>
    </xf>
    <xf numFmtId="0" fontId="5" fillId="15" borderId="37" xfId="0" applyFont="1" applyFill="1" applyBorder="1" applyAlignment="1">
      <alignment horizontal="center" vertical="center"/>
    </xf>
    <xf numFmtId="0" fontId="5" fillId="15" borderId="15" xfId="0" applyFont="1" applyFill="1" applyBorder="1" applyAlignment="1">
      <alignment horizontal="center" vertical="center"/>
    </xf>
    <xf numFmtId="0" fontId="5" fillId="22" borderId="0" xfId="0" applyFont="1" applyFill="1" applyAlignment="1">
      <alignment horizontal="left" vertical="center"/>
    </xf>
    <xf numFmtId="0" fontId="5" fillId="15" borderId="37" xfId="0" applyFont="1" applyFill="1" applyBorder="1" applyAlignment="1">
      <alignment horizontal="left" vertical="center"/>
    </xf>
    <xf numFmtId="0" fontId="5" fillId="15" borderId="15" xfId="0" applyFont="1" applyFill="1" applyBorder="1" applyAlignment="1">
      <alignment horizontal="left" vertical="center"/>
    </xf>
    <xf numFmtId="0" fontId="25" fillId="25" borderId="17" xfId="0" applyFont="1" applyFill="1" applyBorder="1" applyAlignment="1">
      <alignment horizontal="right" vertical="center"/>
    </xf>
    <xf numFmtId="0" fontId="25" fillId="25" borderId="18" xfId="0" applyFont="1" applyFill="1" applyBorder="1" applyAlignment="1">
      <alignment horizontal="right" vertical="center"/>
    </xf>
    <xf numFmtId="0" fontId="25" fillId="25" borderId="16" xfId="0" applyFont="1" applyFill="1" applyBorder="1" applyAlignment="1">
      <alignment horizontal="right" vertical="center" wrapText="1"/>
    </xf>
    <xf numFmtId="0" fontId="25" fillId="25" borderId="17" xfId="0" applyFont="1" applyFill="1" applyBorder="1" applyAlignment="1">
      <alignment horizontal="right" vertical="center" wrapText="1"/>
    </xf>
    <xf numFmtId="0" fontId="25" fillId="25" borderId="18" xfId="0" applyFont="1" applyFill="1" applyBorder="1" applyAlignment="1">
      <alignment horizontal="right" vertical="center" wrapText="1"/>
    </xf>
    <xf numFmtId="0" fontId="28" fillId="18" borderId="0" xfId="0" applyFont="1" applyFill="1" applyBorder="1" applyAlignment="1">
      <alignment horizontal="center" vertical="center" wrapText="1"/>
    </xf>
    <xf numFmtId="0" fontId="31" fillId="18" borderId="0" xfId="0" applyFont="1" applyFill="1" applyAlignment="1">
      <alignment horizontal="center" vertical="center"/>
    </xf>
    <xf numFmtId="0" fontId="5" fillId="18" borderId="17" xfId="0" applyFont="1" applyFill="1" applyBorder="1" applyAlignment="1">
      <alignment horizontal="right" vertical="center" wrapText="1"/>
    </xf>
    <xf numFmtId="0" fontId="5" fillId="18" borderId="18" xfId="0" applyFont="1" applyFill="1" applyBorder="1" applyAlignment="1">
      <alignment horizontal="right" vertical="center" wrapText="1"/>
    </xf>
    <xf numFmtId="0" fontId="25" fillId="25" borderId="6" xfId="0" applyFont="1" applyFill="1" applyBorder="1" applyAlignment="1">
      <alignment horizontal="center" vertical="center"/>
    </xf>
    <xf numFmtId="0" fontId="25" fillId="25" borderId="7" xfId="0" applyFont="1" applyFill="1" applyBorder="1" applyAlignment="1">
      <alignment horizontal="center" vertical="center"/>
    </xf>
    <xf numFmtId="0" fontId="3" fillId="18" borderId="11" xfId="0" applyFont="1" applyFill="1" applyBorder="1" applyAlignment="1">
      <alignment horizontal="right" vertical="center" wrapText="1"/>
    </xf>
    <xf numFmtId="0" fontId="3" fillId="18" borderId="12" xfId="0" applyFont="1" applyFill="1" applyBorder="1" applyAlignment="1">
      <alignment horizontal="right" vertical="center" wrapText="1"/>
    </xf>
    <xf numFmtId="0" fontId="3" fillId="18" borderId="61" xfId="0" applyFont="1" applyFill="1" applyBorder="1" applyAlignment="1">
      <alignment horizontal="right" vertical="center" wrapText="1"/>
    </xf>
    <xf numFmtId="0" fontId="3" fillId="18" borderId="37" xfId="0" applyFont="1" applyFill="1" applyBorder="1" applyAlignment="1">
      <alignment horizontal="right" vertical="center" wrapText="1"/>
    </xf>
    <xf numFmtId="0" fontId="3" fillId="18" borderId="20" xfId="0" applyFont="1" applyFill="1" applyBorder="1" applyAlignment="1">
      <alignment horizontal="left" vertical="center" wrapText="1"/>
    </xf>
    <xf numFmtId="0" fontId="3" fillId="18" borderId="24" xfId="0" applyFont="1" applyFill="1" applyBorder="1" applyAlignment="1">
      <alignment horizontal="left" vertical="center" wrapText="1"/>
    </xf>
    <xf numFmtId="0" fontId="3" fillId="18" borderId="41" xfId="0" applyFont="1" applyFill="1" applyBorder="1" applyAlignment="1">
      <alignment horizontal="left" vertical="center" wrapText="1"/>
    </xf>
    <xf numFmtId="0" fontId="3" fillId="18" borderId="47" xfId="0" applyFont="1" applyFill="1" applyBorder="1" applyAlignment="1">
      <alignment horizontal="left" vertical="center" wrapText="1"/>
    </xf>
    <xf numFmtId="0" fontId="3" fillId="18" borderId="95" xfId="0" applyFont="1" applyFill="1" applyBorder="1" applyAlignment="1">
      <alignment horizontal="right" vertical="center" wrapText="1"/>
    </xf>
    <xf numFmtId="0" fontId="3" fillId="18" borderId="117" xfId="0" applyFont="1" applyFill="1" applyBorder="1" applyAlignment="1">
      <alignment horizontal="right" vertical="center" wrapText="1"/>
    </xf>
    <xf numFmtId="0" fontId="3" fillId="18" borderId="84" xfId="0" applyFont="1" applyFill="1" applyBorder="1" applyAlignment="1">
      <alignment horizontal="right" vertical="center" wrapText="1"/>
    </xf>
    <xf numFmtId="0" fontId="3" fillId="18" borderId="97" xfId="0" applyFont="1" applyFill="1" applyBorder="1" applyAlignment="1">
      <alignment horizontal="right" vertical="center" wrapText="1"/>
    </xf>
    <xf numFmtId="0" fontId="3" fillId="18" borderId="20" xfId="0" applyFont="1" applyFill="1" applyBorder="1" applyAlignment="1">
      <alignment horizontal="left" vertical="center"/>
    </xf>
    <xf numFmtId="0" fontId="3" fillId="18" borderId="24" xfId="0" applyFont="1" applyFill="1" applyBorder="1" applyAlignment="1">
      <alignment horizontal="left" vertical="center"/>
    </xf>
    <xf numFmtId="0" fontId="3" fillId="18" borderId="22" xfId="0" applyFont="1" applyFill="1" applyBorder="1" applyAlignment="1">
      <alignment horizontal="left" vertical="center"/>
    </xf>
    <xf numFmtId="0" fontId="3" fillId="18" borderId="5" xfId="0" applyFont="1" applyFill="1" applyBorder="1" applyAlignment="1">
      <alignment horizontal="left" vertical="center"/>
    </xf>
    <xf numFmtId="0" fontId="25" fillId="25" borderId="25" xfId="0" applyFont="1" applyFill="1" applyBorder="1" applyAlignment="1">
      <alignment horizontal="center" vertical="center" wrapText="1"/>
    </xf>
    <xf numFmtId="0" fontId="25" fillId="25" borderId="91" xfId="0" applyFont="1" applyFill="1" applyBorder="1" applyAlignment="1">
      <alignment horizontal="center" vertical="center" wrapText="1"/>
    </xf>
    <xf numFmtId="0" fontId="25" fillId="25" borderId="30" xfId="0" applyFont="1" applyFill="1" applyBorder="1" applyAlignment="1">
      <alignment horizontal="center" vertical="center" wrapText="1"/>
    </xf>
    <xf numFmtId="0" fontId="146" fillId="22" borderId="25" xfId="0" applyFont="1" applyFill="1" applyBorder="1" applyAlignment="1">
      <alignment horizontal="center" vertical="center" wrapText="1"/>
    </xf>
    <xf numFmtId="0" fontId="146" fillId="22" borderId="91" xfId="0" applyFont="1" applyFill="1" applyBorder="1" applyAlignment="1">
      <alignment horizontal="center" vertical="center" wrapText="1"/>
    </xf>
    <xf numFmtId="0" fontId="146" fillId="22" borderId="30" xfId="0" applyFont="1" applyFill="1" applyBorder="1" applyAlignment="1">
      <alignment horizontal="center" vertical="center" wrapText="1"/>
    </xf>
    <xf numFmtId="0" fontId="3" fillId="18" borderId="4" xfId="0" applyFont="1" applyFill="1" applyBorder="1" applyAlignment="1">
      <alignment horizontal="right" vertical="center" wrapText="1"/>
    </xf>
    <xf numFmtId="0" fontId="3" fillId="18" borderId="13" xfId="0" applyFont="1" applyFill="1" applyBorder="1" applyAlignment="1">
      <alignment horizontal="right" vertical="center" wrapText="1"/>
    </xf>
    <xf numFmtId="0" fontId="3" fillId="18" borderId="22" xfId="0" applyFont="1" applyFill="1" applyBorder="1" applyAlignment="1">
      <alignment horizontal="left" vertical="center" wrapText="1"/>
    </xf>
    <xf numFmtId="0" fontId="3" fillId="18" borderId="5" xfId="0" applyFont="1" applyFill="1" applyBorder="1" applyAlignment="1">
      <alignment horizontal="left" vertical="center" wrapText="1"/>
    </xf>
    <xf numFmtId="0" fontId="3" fillId="18" borderId="9" xfId="0" applyFont="1" applyFill="1" applyBorder="1" applyAlignment="1">
      <alignment horizontal="right" vertical="center" wrapText="1"/>
    </xf>
    <xf numFmtId="0" fontId="3" fillId="18" borderId="15" xfId="0" applyFont="1" applyFill="1" applyBorder="1" applyAlignment="1">
      <alignment horizontal="right" vertical="center" wrapText="1"/>
    </xf>
    <xf numFmtId="0" fontId="3" fillId="18" borderId="23" xfId="0" applyFont="1" applyFill="1" applyBorder="1" applyAlignment="1">
      <alignment horizontal="left" vertical="center" wrapText="1"/>
    </xf>
    <xf numFmtId="0" fontId="3" fillId="18" borderId="8" xfId="0" applyFont="1" applyFill="1" applyBorder="1" applyAlignment="1">
      <alignment horizontal="left" vertical="center" wrapText="1"/>
    </xf>
    <xf numFmtId="0" fontId="76" fillId="18" borderId="0" xfId="0" applyFont="1" applyFill="1" applyAlignment="1">
      <alignment horizontal="left" vertical="center" wrapText="1"/>
    </xf>
    <xf numFmtId="0" fontId="0" fillId="25" borderId="0" xfId="0" applyNumberFormat="1" applyFill="1" applyAlignment="1">
      <alignment horizontal="left" vertical="center" wrapText="1"/>
    </xf>
    <xf numFmtId="0" fontId="39" fillId="18" borderId="0" xfId="0" applyFont="1" applyFill="1" applyAlignment="1">
      <alignment horizontal="left" vertical="center"/>
    </xf>
    <xf numFmtId="0" fontId="0" fillId="18" borderId="81" xfId="0" applyFill="1" applyBorder="1" applyAlignment="1">
      <alignment horizontal="center" vertical="center" wrapText="1"/>
    </xf>
    <xf numFmtId="0" fontId="0" fillId="18" borderId="83" xfId="0" applyFill="1" applyBorder="1" applyAlignment="1">
      <alignment horizontal="center" vertical="center" wrapText="1"/>
    </xf>
    <xf numFmtId="0" fontId="7" fillId="15" borderId="90" xfId="0" applyFont="1" applyFill="1" applyBorder="1" applyAlignment="1">
      <alignment horizontal="center" vertical="center" wrapText="1"/>
    </xf>
    <xf numFmtId="49" fontId="0" fillId="18" borderId="21" xfId="0" applyNumberFormat="1" applyFill="1" applyBorder="1" applyAlignment="1">
      <alignment horizontal="left" vertical="center" wrapText="1"/>
    </xf>
    <xf numFmtId="49" fontId="0" fillId="18" borderId="1" xfId="0" applyNumberFormat="1" applyFill="1" applyBorder="1" applyAlignment="1">
      <alignment horizontal="left" vertical="center" wrapText="1"/>
    </xf>
    <xf numFmtId="49" fontId="0" fillId="18" borderId="3" xfId="0" applyNumberFormat="1" applyFill="1" applyBorder="1" applyAlignment="1">
      <alignment horizontal="left" vertical="center" wrapText="1"/>
    </xf>
    <xf numFmtId="49" fontId="0" fillId="16" borderId="21" xfId="0" applyNumberFormat="1" applyFill="1" applyBorder="1" applyAlignment="1">
      <alignment horizontal="left" vertical="center" wrapText="1"/>
    </xf>
    <xf numFmtId="49" fontId="0" fillId="16" borderId="1" xfId="0" applyNumberFormat="1" applyFill="1" applyBorder="1" applyAlignment="1">
      <alignment horizontal="left" vertical="center" wrapText="1"/>
    </xf>
    <xf numFmtId="49" fontId="0" fillId="16" borderId="3" xfId="0" applyNumberFormat="1" applyFill="1" applyBorder="1" applyAlignment="1">
      <alignment horizontal="left" vertical="center" wrapText="1"/>
    </xf>
    <xf numFmtId="0" fontId="0" fillId="18" borderId="20" xfId="0" applyFill="1" applyBorder="1" applyAlignment="1">
      <alignment horizontal="left" vertical="center" wrapText="1"/>
    </xf>
    <xf numFmtId="0" fontId="0" fillId="18" borderId="24" xfId="0" applyFill="1" applyBorder="1" applyAlignment="1">
      <alignment horizontal="left" vertical="center" wrapText="1"/>
    </xf>
    <xf numFmtId="0" fontId="0" fillId="18" borderId="22" xfId="0" applyFill="1" applyBorder="1" applyAlignment="1">
      <alignment horizontal="center" vertical="center" wrapText="1"/>
    </xf>
    <xf numFmtId="49" fontId="0" fillId="18" borderId="22" xfId="0" applyNumberFormat="1" applyFill="1" applyBorder="1" applyAlignment="1">
      <alignment horizontal="left" vertical="center" wrapText="1"/>
    </xf>
    <xf numFmtId="49" fontId="0" fillId="18" borderId="13" xfId="0" applyNumberFormat="1" applyFill="1" applyBorder="1" applyAlignment="1">
      <alignment horizontal="left" vertical="center" wrapText="1"/>
    </xf>
    <xf numFmtId="49" fontId="0" fillId="18" borderId="5" xfId="0" applyNumberFormat="1" applyFill="1" applyBorder="1" applyAlignment="1">
      <alignment horizontal="left" vertical="center" wrapText="1"/>
    </xf>
    <xf numFmtId="49" fontId="0" fillId="16" borderId="20" xfId="0" applyNumberFormat="1" applyFill="1" applyBorder="1" applyAlignment="1">
      <alignment horizontal="left" vertical="center" wrapText="1"/>
    </xf>
    <xf numFmtId="49" fontId="0" fillId="16" borderId="12" xfId="0" applyNumberFormat="1" applyFill="1" applyBorder="1" applyAlignment="1">
      <alignment horizontal="left" vertical="center" wrapText="1"/>
    </xf>
    <xf numFmtId="49" fontId="0" fillId="16" borderId="24" xfId="0" applyNumberFormat="1" applyFill="1" applyBorder="1" applyAlignment="1">
      <alignment horizontal="left" vertical="center" wrapText="1"/>
    </xf>
    <xf numFmtId="0" fontId="115" fillId="18" borderId="88" xfId="0" applyFont="1" applyFill="1" applyBorder="1" applyAlignment="1">
      <alignment horizontal="left" vertical="center" wrapText="1"/>
    </xf>
    <xf numFmtId="0" fontId="115" fillId="18" borderId="0" xfId="0" applyFont="1" applyFill="1" applyBorder="1" applyAlignment="1">
      <alignment horizontal="left" vertical="center" wrapText="1"/>
    </xf>
    <xf numFmtId="49" fontId="0" fillId="16" borderId="22" xfId="0" applyNumberFormat="1" applyFill="1" applyBorder="1" applyAlignment="1">
      <alignment horizontal="left" vertical="center" wrapText="1"/>
    </xf>
    <xf numFmtId="49" fontId="0" fillId="16" borderId="13" xfId="0" applyNumberFormat="1" applyFill="1" applyBorder="1" applyAlignment="1">
      <alignment horizontal="left" vertical="center" wrapText="1"/>
    </xf>
    <xf numFmtId="49" fontId="0" fillId="16" borderId="5" xfId="0" applyNumberFormat="1" applyFill="1" applyBorder="1" applyAlignment="1">
      <alignment horizontal="left" vertical="center" wrapText="1"/>
    </xf>
    <xf numFmtId="0" fontId="0" fillId="18" borderId="65" xfId="0" applyFill="1" applyBorder="1" applyAlignment="1">
      <alignment horizontal="left" vertical="center" wrapText="1"/>
    </xf>
    <xf numFmtId="49" fontId="7" fillId="52" borderId="0" xfId="0" applyNumberFormat="1" applyFont="1" applyFill="1" applyAlignment="1">
      <alignment horizontal="left" vertical="center" wrapText="1"/>
    </xf>
    <xf numFmtId="49" fontId="0" fillId="18" borderId="0" xfId="0" applyNumberFormat="1" applyFont="1" applyFill="1" applyAlignment="1">
      <alignment horizontal="left" vertical="center" wrapText="1"/>
    </xf>
    <xf numFmtId="9" fontId="0" fillId="18" borderId="13" xfId="0" quotePrefix="1" applyNumberFormat="1" applyFill="1" applyBorder="1" applyAlignment="1">
      <alignment horizontal="center"/>
    </xf>
    <xf numFmtId="9" fontId="0" fillId="18" borderId="5" xfId="0" quotePrefix="1" applyNumberFormat="1" applyFill="1" applyBorder="1" applyAlignment="1">
      <alignment horizontal="center"/>
    </xf>
    <xf numFmtId="0" fontId="50" fillId="15" borderId="6" xfId="0" applyFont="1" applyFill="1" applyBorder="1" applyAlignment="1">
      <alignment horizontal="center"/>
    </xf>
    <xf numFmtId="0" fontId="50" fillId="15" borderId="14" xfId="0" applyFont="1" applyFill="1" applyBorder="1" applyAlignment="1">
      <alignment horizontal="center"/>
    </xf>
    <xf numFmtId="0" fontId="0" fillId="18" borderId="0" xfId="0" applyFill="1" applyAlignment="1">
      <alignment horizontal="left" wrapText="1"/>
    </xf>
    <xf numFmtId="0" fontId="7" fillId="18" borderId="0" xfId="0" applyFont="1" applyFill="1" applyAlignment="1">
      <alignment horizontal="left" wrapText="1"/>
    </xf>
    <xf numFmtId="0" fontId="0" fillId="18" borderId="15" xfId="0" applyFill="1" applyBorder="1" applyAlignment="1">
      <alignment horizontal="center"/>
    </xf>
    <xf numFmtId="0" fontId="0" fillId="16" borderId="1" xfId="0" applyFill="1" applyBorder="1" applyAlignment="1">
      <alignment horizontal="center"/>
    </xf>
    <xf numFmtId="0" fontId="0" fillId="18" borderId="1" xfId="0" applyFill="1" applyBorder="1" applyAlignment="1">
      <alignment horizontal="center"/>
    </xf>
    <xf numFmtId="9" fontId="0" fillId="16" borderId="1" xfId="0" quotePrefix="1" applyNumberFormat="1" applyFill="1" applyBorder="1" applyAlignment="1">
      <alignment horizontal="center"/>
    </xf>
    <xf numFmtId="0" fontId="50" fillId="15" borderId="7" xfId="0" applyFont="1" applyFill="1" applyBorder="1" applyAlignment="1">
      <alignment horizontal="center"/>
    </xf>
    <xf numFmtId="0" fontId="0" fillId="18" borderId="8" xfId="0" applyFill="1" applyBorder="1" applyAlignment="1">
      <alignment horizontal="center"/>
    </xf>
    <xf numFmtId="0" fontId="0" fillId="16" borderId="3" xfId="0" applyFill="1" applyBorder="1" applyAlignment="1">
      <alignment horizontal="center"/>
    </xf>
    <xf numFmtId="9" fontId="0" fillId="16" borderId="3" xfId="0" quotePrefix="1" applyNumberFormat="1" applyFill="1" applyBorder="1" applyAlignment="1">
      <alignment horizontal="center"/>
    </xf>
    <xf numFmtId="0" fontId="0" fillId="18" borderId="3" xfId="0" applyFill="1" applyBorder="1" applyAlignment="1">
      <alignment horizontal="center"/>
    </xf>
    <xf numFmtId="0" fontId="6" fillId="24" borderId="0" xfId="1" applyFont="1" applyFill="1" applyAlignment="1" applyProtection="1">
      <alignment horizontal="center" vertical="center" wrapText="1"/>
    </xf>
    <xf numFmtId="0" fontId="7" fillId="15" borderId="31" xfId="0" applyNumberFormat="1" applyFont="1" applyFill="1" applyBorder="1" applyAlignment="1">
      <alignment horizontal="center" vertical="center" wrapText="1"/>
    </xf>
    <xf numFmtId="0" fontId="7" fillId="15" borderId="33" xfId="0" applyNumberFormat="1" applyFont="1" applyFill="1" applyBorder="1" applyAlignment="1">
      <alignment horizontal="center" vertical="center" wrapText="1"/>
    </xf>
    <xf numFmtId="0" fontId="7" fillId="52" borderId="0" xfId="0" applyFont="1" applyFill="1" applyAlignment="1">
      <alignment horizontal="left" vertical="center" wrapText="1"/>
    </xf>
    <xf numFmtId="0" fontId="7" fillId="18" borderId="0" xfId="0" applyFont="1" applyFill="1" applyAlignment="1">
      <alignment horizontal="left"/>
    </xf>
    <xf numFmtId="0" fontId="0" fillId="18" borderId="0" xfId="0" applyFill="1" applyAlignment="1">
      <alignment horizontal="center" wrapText="1"/>
    </xf>
    <xf numFmtId="0" fontId="5" fillId="18" borderId="0" xfId="0" applyFont="1" applyFill="1" applyBorder="1" applyAlignment="1">
      <alignment horizontal="right" vertical="center" wrapText="1"/>
    </xf>
    <xf numFmtId="0" fontId="25" fillId="22" borderId="0" xfId="0" applyFont="1" applyFill="1" applyBorder="1" applyAlignment="1">
      <alignment horizontal="center" vertical="center" wrapText="1"/>
    </xf>
    <xf numFmtId="0" fontId="118" fillId="24" borderId="0" xfId="1" applyFont="1" applyFill="1" applyAlignment="1" applyProtection="1">
      <alignment horizontal="center" vertical="center"/>
    </xf>
    <xf numFmtId="0" fontId="69" fillId="18" borderId="0" xfId="0" applyFont="1" applyFill="1" applyAlignment="1">
      <alignment horizontal="center" vertical="center"/>
    </xf>
    <xf numFmtId="0" fontId="6" fillId="18" borderId="84" xfId="1" applyFill="1" applyBorder="1" applyAlignment="1" applyProtection="1">
      <alignment horizontal="left" vertical="center"/>
    </xf>
    <xf numFmtId="0" fontId="6" fillId="18" borderId="67" xfId="1" applyFill="1" applyBorder="1" applyAlignment="1" applyProtection="1">
      <alignment horizontal="left" vertical="center"/>
    </xf>
    <xf numFmtId="0" fontId="6" fillId="18" borderId="85" xfId="1" applyFill="1" applyBorder="1" applyAlignment="1" applyProtection="1">
      <alignment horizontal="left" vertical="center"/>
    </xf>
    <xf numFmtId="0" fontId="66" fillId="18" borderId="0" xfId="0" applyFont="1" applyFill="1" applyBorder="1" applyAlignment="1">
      <alignment horizontal="left" vertical="center"/>
    </xf>
    <xf numFmtId="0" fontId="65" fillId="18" borderId="0" xfId="0" applyFont="1" applyFill="1" applyBorder="1" applyAlignment="1">
      <alignment horizontal="left" vertical="center"/>
    </xf>
    <xf numFmtId="0" fontId="66" fillId="18" borderId="0" xfId="0" applyFont="1" applyFill="1" applyBorder="1" applyAlignment="1">
      <alignment horizontal="left" vertical="center" wrapText="1"/>
    </xf>
    <xf numFmtId="0" fontId="65" fillId="18" borderId="0" xfId="0" applyFont="1" applyFill="1" applyBorder="1" applyAlignment="1">
      <alignment horizontal="left" vertical="center" wrapText="1"/>
    </xf>
    <xf numFmtId="0" fontId="5" fillId="18" borderId="95" xfId="0" applyFont="1" applyFill="1" applyBorder="1" applyAlignment="1">
      <alignment horizontal="left" vertical="center" wrapText="1"/>
    </xf>
    <xf numFmtId="0" fontId="5" fillId="18" borderId="94" xfId="0" applyFont="1" applyFill="1" applyBorder="1" applyAlignment="1">
      <alignment horizontal="left" vertical="center" wrapText="1"/>
    </xf>
    <xf numFmtId="0" fontId="65" fillId="18" borderId="0" xfId="0" applyFont="1" applyFill="1" applyAlignment="1">
      <alignment horizontal="left" vertical="center"/>
    </xf>
    <xf numFmtId="0" fontId="65" fillId="18" borderId="0" xfId="0" applyFont="1" applyFill="1" applyAlignment="1">
      <alignment horizontal="left" vertical="center" wrapText="1"/>
    </xf>
    <xf numFmtId="0" fontId="66" fillId="18" borderId="0" xfId="0" applyFont="1" applyFill="1" applyAlignment="1">
      <alignment horizontal="left" vertical="center"/>
    </xf>
    <xf numFmtId="0" fontId="65" fillId="18" borderId="49" xfId="0" applyFont="1" applyFill="1" applyBorder="1" applyAlignment="1">
      <alignment horizontal="left" vertical="center" wrapText="1"/>
    </xf>
    <xf numFmtId="0" fontId="118" fillId="24" borderId="0" xfId="1" applyFont="1" applyFill="1" applyBorder="1" applyAlignment="1" applyProtection="1">
      <alignment horizontal="center" vertical="center"/>
    </xf>
    <xf numFmtId="0" fontId="25" fillId="25" borderId="0" xfId="0" applyFont="1" applyFill="1" applyAlignment="1">
      <alignment horizontal="left" vertical="center" wrapText="1"/>
    </xf>
    <xf numFmtId="0" fontId="65" fillId="18" borderId="3" xfId="0" applyFont="1" applyFill="1" applyBorder="1" applyAlignment="1">
      <alignment horizontal="center" vertical="center" wrapText="1"/>
    </xf>
    <xf numFmtId="0" fontId="65" fillId="18" borderId="60" xfId="0" applyFont="1" applyFill="1" applyBorder="1" applyAlignment="1">
      <alignment horizontal="center" vertical="center" wrapText="1"/>
    </xf>
    <xf numFmtId="0" fontId="65" fillId="18" borderId="50" xfId="0" applyFont="1" applyFill="1" applyBorder="1" applyAlignment="1">
      <alignment horizontal="center" vertical="center" wrapText="1"/>
    </xf>
    <xf numFmtId="0" fontId="65" fillId="18" borderId="8" xfId="0" applyFont="1" applyFill="1" applyBorder="1" applyAlignment="1">
      <alignment horizontal="center" vertical="center" wrapText="1"/>
    </xf>
    <xf numFmtId="0" fontId="65" fillId="18" borderId="47" xfId="0" applyFont="1" applyFill="1" applyBorder="1" applyAlignment="1">
      <alignment horizontal="center" vertical="center" wrapText="1"/>
    </xf>
    <xf numFmtId="0" fontId="65" fillId="18" borderId="56" xfId="0" applyFont="1" applyFill="1" applyBorder="1" applyAlignment="1">
      <alignment horizontal="center" vertical="center" wrapText="1"/>
    </xf>
    <xf numFmtId="0" fontId="65" fillId="18" borderId="80" xfId="0" applyFont="1" applyFill="1" applyBorder="1" applyAlignment="1">
      <alignment horizontal="center" vertical="center" wrapText="1"/>
    </xf>
    <xf numFmtId="0" fontId="65" fillId="18" borderId="83" xfId="0" applyFont="1" applyFill="1" applyBorder="1" applyAlignment="1">
      <alignment horizontal="center" vertical="center" wrapText="1"/>
    </xf>
    <xf numFmtId="0" fontId="5" fillId="16" borderId="88" xfId="0" applyFont="1" applyFill="1" applyBorder="1" applyAlignment="1">
      <alignment horizontal="center" vertical="center" wrapText="1"/>
    </xf>
    <xf numFmtId="0" fontId="5" fillId="16" borderId="55" xfId="0" applyFont="1" applyFill="1" applyBorder="1" applyAlignment="1">
      <alignment horizontal="center" vertical="center" wrapText="1"/>
    </xf>
    <xf numFmtId="0" fontId="5" fillId="16" borderId="84" xfId="0" applyFont="1" applyFill="1" applyBorder="1" applyAlignment="1">
      <alignment horizontal="center" vertical="center" wrapText="1"/>
    </xf>
    <xf numFmtId="0" fontId="5" fillId="16" borderId="85" xfId="0" applyFont="1" applyFill="1" applyBorder="1" applyAlignment="1">
      <alignment horizontal="center" vertical="center" wrapText="1"/>
    </xf>
    <xf numFmtId="0" fontId="26" fillId="18" borderId="0" xfId="0" applyFont="1" applyFill="1" applyAlignment="1">
      <alignment horizontal="left" vertical="center"/>
    </xf>
    <xf numFmtId="0" fontId="150" fillId="22" borderId="0" xfId="0" applyFont="1" applyFill="1" applyAlignment="1">
      <alignment horizontal="center" vertical="center"/>
    </xf>
    <xf numFmtId="0" fontId="26" fillId="18" borderId="0" xfId="0" applyFont="1" applyFill="1" applyAlignment="1">
      <alignment vertical="center" wrapText="1"/>
    </xf>
    <xf numFmtId="0" fontId="7" fillId="14" borderId="1" xfId="0" applyFont="1" applyFill="1" applyBorder="1" applyAlignment="1">
      <alignment horizontal="center" vertical="center"/>
    </xf>
    <xf numFmtId="0" fontId="105" fillId="3" borderId="0" xfId="0" applyFont="1" applyFill="1" applyAlignment="1">
      <alignment horizontal="center" vertical="center" wrapText="1"/>
    </xf>
    <xf numFmtId="0" fontId="0" fillId="0" borderId="0" xfId="0" applyAlignment="1">
      <alignment horizontal="left" vertical="center" wrapText="1"/>
    </xf>
    <xf numFmtId="0" fontId="25" fillId="18" borderId="16" xfId="0" applyFont="1" applyFill="1" applyBorder="1" applyAlignment="1">
      <alignment horizontal="center" vertical="center" wrapText="1"/>
    </xf>
    <xf numFmtId="0" fontId="25" fillId="18" borderId="17" xfId="0" applyFont="1" applyFill="1" applyBorder="1" applyAlignment="1">
      <alignment horizontal="center" vertical="center" wrapText="1"/>
    </xf>
    <xf numFmtId="0" fontId="140" fillId="18" borderId="65" xfId="0" applyFont="1" applyFill="1" applyBorder="1" applyAlignment="1">
      <alignment horizontal="right" vertical="center"/>
    </xf>
    <xf numFmtId="0" fontId="25" fillId="18" borderId="11" xfId="0" applyFont="1" applyFill="1" applyBorder="1" applyAlignment="1">
      <alignment horizontal="center" vertical="center"/>
    </xf>
    <xf numFmtId="0" fontId="25" fillId="18" borderId="12" xfId="0" applyFont="1" applyFill="1" applyBorder="1" applyAlignment="1">
      <alignment horizontal="center" vertical="center"/>
    </xf>
    <xf numFmtId="0" fontId="25" fillId="18" borderId="24" xfId="0" applyFont="1" applyFill="1" applyBorder="1" applyAlignment="1">
      <alignment horizontal="center" vertical="center"/>
    </xf>
    <xf numFmtId="0" fontId="4" fillId="23" borderId="65" xfId="0" applyFont="1" applyFill="1" applyBorder="1" applyAlignment="1">
      <alignment horizontal="center" vertical="center"/>
    </xf>
    <xf numFmtId="0" fontId="25" fillId="18" borderId="16" xfId="0" applyFont="1" applyFill="1" applyBorder="1" applyAlignment="1">
      <alignment horizontal="left" vertical="center" wrapText="1"/>
    </xf>
    <xf numFmtId="0" fontId="25" fillId="18" borderId="17" xfId="0" applyFont="1" applyFill="1" applyBorder="1" applyAlignment="1">
      <alignment horizontal="left" vertical="center" wrapText="1"/>
    </xf>
    <xf numFmtId="0" fontId="141" fillId="18" borderId="25" xfId="0" applyFont="1" applyFill="1" applyBorder="1" applyAlignment="1">
      <alignment horizontal="right" vertical="center"/>
    </xf>
    <xf numFmtId="0" fontId="141" fillId="18" borderId="91" xfId="0" applyFont="1" applyFill="1" applyBorder="1" applyAlignment="1">
      <alignment horizontal="right" vertical="center"/>
    </xf>
    <xf numFmtId="0" fontId="5" fillId="18" borderId="11" xfId="0" applyFont="1" applyFill="1" applyBorder="1" applyAlignment="1">
      <alignment horizontal="left" vertical="center"/>
    </xf>
    <xf numFmtId="0" fontId="5" fillId="18" borderId="12" xfId="0" applyFont="1" applyFill="1" applyBorder="1" applyAlignment="1">
      <alignment horizontal="left" vertical="center"/>
    </xf>
    <xf numFmtId="0" fontId="5" fillId="18" borderId="20" xfId="0" applyFont="1" applyFill="1" applyBorder="1" applyAlignment="1">
      <alignment horizontal="left" vertical="center"/>
    </xf>
    <xf numFmtId="0" fontId="5" fillId="16" borderId="21" xfId="0" applyFont="1" applyFill="1" applyBorder="1" applyAlignment="1">
      <alignment horizontal="left" vertical="center"/>
    </xf>
    <xf numFmtId="0" fontId="131" fillId="18" borderId="67" xfId="0" applyFont="1" applyFill="1" applyBorder="1" applyAlignment="1">
      <alignment horizontal="center" vertical="center"/>
    </xf>
    <xf numFmtId="0" fontId="131" fillId="18" borderId="0" xfId="0" applyFont="1" applyFill="1" applyBorder="1" applyAlignment="1">
      <alignment horizontal="center" vertical="center"/>
    </xf>
    <xf numFmtId="0" fontId="66" fillId="25" borderId="6" xfId="0" applyFont="1" applyFill="1" applyBorder="1" applyAlignment="1">
      <alignment horizontal="center" vertical="center"/>
    </xf>
    <xf numFmtId="0" fontId="66" fillId="25" borderId="14" xfId="0" applyFont="1" applyFill="1" applyBorder="1" applyAlignment="1">
      <alignment horizontal="center" vertical="center"/>
    </xf>
    <xf numFmtId="0" fontId="66" fillId="25" borderId="90" xfId="0" applyFont="1" applyFill="1" applyBorder="1" applyAlignment="1">
      <alignment horizontal="center" vertical="center"/>
    </xf>
    <xf numFmtId="167" fontId="65" fillId="18" borderId="6" xfId="0" applyNumberFormat="1" applyFont="1" applyFill="1" applyBorder="1" applyAlignment="1">
      <alignment horizontal="center" vertical="center"/>
    </xf>
    <xf numFmtId="167" fontId="65" fillId="18" borderId="14" xfId="0" applyNumberFormat="1" applyFont="1" applyFill="1" applyBorder="1" applyAlignment="1">
      <alignment horizontal="center" vertical="center"/>
    </xf>
    <xf numFmtId="167" fontId="5" fillId="18" borderId="34" xfId="0" applyNumberFormat="1" applyFont="1" applyFill="1" applyBorder="1" applyAlignment="1">
      <alignment horizontal="center" vertical="center"/>
    </xf>
    <xf numFmtId="167" fontId="5" fillId="18" borderId="14" xfId="0" applyNumberFormat="1" applyFont="1" applyFill="1" applyBorder="1" applyAlignment="1">
      <alignment horizontal="center" vertical="center"/>
    </xf>
    <xf numFmtId="167" fontId="65" fillId="18" borderId="34" xfId="0" applyNumberFormat="1" applyFont="1" applyFill="1" applyBorder="1" applyAlignment="1">
      <alignment horizontal="center" vertical="center"/>
    </xf>
    <xf numFmtId="167" fontId="91" fillId="18" borderId="34" xfId="0" applyNumberFormat="1" applyFont="1" applyFill="1" applyBorder="1" applyAlignment="1">
      <alignment horizontal="center" vertical="center"/>
    </xf>
    <xf numFmtId="167" fontId="91" fillId="18" borderId="14" xfId="0" applyNumberFormat="1" applyFont="1" applyFill="1" applyBorder="1" applyAlignment="1">
      <alignment horizontal="center" vertical="center"/>
    </xf>
    <xf numFmtId="167" fontId="68" fillId="18" borderId="34" xfId="0" applyNumberFormat="1" applyFont="1" applyFill="1" applyBorder="1" applyAlignment="1">
      <alignment horizontal="center" vertical="center"/>
    </xf>
    <xf numFmtId="167" fontId="68" fillId="18" borderId="90" xfId="0" applyNumberFormat="1" applyFont="1" applyFill="1" applyBorder="1" applyAlignment="1">
      <alignment horizontal="center" vertical="center"/>
    </xf>
    <xf numFmtId="0" fontId="66" fillId="15" borderId="38" xfId="0" applyFont="1" applyFill="1" applyBorder="1" applyAlignment="1">
      <alignment horizontal="center" vertical="center"/>
    </xf>
    <xf numFmtId="0" fontId="66" fillId="15" borderId="40" xfId="0" applyFont="1" applyFill="1" applyBorder="1" applyAlignment="1">
      <alignment horizontal="center" vertical="center"/>
    </xf>
    <xf numFmtId="0" fontId="66" fillId="15" borderId="117" xfId="0" applyFont="1" applyFill="1" applyBorder="1" applyAlignment="1">
      <alignment horizontal="center" vertical="center"/>
    </xf>
    <xf numFmtId="0" fontId="5" fillId="16" borderId="61" xfId="0" applyFont="1" applyFill="1" applyBorder="1" applyAlignment="1">
      <alignment horizontal="left" vertical="center"/>
    </xf>
    <xf numFmtId="0" fontId="5" fillId="16" borderId="37" xfId="0" applyFont="1" applyFill="1" applyBorder="1" applyAlignment="1">
      <alignment horizontal="left" vertical="center"/>
    </xf>
    <xf numFmtId="0" fontId="5" fillId="16" borderId="11" xfId="0" applyFont="1" applyFill="1" applyBorder="1" applyAlignment="1">
      <alignment horizontal="left" vertical="center"/>
    </xf>
    <xf numFmtId="0" fontId="5" fillId="16" borderId="12" xfId="0" applyFont="1" applyFill="1" applyBorder="1" applyAlignment="1">
      <alignment horizontal="left" vertical="center"/>
    </xf>
    <xf numFmtId="0" fontId="5" fillId="16" borderId="41" xfId="0" applyFont="1" applyFill="1" applyBorder="1" applyAlignment="1">
      <alignment horizontal="left" vertical="center"/>
    </xf>
    <xf numFmtId="0" fontId="5" fillId="16" borderId="23" xfId="0" applyFont="1" applyFill="1" applyBorder="1" applyAlignment="1">
      <alignment horizontal="left" vertical="center"/>
    </xf>
    <xf numFmtId="0" fontId="5" fillId="16" borderId="15" xfId="0" applyFont="1" applyFill="1" applyBorder="1" applyAlignment="1">
      <alignment horizontal="left" vertical="center"/>
    </xf>
    <xf numFmtId="0" fontId="5" fillId="16" borderId="9" xfId="0" applyFont="1" applyFill="1" applyBorder="1" applyAlignment="1">
      <alignment horizontal="left" vertical="center"/>
    </xf>
    <xf numFmtId="0" fontId="5" fillId="18" borderId="61" xfId="0" applyFont="1" applyFill="1" applyBorder="1" applyAlignment="1">
      <alignment horizontal="left" vertical="center"/>
    </xf>
    <xf numFmtId="0" fontId="5" fillId="18" borderId="54" xfId="0" applyFont="1" applyFill="1" applyBorder="1" applyAlignment="1">
      <alignment horizontal="left" vertical="center"/>
    </xf>
    <xf numFmtId="0" fontId="5" fillId="16" borderId="6" xfId="0" applyFont="1" applyFill="1" applyBorder="1" applyAlignment="1">
      <alignment horizontal="left" vertical="center"/>
    </xf>
    <xf numFmtId="0" fontId="5" fillId="16" borderId="14" xfId="0" applyFont="1" applyFill="1" applyBorder="1" applyAlignment="1">
      <alignment horizontal="left" vertical="center"/>
    </xf>
    <xf numFmtId="0" fontId="65" fillId="18" borderId="95" xfId="0" applyFont="1" applyFill="1" applyBorder="1" applyAlignment="1">
      <alignment horizontal="center" vertical="center"/>
    </xf>
    <xf numFmtId="0" fontId="65" fillId="18" borderId="94" xfId="0" applyFont="1" applyFill="1" applyBorder="1" applyAlignment="1">
      <alignment horizontal="center" vertical="center"/>
    </xf>
    <xf numFmtId="0" fontId="65" fillId="18" borderId="88" xfId="0" applyFont="1" applyFill="1" applyBorder="1" applyAlignment="1">
      <alignment horizontal="center" vertical="center"/>
    </xf>
    <xf numFmtId="0" fontId="65" fillId="18" borderId="55" xfId="0" applyFont="1" applyFill="1" applyBorder="1" applyAlignment="1">
      <alignment horizontal="center" vertical="center"/>
    </xf>
    <xf numFmtId="0" fontId="65" fillId="18" borderId="84" xfId="0" applyFont="1" applyFill="1" applyBorder="1" applyAlignment="1">
      <alignment horizontal="center" vertical="center"/>
    </xf>
    <xf numFmtId="0" fontId="65" fillId="18" borderId="85" xfId="0" applyFont="1" applyFill="1" applyBorder="1" applyAlignment="1">
      <alignment horizontal="center" vertical="center"/>
    </xf>
    <xf numFmtId="0" fontId="65" fillId="18" borderId="0" xfId="0" applyFont="1" applyFill="1" applyBorder="1" applyAlignment="1">
      <alignment horizontal="center" vertical="center"/>
    </xf>
    <xf numFmtId="0" fontId="65" fillId="18" borderId="67" xfId="0" applyFont="1" applyFill="1" applyBorder="1" applyAlignment="1">
      <alignment horizontal="center" vertical="center"/>
    </xf>
    <xf numFmtId="0" fontId="25" fillId="28" borderId="0" xfId="0" applyFont="1" applyFill="1" applyAlignment="1">
      <alignment horizontal="center" vertical="center"/>
    </xf>
    <xf numFmtId="0" fontId="25" fillId="27" borderId="0" xfId="0" applyFont="1" applyFill="1" applyAlignment="1">
      <alignment horizontal="center" vertical="center"/>
    </xf>
    <xf numFmtId="0" fontId="26" fillId="18" borderId="0" xfId="0" applyFont="1" applyFill="1" applyBorder="1" applyAlignment="1">
      <alignment horizontal="left" vertical="center" wrapText="1"/>
    </xf>
    <xf numFmtId="0" fontId="25" fillId="26" borderId="0" xfId="0" applyFont="1" applyFill="1" applyAlignment="1">
      <alignment horizontal="center" vertical="center"/>
    </xf>
    <xf numFmtId="0" fontId="25" fillId="23" borderId="0" xfId="0" applyFont="1" applyFill="1" applyAlignment="1">
      <alignment horizontal="center" vertical="center"/>
    </xf>
    <xf numFmtId="0" fontId="91" fillId="18" borderId="0" xfId="0" applyFont="1" applyFill="1" applyAlignment="1">
      <alignment horizontal="left" vertical="center" wrapText="1"/>
    </xf>
    <xf numFmtId="0" fontId="25" fillId="15" borderId="2" xfId="0" applyNumberFormat="1" applyFont="1" applyFill="1" applyBorder="1" applyAlignment="1">
      <alignment horizontal="left" vertical="center" indent="1"/>
    </xf>
    <xf numFmtId="0" fontId="25" fillId="15" borderId="3" xfId="0" applyNumberFormat="1" applyFont="1" applyFill="1" applyBorder="1" applyAlignment="1">
      <alignment horizontal="left" vertical="center" indent="1"/>
    </xf>
    <xf numFmtId="0" fontId="42" fillId="18" borderId="68" xfId="0" applyFont="1" applyFill="1" applyBorder="1" applyAlignment="1">
      <alignment horizontal="center" vertical="center" wrapText="1"/>
    </xf>
    <xf numFmtId="0" fontId="42" fillId="18" borderId="57" xfId="0" applyFont="1" applyFill="1" applyBorder="1" applyAlignment="1">
      <alignment horizontal="center" vertical="center" wrapText="1"/>
    </xf>
    <xf numFmtId="0" fontId="42" fillId="18" borderId="44" xfId="0" applyFont="1" applyFill="1" applyBorder="1" applyAlignment="1">
      <alignment horizontal="center" vertical="center" wrapText="1"/>
    </xf>
    <xf numFmtId="0" fontId="42" fillId="18" borderId="31" xfId="0" applyFont="1" applyFill="1" applyBorder="1" applyAlignment="1">
      <alignment horizontal="center" vertical="center" wrapText="1"/>
    </xf>
    <xf numFmtId="0" fontId="29" fillId="15" borderId="60" xfId="0" applyNumberFormat="1" applyFont="1" applyFill="1" applyBorder="1" applyAlignment="1">
      <alignment horizontal="center" vertical="center" wrapText="1"/>
    </xf>
    <xf numFmtId="0" fontId="29" fillId="15" borderId="27" xfId="0" applyNumberFormat="1" applyFont="1" applyFill="1" applyBorder="1" applyAlignment="1">
      <alignment horizontal="center" vertical="center" wrapText="1"/>
    </xf>
    <xf numFmtId="0" fontId="70" fillId="18" borderId="0" xfId="0" applyFont="1" applyFill="1" applyAlignment="1">
      <alignment horizontal="left" vertical="center" wrapText="1"/>
    </xf>
    <xf numFmtId="0" fontId="29" fillId="15" borderId="0" xfId="0" applyFont="1" applyFill="1" applyAlignment="1">
      <alignment horizontal="center" vertical="center" wrapText="1"/>
    </xf>
    <xf numFmtId="0" fontId="28" fillId="23" borderId="0" xfId="0" applyFont="1" applyFill="1" applyAlignment="1">
      <alignment horizontal="left" vertical="center" wrapText="1"/>
    </xf>
    <xf numFmtId="0" fontId="25" fillId="15" borderId="6" xfId="0" applyFont="1" applyFill="1" applyBorder="1" applyAlignment="1">
      <alignment horizontal="center"/>
    </xf>
    <xf numFmtId="0" fontId="25" fillId="15" borderId="7" xfId="0" applyFont="1" applyFill="1" applyBorder="1" applyAlignment="1">
      <alignment horizontal="center"/>
    </xf>
    <xf numFmtId="0" fontId="0" fillId="18" borderId="0" xfId="1" applyFont="1" applyFill="1" applyAlignment="1" applyProtection="1">
      <alignment horizontal="left" vertical="center" wrapText="1"/>
    </xf>
    <xf numFmtId="0" fontId="1" fillId="18" borderId="0" xfId="1" applyFont="1" applyFill="1" applyAlignment="1" applyProtection="1">
      <alignment horizontal="left" vertical="center" wrapText="1"/>
    </xf>
    <xf numFmtId="0" fontId="6" fillId="18" borderId="0" xfId="1" applyFill="1" applyAlignment="1" applyProtection="1">
      <alignment horizontal="left" vertical="center"/>
    </xf>
    <xf numFmtId="0" fontId="5" fillId="15" borderId="0" xfId="0" applyFont="1" applyFill="1" applyAlignment="1">
      <alignment horizontal="left" vertical="center"/>
    </xf>
    <xf numFmtId="49" fontId="65" fillId="18" borderId="2" xfId="0" applyNumberFormat="1" applyFont="1" applyFill="1" applyBorder="1" applyAlignment="1">
      <alignment horizontal="left" vertical="center" wrapText="1" indent="1"/>
    </xf>
    <xf numFmtId="49" fontId="65" fillId="18" borderId="1" xfId="0" applyNumberFormat="1" applyFont="1" applyFill="1" applyBorder="1" applyAlignment="1">
      <alignment horizontal="left" vertical="center" wrapText="1" indent="1"/>
    </xf>
    <xf numFmtId="49" fontId="65" fillId="18" borderId="3" xfId="0" applyNumberFormat="1" applyFont="1" applyFill="1" applyBorder="1" applyAlignment="1">
      <alignment horizontal="left" vertical="center" wrapText="1" indent="1"/>
    </xf>
    <xf numFmtId="49" fontId="66" fillId="15" borderId="20" xfId="0" applyNumberFormat="1" applyFont="1" applyFill="1" applyBorder="1" applyAlignment="1">
      <alignment horizontal="center" vertical="center" wrapText="1"/>
    </xf>
    <xf numFmtId="49" fontId="66" fillId="15" borderId="24" xfId="0" applyNumberFormat="1" applyFont="1" applyFill="1" applyBorder="1" applyAlignment="1">
      <alignment horizontal="center" vertical="center" wrapText="1"/>
    </xf>
    <xf numFmtId="49" fontId="66" fillId="15" borderId="11" xfId="0" applyNumberFormat="1" applyFont="1" applyFill="1" applyBorder="1" applyAlignment="1">
      <alignment horizontal="center" vertical="center" wrapText="1"/>
    </xf>
    <xf numFmtId="49" fontId="66" fillId="15" borderId="12" xfId="0" applyNumberFormat="1" applyFont="1" applyFill="1" applyBorder="1" applyAlignment="1">
      <alignment horizontal="center" vertical="center" wrapText="1"/>
    </xf>
    <xf numFmtId="49" fontId="65" fillId="18" borderId="11" xfId="0" applyNumberFormat="1" applyFont="1" applyFill="1" applyBorder="1" applyAlignment="1">
      <alignment horizontal="left" vertical="center" wrapText="1" indent="1"/>
    </xf>
    <xf numFmtId="49" fontId="65" fillId="18" borderId="12" xfId="0" applyNumberFormat="1" applyFont="1" applyFill="1" applyBorder="1" applyAlignment="1">
      <alignment horizontal="left" vertical="center" wrapText="1" indent="1"/>
    </xf>
    <xf numFmtId="49" fontId="65" fillId="18" borderId="24" xfId="0" applyNumberFormat="1" applyFont="1" applyFill="1" applyBorder="1" applyAlignment="1">
      <alignment horizontal="left" vertical="center" wrapText="1" indent="1"/>
    </xf>
    <xf numFmtId="49" fontId="66" fillId="25" borderId="4" xfId="0" applyNumberFormat="1" applyFont="1" applyFill="1" applyBorder="1" applyAlignment="1">
      <alignment horizontal="right" vertical="center" wrapText="1"/>
    </xf>
    <xf numFmtId="49" fontId="66" fillId="25" borderId="13" xfId="0" applyNumberFormat="1" applyFont="1" applyFill="1" applyBorder="1" applyAlignment="1">
      <alignment horizontal="right" vertical="center" wrapText="1"/>
    </xf>
    <xf numFmtId="49" fontId="66" fillId="25" borderId="5" xfId="0" applyNumberFormat="1" applyFont="1" applyFill="1" applyBorder="1" applyAlignment="1">
      <alignment horizontal="right" vertical="center" wrapText="1"/>
    </xf>
    <xf numFmtId="0" fontId="25" fillId="22" borderId="0" xfId="0" applyFont="1" applyFill="1" applyAlignment="1">
      <alignment horizontal="center" vertical="center"/>
    </xf>
    <xf numFmtId="0" fontId="50" fillId="15" borderId="45" xfId="0" applyFont="1" applyFill="1" applyBorder="1" applyAlignment="1">
      <alignment horizontal="center" vertical="center" wrapText="1"/>
    </xf>
    <xf numFmtId="0" fontId="50" fillId="15" borderId="46" xfId="0" applyFont="1" applyFill="1" applyBorder="1" applyAlignment="1">
      <alignment horizontal="center" vertical="center" wrapText="1"/>
    </xf>
    <xf numFmtId="0" fontId="50" fillId="15" borderId="59" xfId="0" applyFont="1" applyFill="1" applyBorder="1" applyAlignment="1">
      <alignment horizontal="center" vertical="center" wrapText="1"/>
    </xf>
    <xf numFmtId="0" fontId="18" fillId="18" borderId="44" xfId="0" applyFont="1" applyFill="1" applyBorder="1" applyAlignment="1">
      <alignment horizontal="left" vertical="center" wrapText="1" indent="1"/>
    </xf>
    <xf numFmtId="0" fontId="18" fillId="18" borderId="89" xfId="0" applyFont="1" applyFill="1" applyBorder="1" applyAlignment="1">
      <alignment horizontal="left" vertical="center" wrapText="1" indent="1"/>
    </xf>
    <xf numFmtId="0" fontId="18" fillId="16" borderId="44" xfId="0" applyFont="1" applyFill="1" applyBorder="1" applyAlignment="1">
      <alignment horizontal="left" vertical="center" wrapText="1" indent="1"/>
    </xf>
    <xf numFmtId="0" fontId="18" fillId="16" borderId="43" xfId="0" applyFont="1" applyFill="1" applyBorder="1" applyAlignment="1">
      <alignment horizontal="left" vertical="center" wrapText="1" indent="1"/>
    </xf>
    <xf numFmtId="0" fontId="18" fillId="18" borderId="43" xfId="0" applyFont="1" applyFill="1" applyBorder="1" applyAlignment="1">
      <alignment horizontal="left" vertical="center" wrapText="1" indent="1"/>
    </xf>
    <xf numFmtId="0" fontId="18" fillId="16" borderId="68" xfId="0" applyFont="1" applyFill="1" applyBorder="1" applyAlignment="1">
      <alignment horizontal="left" vertical="center" wrapText="1" indent="1"/>
    </xf>
    <xf numFmtId="0" fontId="18" fillId="16" borderId="89" xfId="0" applyFont="1" applyFill="1" applyBorder="1" applyAlignment="1">
      <alignment horizontal="left" vertical="center" wrapText="1" indent="1"/>
    </xf>
    <xf numFmtId="49" fontId="66" fillId="18" borderId="0" xfId="0" applyNumberFormat="1" applyFont="1" applyFill="1" applyAlignment="1">
      <alignment horizontal="left" vertical="center" wrapText="1"/>
    </xf>
    <xf numFmtId="0" fontId="65" fillId="18" borderId="0" xfId="0" applyNumberFormat="1" applyFont="1" applyFill="1" applyAlignment="1">
      <alignment horizontal="left" vertical="center" wrapText="1"/>
    </xf>
    <xf numFmtId="0" fontId="18" fillId="18" borderId="68" xfId="0" applyFont="1" applyFill="1" applyBorder="1" applyAlignment="1">
      <alignment horizontal="left" vertical="center" wrapText="1" indent="1"/>
    </xf>
    <xf numFmtId="49" fontId="65" fillId="16" borderId="2" xfId="0" applyNumberFormat="1" applyFont="1" applyFill="1" applyBorder="1" applyAlignment="1">
      <alignment horizontal="left" vertical="center" wrapText="1" indent="1"/>
    </xf>
    <xf numFmtId="49" fontId="65" fillId="16" borderId="1" xfId="0" applyNumberFormat="1" applyFont="1" applyFill="1" applyBorder="1" applyAlignment="1">
      <alignment horizontal="left" vertical="center" wrapText="1" indent="1"/>
    </xf>
    <xf numFmtId="49" fontId="65" fillId="16" borderId="3" xfId="0" applyNumberFormat="1" applyFont="1" applyFill="1" applyBorder="1" applyAlignment="1">
      <alignment horizontal="left" vertical="center" wrapText="1" indent="1"/>
    </xf>
    <xf numFmtId="49" fontId="65" fillId="16" borderId="4" xfId="0" applyNumberFormat="1" applyFont="1" applyFill="1" applyBorder="1" applyAlignment="1">
      <alignment horizontal="left" vertical="center" wrapText="1" indent="1"/>
    </xf>
    <xf numFmtId="49" fontId="65" fillId="16" borderId="13" xfId="0" applyNumberFormat="1" applyFont="1" applyFill="1" applyBorder="1" applyAlignment="1">
      <alignment horizontal="left" vertical="center" wrapText="1" indent="1"/>
    </xf>
    <xf numFmtId="49" fontId="65" fillId="16" borderId="5" xfId="0" applyNumberFormat="1" applyFont="1" applyFill="1" applyBorder="1" applyAlignment="1">
      <alignment horizontal="left" vertical="center" wrapText="1" indent="1"/>
    </xf>
    <xf numFmtId="49" fontId="66" fillId="15" borderId="44" xfId="0" applyNumberFormat="1" applyFont="1" applyFill="1" applyBorder="1" applyAlignment="1">
      <alignment horizontal="center" vertical="center" wrapText="1"/>
    </xf>
    <xf numFmtId="49" fontId="66" fillId="15" borderId="31" xfId="0" applyNumberFormat="1" applyFont="1" applyFill="1" applyBorder="1" applyAlignment="1">
      <alignment horizontal="center" vertical="center" wrapText="1"/>
    </xf>
    <xf numFmtId="49" fontId="66" fillId="15" borderId="26" xfId="0" applyNumberFormat="1" applyFont="1" applyFill="1" applyBorder="1" applyAlignment="1">
      <alignment horizontal="center" vertical="center" wrapText="1"/>
    </xf>
    <xf numFmtId="49" fontId="65" fillId="18" borderId="4" xfId="0" applyNumberFormat="1" applyFont="1" applyFill="1" applyBorder="1" applyAlignment="1">
      <alignment horizontal="left" vertical="center" wrapText="1" indent="1"/>
    </xf>
    <xf numFmtId="49" fontId="65" fillId="18" borderId="13" xfId="0" applyNumberFormat="1" applyFont="1" applyFill="1" applyBorder="1" applyAlignment="1">
      <alignment horizontal="left" vertical="center" wrapText="1" indent="1"/>
    </xf>
    <xf numFmtId="49" fontId="65" fillId="18" borderId="5" xfId="0" applyNumberFormat="1" applyFont="1" applyFill="1" applyBorder="1" applyAlignment="1">
      <alignment horizontal="left" vertical="center" wrapText="1" indent="1"/>
    </xf>
    <xf numFmtId="49" fontId="65" fillId="18" borderId="67" xfId="0" applyNumberFormat="1" applyFont="1" applyFill="1" applyBorder="1" applyAlignment="1">
      <alignment horizontal="left" vertical="center" wrapText="1"/>
    </xf>
  </cellXfs>
  <cellStyles count="4">
    <cellStyle name="Гиперссылка" xfId="1" builtinId="8"/>
    <cellStyle name="Денежный" xfId="2" builtinId="4"/>
    <cellStyle name="Обычный" xfId="0" builtinId="0"/>
    <cellStyle name="Процентный" xfId="3" builtinId="5"/>
  </cellStyles>
  <dxfs count="0"/>
  <tableStyles count="0" defaultTableStyle="TableStyleMedium9" defaultPivotStyle="PivotStyleLight16"/>
  <colors>
    <mruColors>
      <color rgb="FF0033CC"/>
      <color rgb="FF0066FF"/>
      <color rgb="FFFBFBB5"/>
    </mruColors>
  </colors>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drawings/_rels/drawing1.xml.rels><?xml version="1.0" encoding="UTF-8" standalone="yes"?>
<Relationships xmlns="http://schemas.openxmlformats.org/package/2006/relationships"><Relationship Id="rId3" Type="http://schemas.openxmlformats.org/officeDocument/2006/relationships/image" Target="../media/image2.gif"/><Relationship Id="rId2" Type="http://schemas.openxmlformats.org/officeDocument/2006/relationships/hyperlink" Target="http://www.vk.com/fizmig" TargetMode="External"/><Relationship Id="rId1" Type="http://schemas.openxmlformats.org/officeDocument/2006/relationships/image" Target="../media/image1.png"/><Relationship Id="rId6" Type="http://schemas.openxmlformats.org/officeDocument/2006/relationships/image" Target="../media/image4.gif"/><Relationship Id="rId5" Type="http://schemas.openxmlformats.org/officeDocument/2006/relationships/hyperlink" Target="https://vk.com/topic-19157427_29090968" TargetMode="External"/><Relationship Id="rId4" Type="http://schemas.openxmlformats.org/officeDocument/2006/relationships/image" Target="../media/image3.gif"/></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http://www.vk.com/fizmi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s>
</file>

<file path=xl/drawings/_rels/drawing5.xml.rels><?xml version="1.0" encoding="UTF-8" standalone="yes"?>
<Relationships xmlns="http://schemas.openxmlformats.org/package/2006/relationships"><Relationship Id="rId26" Type="http://schemas.openxmlformats.org/officeDocument/2006/relationships/image" Target="../media/image61.png"/><Relationship Id="rId117" Type="http://schemas.openxmlformats.org/officeDocument/2006/relationships/image" Target="../media/image152.png"/><Relationship Id="rId21" Type="http://schemas.openxmlformats.org/officeDocument/2006/relationships/image" Target="../media/image56.png"/><Relationship Id="rId42" Type="http://schemas.openxmlformats.org/officeDocument/2006/relationships/image" Target="../media/image77.png"/><Relationship Id="rId47" Type="http://schemas.openxmlformats.org/officeDocument/2006/relationships/image" Target="../media/image82.png"/><Relationship Id="rId63" Type="http://schemas.openxmlformats.org/officeDocument/2006/relationships/image" Target="../media/image98.png"/><Relationship Id="rId68" Type="http://schemas.openxmlformats.org/officeDocument/2006/relationships/image" Target="../media/image103.png"/><Relationship Id="rId84" Type="http://schemas.openxmlformats.org/officeDocument/2006/relationships/image" Target="../media/image119.png"/><Relationship Id="rId89" Type="http://schemas.openxmlformats.org/officeDocument/2006/relationships/image" Target="../media/image124.png"/><Relationship Id="rId112" Type="http://schemas.openxmlformats.org/officeDocument/2006/relationships/image" Target="../media/image147.png"/><Relationship Id="rId133" Type="http://schemas.openxmlformats.org/officeDocument/2006/relationships/image" Target="../media/image168.png"/><Relationship Id="rId138" Type="http://schemas.openxmlformats.org/officeDocument/2006/relationships/image" Target="../media/image173.png"/><Relationship Id="rId154" Type="http://schemas.openxmlformats.org/officeDocument/2006/relationships/image" Target="../media/image189.png"/><Relationship Id="rId159" Type="http://schemas.openxmlformats.org/officeDocument/2006/relationships/image" Target="../media/image194.png"/><Relationship Id="rId16" Type="http://schemas.openxmlformats.org/officeDocument/2006/relationships/image" Target="../media/image51.png"/><Relationship Id="rId107" Type="http://schemas.openxmlformats.org/officeDocument/2006/relationships/image" Target="../media/image142.png"/><Relationship Id="rId11" Type="http://schemas.openxmlformats.org/officeDocument/2006/relationships/image" Target="../media/image46.png"/><Relationship Id="rId32" Type="http://schemas.openxmlformats.org/officeDocument/2006/relationships/image" Target="../media/image67.png"/><Relationship Id="rId37" Type="http://schemas.openxmlformats.org/officeDocument/2006/relationships/image" Target="../media/image72.png"/><Relationship Id="rId53" Type="http://schemas.openxmlformats.org/officeDocument/2006/relationships/image" Target="../media/image88.png"/><Relationship Id="rId58" Type="http://schemas.openxmlformats.org/officeDocument/2006/relationships/image" Target="../media/image93.png"/><Relationship Id="rId74" Type="http://schemas.openxmlformats.org/officeDocument/2006/relationships/image" Target="../media/image109.png"/><Relationship Id="rId79" Type="http://schemas.openxmlformats.org/officeDocument/2006/relationships/image" Target="../media/image114.png"/><Relationship Id="rId102" Type="http://schemas.openxmlformats.org/officeDocument/2006/relationships/image" Target="../media/image137.png"/><Relationship Id="rId123" Type="http://schemas.openxmlformats.org/officeDocument/2006/relationships/image" Target="../media/image158.png"/><Relationship Id="rId128" Type="http://schemas.openxmlformats.org/officeDocument/2006/relationships/image" Target="../media/image163.png"/><Relationship Id="rId144" Type="http://schemas.openxmlformats.org/officeDocument/2006/relationships/image" Target="../media/image179.png"/><Relationship Id="rId149" Type="http://schemas.openxmlformats.org/officeDocument/2006/relationships/image" Target="../media/image184.png"/><Relationship Id="rId5" Type="http://schemas.openxmlformats.org/officeDocument/2006/relationships/image" Target="../media/image40.png"/><Relationship Id="rId90" Type="http://schemas.openxmlformats.org/officeDocument/2006/relationships/image" Target="../media/image125.png"/><Relationship Id="rId95" Type="http://schemas.openxmlformats.org/officeDocument/2006/relationships/image" Target="../media/image130.png"/><Relationship Id="rId160" Type="http://schemas.openxmlformats.org/officeDocument/2006/relationships/image" Target="../media/image195.png"/><Relationship Id="rId22" Type="http://schemas.openxmlformats.org/officeDocument/2006/relationships/image" Target="../media/image57.png"/><Relationship Id="rId27" Type="http://schemas.openxmlformats.org/officeDocument/2006/relationships/image" Target="../media/image62.png"/><Relationship Id="rId43" Type="http://schemas.openxmlformats.org/officeDocument/2006/relationships/image" Target="../media/image78.png"/><Relationship Id="rId48" Type="http://schemas.openxmlformats.org/officeDocument/2006/relationships/image" Target="../media/image83.png"/><Relationship Id="rId64" Type="http://schemas.openxmlformats.org/officeDocument/2006/relationships/image" Target="../media/image99.png"/><Relationship Id="rId69" Type="http://schemas.openxmlformats.org/officeDocument/2006/relationships/image" Target="../media/image104.png"/><Relationship Id="rId113" Type="http://schemas.openxmlformats.org/officeDocument/2006/relationships/image" Target="../media/image148.png"/><Relationship Id="rId118" Type="http://schemas.openxmlformats.org/officeDocument/2006/relationships/image" Target="../media/image153.png"/><Relationship Id="rId134" Type="http://schemas.openxmlformats.org/officeDocument/2006/relationships/image" Target="../media/image169.png"/><Relationship Id="rId139" Type="http://schemas.openxmlformats.org/officeDocument/2006/relationships/image" Target="../media/image174.png"/><Relationship Id="rId80" Type="http://schemas.openxmlformats.org/officeDocument/2006/relationships/image" Target="../media/image115.png"/><Relationship Id="rId85" Type="http://schemas.openxmlformats.org/officeDocument/2006/relationships/image" Target="../media/image120.png"/><Relationship Id="rId150" Type="http://schemas.openxmlformats.org/officeDocument/2006/relationships/image" Target="../media/image185.png"/><Relationship Id="rId155" Type="http://schemas.openxmlformats.org/officeDocument/2006/relationships/image" Target="../media/image190.png"/><Relationship Id="rId12" Type="http://schemas.openxmlformats.org/officeDocument/2006/relationships/image" Target="../media/image47.png"/><Relationship Id="rId17" Type="http://schemas.openxmlformats.org/officeDocument/2006/relationships/image" Target="../media/image52.png"/><Relationship Id="rId33" Type="http://schemas.openxmlformats.org/officeDocument/2006/relationships/image" Target="../media/image68.png"/><Relationship Id="rId38" Type="http://schemas.openxmlformats.org/officeDocument/2006/relationships/image" Target="../media/image73.png"/><Relationship Id="rId59" Type="http://schemas.openxmlformats.org/officeDocument/2006/relationships/image" Target="../media/image94.png"/><Relationship Id="rId103" Type="http://schemas.openxmlformats.org/officeDocument/2006/relationships/image" Target="../media/image138.png"/><Relationship Id="rId108" Type="http://schemas.openxmlformats.org/officeDocument/2006/relationships/image" Target="../media/image143.png"/><Relationship Id="rId124" Type="http://schemas.openxmlformats.org/officeDocument/2006/relationships/image" Target="../media/image159.png"/><Relationship Id="rId129" Type="http://schemas.openxmlformats.org/officeDocument/2006/relationships/image" Target="../media/image164.png"/><Relationship Id="rId54" Type="http://schemas.openxmlformats.org/officeDocument/2006/relationships/image" Target="../media/image89.png"/><Relationship Id="rId70" Type="http://schemas.openxmlformats.org/officeDocument/2006/relationships/image" Target="../media/image105.png"/><Relationship Id="rId75" Type="http://schemas.openxmlformats.org/officeDocument/2006/relationships/image" Target="../media/image110.png"/><Relationship Id="rId91" Type="http://schemas.openxmlformats.org/officeDocument/2006/relationships/image" Target="../media/image126.png"/><Relationship Id="rId96" Type="http://schemas.openxmlformats.org/officeDocument/2006/relationships/image" Target="../media/image131.png"/><Relationship Id="rId140" Type="http://schemas.openxmlformats.org/officeDocument/2006/relationships/image" Target="../media/image175.png"/><Relationship Id="rId145" Type="http://schemas.openxmlformats.org/officeDocument/2006/relationships/image" Target="../media/image180.png"/><Relationship Id="rId161" Type="http://schemas.openxmlformats.org/officeDocument/2006/relationships/image" Target="../media/image196.png"/><Relationship Id="rId1" Type="http://schemas.openxmlformats.org/officeDocument/2006/relationships/image" Target="../media/image36.png"/><Relationship Id="rId6" Type="http://schemas.openxmlformats.org/officeDocument/2006/relationships/image" Target="../media/image41.png"/><Relationship Id="rId15" Type="http://schemas.openxmlformats.org/officeDocument/2006/relationships/image" Target="../media/image50.png"/><Relationship Id="rId23" Type="http://schemas.openxmlformats.org/officeDocument/2006/relationships/image" Target="../media/image58.png"/><Relationship Id="rId28" Type="http://schemas.openxmlformats.org/officeDocument/2006/relationships/image" Target="../media/image63.png"/><Relationship Id="rId36" Type="http://schemas.openxmlformats.org/officeDocument/2006/relationships/image" Target="../media/image71.png"/><Relationship Id="rId49" Type="http://schemas.openxmlformats.org/officeDocument/2006/relationships/image" Target="../media/image84.png"/><Relationship Id="rId57" Type="http://schemas.openxmlformats.org/officeDocument/2006/relationships/image" Target="../media/image92.png"/><Relationship Id="rId106" Type="http://schemas.openxmlformats.org/officeDocument/2006/relationships/image" Target="../media/image141.png"/><Relationship Id="rId114" Type="http://schemas.openxmlformats.org/officeDocument/2006/relationships/image" Target="../media/image149.png"/><Relationship Id="rId119" Type="http://schemas.openxmlformats.org/officeDocument/2006/relationships/image" Target="../media/image154.png"/><Relationship Id="rId127" Type="http://schemas.openxmlformats.org/officeDocument/2006/relationships/image" Target="../media/image162.png"/><Relationship Id="rId10" Type="http://schemas.openxmlformats.org/officeDocument/2006/relationships/image" Target="../media/image45.png"/><Relationship Id="rId31" Type="http://schemas.openxmlformats.org/officeDocument/2006/relationships/image" Target="../media/image66.png"/><Relationship Id="rId44" Type="http://schemas.openxmlformats.org/officeDocument/2006/relationships/image" Target="../media/image79.png"/><Relationship Id="rId52" Type="http://schemas.openxmlformats.org/officeDocument/2006/relationships/image" Target="../media/image87.png"/><Relationship Id="rId60" Type="http://schemas.openxmlformats.org/officeDocument/2006/relationships/image" Target="../media/image95.png"/><Relationship Id="rId65" Type="http://schemas.openxmlformats.org/officeDocument/2006/relationships/image" Target="../media/image100.png"/><Relationship Id="rId73" Type="http://schemas.openxmlformats.org/officeDocument/2006/relationships/image" Target="../media/image108.png"/><Relationship Id="rId78" Type="http://schemas.openxmlformats.org/officeDocument/2006/relationships/image" Target="../media/image113.png"/><Relationship Id="rId81" Type="http://schemas.openxmlformats.org/officeDocument/2006/relationships/image" Target="../media/image116.png"/><Relationship Id="rId86" Type="http://schemas.openxmlformats.org/officeDocument/2006/relationships/image" Target="../media/image121.png"/><Relationship Id="rId94" Type="http://schemas.openxmlformats.org/officeDocument/2006/relationships/image" Target="../media/image129.png"/><Relationship Id="rId99" Type="http://schemas.openxmlformats.org/officeDocument/2006/relationships/image" Target="../media/image134.png"/><Relationship Id="rId101" Type="http://schemas.openxmlformats.org/officeDocument/2006/relationships/image" Target="../media/image136.png"/><Relationship Id="rId122" Type="http://schemas.openxmlformats.org/officeDocument/2006/relationships/image" Target="../media/image157.png"/><Relationship Id="rId130" Type="http://schemas.openxmlformats.org/officeDocument/2006/relationships/image" Target="../media/image165.png"/><Relationship Id="rId135" Type="http://schemas.openxmlformats.org/officeDocument/2006/relationships/image" Target="../media/image170.png"/><Relationship Id="rId143" Type="http://schemas.openxmlformats.org/officeDocument/2006/relationships/image" Target="../media/image178.png"/><Relationship Id="rId148" Type="http://schemas.openxmlformats.org/officeDocument/2006/relationships/image" Target="../media/image183.png"/><Relationship Id="rId151" Type="http://schemas.openxmlformats.org/officeDocument/2006/relationships/image" Target="../media/image186.png"/><Relationship Id="rId156" Type="http://schemas.openxmlformats.org/officeDocument/2006/relationships/image" Target="../media/image191.png"/><Relationship Id="rId4" Type="http://schemas.openxmlformats.org/officeDocument/2006/relationships/image" Target="../media/image39.png"/><Relationship Id="rId9" Type="http://schemas.openxmlformats.org/officeDocument/2006/relationships/image" Target="../media/image44.png"/><Relationship Id="rId13" Type="http://schemas.openxmlformats.org/officeDocument/2006/relationships/image" Target="../media/image48.png"/><Relationship Id="rId18" Type="http://schemas.openxmlformats.org/officeDocument/2006/relationships/image" Target="../media/image53.png"/><Relationship Id="rId39" Type="http://schemas.openxmlformats.org/officeDocument/2006/relationships/image" Target="../media/image74.png"/><Relationship Id="rId109" Type="http://schemas.openxmlformats.org/officeDocument/2006/relationships/image" Target="../media/image144.png"/><Relationship Id="rId34" Type="http://schemas.openxmlformats.org/officeDocument/2006/relationships/image" Target="../media/image69.png"/><Relationship Id="rId50" Type="http://schemas.openxmlformats.org/officeDocument/2006/relationships/image" Target="../media/image85.png"/><Relationship Id="rId55" Type="http://schemas.openxmlformats.org/officeDocument/2006/relationships/image" Target="../media/image90.png"/><Relationship Id="rId76" Type="http://schemas.openxmlformats.org/officeDocument/2006/relationships/image" Target="../media/image111.png"/><Relationship Id="rId97" Type="http://schemas.openxmlformats.org/officeDocument/2006/relationships/image" Target="../media/image132.png"/><Relationship Id="rId104" Type="http://schemas.openxmlformats.org/officeDocument/2006/relationships/image" Target="../media/image139.png"/><Relationship Id="rId120" Type="http://schemas.openxmlformats.org/officeDocument/2006/relationships/image" Target="../media/image155.png"/><Relationship Id="rId125" Type="http://schemas.openxmlformats.org/officeDocument/2006/relationships/image" Target="../media/image160.png"/><Relationship Id="rId141" Type="http://schemas.openxmlformats.org/officeDocument/2006/relationships/image" Target="../media/image176.png"/><Relationship Id="rId146" Type="http://schemas.openxmlformats.org/officeDocument/2006/relationships/image" Target="../media/image181.png"/><Relationship Id="rId7" Type="http://schemas.openxmlformats.org/officeDocument/2006/relationships/image" Target="../media/image42.png"/><Relationship Id="rId71" Type="http://schemas.openxmlformats.org/officeDocument/2006/relationships/image" Target="../media/image106.png"/><Relationship Id="rId92" Type="http://schemas.openxmlformats.org/officeDocument/2006/relationships/image" Target="../media/image127.png"/><Relationship Id="rId162" Type="http://schemas.openxmlformats.org/officeDocument/2006/relationships/image" Target="../media/image197.png"/><Relationship Id="rId2" Type="http://schemas.openxmlformats.org/officeDocument/2006/relationships/image" Target="../media/image37.png"/><Relationship Id="rId29" Type="http://schemas.openxmlformats.org/officeDocument/2006/relationships/image" Target="../media/image64.png"/><Relationship Id="rId24" Type="http://schemas.openxmlformats.org/officeDocument/2006/relationships/image" Target="../media/image59.png"/><Relationship Id="rId40" Type="http://schemas.openxmlformats.org/officeDocument/2006/relationships/image" Target="../media/image75.png"/><Relationship Id="rId45" Type="http://schemas.openxmlformats.org/officeDocument/2006/relationships/image" Target="../media/image80.png"/><Relationship Id="rId66" Type="http://schemas.openxmlformats.org/officeDocument/2006/relationships/image" Target="../media/image101.png"/><Relationship Id="rId87" Type="http://schemas.openxmlformats.org/officeDocument/2006/relationships/image" Target="../media/image122.png"/><Relationship Id="rId110" Type="http://schemas.openxmlformats.org/officeDocument/2006/relationships/image" Target="../media/image145.png"/><Relationship Id="rId115" Type="http://schemas.openxmlformats.org/officeDocument/2006/relationships/image" Target="../media/image150.png"/><Relationship Id="rId131" Type="http://schemas.openxmlformats.org/officeDocument/2006/relationships/image" Target="../media/image166.png"/><Relationship Id="rId136" Type="http://schemas.openxmlformats.org/officeDocument/2006/relationships/image" Target="../media/image171.png"/><Relationship Id="rId157" Type="http://schemas.openxmlformats.org/officeDocument/2006/relationships/image" Target="../media/image192.png"/><Relationship Id="rId61" Type="http://schemas.openxmlformats.org/officeDocument/2006/relationships/image" Target="../media/image96.png"/><Relationship Id="rId82" Type="http://schemas.openxmlformats.org/officeDocument/2006/relationships/image" Target="../media/image117.png"/><Relationship Id="rId152" Type="http://schemas.openxmlformats.org/officeDocument/2006/relationships/image" Target="../media/image187.png"/><Relationship Id="rId19" Type="http://schemas.openxmlformats.org/officeDocument/2006/relationships/image" Target="../media/image54.png"/><Relationship Id="rId14" Type="http://schemas.openxmlformats.org/officeDocument/2006/relationships/image" Target="../media/image49.png"/><Relationship Id="rId30" Type="http://schemas.openxmlformats.org/officeDocument/2006/relationships/image" Target="../media/image65.png"/><Relationship Id="rId35" Type="http://schemas.openxmlformats.org/officeDocument/2006/relationships/image" Target="../media/image70.png"/><Relationship Id="rId56" Type="http://schemas.openxmlformats.org/officeDocument/2006/relationships/image" Target="../media/image91.png"/><Relationship Id="rId77" Type="http://schemas.openxmlformats.org/officeDocument/2006/relationships/image" Target="../media/image112.png"/><Relationship Id="rId100" Type="http://schemas.openxmlformats.org/officeDocument/2006/relationships/image" Target="../media/image135.png"/><Relationship Id="rId105" Type="http://schemas.openxmlformats.org/officeDocument/2006/relationships/image" Target="../media/image140.png"/><Relationship Id="rId126" Type="http://schemas.openxmlformats.org/officeDocument/2006/relationships/image" Target="../media/image161.png"/><Relationship Id="rId147" Type="http://schemas.openxmlformats.org/officeDocument/2006/relationships/image" Target="../media/image182.png"/><Relationship Id="rId8" Type="http://schemas.openxmlformats.org/officeDocument/2006/relationships/image" Target="../media/image43.png"/><Relationship Id="rId51" Type="http://schemas.openxmlformats.org/officeDocument/2006/relationships/image" Target="../media/image86.png"/><Relationship Id="rId72" Type="http://schemas.openxmlformats.org/officeDocument/2006/relationships/image" Target="../media/image107.png"/><Relationship Id="rId93" Type="http://schemas.openxmlformats.org/officeDocument/2006/relationships/image" Target="../media/image128.png"/><Relationship Id="rId98" Type="http://schemas.openxmlformats.org/officeDocument/2006/relationships/image" Target="../media/image133.png"/><Relationship Id="rId121" Type="http://schemas.openxmlformats.org/officeDocument/2006/relationships/image" Target="../media/image156.png"/><Relationship Id="rId142" Type="http://schemas.openxmlformats.org/officeDocument/2006/relationships/image" Target="../media/image177.png"/><Relationship Id="rId163" Type="http://schemas.openxmlformats.org/officeDocument/2006/relationships/image" Target="../media/image198.png"/><Relationship Id="rId3" Type="http://schemas.openxmlformats.org/officeDocument/2006/relationships/image" Target="../media/image38.png"/><Relationship Id="rId25" Type="http://schemas.openxmlformats.org/officeDocument/2006/relationships/image" Target="../media/image60.png"/><Relationship Id="rId46" Type="http://schemas.openxmlformats.org/officeDocument/2006/relationships/image" Target="../media/image81.png"/><Relationship Id="rId67" Type="http://schemas.openxmlformats.org/officeDocument/2006/relationships/image" Target="../media/image102.png"/><Relationship Id="rId116" Type="http://schemas.openxmlformats.org/officeDocument/2006/relationships/image" Target="../media/image151.png"/><Relationship Id="rId137" Type="http://schemas.openxmlformats.org/officeDocument/2006/relationships/image" Target="../media/image172.png"/><Relationship Id="rId158" Type="http://schemas.openxmlformats.org/officeDocument/2006/relationships/image" Target="../media/image193.png"/><Relationship Id="rId20" Type="http://schemas.openxmlformats.org/officeDocument/2006/relationships/image" Target="../media/image55.png"/><Relationship Id="rId41" Type="http://schemas.openxmlformats.org/officeDocument/2006/relationships/image" Target="../media/image76.png"/><Relationship Id="rId62" Type="http://schemas.openxmlformats.org/officeDocument/2006/relationships/image" Target="../media/image97.png"/><Relationship Id="rId83" Type="http://schemas.openxmlformats.org/officeDocument/2006/relationships/image" Target="../media/image118.png"/><Relationship Id="rId88" Type="http://schemas.openxmlformats.org/officeDocument/2006/relationships/image" Target="../media/image123.png"/><Relationship Id="rId111" Type="http://schemas.openxmlformats.org/officeDocument/2006/relationships/image" Target="../media/image146.png"/><Relationship Id="rId132" Type="http://schemas.openxmlformats.org/officeDocument/2006/relationships/image" Target="../media/image167.png"/><Relationship Id="rId153" Type="http://schemas.openxmlformats.org/officeDocument/2006/relationships/image" Target="../media/image18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11.png"/><Relationship Id="rId18" Type="http://schemas.openxmlformats.org/officeDocument/2006/relationships/image" Target="../media/image216.png"/><Relationship Id="rId26" Type="http://schemas.openxmlformats.org/officeDocument/2006/relationships/image" Target="../media/image224.png"/><Relationship Id="rId39" Type="http://schemas.openxmlformats.org/officeDocument/2006/relationships/image" Target="../media/image237.png"/><Relationship Id="rId21" Type="http://schemas.openxmlformats.org/officeDocument/2006/relationships/image" Target="../media/image219.png"/><Relationship Id="rId34" Type="http://schemas.openxmlformats.org/officeDocument/2006/relationships/image" Target="../media/image232.png"/><Relationship Id="rId42" Type="http://schemas.openxmlformats.org/officeDocument/2006/relationships/image" Target="../media/image240.png"/><Relationship Id="rId47" Type="http://schemas.openxmlformats.org/officeDocument/2006/relationships/image" Target="../media/image245.png"/><Relationship Id="rId50" Type="http://schemas.openxmlformats.org/officeDocument/2006/relationships/image" Target="../media/image248.png"/><Relationship Id="rId55" Type="http://schemas.openxmlformats.org/officeDocument/2006/relationships/image" Target="../media/image253.png"/><Relationship Id="rId63" Type="http://schemas.openxmlformats.org/officeDocument/2006/relationships/image" Target="../media/image261.png"/><Relationship Id="rId68" Type="http://schemas.openxmlformats.org/officeDocument/2006/relationships/image" Target="../media/image266.png"/><Relationship Id="rId7" Type="http://schemas.openxmlformats.org/officeDocument/2006/relationships/image" Target="../media/image205.png"/><Relationship Id="rId71" Type="http://schemas.openxmlformats.org/officeDocument/2006/relationships/image" Target="../media/image269.png"/><Relationship Id="rId2" Type="http://schemas.openxmlformats.org/officeDocument/2006/relationships/image" Target="../media/image200.png"/><Relationship Id="rId16" Type="http://schemas.openxmlformats.org/officeDocument/2006/relationships/image" Target="../media/image214.png"/><Relationship Id="rId29" Type="http://schemas.openxmlformats.org/officeDocument/2006/relationships/image" Target="../media/image227.png"/><Relationship Id="rId1" Type="http://schemas.openxmlformats.org/officeDocument/2006/relationships/image" Target="../media/image199.png"/><Relationship Id="rId6" Type="http://schemas.openxmlformats.org/officeDocument/2006/relationships/image" Target="../media/image204.png"/><Relationship Id="rId11" Type="http://schemas.openxmlformats.org/officeDocument/2006/relationships/image" Target="../media/image209.png"/><Relationship Id="rId24" Type="http://schemas.openxmlformats.org/officeDocument/2006/relationships/image" Target="../media/image222.png"/><Relationship Id="rId32" Type="http://schemas.openxmlformats.org/officeDocument/2006/relationships/image" Target="../media/image230.png"/><Relationship Id="rId37" Type="http://schemas.openxmlformats.org/officeDocument/2006/relationships/image" Target="../media/image235.png"/><Relationship Id="rId40" Type="http://schemas.openxmlformats.org/officeDocument/2006/relationships/image" Target="../media/image238.png"/><Relationship Id="rId45" Type="http://schemas.openxmlformats.org/officeDocument/2006/relationships/image" Target="../media/image243.png"/><Relationship Id="rId53" Type="http://schemas.openxmlformats.org/officeDocument/2006/relationships/image" Target="../media/image251.png"/><Relationship Id="rId58" Type="http://schemas.openxmlformats.org/officeDocument/2006/relationships/image" Target="../media/image256.png"/><Relationship Id="rId66" Type="http://schemas.openxmlformats.org/officeDocument/2006/relationships/image" Target="../media/image264.png"/><Relationship Id="rId5" Type="http://schemas.openxmlformats.org/officeDocument/2006/relationships/image" Target="../media/image203.png"/><Relationship Id="rId15" Type="http://schemas.openxmlformats.org/officeDocument/2006/relationships/image" Target="../media/image213.png"/><Relationship Id="rId23" Type="http://schemas.openxmlformats.org/officeDocument/2006/relationships/image" Target="../media/image221.png"/><Relationship Id="rId28" Type="http://schemas.openxmlformats.org/officeDocument/2006/relationships/image" Target="../media/image226.png"/><Relationship Id="rId36" Type="http://schemas.openxmlformats.org/officeDocument/2006/relationships/image" Target="../media/image234.png"/><Relationship Id="rId49" Type="http://schemas.openxmlformats.org/officeDocument/2006/relationships/image" Target="../media/image247.png"/><Relationship Id="rId57" Type="http://schemas.openxmlformats.org/officeDocument/2006/relationships/image" Target="../media/image255.png"/><Relationship Id="rId61" Type="http://schemas.openxmlformats.org/officeDocument/2006/relationships/image" Target="../media/image259.png"/><Relationship Id="rId10" Type="http://schemas.openxmlformats.org/officeDocument/2006/relationships/image" Target="../media/image208.png"/><Relationship Id="rId19" Type="http://schemas.openxmlformats.org/officeDocument/2006/relationships/image" Target="../media/image217.png"/><Relationship Id="rId31" Type="http://schemas.openxmlformats.org/officeDocument/2006/relationships/image" Target="../media/image229.png"/><Relationship Id="rId44" Type="http://schemas.openxmlformats.org/officeDocument/2006/relationships/image" Target="../media/image242.png"/><Relationship Id="rId52" Type="http://schemas.openxmlformats.org/officeDocument/2006/relationships/image" Target="../media/image250.png"/><Relationship Id="rId60" Type="http://schemas.openxmlformats.org/officeDocument/2006/relationships/image" Target="../media/image258.png"/><Relationship Id="rId65" Type="http://schemas.openxmlformats.org/officeDocument/2006/relationships/image" Target="../media/image263.png"/><Relationship Id="rId4" Type="http://schemas.openxmlformats.org/officeDocument/2006/relationships/image" Target="../media/image202.png"/><Relationship Id="rId9" Type="http://schemas.openxmlformats.org/officeDocument/2006/relationships/image" Target="../media/image207.png"/><Relationship Id="rId14" Type="http://schemas.openxmlformats.org/officeDocument/2006/relationships/image" Target="../media/image212.png"/><Relationship Id="rId22" Type="http://schemas.openxmlformats.org/officeDocument/2006/relationships/image" Target="../media/image220.png"/><Relationship Id="rId27" Type="http://schemas.openxmlformats.org/officeDocument/2006/relationships/image" Target="../media/image225.png"/><Relationship Id="rId30" Type="http://schemas.openxmlformats.org/officeDocument/2006/relationships/image" Target="../media/image228.png"/><Relationship Id="rId35" Type="http://schemas.openxmlformats.org/officeDocument/2006/relationships/image" Target="../media/image233.png"/><Relationship Id="rId43" Type="http://schemas.openxmlformats.org/officeDocument/2006/relationships/image" Target="../media/image241.png"/><Relationship Id="rId48" Type="http://schemas.openxmlformats.org/officeDocument/2006/relationships/image" Target="../media/image246.png"/><Relationship Id="rId56" Type="http://schemas.openxmlformats.org/officeDocument/2006/relationships/image" Target="../media/image254.png"/><Relationship Id="rId64" Type="http://schemas.openxmlformats.org/officeDocument/2006/relationships/image" Target="../media/image262.png"/><Relationship Id="rId69" Type="http://schemas.openxmlformats.org/officeDocument/2006/relationships/image" Target="../media/image267.png"/><Relationship Id="rId8" Type="http://schemas.openxmlformats.org/officeDocument/2006/relationships/image" Target="../media/image206.png"/><Relationship Id="rId51" Type="http://schemas.openxmlformats.org/officeDocument/2006/relationships/image" Target="../media/image249.png"/><Relationship Id="rId3" Type="http://schemas.openxmlformats.org/officeDocument/2006/relationships/image" Target="../media/image201.png"/><Relationship Id="rId12" Type="http://schemas.openxmlformats.org/officeDocument/2006/relationships/image" Target="../media/image210.png"/><Relationship Id="rId17" Type="http://schemas.openxmlformats.org/officeDocument/2006/relationships/image" Target="../media/image215.png"/><Relationship Id="rId25" Type="http://schemas.openxmlformats.org/officeDocument/2006/relationships/image" Target="../media/image223.png"/><Relationship Id="rId33" Type="http://schemas.openxmlformats.org/officeDocument/2006/relationships/image" Target="../media/image231.png"/><Relationship Id="rId38" Type="http://schemas.openxmlformats.org/officeDocument/2006/relationships/image" Target="../media/image236.png"/><Relationship Id="rId46" Type="http://schemas.openxmlformats.org/officeDocument/2006/relationships/image" Target="../media/image244.png"/><Relationship Id="rId59" Type="http://schemas.openxmlformats.org/officeDocument/2006/relationships/image" Target="../media/image257.png"/><Relationship Id="rId67" Type="http://schemas.openxmlformats.org/officeDocument/2006/relationships/image" Target="../media/image265.png"/><Relationship Id="rId20" Type="http://schemas.openxmlformats.org/officeDocument/2006/relationships/image" Target="../media/image218.png"/><Relationship Id="rId41" Type="http://schemas.openxmlformats.org/officeDocument/2006/relationships/image" Target="../media/image239.png"/><Relationship Id="rId54" Type="http://schemas.openxmlformats.org/officeDocument/2006/relationships/image" Target="../media/image252.png"/><Relationship Id="rId62" Type="http://schemas.openxmlformats.org/officeDocument/2006/relationships/image" Target="../media/image260.png"/><Relationship Id="rId70" Type="http://schemas.openxmlformats.org/officeDocument/2006/relationships/image" Target="../media/image268.png"/></Relationships>
</file>

<file path=xl/drawings/_rels/drawing7.xml.rels><?xml version="1.0" encoding="UTF-8" standalone="yes"?>
<Relationships xmlns="http://schemas.openxmlformats.org/package/2006/relationships"><Relationship Id="rId2" Type="http://schemas.openxmlformats.org/officeDocument/2006/relationships/image" Target="../media/image271.jpeg"/><Relationship Id="rId1" Type="http://schemas.openxmlformats.org/officeDocument/2006/relationships/image" Target="../media/image270.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7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7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7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76.png"/><Relationship Id="rId7" Type="http://schemas.openxmlformats.org/officeDocument/2006/relationships/image" Target="../media/image280.png"/><Relationship Id="rId2" Type="http://schemas.openxmlformats.org/officeDocument/2006/relationships/image" Target="../media/image275.png"/><Relationship Id="rId1" Type="http://schemas.openxmlformats.org/officeDocument/2006/relationships/image" Target="../media/image274.png"/><Relationship Id="rId6" Type="http://schemas.openxmlformats.org/officeDocument/2006/relationships/image" Target="../media/image279.png"/><Relationship Id="rId5" Type="http://schemas.openxmlformats.org/officeDocument/2006/relationships/image" Target="../media/image278.png"/><Relationship Id="rId4" Type="http://schemas.openxmlformats.org/officeDocument/2006/relationships/image" Target="../media/image277.png"/></Relationships>
</file>

<file path=xl/drawings/_rels/drawing12.xml.rels><?xml version="1.0" encoding="UTF-8" standalone="yes"?>
<Relationships xmlns="http://schemas.openxmlformats.org/package/2006/relationships"><Relationship Id="rId117" Type="http://schemas.openxmlformats.org/officeDocument/2006/relationships/image" Target="../media/image339.jpeg"/><Relationship Id="rId21" Type="http://schemas.openxmlformats.org/officeDocument/2006/relationships/image" Target="../media/image291.jpeg"/><Relationship Id="rId42" Type="http://schemas.openxmlformats.org/officeDocument/2006/relationships/image" Target="http://maximusx.nm.ru/templates/Units/Rampart/4.jpg" TargetMode="External"/><Relationship Id="rId63" Type="http://schemas.openxmlformats.org/officeDocument/2006/relationships/image" Target="../media/image312.jpeg"/><Relationship Id="rId84" Type="http://schemas.openxmlformats.org/officeDocument/2006/relationships/image" Target="http://maximusx.nm.ru/templates/Units/Tower/7u.jpg" TargetMode="External"/><Relationship Id="rId138" Type="http://schemas.openxmlformats.org/officeDocument/2006/relationships/image" Target="http://maximusx.nm.ru/templates/Units/Dungeon/7.jpg" TargetMode="External"/><Relationship Id="rId159" Type="http://schemas.openxmlformats.org/officeDocument/2006/relationships/image" Target="../media/image360.jpeg"/><Relationship Id="rId170" Type="http://schemas.openxmlformats.org/officeDocument/2006/relationships/image" Target="http://maximusx.nm.ru/templates/Units/Fortress/1.jpg" TargetMode="External"/><Relationship Id="rId191" Type="http://schemas.openxmlformats.org/officeDocument/2006/relationships/image" Target="../media/image376.jpeg"/><Relationship Id="rId205" Type="http://schemas.openxmlformats.org/officeDocument/2006/relationships/image" Target="../media/image383.jpeg"/><Relationship Id="rId226" Type="http://schemas.openxmlformats.org/officeDocument/2006/relationships/image" Target="http://maximusx.nm.ru/templates/Units/Conflux/1.jpg" TargetMode="External"/><Relationship Id="rId247" Type="http://schemas.openxmlformats.org/officeDocument/2006/relationships/image" Target="../media/image404.jpeg"/><Relationship Id="rId107" Type="http://schemas.openxmlformats.org/officeDocument/2006/relationships/image" Target="../media/image334.jpeg"/><Relationship Id="rId268" Type="http://schemas.openxmlformats.org/officeDocument/2006/relationships/image" Target="http://maximusx.nm.ru/templates/Units/Neutral/GoldGolem.jpg" TargetMode="External"/><Relationship Id="rId11" Type="http://schemas.openxmlformats.org/officeDocument/2006/relationships/image" Target="../media/image286.jpeg"/><Relationship Id="rId32" Type="http://schemas.openxmlformats.org/officeDocument/2006/relationships/image" Target="http://maximusx.nm.ru/templates/Units/Rampart/1u.jpg" TargetMode="External"/><Relationship Id="rId53" Type="http://schemas.openxmlformats.org/officeDocument/2006/relationships/image" Target="../media/image307.jpeg"/><Relationship Id="rId74" Type="http://schemas.openxmlformats.org/officeDocument/2006/relationships/image" Target="http://maximusx.nm.ru/templates/Units/Tower/5.jpg" TargetMode="External"/><Relationship Id="rId128" Type="http://schemas.openxmlformats.org/officeDocument/2006/relationships/image" Target="http://maximusx.nm.ru/templates/Units/Dungeon/4u.jpg" TargetMode="External"/><Relationship Id="rId149" Type="http://schemas.openxmlformats.org/officeDocument/2006/relationships/image" Target="../media/image355.jpeg"/><Relationship Id="rId5" Type="http://schemas.openxmlformats.org/officeDocument/2006/relationships/image" Target="../media/image283.jpeg"/><Relationship Id="rId95" Type="http://schemas.openxmlformats.org/officeDocument/2006/relationships/image" Target="../media/image328.jpeg"/><Relationship Id="rId160" Type="http://schemas.openxmlformats.org/officeDocument/2006/relationships/image" Target="http://maximusx.nm.ru/templates/Units/Inferno/5u.jpg" TargetMode="External"/><Relationship Id="rId181" Type="http://schemas.openxmlformats.org/officeDocument/2006/relationships/image" Target="../media/image371.jpeg"/><Relationship Id="rId216" Type="http://schemas.openxmlformats.org/officeDocument/2006/relationships/image" Target="http://maximusx.nm.ru/templates/Units/Stronghold/5u.jpg" TargetMode="External"/><Relationship Id="rId237" Type="http://schemas.openxmlformats.org/officeDocument/2006/relationships/image" Target="../media/image399.jpeg"/><Relationship Id="rId258" Type="http://schemas.openxmlformats.org/officeDocument/2006/relationships/image" Target="http://maximusx.nm.ru/templates/Units/Neutral/Rogue.jpg" TargetMode="External"/><Relationship Id="rId279" Type="http://schemas.openxmlformats.org/officeDocument/2006/relationships/image" Target="../media/image420.jpeg"/><Relationship Id="rId22" Type="http://schemas.openxmlformats.org/officeDocument/2006/relationships/image" Target="http://maximusx.nm.ru/templates/Units/Castle/6.jpg" TargetMode="External"/><Relationship Id="rId43" Type="http://schemas.openxmlformats.org/officeDocument/2006/relationships/image" Target="../media/image302.jpeg"/><Relationship Id="rId64" Type="http://schemas.openxmlformats.org/officeDocument/2006/relationships/image" Target="http://maximusx.nm.ru/templates/Units/Tower/2u.jpg" TargetMode="External"/><Relationship Id="rId118" Type="http://schemas.openxmlformats.org/officeDocument/2006/relationships/image" Target="http://maximusx.nm.ru/templates/Units/Dungeon/2.jpg" TargetMode="External"/><Relationship Id="rId139" Type="http://schemas.openxmlformats.org/officeDocument/2006/relationships/image" Target="../media/image350.jpeg"/><Relationship Id="rId85" Type="http://schemas.openxmlformats.org/officeDocument/2006/relationships/image" Target="../media/image323.jpeg"/><Relationship Id="rId150" Type="http://schemas.openxmlformats.org/officeDocument/2006/relationships/image" Target="http://maximusx.nm.ru/templates/Units/Inferno/3.jpg" TargetMode="External"/><Relationship Id="rId171" Type="http://schemas.openxmlformats.org/officeDocument/2006/relationships/image" Target="../media/image366.jpeg"/><Relationship Id="rId192" Type="http://schemas.openxmlformats.org/officeDocument/2006/relationships/image" Target="http://maximusx.nm.ru/templates/Units/Fortress/6u.jpg" TargetMode="External"/><Relationship Id="rId206" Type="http://schemas.openxmlformats.org/officeDocument/2006/relationships/image" Target="http://maximusx.nm.ru/templates/Units/Stronghold/3.jpg" TargetMode="External"/><Relationship Id="rId227" Type="http://schemas.openxmlformats.org/officeDocument/2006/relationships/image" Target="../media/image394.jpeg"/><Relationship Id="rId248" Type="http://schemas.openxmlformats.org/officeDocument/2006/relationships/image" Target="http://maximusx.nm.ru/templates/Units/Conflux/6u.jpg" TargetMode="External"/><Relationship Id="rId269" Type="http://schemas.openxmlformats.org/officeDocument/2006/relationships/image" Target="../media/image415.jpeg"/><Relationship Id="rId12" Type="http://schemas.openxmlformats.org/officeDocument/2006/relationships/image" Target="http://maximusx.nm.ru/templates/Units/Castle/3u.jpg" TargetMode="External"/><Relationship Id="rId33" Type="http://schemas.openxmlformats.org/officeDocument/2006/relationships/image" Target="../media/image297.jpeg"/><Relationship Id="rId108" Type="http://schemas.openxmlformats.org/officeDocument/2006/relationships/image" Target="http://maximusx.nm.ru/templates/Units/Necropolis/6u.jpg" TargetMode="External"/><Relationship Id="rId129" Type="http://schemas.openxmlformats.org/officeDocument/2006/relationships/image" Target="../media/image345.jpeg"/><Relationship Id="rId280" Type="http://schemas.openxmlformats.org/officeDocument/2006/relationships/image" Target="http://maximusx.nm.ru/templates/Units/Neutral/CrystalDragon.jpg" TargetMode="External"/><Relationship Id="rId54" Type="http://schemas.openxmlformats.org/officeDocument/2006/relationships/image" Target="http://maximusx.nm.ru/templates/Units/Rampart/7.jpg" TargetMode="External"/><Relationship Id="rId75" Type="http://schemas.openxmlformats.org/officeDocument/2006/relationships/image" Target="../media/image318.jpeg"/><Relationship Id="rId96" Type="http://schemas.openxmlformats.org/officeDocument/2006/relationships/image" Target="http://maximusx.nm.ru/templates/Units/Necropolis/3u.jpg" TargetMode="External"/><Relationship Id="rId140" Type="http://schemas.openxmlformats.org/officeDocument/2006/relationships/image" Target="http://maximusx.nm.ru/templates/Units/Dungeon/7u.jpg" TargetMode="External"/><Relationship Id="rId161" Type="http://schemas.openxmlformats.org/officeDocument/2006/relationships/image" Target="../media/image361.jpeg"/><Relationship Id="rId182" Type="http://schemas.openxmlformats.org/officeDocument/2006/relationships/image" Target="http://maximusx.nm.ru/templates/Units/Fortress/4.jpg" TargetMode="External"/><Relationship Id="rId217" Type="http://schemas.openxmlformats.org/officeDocument/2006/relationships/image" Target="../media/image389.jpeg"/><Relationship Id="rId6" Type="http://schemas.openxmlformats.org/officeDocument/2006/relationships/image" Target="http://maximusx.nm.ru/templates/Units/Castle/2.jpg" TargetMode="External"/><Relationship Id="rId238" Type="http://schemas.openxmlformats.org/officeDocument/2006/relationships/image" Target="http://maximusx.nm.ru/templates/Units/Conflux/4.jpg" TargetMode="External"/><Relationship Id="rId259" Type="http://schemas.openxmlformats.org/officeDocument/2006/relationships/image" Target="../media/image410.jpeg"/><Relationship Id="rId23" Type="http://schemas.openxmlformats.org/officeDocument/2006/relationships/image" Target="../media/image292.jpeg"/><Relationship Id="rId119" Type="http://schemas.openxmlformats.org/officeDocument/2006/relationships/image" Target="../media/image340.jpeg"/><Relationship Id="rId270" Type="http://schemas.openxmlformats.org/officeDocument/2006/relationships/image" Target="http://maximusx.nm.ru/templates/Units/Neutral/DiamondGolem.jpg" TargetMode="External"/><Relationship Id="rId44" Type="http://schemas.openxmlformats.org/officeDocument/2006/relationships/image" Target="http://maximusx.nm.ru/templates/Units/Rampart/4u.jpg" TargetMode="External"/><Relationship Id="rId65" Type="http://schemas.openxmlformats.org/officeDocument/2006/relationships/image" Target="../media/image313.jpeg"/><Relationship Id="rId86" Type="http://schemas.openxmlformats.org/officeDocument/2006/relationships/image" Target="http://maximusx.nm.ru/templates/Units/Necropolis/1.jpg" TargetMode="External"/><Relationship Id="rId130" Type="http://schemas.openxmlformats.org/officeDocument/2006/relationships/image" Target="http://maximusx.nm.ru/templates/Units/Dungeon/5.jpg" TargetMode="External"/><Relationship Id="rId151" Type="http://schemas.openxmlformats.org/officeDocument/2006/relationships/image" Target="../media/image356.jpeg"/><Relationship Id="rId172" Type="http://schemas.openxmlformats.org/officeDocument/2006/relationships/image" Target="http://maximusx.nm.ru/templates/Units/Fortress/1u.jpg" TargetMode="External"/><Relationship Id="rId193" Type="http://schemas.openxmlformats.org/officeDocument/2006/relationships/image" Target="../media/image377.jpeg"/><Relationship Id="rId202" Type="http://schemas.openxmlformats.org/officeDocument/2006/relationships/image" Target="http://maximusx.nm.ru/templates/Units/Stronghold/2.jpg" TargetMode="External"/><Relationship Id="rId207" Type="http://schemas.openxmlformats.org/officeDocument/2006/relationships/image" Target="../media/image384.jpeg"/><Relationship Id="rId223" Type="http://schemas.openxmlformats.org/officeDocument/2006/relationships/image" Target="../media/image392.jpeg"/><Relationship Id="rId228" Type="http://schemas.openxmlformats.org/officeDocument/2006/relationships/image" Target="http://maximusx.nm.ru/templates/Units/Conflux/1u.jpg" TargetMode="External"/><Relationship Id="rId244" Type="http://schemas.openxmlformats.org/officeDocument/2006/relationships/image" Target="http://maximusx.nm.ru/templates/Units/Conflux/5u.jpg" TargetMode="External"/><Relationship Id="rId249" Type="http://schemas.openxmlformats.org/officeDocument/2006/relationships/image" Target="../media/image405.jpeg"/><Relationship Id="rId13" Type="http://schemas.openxmlformats.org/officeDocument/2006/relationships/image" Target="../media/image287.jpeg"/><Relationship Id="rId18" Type="http://schemas.openxmlformats.org/officeDocument/2006/relationships/image" Target="http://maximusx.nm.ru/templates/Units/Castle/5.jpg" TargetMode="External"/><Relationship Id="rId39" Type="http://schemas.openxmlformats.org/officeDocument/2006/relationships/image" Target="../media/image300.jpeg"/><Relationship Id="rId109" Type="http://schemas.openxmlformats.org/officeDocument/2006/relationships/image" Target="../media/image335.jpeg"/><Relationship Id="rId260" Type="http://schemas.openxmlformats.org/officeDocument/2006/relationships/image" Target="http://maximusx.nm.ru/templates/Units/Neutral/Boar.jpg" TargetMode="External"/><Relationship Id="rId265" Type="http://schemas.openxmlformats.org/officeDocument/2006/relationships/image" Target="../media/image413.jpeg"/><Relationship Id="rId281" Type="http://schemas.openxmlformats.org/officeDocument/2006/relationships/image" Target="../media/image421.jpeg"/><Relationship Id="rId34" Type="http://schemas.openxmlformats.org/officeDocument/2006/relationships/image" Target="http://maximusx.nm.ru/templates/Units/Rampart/2.jpg" TargetMode="External"/><Relationship Id="rId50" Type="http://schemas.openxmlformats.org/officeDocument/2006/relationships/image" Target="http://maximusx.nm.ru/templates/Units/Rampart/6.jpg" TargetMode="External"/><Relationship Id="rId55" Type="http://schemas.openxmlformats.org/officeDocument/2006/relationships/image" Target="../media/image308.jpeg"/><Relationship Id="rId76" Type="http://schemas.openxmlformats.org/officeDocument/2006/relationships/image" Target="http://maximusx.nm.ru/templates/Units/Tower/5u.jpg" TargetMode="External"/><Relationship Id="rId97" Type="http://schemas.openxmlformats.org/officeDocument/2006/relationships/image" Target="../media/image329.jpeg"/><Relationship Id="rId104" Type="http://schemas.openxmlformats.org/officeDocument/2006/relationships/image" Target="http://maximusx.nm.ru/templates/Units/Necropolis/5u.jpg" TargetMode="External"/><Relationship Id="rId120" Type="http://schemas.openxmlformats.org/officeDocument/2006/relationships/image" Target="http://maximusx.nm.ru/templates/Units/Dungeon/2u.jpg" TargetMode="External"/><Relationship Id="rId125" Type="http://schemas.openxmlformats.org/officeDocument/2006/relationships/image" Target="../media/image343.jpeg"/><Relationship Id="rId141" Type="http://schemas.openxmlformats.org/officeDocument/2006/relationships/image" Target="../media/image351.jpeg"/><Relationship Id="rId146" Type="http://schemas.openxmlformats.org/officeDocument/2006/relationships/image" Target="http://maximusx.nm.ru/templates/Units/Inferno/2.jpg" TargetMode="External"/><Relationship Id="rId167" Type="http://schemas.openxmlformats.org/officeDocument/2006/relationships/image" Target="../media/image364.jpeg"/><Relationship Id="rId188" Type="http://schemas.openxmlformats.org/officeDocument/2006/relationships/image" Target="http://maximusx.nm.ru/templates/Units/Fortress/5u.jpg" TargetMode="External"/><Relationship Id="rId7" Type="http://schemas.openxmlformats.org/officeDocument/2006/relationships/image" Target="../media/image284.jpeg"/><Relationship Id="rId71" Type="http://schemas.openxmlformats.org/officeDocument/2006/relationships/image" Target="../media/image316.jpeg"/><Relationship Id="rId92" Type="http://schemas.openxmlformats.org/officeDocument/2006/relationships/image" Target="http://maximusx.nm.ru/templates/Units/Necropolis/2u.jpg" TargetMode="External"/><Relationship Id="rId162" Type="http://schemas.openxmlformats.org/officeDocument/2006/relationships/image" Target="http://maximusx.nm.ru/templates/Units/Inferno/6.jpg" TargetMode="External"/><Relationship Id="rId183" Type="http://schemas.openxmlformats.org/officeDocument/2006/relationships/image" Target="../media/image372.jpeg"/><Relationship Id="rId213" Type="http://schemas.openxmlformats.org/officeDocument/2006/relationships/image" Target="../media/image387.jpeg"/><Relationship Id="rId218" Type="http://schemas.openxmlformats.org/officeDocument/2006/relationships/image" Target="http://maximusx.nm.ru/templates/Units/Stronghold/6.jpg" TargetMode="External"/><Relationship Id="rId234" Type="http://schemas.openxmlformats.org/officeDocument/2006/relationships/image" Target="http://maximusx.nm.ru/templates/Units/Conflux/3.jpg" TargetMode="External"/><Relationship Id="rId239" Type="http://schemas.openxmlformats.org/officeDocument/2006/relationships/image" Target="../media/image400.jpeg"/><Relationship Id="rId2" Type="http://schemas.openxmlformats.org/officeDocument/2006/relationships/image" Target="http://maximusx.nm.ru/templates/Units/Castle/1.jpg" TargetMode="External"/><Relationship Id="rId29" Type="http://schemas.openxmlformats.org/officeDocument/2006/relationships/image" Target="../media/image295.jpeg"/><Relationship Id="rId250" Type="http://schemas.openxmlformats.org/officeDocument/2006/relationships/image" Target="http://maximusx.nm.ru/templates/Units/Conflux/7.jpg" TargetMode="External"/><Relationship Id="rId255" Type="http://schemas.openxmlformats.org/officeDocument/2006/relationships/image" Target="../media/image408.jpeg"/><Relationship Id="rId271" Type="http://schemas.openxmlformats.org/officeDocument/2006/relationships/image" Target="../media/image416.jpeg"/><Relationship Id="rId276" Type="http://schemas.openxmlformats.org/officeDocument/2006/relationships/image" Target="http://maximusx.nm.ru/templates/Units/Neutral/FaerieDragon.jpg" TargetMode="External"/><Relationship Id="rId24" Type="http://schemas.openxmlformats.org/officeDocument/2006/relationships/image" Target="http://maximusx.nm.ru/templates/Units/Castle/6u.jpg" TargetMode="External"/><Relationship Id="rId40" Type="http://schemas.openxmlformats.org/officeDocument/2006/relationships/image" Target="http://maximusx.nm.ru/templates/Units/Rampart/3u.jpg" TargetMode="External"/><Relationship Id="rId45" Type="http://schemas.openxmlformats.org/officeDocument/2006/relationships/image" Target="../media/image303.jpeg"/><Relationship Id="rId66" Type="http://schemas.openxmlformats.org/officeDocument/2006/relationships/image" Target="http://maximusx.nm.ru/templates/Units/Tower/3.jpg" TargetMode="External"/><Relationship Id="rId87" Type="http://schemas.openxmlformats.org/officeDocument/2006/relationships/image" Target="../media/image324.jpeg"/><Relationship Id="rId110" Type="http://schemas.openxmlformats.org/officeDocument/2006/relationships/image" Target="http://maximusx.nm.ru/templates/Units/Necropolis/7.jpg" TargetMode="External"/><Relationship Id="rId115" Type="http://schemas.openxmlformats.org/officeDocument/2006/relationships/image" Target="../media/image338.jpeg"/><Relationship Id="rId131" Type="http://schemas.openxmlformats.org/officeDocument/2006/relationships/image" Target="../media/image346.jpeg"/><Relationship Id="rId136" Type="http://schemas.openxmlformats.org/officeDocument/2006/relationships/image" Target="http://maximusx.nm.ru/templates/Units/Dungeon/6u.jpg" TargetMode="External"/><Relationship Id="rId157" Type="http://schemas.openxmlformats.org/officeDocument/2006/relationships/image" Target="../media/image359.jpeg"/><Relationship Id="rId178" Type="http://schemas.openxmlformats.org/officeDocument/2006/relationships/image" Target="http://maximusx.nm.ru/templates/Units/Fortress/3.jpg" TargetMode="External"/><Relationship Id="rId61" Type="http://schemas.openxmlformats.org/officeDocument/2006/relationships/image" Target="../media/image311.jpeg"/><Relationship Id="rId82" Type="http://schemas.openxmlformats.org/officeDocument/2006/relationships/image" Target="http://maximusx.nm.ru/templates/Units/Tower/7.jpg" TargetMode="External"/><Relationship Id="rId152" Type="http://schemas.openxmlformats.org/officeDocument/2006/relationships/image" Target="http://maximusx.nm.ru/templates/Units/Inferno/3u.jpg" TargetMode="External"/><Relationship Id="rId173" Type="http://schemas.openxmlformats.org/officeDocument/2006/relationships/image" Target="../media/image367.jpeg"/><Relationship Id="rId194" Type="http://schemas.openxmlformats.org/officeDocument/2006/relationships/image" Target="http://maximusx.nm.ru/templates/Units/Fortress/7.jpg" TargetMode="External"/><Relationship Id="rId199" Type="http://schemas.openxmlformats.org/officeDocument/2006/relationships/image" Target="../media/image380.jpeg"/><Relationship Id="rId203" Type="http://schemas.openxmlformats.org/officeDocument/2006/relationships/image" Target="../media/image382.jpeg"/><Relationship Id="rId208" Type="http://schemas.openxmlformats.org/officeDocument/2006/relationships/image" Target="http://maximusx.nm.ru/templates/Units/Stronghold/3u.jpg" TargetMode="External"/><Relationship Id="rId229" Type="http://schemas.openxmlformats.org/officeDocument/2006/relationships/image" Target="../media/image395.jpeg"/><Relationship Id="rId19" Type="http://schemas.openxmlformats.org/officeDocument/2006/relationships/image" Target="../media/image290.jpeg"/><Relationship Id="rId224" Type="http://schemas.openxmlformats.org/officeDocument/2006/relationships/image" Target="http://maximusx.nm.ru/templates/Units/Stronghold/7u.jpg" TargetMode="External"/><Relationship Id="rId240" Type="http://schemas.openxmlformats.org/officeDocument/2006/relationships/image" Target="http://maximusx.nm.ru/templates/Units/Conflux/4u.jpg" TargetMode="External"/><Relationship Id="rId245" Type="http://schemas.openxmlformats.org/officeDocument/2006/relationships/image" Target="../media/image403.jpeg"/><Relationship Id="rId261" Type="http://schemas.openxmlformats.org/officeDocument/2006/relationships/image" Target="../media/image411.jpeg"/><Relationship Id="rId266" Type="http://schemas.openxmlformats.org/officeDocument/2006/relationships/image" Target="http://maximusx.nm.ru/templates/Units/Neutral/Sharpshooter.jpg" TargetMode="External"/><Relationship Id="rId14" Type="http://schemas.openxmlformats.org/officeDocument/2006/relationships/image" Target="http://maximusx.nm.ru/templates/Units/Castle/4.jpg" TargetMode="External"/><Relationship Id="rId30" Type="http://schemas.openxmlformats.org/officeDocument/2006/relationships/image" Target="http://maximusx.nm.ru/templates/Units/Rampart/1.jpg" TargetMode="External"/><Relationship Id="rId35" Type="http://schemas.openxmlformats.org/officeDocument/2006/relationships/image" Target="../media/image298.jpeg"/><Relationship Id="rId56" Type="http://schemas.openxmlformats.org/officeDocument/2006/relationships/image" Target="http://maximusx.nm.ru/templates/Units/Rampart/7u.jpg" TargetMode="External"/><Relationship Id="rId77" Type="http://schemas.openxmlformats.org/officeDocument/2006/relationships/image" Target="../media/image319.jpeg"/><Relationship Id="rId100" Type="http://schemas.openxmlformats.org/officeDocument/2006/relationships/image" Target="http://maximusx.nm.ru/templates/Units/Necropolis/4u.jpg" TargetMode="External"/><Relationship Id="rId105" Type="http://schemas.openxmlformats.org/officeDocument/2006/relationships/image" Target="../media/image333.jpeg"/><Relationship Id="rId126" Type="http://schemas.openxmlformats.org/officeDocument/2006/relationships/image" Target="http://maximusx.nm.ru/templates/Units/Dungeon/4.jpg" TargetMode="External"/><Relationship Id="rId147" Type="http://schemas.openxmlformats.org/officeDocument/2006/relationships/image" Target="../media/image354.jpeg"/><Relationship Id="rId168" Type="http://schemas.openxmlformats.org/officeDocument/2006/relationships/image" Target="http://maximusx.nm.ru/templates/Units/Inferno/7u.jpg" TargetMode="External"/><Relationship Id="rId282" Type="http://schemas.openxmlformats.org/officeDocument/2006/relationships/image" Target="http://maximusx.nm.ru/templates/Units/Neutral/AzureDragon.jpg" TargetMode="External"/><Relationship Id="rId8" Type="http://schemas.openxmlformats.org/officeDocument/2006/relationships/image" Target="http://maximusx.nm.ru/templates/Units/Castle/2u.jpg" TargetMode="External"/><Relationship Id="rId51" Type="http://schemas.openxmlformats.org/officeDocument/2006/relationships/image" Target="../media/image306.jpeg"/><Relationship Id="rId72" Type="http://schemas.openxmlformats.org/officeDocument/2006/relationships/image" Target="http://maximusx.nm.ru/templates/Units/Tower/4u.jpg" TargetMode="External"/><Relationship Id="rId93" Type="http://schemas.openxmlformats.org/officeDocument/2006/relationships/image" Target="../media/image327.jpeg"/><Relationship Id="rId98" Type="http://schemas.openxmlformats.org/officeDocument/2006/relationships/image" Target="http://maximusx.nm.ru/templates/Units/Necropolis/4.jpg" TargetMode="External"/><Relationship Id="rId121" Type="http://schemas.openxmlformats.org/officeDocument/2006/relationships/image" Target="../media/image341.jpeg"/><Relationship Id="rId142" Type="http://schemas.openxmlformats.org/officeDocument/2006/relationships/image" Target="http://maximusx.nm.ru/templates/Units/Inferno/1.jpg" TargetMode="External"/><Relationship Id="rId163" Type="http://schemas.openxmlformats.org/officeDocument/2006/relationships/image" Target="../media/image362.jpeg"/><Relationship Id="rId184" Type="http://schemas.openxmlformats.org/officeDocument/2006/relationships/image" Target="http://maximusx.nm.ru/templates/Units/Fortress/4u.jpg" TargetMode="External"/><Relationship Id="rId189" Type="http://schemas.openxmlformats.org/officeDocument/2006/relationships/image" Target="../media/image375.jpeg"/><Relationship Id="rId219" Type="http://schemas.openxmlformats.org/officeDocument/2006/relationships/image" Target="../media/image390.jpeg"/><Relationship Id="rId3" Type="http://schemas.openxmlformats.org/officeDocument/2006/relationships/image" Target="../media/image282.jpeg"/><Relationship Id="rId214" Type="http://schemas.openxmlformats.org/officeDocument/2006/relationships/image" Target="http://maximusx.nm.ru/templates/Units/Stronghold/5.jpg" TargetMode="External"/><Relationship Id="rId230" Type="http://schemas.openxmlformats.org/officeDocument/2006/relationships/image" Target="http://maximusx.nm.ru/templates/Units/Conflux/2.jpg" TargetMode="External"/><Relationship Id="rId235" Type="http://schemas.openxmlformats.org/officeDocument/2006/relationships/image" Target="../media/image398.jpeg"/><Relationship Id="rId251" Type="http://schemas.openxmlformats.org/officeDocument/2006/relationships/image" Target="../media/image406.jpeg"/><Relationship Id="rId256" Type="http://schemas.openxmlformats.org/officeDocument/2006/relationships/image" Target="http://maximusx.nm.ru/templates/Units/Neutral/Halfling.jpg" TargetMode="External"/><Relationship Id="rId277" Type="http://schemas.openxmlformats.org/officeDocument/2006/relationships/image" Target="../media/image419.jpeg"/><Relationship Id="rId25" Type="http://schemas.openxmlformats.org/officeDocument/2006/relationships/image" Target="../media/image293.jpeg"/><Relationship Id="rId46" Type="http://schemas.openxmlformats.org/officeDocument/2006/relationships/image" Target="http://maximusx.nm.ru/templates/Units/Rampart/5.jpg" TargetMode="External"/><Relationship Id="rId67" Type="http://schemas.openxmlformats.org/officeDocument/2006/relationships/image" Target="../media/image314.jpeg"/><Relationship Id="rId116" Type="http://schemas.openxmlformats.org/officeDocument/2006/relationships/image" Target="http://maximusx.nm.ru/templates/Units/Dungeon/1u.jpg" TargetMode="External"/><Relationship Id="rId137" Type="http://schemas.openxmlformats.org/officeDocument/2006/relationships/image" Target="../media/image349.jpeg"/><Relationship Id="rId158" Type="http://schemas.openxmlformats.org/officeDocument/2006/relationships/image" Target="http://maximusx.nm.ru/templates/Units/Inferno/5.jpg" TargetMode="External"/><Relationship Id="rId272" Type="http://schemas.openxmlformats.org/officeDocument/2006/relationships/image" Target="http://maximusx.nm.ru/templates/Units/Neutral/Troll.jpg" TargetMode="External"/><Relationship Id="rId20" Type="http://schemas.openxmlformats.org/officeDocument/2006/relationships/image" Target="http://maximusx.nm.ru/templates/Units/Castle/5u.jpg" TargetMode="External"/><Relationship Id="rId41" Type="http://schemas.openxmlformats.org/officeDocument/2006/relationships/image" Target="../media/image301.jpeg"/><Relationship Id="rId62" Type="http://schemas.openxmlformats.org/officeDocument/2006/relationships/image" Target="http://maximusx.nm.ru/templates/Units/Tower/2.jpg" TargetMode="External"/><Relationship Id="rId83" Type="http://schemas.openxmlformats.org/officeDocument/2006/relationships/image" Target="../media/image322.jpeg"/><Relationship Id="rId88" Type="http://schemas.openxmlformats.org/officeDocument/2006/relationships/image" Target="http://maximusx.nm.ru/templates/Units/Necropolis/1u.jpg" TargetMode="External"/><Relationship Id="rId111" Type="http://schemas.openxmlformats.org/officeDocument/2006/relationships/image" Target="../media/image336.jpeg"/><Relationship Id="rId132" Type="http://schemas.openxmlformats.org/officeDocument/2006/relationships/image" Target="http://maximusx.nm.ru/templates/Units/Dungeon/5u.jpg" TargetMode="External"/><Relationship Id="rId153" Type="http://schemas.openxmlformats.org/officeDocument/2006/relationships/image" Target="../media/image357.jpeg"/><Relationship Id="rId174" Type="http://schemas.openxmlformats.org/officeDocument/2006/relationships/image" Target="http://maximusx.nm.ru/templates/Units/Fortress/2.jpg" TargetMode="External"/><Relationship Id="rId179" Type="http://schemas.openxmlformats.org/officeDocument/2006/relationships/image" Target="../media/image370.jpeg"/><Relationship Id="rId195" Type="http://schemas.openxmlformats.org/officeDocument/2006/relationships/image" Target="../media/image378.jpeg"/><Relationship Id="rId209" Type="http://schemas.openxmlformats.org/officeDocument/2006/relationships/image" Target="../media/image385.jpeg"/><Relationship Id="rId190" Type="http://schemas.openxmlformats.org/officeDocument/2006/relationships/image" Target="http://maximusx.nm.ru/templates/Units/Fortress/6.jpg" TargetMode="External"/><Relationship Id="rId204" Type="http://schemas.openxmlformats.org/officeDocument/2006/relationships/image" Target="http://maximusx.nm.ru/templates/Units/Stronghold/2u.jpg" TargetMode="External"/><Relationship Id="rId220" Type="http://schemas.openxmlformats.org/officeDocument/2006/relationships/image" Target="http://maximusx.nm.ru/templates/Units/Stronghold/6u.jpg" TargetMode="External"/><Relationship Id="rId225" Type="http://schemas.openxmlformats.org/officeDocument/2006/relationships/image" Target="../media/image393.jpeg"/><Relationship Id="rId241" Type="http://schemas.openxmlformats.org/officeDocument/2006/relationships/image" Target="../media/image401.jpeg"/><Relationship Id="rId246" Type="http://schemas.openxmlformats.org/officeDocument/2006/relationships/image" Target="http://maximusx.nm.ru/templates/Units/Conflux/6.jpg" TargetMode="External"/><Relationship Id="rId267" Type="http://schemas.openxmlformats.org/officeDocument/2006/relationships/image" Target="../media/image414.jpeg"/><Relationship Id="rId15" Type="http://schemas.openxmlformats.org/officeDocument/2006/relationships/image" Target="../media/image288.jpeg"/><Relationship Id="rId36" Type="http://schemas.openxmlformats.org/officeDocument/2006/relationships/image" Target="http://maximusx.nm.ru/templates/Units/Rampart/2u.jpg" TargetMode="External"/><Relationship Id="rId57" Type="http://schemas.openxmlformats.org/officeDocument/2006/relationships/image" Target="../media/image309.jpeg"/><Relationship Id="rId106" Type="http://schemas.openxmlformats.org/officeDocument/2006/relationships/image" Target="http://maximusx.nm.ru/templates/Units/Necropolis/6.jpg" TargetMode="External"/><Relationship Id="rId127" Type="http://schemas.openxmlformats.org/officeDocument/2006/relationships/image" Target="../media/image344.jpeg"/><Relationship Id="rId262" Type="http://schemas.openxmlformats.org/officeDocument/2006/relationships/image" Target="http://maximusx.nm.ru/templates/Units/Neutral/Mummy.jpg" TargetMode="External"/><Relationship Id="rId10" Type="http://schemas.openxmlformats.org/officeDocument/2006/relationships/image" Target="http://maximusx.nm.ru/templates/Units/Castle/3.jpg" TargetMode="External"/><Relationship Id="rId31" Type="http://schemas.openxmlformats.org/officeDocument/2006/relationships/image" Target="../media/image296.jpeg"/><Relationship Id="rId52" Type="http://schemas.openxmlformats.org/officeDocument/2006/relationships/image" Target="http://maximusx.nm.ru/templates/Units/Rampart/6u.jpg" TargetMode="External"/><Relationship Id="rId73" Type="http://schemas.openxmlformats.org/officeDocument/2006/relationships/image" Target="../media/image317.jpeg"/><Relationship Id="rId78" Type="http://schemas.openxmlformats.org/officeDocument/2006/relationships/image" Target="http://maximusx.nm.ru/templates/Units/Tower/6.jpg" TargetMode="External"/><Relationship Id="rId94" Type="http://schemas.openxmlformats.org/officeDocument/2006/relationships/image" Target="http://maximusx.nm.ru/templates/Units/Necropolis/3.jpg" TargetMode="External"/><Relationship Id="rId99" Type="http://schemas.openxmlformats.org/officeDocument/2006/relationships/image" Target="../media/image330.jpeg"/><Relationship Id="rId101" Type="http://schemas.openxmlformats.org/officeDocument/2006/relationships/image" Target="../media/image331.jpeg"/><Relationship Id="rId122" Type="http://schemas.openxmlformats.org/officeDocument/2006/relationships/image" Target="http://maximusx.nm.ru/templates/Units/Dungeon/3.jpg" TargetMode="External"/><Relationship Id="rId143" Type="http://schemas.openxmlformats.org/officeDocument/2006/relationships/image" Target="../media/image352.jpeg"/><Relationship Id="rId148" Type="http://schemas.openxmlformats.org/officeDocument/2006/relationships/image" Target="http://maximusx.nm.ru/templates/Units/Inferno/2u.jpg" TargetMode="External"/><Relationship Id="rId164" Type="http://schemas.openxmlformats.org/officeDocument/2006/relationships/image" Target="http://maximusx.nm.ru/templates/Units/Inferno/6u.jpg" TargetMode="External"/><Relationship Id="rId169" Type="http://schemas.openxmlformats.org/officeDocument/2006/relationships/image" Target="../media/image365.jpeg"/><Relationship Id="rId185" Type="http://schemas.openxmlformats.org/officeDocument/2006/relationships/image" Target="../media/image373.jpeg"/><Relationship Id="rId4" Type="http://schemas.openxmlformats.org/officeDocument/2006/relationships/image" Target="http://maximusx.nm.ru/templates/Units/Castle/1u.jpg" TargetMode="External"/><Relationship Id="rId9" Type="http://schemas.openxmlformats.org/officeDocument/2006/relationships/image" Target="../media/image285.jpeg"/><Relationship Id="rId180" Type="http://schemas.openxmlformats.org/officeDocument/2006/relationships/image" Target="http://maximusx.nm.ru/templates/Units/Fortress/3u.jpg" TargetMode="External"/><Relationship Id="rId210" Type="http://schemas.openxmlformats.org/officeDocument/2006/relationships/image" Target="http://maximusx.nm.ru/templates/Units/Stronghold/4.jpg" TargetMode="External"/><Relationship Id="rId215" Type="http://schemas.openxmlformats.org/officeDocument/2006/relationships/image" Target="../media/image388.jpeg"/><Relationship Id="rId236" Type="http://schemas.openxmlformats.org/officeDocument/2006/relationships/image" Target="http://maximusx.nm.ru/templates/Units/Conflux/3u.jpg" TargetMode="External"/><Relationship Id="rId257" Type="http://schemas.openxmlformats.org/officeDocument/2006/relationships/image" Target="../media/image409.jpeg"/><Relationship Id="rId278" Type="http://schemas.openxmlformats.org/officeDocument/2006/relationships/image" Target="http://maximusx.nm.ru/templates/Units/Neutral/RustDragon.jpg" TargetMode="External"/><Relationship Id="rId26" Type="http://schemas.openxmlformats.org/officeDocument/2006/relationships/image" Target="http://maximusx.nm.ru/templates/Units/Castle/7.jpg" TargetMode="External"/><Relationship Id="rId231" Type="http://schemas.openxmlformats.org/officeDocument/2006/relationships/image" Target="../media/image396.jpeg"/><Relationship Id="rId252" Type="http://schemas.openxmlformats.org/officeDocument/2006/relationships/image" Target="http://maximusx.nm.ru/templates/Units/Conflux/7u.jpg" TargetMode="External"/><Relationship Id="rId273" Type="http://schemas.openxmlformats.org/officeDocument/2006/relationships/image" Target="../media/image417.jpeg"/><Relationship Id="rId47" Type="http://schemas.openxmlformats.org/officeDocument/2006/relationships/image" Target="../media/image304.jpeg"/><Relationship Id="rId68" Type="http://schemas.openxmlformats.org/officeDocument/2006/relationships/image" Target="http://maximusx.nm.ru/templates/Units/Tower/3u.jpg" TargetMode="External"/><Relationship Id="rId89" Type="http://schemas.openxmlformats.org/officeDocument/2006/relationships/image" Target="../media/image325.jpeg"/><Relationship Id="rId112" Type="http://schemas.openxmlformats.org/officeDocument/2006/relationships/image" Target="http://maximusx.nm.ru/templates/Units/Necropolis/7u.jpg" TargetMode="External"/><Relationship Id="rId133" Type="http://schemas.openxmlformats.org/officeDocument/2006/relationships/image" Target="../media/image347.jpeg"/><Relationship Id="rId154" Type="http://schemas.openxmlformats.org/officeDocument/2006/relationships/image" Target="http://maximusx.nm.ru/templates/Units/Inferno/4.jpg" TargetMode="External"/><Relationship Id="rId175" Type="http://schemas.openxmlformats.org/officeDocument/2006/relationships/image" Target="../media/image368.jpeg"/><Relationship Id="rId196" Type="http://schemas.openxmlformats.org/officeDocument/2006/relationships/image" Target="http://maximusx.nm.ru/templates/Units/Fortress/7u.jpg" TargetMode="External"/><Relationship Id="rId200" Type="http://schemas.openxmlformats.org/officeDocument/2006/relationships/image" Target="http://maximusx.nm.ru/templates/Units/Stronghold/1u.jpg" TargetMode="External"/><Relationship Id="rId16" Type="http://schemas.openxmlformats.org/officeDocument/2006/relationships/image" Target="http://maximusx.nm.ru/templates/Units/Castle/4u.jpg" TargetMode="External"/><Relationship Id="rId221" Type="http://schemas.openxmlformats.org/officeDocument/2006/relationships/image" Target="../media/image391.jpeg"/><Relationship Id="rId242" Type="http://schemas.openxmlformats.org/officeDocument/2006/relationships/image" Target="http://maximusx.nm.ru/templates/Units/Conflux/5.jpg" TargetMode="External"/><Relationship Id="rId263" Type="http://schemas.openxmlformats.org/officeDocument/2006/relationships/image" Target="../media/image412.jpeg"/><Relationship Id="rId37" Type="http://schemas.openxmlformats.org/officeDocument/2006/relationships/image" Target="../media/image299.jpeg"/><Relationship Id="rId58" Type="http://schemas.openxmlformats.org/officeDocument/2006/relationships/image" Target="http://maximusx.nm.ru/templates/Units/Tower/1.jpg" TargetMode="External"/><Relationship Id="rId79" Type="http://schemas.openxmlformats.org/officeDocument/2006/relationships/image" Target="../media/image320.jpeg"/><Relationship Id="rId102" Type="http://schemas.openxmlformats.org/officeDocument/2006/relationships/image" Target="http://maximusx.nm.ru/templates/Units/Necropolis/5.jpg" TargetMode="External"/><Relationship Id="rId123" Type="http://schemas.openxmlformats.org/officeDocument/2006/relationships/image" Target="../media/image342.jpeg"/><Relationship Id="rId144" Type="http://schemas.openxmlformats.org/officeDocument/2006/relationships/image" Target="http://maximusx.nm.ru/templates/Units/Inferno/1u.jpg" TargetMode="External"/><Relationship Id="rId90" Type="http://schemas.openxmlformats.org/officeDocument/2006/relationships/image" Target="http://maximusx.nm.ru/templates/Units/Necropolis/2.jpg" TargetMode="External"/><Relationship Id="rId165" Type="http://schemas.openxmlformats.org/officeDocument/2006/relationships/image" Target="../media/image363.jpeg"/><Relationship Id="rId186" Type="http://schemas.openxmlformats.org/officeDocument/2006/relationships/image" Target="http://maximusx.nm.ru/templates/Units/Fortress/5.jpg" TargetMode="External"/><Relationship Id="rId211" Type="http://schemas.openxmlformats.org/officeDocument/2006/relationships/image" Target="../media/image386.jpeg"/><Relationship Id="rId232" Type="http://schemas.openxmlformats.org/officeDocument/2006/relationships/image" Target="http://maximusx.nm.ru/templates/Units/Conflux/2u.jpg" TargetMode="External"/><Relationship Id="rId253" Type="http://schemas.openxmlformats.org/officeDocument/2006/relationships/image" Target="../media/image407.jpeg"/><Relationship Id="rId274" Type="http://schemas.openxmlformats.org/officeDocument/2006/relationships/image" Target="http://maximusx.nm.ru/templates/Units/Neutral/Enchanter.jpg" TargetMode="External"/><Relationship Id="rId27" Type="http://schemas.openxmlformats.org/officeDocument/2006/relationships/image" Target="../media/image294.jpeg"/><Relationship Id="rId48" Type="http://schemas.openxmlformats.org/officeDocument/2006/relationships/image" Target="http://maximusx.nm.ru/templates/Units/Rampart/5u.jpg" TargetMode="External"/><Relationship Id="rId69" Type="http://schemas.openxmlformats.org/officeDocument/2006/relationships/image" Target="../media/image315.jpeg"/><Relationship Id="rId113" Type="http://schemas.openxmlformats.org/officeDocument/2006/relationships/image" Target="../media/image337.jpeg"/><Relationship Id="rId134" Type="http://schemas.openxmlformats.org/officeDocument/2006/relationships/image" Target="http://maximusx.nm.ru/templates/Units/Dungeon/6.jpg" TargetMode="External"/><Relationship Id="rId80" Type="http://schemas.openxmlformats.org/officeDocument/2006/relationships/image" Target="http://maximusx.nm.ru/templates/Units/Tower/6u.jpg" TargetMode="External"/><Relationship Id="rId155" Type="http://schemas.openxmlformats.org/officeDocument/2006/relationships/image" Target="../media/image358.jpeg"/><Relationship Id="rId176" Type="http://schemas.openxmlformats.org/officeDocument/2006/relationships/image" Target="http://maximusx.nm.ru/templates/Units/Fortress/2u.jpg" TargetMode="External"/><Relationship Id="rId197" Type="http://schemas.openxmlformats.org/officeDocument/2006/relationships/image" Target="../media/image379.jpeg"/><Relationship Id="rId201" Type="http://schemas.openxmlformats.org/officeDocument/2006/relationships/image" Target="../media/image381.jpeg"/><Relationship Id="rId222" Type="http://schemas.openxmlformats.org/officeDocument/2006/relationships/image" Target="http://maximusx.nm.ru/templates/Units/Stronghold/7.jpg" TargetMode="External"/><Relationship Id="rId243" Type="http://schemas.openxmlformats.org/officeDocument/2006/relationships/image" Target="../media/image402.jpeg"/><Relationship Id="rId264" Type="http://schemas.openxmlformats.org/officeDocument/2006/relationships/image" Target="http://maximusx.nm.ru/templates/Units/Neutral/Nomad.jpg" TargetMode="External"/><Relationship Id="rId17" Type="http://schemas.openxmlformats.org/officeDocument/2006/relationships/image" Target="../media/image289.jpeg"/><Relationship Id="rId38" Type="http://schemas.openxmlformats.org/officeDocument/2006/relationships/image" Target="http://maximusx.nm.ru/templates/Units/Rampart/3.jpg" TargetMode="External"/><Relationship Id="rId59" Type="http://schemas.openxmlformats.org/officeDocument/2006/relationships/image" Target="../media/image310.jpeg"/><Relationship Id="rId103" Type="http://schemas.openxmlformats.org/officeDocument/2006/relationships/image" Target="../media/image332.jpeg"/><Relationship Id="rId124" Type="http://schemas.openxmlformats.org/officeDocument/2006/relationships/image" Target="http://maximusx.nm.ru/templates/Units/Dungeon/3u.jpg" TargetMode="External"/><Relationship Id="rId70" Type="http://schemas.openxmlformats.org/officeDocument/2006/relationships/image" Target="http://maximusx.nm.ru/templates/Units/Tower/4.jpg" TargetMode="External"/><Relationship Id="rId91" Type="http://schemas.openxmlformats.org/officeDocument/2006/relationships/image" Target="../media/image326.jpeg"/><Relationship Id="rId145" Type="http://schemas.openxmlformats.org/officeDocument/2006/relationships/image" Target="../media/image353.jpeg"/><Relationship Id="rId166" Type="http://schemas.openxmlformats.org/officeDocument/2006/relationships/image" Target="http://maximusx.nm.ru/templates/Units/Inferno/7.jpg" TargetMode="External"/><Relationship Id="rId187" Type="http://schemas.openxmlformats.org/officeDocument/2006/relationships/image" Target="../media/image374.jpeg"/><Relationship Id="rId1" Type="http://schemas.openxmlformats.org/officeDocument/2006/relationships/image" Target="../media/image281.jpeg"/><Relationship Id="rId212" Type="http://schemas.openxmlformats.org/officeDocument/2006/relationships/image" Target="http://maximusx.nm.ru/templates/Units/Stronghold/4u.jpg" TargetMode="External"/><Relationship Id="rId233" Type="http://schemas.openxmlformats.org/officeDocument/2006/relationships/image" Target="../media/image397.jpeg"/><Relationship Id="rId254" Type="http://schemas.openxmlformats.org/officeDocument/2006/relationships/image" Target="http://maximusx.nm.ru/templates/Units/Neutral/Peasant.jpg" TargetMode="External"/><Relationship Id="rId28" Type="http://schemas.openxmlformats.org/officeDocument/2006/relationships/image" Target="http://maximusx.nm.ru/templates/Units/Castle/7u.jpg" TargetMode="External"/><Relationship Id="rId49" Type="http://schemas.openxmlformats.org/officeDocument/2006/relationships/image" Target="../media/image305.jpeg"/><Relationship Id="rId114" Type="http://schemas.openxmlformats.org/officeDocument/2006/relationships/image" Target="http://maximusx.nm.ru/templates/Units/Dungeon/1.jpg" TargetMode="External"/><Relationship Id="rId275" Type="http://schemas.openxmlformats.org/officeDocument/2006/relationships/image" Target="../media/image418.jpeg"/><Relationship Id="rId60" Type="http://schemas.openxmlformats.org/officeDocument/2006/relationships/image" Target="http://maximusx.nm.ru/templates/Units/Tower/1u.jpg" TargetMode="External"/><Relationship Id="rId81" Type="http://schemas.openxmlformats.org/officeDocument/2006/relationships/image" Target="../media/image321.jpeg"/><Relationship Id="rId135" Type="http://schemas.openxmlformats.org/officeDocument/2006/relationships/image" Target="../media/image348.jpeg"/><Relationship Id="rId156" Type="http://schemas.openxmlformats.org/officeDocument/2006/relationships/image" Target="http://maximusx.nm.ru/templates/Units/Inferno/4u.jpg" TargetMode="External"/><Relationship Id="rId177" Type="http://schemas.openxmlformats.org/officeDocument/2006/relationships/image" Target="../media/image369.jpeg"/><Relationship Id="rId198" Type="http://schemas.openxmlformats.org/officeDocument/2006/relationships/image" Target="http://maximusx.nm.ru/templates/Units/Stronghold/1.jpg" TargetMode="External"/></Relationships>
</file>

<file path=xl/drawings/_rels/drawing13.xml.rels><?xml version="1.0" encoding="UTF-8" standalone="yes"?>
<Relationships xmlns="http://schemas.openxmlformats.org/package/2006/relationships"><Relationship Id="rId2" Type="http://schemas.openxmlformats.org/officeDocument/2006/relationships/image" Target="../media/image423.png"/><Relationship Id="rId1" Type="http://schemas.openxmlformats.org/officeDocument/2006/relationships/image" Target="../media/image42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26.png"/><Relationship Id="rId2" Type="http://schemas.openxmlformats.org/officeDocument/2006/relationships/image" Target="../media/image425.png"/><Relationship Id="rId1" Type="http://schemas.openxmlformats.org/officeDocument/2006/relationships/image" Target="../media/image424.png"/><Relationship Id="rId5" Type="http://schemas.openxmlformats.org/officeDocument/2006/relationships/image" Target="../media/image428.png"/><Relationship Id="rId4" Type="http://schemas.openxmlformats.org/officeDocument/2006/relationships/image" Target="../media/image42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36.gif"/><Relationship Id="rId13" Type="http://schemas.openxmlformats.org/officeDocument/2006/relationships/image" Target="../media/image441.png"/><Relationship Id="rId3" Type="http://schemas.openxmlformats.org/officeDocument/2006/relationships/image" Target="../media/image431.gif"/><Relationship Id="rId7" Type="http://schemas.openxmlformats.org/officeDocument/2006/relationships/image" Target="../media/image435.gif"/><Relationship Id="rId12" Type="http://schemas.openxmlformats.org/officeDocument/2006/relationships/image" Target="../media/image440.png"/><Relationship Id="rId2" Type="http://schemas.openxmlformats.org/officeDocument/2006/relationships/image" Target="../media/image430.gif"/><Relationship Id="rId1" Type="http://schemas.openxmlformats.org/officeDocument/2006/relationships/image" Target="../media/image429.gif"/><Relationship Id="rId6" Type="http://schemas.openxmlformats.org/officeDocument/2006/relationships/image" Target="../media/image434.gif"/><Relationship Id="rId11" Type="http://schemas.openxmlformats.org/officeDocument/2006/relationships/image" Target="../media/image439.gif"/><Relationship Id="rId5" Type="http://schemas.openxmlformats.org/officeDocument/2006/relationships/image" Target="../media/image433.gif"/><Relationship Id="rId15" Type="http://schemas.openxmlformats.org/officeDocument/2006/relationships/image" Target="../media/image443.png"/><Relationship Id="rId10" Type="http://schemas.openxmlformats.org/officeDocument/2006/relationships/image" Target="../media/image438.gif"/><Relationship Id="rId4" Type="http://schemas.openxmlformats.org/officeDocument/2006/relationships/image" Target="../media/image432.gif"/><Relationship Id="rId9" Type="http://schemas.openxmlformats.org/officeDocument/2006/relationships/image" Target="../media/image437.gif"/><Relationship Id="rId14" Type="http://schemas.openxmlformats.org/officeDocument/2006/relationships/image" Target="../media/image44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46.png"/><Relationship Id="rId2" Type="http://schemas.openxmlformats.org/officeDocument/2006/relationships/image" Target="../media/image445.png"/><Relationship Id="rId1" Type="http://schemas.openxmlformats.org/officeDocument/2006/relationships/image" Target="../media/image444.gif"/><Relationship Id="rId4" Type="http://schemas.openxmlformats.org/officeDocument/2006/relationships/image" Target="../media/image447.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55.gif"/><Relationship Id="rId13" Type="http://schemas.openxmlformats.org/officeDocument/2006/relationships/image" Target="../media/image460.gif"/><Relationship Id="rId3" Type="http://schemas.openxmlformats.org/officeDocument/2006/relationships/image" Target="../media/image450.gif"/><Relationship Id="rId7" Type="http://schemas.openxmlformats.org/officeDocument/2006/relationships/image" Target="../media/image454.gif"/><Relationship Id="rId12" Type="http://schemas.openxmlformats.org/officeDocument/2006/relationships/image" Target="../media/image459.gif"/><Relationship Id="rId2" Type="http://schemas.openxmlformats.org/officeDocument/2006/relationships/image" Target="../media/image449.gif"/><Relationship Id="rId1" Type="http://schemas.openxmlformats.org/officeDocument/2006/relationships/image" Target="../media/image448.gif"/><Relationship Id="rId6" Type="http://schemas.openxmlformats.org/officeDocument/2006/relationships/image" Target="../media/image453.gif"/><Relationship Id="rId11" Type="http://schemas.openxmlformats.org/officeDocument/2006/relationships/image" Target="../media/image458.gif"/><Relationship Id="rId5" Type="http://schemas.openxmlformats.org/officeDocument/2006/relationships/image" Target="../media/image452.gif"/><Relationship Id="rId15" Type="http://schemas.openxmlformats.org/officeDocument/2006/relationships/image" Target="../media/image462.gif"/><Relationship Id="rId10" Type="http://schemas.openxmlformats.org/officeDocument/2006/relationships/image" Target="../media/image457.gif"/><Relationship Id="rId4" Type="http://schemas.openxmlformats.org/officeDocument/2006/relationships/image" Target="../media/image451.gif"/><Relationship Id="rId9" Type="http://schemas.openxmlformats.org/officeDocument/2006/relationships/image" Target="../media/image456.gif"/><Relationship Id="rId14" Type="http://schemas.openxmlformats.org/officeDocument/2006/relationships/image" Target="../media/image461.gif"/></Relationships>
</file>

<file path=xl/drawings/_rels/drawing18.xml.rels><?xml version="1.0" encoding="UTF-8" standalone="yes"?>
<Relationships xmlns="http://schemas.openxmlformats.org/package/2006/relationships"><Relationship Id="rId8" Type="http://schemas.openxmlformats.org/officeDocument/2006/relationships/image" Target="../media/image470.png"/><Relationship Id="rId3" Type="http://schemas.openxmlformats.org/officeDocument/2006/relationships/image" Target="../media/image465.gif"/><Relationship Id="rId7" Type="http://schemas.openxmlformats.org/officeDocument/2006/relationships/image" Target="../media/image469.gif"/><Relationship Id="rId2" Type="http://schemas.openxmlformats.org/officeDocument/2006/relationships/image" Target="../media/image464.gif"/><Relationship Id="rId1" Type="http://schemas.openxmlformats.org/officeDocument/2006/relationships/image" Target="../media/image463.gif"/><Relationship Id="rId6" Type="http://schemas.openxmlformats.org/officeDocument/2006/relationships/image" Target="../media/image468.gif"/><Relationship Id="rId5" Type="http://schemas.openxmlformats.org/officeDocument/2006/relationships/image" Target="../media/image467.gif"/><Relationship Id="rId10" Type="http://schemas.openxmlformats.org/officeDocument/2006/relationships/image" Target="../media/image472.png"/><Relationship Id="rId4" Type="http://schemas.openxmlformats.org/officeDocument/2006/relationships/image" Target="../media/image466.gif"/><Relationship Id="rId9" Type="http://schemas.openxmlformats.org/officeDocument/2006/relationships/image" Target="../media/image47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480.gif"/><Relationship Id="rId13" Type="http://schemas.openxmlformats.org/officeDocument/2006/relationships/image" Target="../media/image485.gif"/><Relationship Id="rId18" Type="http://schemas.openxmlformats.org/officeDocument/2006/relationships/image" Target="../media/image490.gif"/><Relationship Id="rId26" Type="http://schemas.openxmlformats.org/officeDocument/2006/relationships/image" Target="../media/image498.gif"/><Relationship Id="rId39" Type="http://schemas.openxmlformats.org/officeDocument/2006/relationships/image" Target="../media/image511.png"/><Relationship Id="rId3" Type="http://schemas.openxmlformats.org/officeDocument/2006/relationships/image" Target="../media/image475.gif"/><Relationship Id="rId21" Type="http://schemas.openxmlformats.org/officeDocument/2006/relationships/image" Target="../media/image493.gif"/><Relationship Id="rId34" Type="http://schemas.openxmlformats.org/officeDocument/2006/relationships/image" Target="../media/image506.png"/><Relationship Id="rId7" Type="http://schemas.openxmlformats.org/officeDocument/2006/relationships/image" Target="../media/image479.gif"/><Relationship Id="rId12" Type="http://schemas.openxmlformats.org/officeDocument/2006/relationships/image" Target="../media/image484.gif"/><Relationship Id="rId17" Type="http://schemas.openxmlformats.org/officeDocument/2006/relationships/image" Target="../media/image489.gif"/><Relationship Id="rId25" Type="http://schemas.openxmlformats.org/officeDocument/2006/relationships/image" Target="../media/image497.gif"/><Relationship Id="rId33" Type="http://schemas.openxmlformats.org/officeDocument/2006/relationships/image" Target="../media/image505.png"/><Relationship Id="rId38" Type="http://schemas.openxmlformats.org/officeDocument/2006/relationships/image" Target="../media/image510.png"/><Relationship Id="rId2" Type="http://schemas.openxmlformats.org/officeDocument/2006/relationships/image" Target="../media/image474.gif"/><Relationship Id="rId16" Type="http://schemas.openxmlformats.org/officeDocument/2006/relationships/image" Target="../media/image488.gif"/><Relationship Id="rId20" Type="http://schemas.openxmlformats.org/officeDocument/2006/relationships/image" Target="../media/image492.gif"/><Relationship Id="rId29" Type="http://schemas.openxmlformats.org/officeDocument/2006/relationships/image" Target="../media/image501.png"/><Relationship Id="rId1" Type="http://schemas.openxmlformats.org/officeDocument/2006/relationships/image" Target="../media/image473.gif"/><Relationship Id="rId6" Type="http://schemas.openxmlformats.org/officeDocument/2006/relationships/image" Target="../media/image478.gif"/><Relationship Id="rId11" Type="http://schemas.openxmlformats.org/officeDocument/2006/relationships/image" Target="../media/image483.gif"/><Relationship Id="rId24" Type="http://schemas.openxmlformats.org/officeDocument/2006/relationships/image" Target="../media/image496.gif"/><Relationship Id="rId32" Type="http://schemas.openxmlformats.org/officeDocument/2006/relationships/image" Target="../media/image504.png"/><Relationship Id="rId37" Type="http://schemas.openxmlformats.org/officeDocument/2006/relationships/image" Target="../media/image509.png"/><Relationship Id="rId40" Type="http://schemas.openxmlformats.org/officeDocument/2006/relationships/image" Target="../media/image512.png"/><Relationship Id="rId5" Type="http://schemas.openxmlformats.org/officeDocument/2006/relationships/image" Target="../media/image477.gif"/><Relationship Id="rId15" Type="http://schemas.openxmlformats.org/officeDocument/2006/relationships/image" Target="../media/image487.gif"/><Relationship Id="rId23" Type="http://schemas.openxmlformats.org/officeDocument/2006/relationships/image" Target="../media/image495.gif"/><Relationship Id="rId28" Type="http://schemas.openxmlformats.org/officeDocument/2006/relationships/image" Target="../media/image500.gif"/><Relationship Id="rId36" Type="http://schemas.openxmlformats.org/officeDocument/2006/relationships/image" Target="../media/image508.png"/><Relationship Id="rId10" Type="http://schemas.openxmlformats.org/officeDocument/2006/relationships/image" Target="../media/image482.gif"/><Relationship Id="rId19" Type="http://schemas.openxmlformats.org/officeDocument/2006/relationships/image" Target="../media/image491.gif"/><Relationship Id="rId31" Type="http://schemas.openxmlformats.org/officeDocument/2006/relationships/image" Target="../media/image503.png"/><Relationship Id="rId4" Type="http://schemas.openxmlformats.org/officeDocument/2006/relationships/image" Target="../media/image476.gif"/><Relationship Id="rId9" Type="http://schemas.openxmlformats.org/officeDocument/2006/relationships/image" Target="../media/image481.gif"/><Relationship Id="rId14" Type="http://schemas.openxmlformats.org/officeDocument/2006/relationships/image" Target="../media/image486.gif"/><Relationship Id="rId22" Type="http://schemas.openxmlformats.org/officeDocument/2006/relationships/image" Target="../media/image494.gif"/><Relationship Id="rId27" Type="http://schemas.openxmlformats.org/officeDocument/2006/relationships/image" Target="../media/image499.gif"/><Relationship Id="rId30" Type="http://schemas.openxmlformats.org/officeDocument/2006/relationships/image" Target="../media/image502.png"/><Relationship Id="rId35" Type="http://schemas.openxmlformats.org/officeDocument/2006/relationships/image" Target="../media/image50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14.gif"/><Relationship Id="rId2" Type="http://schemas.openxmlformats.org/officeDocument/2006/relationships/image" Target="../media/image513.gif"/><Relationship Id="rId1" Type="http://schemas.openxmlformats.org/officeDocument/2006/relationships/image" Target="../media/image439.gif"/><Relationship Id="rId5" Type="http://schemas.openxmlformats.org/officeDocument/2006/relationships/image" Target="../media/image516.gif"/><Relationship Id="rId4" Type="http://schemas.openxmlformats.org/officeDocument/2006/relationships/image" Target="../media/image515.gif"/></Relationships>
</file>

<file path=xl/drawings/_rels/drawing21.xml.rels><?xml version="1.0" encoding="UTF-8" standalone="yes"?>
<Relationships xmlns="http://schemas.openxmlformats.org/package/2006/relationships"><Relationship Id="rId3" Type="http://schemas.openxmlformats.org/officeDocument/2006/relationships/image" Target="../media/image519.gif"/><Relationship Id="rId7" Type="http://schemas.openxmlformats.org/officeDocument/2006/relationships/image" Target="../media/image523.png"/><Relationship Id="rId2" Type="http://schemas.openxmlformats.org/officeDocument/2006/relationships/image" Target="../media/image518.gif"/><Relationship Id="rId1" Type="http://schemas.openxmlformats.org/officeDocument/2006/relationships/image" Target="../media/image517.png"/><Relationship Id="rId6" Type="http://schemas.openxmlformats.org/officeDocument/2006/relationships/image" Target="../media/image522.png"/><Relationship Id="rId5" Type="http://schemas.openxmlformats.org/officeDocument/2006/relationships/image" Target="../media/image521.gif"/><Relationship Id="rId4" Type="http://schemas.openxmlformats.org/officeDocument/2006/relationships/image" Target="../media/image520.gif"/></Relationships>
</file>

<file path=xl/drawings/_rels/drawing22.xml.rels><?xml version="1.0" encoding="UTF-8" standalone="yes"?>
<Relationships xmlns="http://schemas.openxmlformats.org/package/2006/relationships"><Relationship Id="rId8" Type="http://schemas.openxmlformats.org/officeDocument/2006/relationships/image" Target="../media/image531.png"/><Relationship Id="rId13" Type="http://schemas.openxmlformats.org/officeDocument/2006/relationships/image" Target="../media/image536.gif"/><Relationship Id="rId18" Type="http://schemas.openxmlformats.org/officeDocument/2006/relationships/image" Target="../media/image541.png"/><Relationship Id="rId3" Type="http://schemas.openxmlformats.org/officeDocument/2006/relationships/image" Target="../media/image526.png"/><Relationship Id="rId21" Type="http://schemas.openxmlformats.org/officeDocument/2006/relationships/image" Target="../media/image544.png"/><Relationship Id="rId7" Type="http://schemas.openxmlformats.org/officeDocument/2006/relationships/image" Target="../media/image530.png"/><Relationship Id="rId12" Type="http://schemas.openxmlformats.org/officeDocument/2006/relationships/image" Target="../media/image535.gif"/><Relationship Id="rId17" Type="http://schemas.openxmlformats.org/officeDocument/2006/relationships/image" Target="../media/image540.png"/><Relationship Id="rId2" Type="http://schemas.openxmlformats.org/officeDocument/2006/relationships/image" Target="../media/image525.png"/><Relationship Id="rId16" Type="http://schemas.openxmlformats.org/officeDocument/2006/relationships/image" Target="../media/image539.png"/><Relationship Id="rId20" Type="http://schemas.openxmlformats.org/officeDocument/2006/relationships/image" Target="../media/image543.png"/><Relationship Id="rId1" Type="http://schemas.openxmlformats.org/officeDocument/2006/relationships/image" Target="../media/image524.png"/><Relationship Id="rId6" Type="http://schemas.openxmlformats.org/officeDocument/2006/relationships/image" Target="../media/image529.png"/><Relationship Id="rId11" Type="http://schemas.openxmlformats.org/officeDocument/2006/relationships/image" Target="../media/image534.png"/><Relationship Id="rId24" Type="http://schemas.openxmlformats.org/officeDocument/2006/relationships/image" Target="../media/image547.png"/><Relationship Id="rId5" Type="http://schemas.openxmlformats.org/officeDocument/2006/relationships/image" Target="../media/image528.png"/><Relationship Id="rId15" Type="http://schemas.openxmlformats.org/officeDocument/2006/relationships/image" Target="../media/image538.png"/><Relationship Id="rId23" Type="http://schemas.openxmlformats.org/officeDocument/2006/relationships/image" Target="../media/image546.png"/><Relationship Id="rId10" Type="http://schemas.openxmlformats.org/officeDocument/2006/relationships/image" Target="../media/image533.png"/><Relationship Id="rId19" Type="http://schemas.openxmlformats.org/officeDocument/2006/relationships/image" Target="../media/image542.png"/><Relationship Id="rId4" Type="http://schemas.openxmlformats.org/officeDocument/2006/relationships/image" Target="../media/image527.png"/><Relationship Id="rId9" Type="http://schemas.openxmlformats.org/officeDocument/2006/relationships/image" Target="../media/image532.png"/><Relationship Id="rId14" Type="http://schemas.openxmlformats.org/officeDocument/2006/relationships/image" Target="../media/image537.gif"/><Relationship Id="rId22" Type="http://schemas.openxmlformats.org/officeDocument/2006/relationships/image" Target="../media/image545.png"/></Relationships>
</file>

<file path=xl/drawings/_rels/drawing23.xml.rels><?xml version="1.0" encoding="UTF-8" standalone="yes"?>
<Relationships xmlns="http://schemas.openxmlformats.org/package/2006/relationships"><Relationship Id="rId26" Type="http://schemas.openxmlformats.org/officeDocument/2006/relationships/image" Target="../media/image573.png"/><Relationship Id="rId21" Type="http://schemas.openxmlformats.org/officeDocument/2006/relationships/image" Target="../media/image568.png"/><Relationship Id="rId34" Type="http://schemas.openxmlformats.org/officeDocument/2006/relationships/image" Target="../media/image581.png"/><Relationship Id="rId42" Type="http://schemas.openxmlformats.org/officeDocument/2006/relationships/image" Target="../media/image589.png"/><Relationship Id="rId47" Type="http://schemas.openxmlformats.org/officeDocument/2006/relationships/image" Target="../media/image594.png"/><Relationship Id="rId50" Type="http://schemas.openxmlformats.org/officeDocument/2006/relationships/image" Target="../media/image597.png"/><Relationship Id="rId55" Type="http://schemas.openxmlformats.org/officeDocument/2006/relationships/image" Target="../media/image602.png"/><Relationship Id="rId63" Type="http://schemas.openxmlformats.org/officeDocument/2006/relationships/image" Target="../media/image610.png"/><Relationship Id="rId68" Type="http://schemas.openxmlformats.org/officeDocument/2006/relationships/image" Target="../media/image615.png"/><Relationship Id="rId76" Type="http://schemas.openxmlformats.org/officeDocument/2006/relationships/image" Target="../media/image623.png"/><Relationship Id="rId84" Type="http://schemas.openxmlformats.org/officeDocument/2006/relationships/image" Target="../media/image631.png"/><Relationship Id="rId89" Type="http://schemas.openxmlformats.org/officeDocument/2006/relationships/image" Target="../media/image636.png"/><Relationship Id="rId97" Type="http://schemas.openxmlformats.org/officeDocument/2006/relationships/image" Target="../media/image644.png"/><Relationship Id="rId7" Type="http://schemas.openxmlformats.org/officeDocument/2006/relationships/image" Target="../media/image554.png"/><Relationship Id="rId71" Type="http://schemas.openxmlformats.org/officeDocument/2006/relationships/image" Target="../media/image618.png"/><Relationship Id="rId92" Type="http://schemas.openxmlformats.org/officeDocument/2006/relationships/image" Target="../media/image639.png"/><Relationship Id="rId2" Type="http://schemas.openxmlformats.org/officeDocument/2006/relationships/image" Target="../media/image549.png"/><Relationship Id="rId16" Type="http://schemas.openxmlformats.org/officeDocument/2006/relationships/image" Target="../media/image563.png"/><Relationship Id="rId29" Type="http://schemas.openxmlformats.org/officeDocument/2006/relationships/image" Target="../media/image576.png"/><Relationship Id="rId11" Type="http://schemas.openxmlformats.org/officeDocument/2006/relationships/image" Target="../media/image558.png"/><Relationship Id="rId24" Type="http://schemas.openxmlformats.org/officeDocument/2006/relationships/image" Target="../media/image571.png"/><Relationship Id="rId32" Type="http://schemas.openxmlformats.org/officeDocument/2006/relationships/image" Target="../media/image579.png"/><Relationship Id="rId37" Type="http://schemas.openxmlformats.org/officeDocument/2006/relationships/image" Target="../media/image584.png"/><Relationship Id="rId40" Type="http://schemas.openxmlformats.org/officeDocument/2006/relationships/image" Target="../media/image587.png"/><Relationship Id="rId45" Type="http://schemas.openxmlformats.org/officeDocument/2006/relationships/image" Target="../media/image592.png"/><Relationship Id="rId53" Type="http://schemas.openxmlformats.org/officeDocument/2006/relationships/image" Target="../media/image600.png"/><Relationship Id="rId58" Type="http://schemas.openxmlformats.org/officeDocument/2006/relationships/image" Target="../media/image605.png"/><Relationship Id="rId66" Type="http://schemas.openxmlformats.org/officeDocument/2006/relationships/image" Target="../media/image613.png"/><Relationship Id="rId74" Type="http://schemas.openxmlformats.org/officeDocument/2006/relationships/image" Target="../media/image621.png"/><Relationship Id="rId79" Type="http://schemas.openxmlformats.org/officeDocument/2006/relationships/image" Target="../media/image626.png"/><Relationship Id="rId87" Type="http://schemas.openxmlformats.org/officeDocument/2006/relationships/image" Target="../media/image634.png"/><Relationship Id="rId5" Type="http://schemas.openxmlformats.org/officeDocument/2006/relationships/image" Target="../media/image552.png"/><Relationship Id="rId61" Type="http://schemas.openxmlformats.org/officeDocument/2006/relationships/image" Target="../media/image608.png"/><Relationship Id="rId82" Type="http://schemas.openxmlformats.org/officeDocument/2006/relationships/image" Target="../media/image629.png"/><Relationship Id="rId90" Type="http://schemas.openxmlformats.org/officeDocument/2006/relationships/image" Target="../media/image637.png"/><Relationship Id="rId95" Type="http://schemas.openxmlformats.org/officeDocument/2006/relationships/image" Target="../media/image642.png"/><Relationship Id="rId19" Type="http://schemas.openxmlformats.org/officeDocument/2006/relationships/image" Target="../media/image566.png"/><Relationship Id="rId14" Type="http://schemas.openxmlformats.org/officeDocument/2006/relationships/image" Target="../media/image561.png"/><Relationship Id="rId22" Type="http://schemas.openxmlformats.org/officeDocument/2006/relationships/image" Target="../media/image569.png"/><Relationship Id="rId27" Type="http://schemas.openxmlformats.org/officeDocument/2006/relationships/image" Target="../media/image574.png"/><Relationship Id="rId30" Type="http://schemas.openxmlformats.org/officeDocument/2006/relationships/image" Target="../media/image577.png"/><Relationship Id="rId35" Type="http://schemas.openxmlformats.org/officeDocument/2006/relationships/image" Target="../media/image582.png"/><Relationship Id="rId43" Type="http://schemas.openxmlformats.org/officeDocument/2006/relationships/image" Target="../media/image590.png"/><Relationship Id="rId48" Type="http://schemas.openxmlformats.org/officeDocument/2006/relationships/image" Target="../media/image595.png"/><Relationship Id="rId56" Type="http://schemas.openxmlformats.org/officeDocument/2006/relationships/image" Target="../media/image603.png"/><Relationship Id="rId64" Type="http://schemas.openxmlformats.org/officeDocument/2006/relationships/image" Target="../media/image611.png"/><Relationship Id="rId69" Type="http://schemas.openxmlformats.org/officeDocument/2006/relationships/image" Target="../media/image616.png"/><Relationship Id="rId77" Type="http://schemas.openxmlformats.org/officeDocument/2006/relationships/image" Target="../media/image624.png"/><Relationship Id="rId100" Type="http://schemas.openxmlformats.org/officeDocument/2006/relationships/image" Target="../media/image647.png"/><Relationship Id="rId8" Type="http://schemas.openxmlformats.org/officeDocument/2006/relationships/image" Target="../media/image555.png"/><Relationship Id="rId51" Type="http://schemas.openxmlformats.org/officeDocument/2006/relationships/image" Target="../media/image598.png"/><Relationship Id="rId72" Type="http://schemas.openxmlformats.org/officeDocument/2006/relationships/image" Target="../media/image619.png"/><Relationship Id="rId80" Type="http://schemas.openxmlformats.org/officeDocument/2006/relationships/image" Target="../media/image627.png"/><Relationship Id="rId85" Type="http://schemas.openxmlformats.org/officeDocument/2006/relationships/image" Target="../media/image632.png"/><Relationship Id="rId93" Type="http://schemas.openxmlformats.org/officeDocument/2006/relationships/image" Target="../media/image640.png"/><Relationship Id="rId98" Type="http://schemas.openxmlformats.org/officeDocument/2006/relationships/image" Target="../media/image645.png"/><Relationship Id="rId3" Type="http://schemas.openxmlformats.org/officeDocument/2006/relationships/image" Target="../media/image550.png"/><Relationship Id="rId12" Type="http://schemas.openxmlformats.org/officeDocument/2006/relationships/image" Target="../media/image559.png"/><Relationship Id="rId17" Type="http://schemas.openxmlformats.org/officeDocument/2006/relationships/image" Target="../media/image564.png"/><Relationship Id="rId25" Type="http://schemas.openxmlformats.org/officeDocument/2006/relationships/image" Target="../media/image572.png"/><Relationship Id="rId33" Type="http://schemas.openxmlformats.org/officeDocument/2006/relationships/image" Target="../media/image580.png"/><Relationship Id="rId38" Type="http://schemas.openxmlformats.org/officeDocument/2006/relationships/image" Target="../media/image585.png"/><Relationship Id="rId46" Type="http://schemas.openxmlformats.org/officeDocument/2006/relationships/image" Target="../media/image593.png"/><Relationship Id="rId59" Type="http://schemas.openxmlformats.org/officeDocument/2006/relationships/image" Target="../media/image606.png"/><Relationship Id="rId67" Type="http://schemas.openxmlformats.org/officeDocument/2006/relationships/image" Target="../media/image614.png"/><Relationship Id="rId20" Type="http://schemas.openxmlformats.org/officeDocument/2006/relationships/image" Target="../media/image567.png"/><Relationship Id="rId41" Type="http://schemas.openxmlformats.org/officeDocument/2006/relationships/image" Target="../media/image588.png"/><Relationship Id="rId54" Type="http://schemas.openxmlformats.org/officeDocument/2006/relationships/image" Target="../media/image601.png"/><Relationship Id="rId62" Type="http://schemas.openxmlformats.org/officeDocument/2006/relationships/image" Target="../media/image609.png"/><Relationship Id="rId70" Type="http://schemas.openxmlformats.org/officeDocument/2006/relationships/image" Target="../media/image617.png"/><Relationship Id="rId75" Type="http://schemas.openxmlformats.org/officeDocument/2006/relationships/image" Target="../media/image622.png"/><Relationship Id="rId83" Type="http://schemas.openxmlformats.org/officeDocument/2006/relationships/image" Target="../media/image630.png"/><Relationship Id="rId88" Type="http://schemas.openxmlformats.org/officeDocument/2006/relationships/image" Target="../media/image635.png"/><Relationship Id="rId91" Type="http://schemas.openxmlformats.org/officeDocument/2006/relationships/image" Target="../media/image638.png"/><Relationship Id="rId96" Type="http://schemas.openxmlformats.org/officeDocument/2006/relationships/image" Target="../media/image643.png"/><Relationship Id="rId1" Type="http://schemas.openxmlformats.org/officeDocument/2006/relationships/image" Target="../media/image548.png"/><Relationship Id="rId6" Type="http://schemas.openxmlformats.org/officeDocument/2006/relationships/image" Target="../media/image553.png"/><Relationship Id="rId15" Type="http://schemas.openxmlformats.org/officeDocument/2006/relationships/image" Target="../media/image562.png"/><Relationship Id="rId23" Type="http://schemas.openxmlformats.org/officeDocument/2006/relationships/image" Target="../media/image570.png"/><Relationship Id="rId28" Type="http://schemas.openxmlformats.org/officeDocument/2006/relationships/image" Target="../media/image575.png"/><Relationship Id="rId36" Type="http://schemas.openxmlformats.org/officeDocument/2006/relationships/image" Target="../media/image583.png"/><Relationship Id="rId49" Type="http://schemas.openxmlformats.org/officeDocument/2006/relationships/image" Target="../media/image596.png"/><Relationship Id="rId57" Type="http://schemas.openxmlformats.org/officeDocument/2006/relationships/image" Target="../media/image604.png"/><Relationship Id="rId10" Type="http://schemas.openxmlformats.org/officeDocument/2006/relationships/image" Target="../media/image557.png"/><Relationship Id="rId31" Type="http://schemas.openxmlformats.org/officeDocument/2006/relationships/image" Target="../media/image578.png"/><Relationship Id="rId44" Type="http://schemas.openxmlformats.org/officeDocument/2006/relationships/image" Target="../media/image591.png"/><Relationship Id="rId52" Type="http://schemas.openxmlformats.org/officeDocument/2006/relationships/image" Target="../media/image599.png"/><Relationship Id="rId60" Type="http://schemas.openxmlformats.org/officeDocument/2006/relationships/image" Target="../media/image607.png"/><Relationship Id="rId65" Type="http://schemas.openxmlformats.org/officeDocument/2006/relationships/image" Target="../media/image612.png"/><Relationship Id="rId73" Type="http://schemas.openxmlformats.org/officeDocument/2006/relationships/image" Target="../media/image620.png"/><Relationship Id="rId78" Type="http://schemas.openxmlformats.org/officeDocument/2006/relationships/image" Target="../media/image625.png"/><Relationship Id="rId81" Type="http://schemas.openxmlformats.org/officeDocument/2006/relationships/image" Target="../media/image628.png"/><Relationship Id="rId86" Type="http://schemas.openxmlformats.org/officeDocument/2006/relationships/image" Target="../media/image633.png"/><Relationship Id="rId94" Type="http://schemas.openxmlformats.org/officeDocument/2006/relationships/image" Target="../media/image641.png"/><Relationship Id="rId99" Type="http://schemas.openxmlformats.org/officeDocument/2006/relationships/image" Target="../media/image646.png"/><Relationship Id="rId101" Type="http://schemas.openxmlformats.org/officeDocument/2006/relationships/image" Target="../media/image648.png"/><Relationship Id="rId4" Type="http://schemas.openxmlformats.org/officeDocument/2006/relationships/image" Target="../media/image551.png"/><Relationship Id="rId9" Type="http://schemas.openxmlformats.org/officeDocument/2006/relationships/image" Target="../media/image556.png"/><Relationship Id="rId13" Type="http://schemas.openxmlformats.org/officeDocument/2006/relationships/image" Target="../media/image560.png"/><Relationship Id="rId18" Type="http://schemas.openxmlformats.org/officeDocument/2006/relationships/image" Target="../media/image565.png"/><Relationship Id="rId39" Type="http://schemas.openxmlformats.org/officeDocument/2006/relationships/image" Target="../media/image586.png"/></Relationships>
</file>

<file path=xl/drawings/_rels/drawing24.xml.rels><?xml version="1.0" encoding="UTF-8" standalone="yes"?>
<Relationships xmlns="http://schemas.openxmlformats.org/package/2006/relationships"><Relationship Id="rId8" Type="http://schemas.openxmlformats.org/officeDocument/2006/relationships/image" Target="../media/image656.jpeg"/><Relationship Id="rId13" Type="http://schemas.openxmlformats.org/officeDocument/2006/relationships/image" Target="../media/image661.png"/><Relationship Id="rId18" Type="http://schemas.openxmlformats.org/officeDocument/2006/relationships/image" Target="../media/image666.jpeg"/><Relationship Id="rId3" Type="http://schemas.openxmlformats.org/officeDocument/2006/relationships/image" Target="../media/image651.jpeg"/><Relationship Id="rId21" Type="http://schemas.openxmlformats.org/officeDocument/2006/relationships/image" Target="../media/image669.jpeg"/><Relationship Id="rId7" Type="http://schemas.openxmlformats.org/officeDocument/2006/relationships/image" Target="../media/image655.jpeg"/><Relationship Id="rId12" Type="http://schemas.openxmlformats.org/officeDocument/2006/relationships/image" Target="../media/image660.png"/><Relationship Id="rId17" Type="http://schemas.openxmlformats.org/officeDocument/2006/relationships/image" Target="../media/image665.png"/><Relationship Id="rId2" Type="http://schemas.openxmlformats.org/officeDocument/2006/relationships/image" Target="../media/image650.jpeg"/><Relationship Id="rId16" Type="http://schemas.openxmlformats.org/officeDocument/2006/relationships/image" Target="../media/image664.png"/><Relationship Id="rId20" Type="http://schemas.openxmlformats.org/officeDocument/2006/relationships/image" Target="../media/image668.jpeg"/><Relationship Id="rId1" Type="http://schemas.openxmlformats.org/officeDocument/2006/relationships/image" Target="../media/image649.jpeg"/><Relationship Id="rId6" Type="http://schemas.openxmlformats.org/officeDocument/2006/relationships/image" Target="../media/image654.jpeg"/><Relationship Id="rId11" Type="http://schemas.openxmlformats.org/officeDocument/2006/relationships/image" Target="../media/image659.jpeg"/><Relationship Id="rId5" Type="http://schemas.openxmlformats.org/officeDocument/2006/relationships/image" Target="../media/image653.jpeg"/><Relationship Id="rId15" Type="http://schemas.openxmlformats.org/officeDocument/2006/relationships/image" Target="../media/image663.png"/><Relationship Id="rId10" Type="http://schemas.openxmlformats.org/officeDocument/2006/relationships/image" Target="../media/image658.jpeg"/><Relationship Id="rId19" Type="http://schemas.openxmlformats.org/officeDocument/2006/relationships/image" Target="../media/image667.jpeg"/><Relationship Id="rId4" Type="http://schemas.openxmlformats.org/officeDocument/2006/relationships/image" Target="../media/image652.jpeg"/><Relationship Id="rId9" Type="http://schemas.openxmlformats.org/officeDocument/2006/relationships/image" Target="../media/image657.jpeg"/><Relationship Id="rId14" Type="http://schemas.openxmlformats.org/officeDocument/2006/relationships/image" Target="../media/image662.png"/></Relationships>
</file>

<file path=xl/drawings/_rels/drawing25.xml.rels><?xml version="1.0" encoding="UTF-8" standalone="yes"?>
<Relationships xmlns="http://schemas.openxmlformats.org/package/2006/relationships"><Relationship Id="rId26" Type="http://schemas.openxmlformats.org/officeDocument/2006/relationships/image" Target="../media/image695.png"/><Relationship Id="rId117" Type="http://schemas.openxmlformats.org/officeDocument/2006/relationships/image" Target="../media/image786.png"/><Relationship Id="rId21" Type="http://schemas.openxmlformats.org/officeDocument/2006/relationships/image" Target="../media/image690.png"/><Relationship Id="rId42" Type="http://schemas.openxmlformats.org/officeDocument/2006/relationships/image" Target="../media/image711.png"/><Relationship Id="rId47" Type="http://schemas.openxmlformats.org/officeDocument/2006/relationships/image" Target="../media/image716.png"/><Relationship Id="rId63" Type="http://schemas.openxmlformats.org/officeDocument/2006/relationships/image" Target="../media/image732.png"/><Relationship Id="rId68" Type="http://schemas.openxmlformats.org/officeDocument/2006/relationships/image" Target="../media/image737.png"/><Relationship Id="rId84" Type="http://schemas.openxmlformats.org/officeDocument/2006/relationships/image" Target="../media/image753.png"/><Relationship Id="rId89" Type="http://schemas.openxmlformats.org/officeDocument/2006/relationships/image" Target="../media/image758.png"/><Relationship Id="rId112" Type="http://schemas.openxmlformats.org/officeDocument/2006/relationships/image" Target="../media/image781.png"/><Relationship Id="rId133" Type="http://schemas.openxmlformats.org/officeDocument/2006/relationships/image" Target="../media/image802.png"/><Relationship Id="rId138" Type="http://schemas.openxmlformats.org/officeDocument/2006/relationships/image" Target="../media/image807.png"/><Relationship Id="rId16" Type="http://schemas.openxmlformats.org/officeDocument/2006/relationships/image" Target="../media/image685.png"/><Relationship Id="rId107" Type="http://schemas.openxmlformats.org/officeDocument/2006/relationships/image" Target="../media/image776.png"/><Relationship Id="rId11" Type="http://schemas.openxmlformats.org/officeDocument/2006/relationships/image" Target="../media/image680.png"/><Relationship Id="rId32" Type="http://schemas.openxmlformats.org/officeDocument/2006/relationships/image" Target="../media/image701.png"/><Relationship Id="rId37" Type="http://schemas.openxmlformats.org/officeDocument/2006/relationships/image" Target="../media/image706.png"/><Relationship Id="rId53" Type="http://schemas.openxmlformats.org/officeDocument/2006/relationships/image" Target="../media/image722.png"/><Relationship Id="rId58" Type="http://schemas.openxmlformats.org/officeDocument/2006/relationships/image" Target="../media/image727.png"/><Relationship Id="rId74" Type="http://schemas.openxmlformats.org/officeDocument/2006/relationships/image" Target="../media/image743.png"/><Relationship Id="rId79" Type="http://schemas.openxmlformats.org/officeDocument/2006/relationships/image" Target="../media/image748.png"/><Relationship Id="rId102" Type="http://schemas.openxmlformats.org/officeDocument/2006/relationships/image" Target="../media/image771.png"/><Relationship Id="rId123" Type="http://schemas.openxmlformats.org/officeDocument/2006/relationships/image" Target="../media/image792.png"/><Relationship Id="rId128" Type="http://schemas.openxmlformats.org/officeDocument/2006/relationships/image" Target="../media/image797.png"/><Relationship Id="rId5" Type="http://schemas.openxmlformats.org/officeDocument/2006/relationships/image" Target="../media/image674.png"/><Relationship Id="rId90" Type="http://schemas.openxmlformats.org/officeDocument/2006/relationships/image" Target="../media/image759.png"/><Relationship Id="rId95" Type="http://schemas.openxmlformats.org/officeDocument/2006/relationships/image" Target="../media/image764.png"/><Relationship Id="rId22" Type="http://schemas.openxmlformats.org/officeDocument/2006/relationships/image" Target="../media/image691.png"/><Relationship Id="rId27" Type="http://schemas.openxmlformats.org/officeDocument/2006/relationships/image" Target="../media/image696.png"/><Relationship Id="rId43" Type="http://schemas.openxmlformats.org/officeDocument/2006/relationships/image" Target="../media/image712.png"/><Relationship Id="rId48" Type="http://schemas.openxmlformats.org/officeDocument/2006/relationships/image" Target="../media/image717.png"/><Relationship Id="rId64" Type="http://schemas.openxmlformats.org/officeDocument/2006/relationships/image" Target="../media/image733.png"/><Relationship Id="rId69" Type="http://schemas.openxmlformats.org/officeDocument/2006/relationships/image" Target="../media/image738.png"/><Relationship Id="rId113" Type="http://schemas.openxmlformats.org/officeDocument/2006/relationships/image" Target="../media/image782.png"/><Relationship Id="rId118" Type="http://schemas.openxmlformats.org/officeDocument/2006/relationships/image" Target="../media/image787.png"/><Relationship Id="rId134" Type="http://schemas.openxmlformats.org/officeDocument/2006/relationships/image" Target="../media/image803.png"/><Relationship Id="rId139" Type="http://schemas.openxmlformats.org/officeDocument/2006/relationships/image" Target="../media/image808.png"/><Relationship Id="rId8" Type="http://schemas.openxmlformats.org/officeDocument/2006/relationships/image" Target="../media/image677.png"/><Relationship Id="rId51" Type="http://schemas.openxmlformats.org/officeDocument/2006/relationships/image" Target="../media/image720.png"/><Relationship Id="rId72" Type="http://schemas.openxmlformats.org/officeDocument/2006/relationships/image" Target="../media/image741.png"/><Relationship Id="rId80" Type="http://schemas.openxmlformats.org/officeDocument/2006/relationships/image" Target="../media/image749.png"/><Relationship Id="rId85" Type="http://schemas.openxmlformats.org/officeDocument/2006/relationships/image" Target="../media/image754.png"/><Relationship Id="rId93" Type="http://schemas.openxmlformats.org/officeDocument/2006/relationships/image" Target="../media/image762.png"/><Relationship Id="rId98" Type="http://schemas.openxmlformats.org/officeDocument/2006/relationships/image" Target="../media/image767.png"/><Relationship Id="rId121" Type="http://schemas.openxmlformats.org/officeDocument/2006/relationships/image" Target="../media/image790.png"/><Relationship Id="rId142" Type="http://schemas.openxmlformats.org/officeDocument/2006/relationships/image" Target="../media/image811.png"/><Relationship Id="rId3" Type="http://schemas.openxmlformats.org/officeDocument/2006/relationships/image" Target="../media/image672.png"/><Relationship Id="rId12" Type="http://schemas.openxmlformats.org/officeDocument/2006/relationships/image" Target="../media/image681.png"/><Relationship Id="rId17" Type="http://schemas.openxmlformats.org/officeDocument/2006/relationships/image" Target="../media/image686.png"/><Relationship Id="rId25" Type="http://schemas.openxmlformats.org/officeDocument/2006/relationships/image" Target="../media/image694.png"/><Relationship Id="rId33" Type="http://schemas.openxmlformats.org/officeDocument/2006/relationships/image" Target="../media/image702.png"/><Relationship Id="rId38" Type="http://schemas.openxmlformats.org/officeDocument/2006/relationships/image" Target="../media/image707.png"/><Relationship Id="rId46" Type="http://schemas.openxmlformats.org/officeDocument/2006/relationships/image" Target="../media/image715.png"/><Relationship Id="rId59" Type="http://schemas.openxmlformats.org/officeDocument/2006/relationships/image" Target="../media/image728.png"/><Relationship Id="rId67" Type="http://schemas.openxmlformats.org/officeDocument/2006/relationships/image" Target="../media/image736.png"/><Relationship Id="rId103" Type="http://schemas.openxmlformats.org/officeDocument/2006/relationships/image" Target="../media/image772.png"/><Relationship Id="rId108" Type="http://schemas.openxmlformats.org/officeDocument/2006/relationships/image" Target="../media/image777.png"/><Relationship Id="rId116" Type="http://schemas.openxmlformats.org/officeDocument/2006/relationships/image" Target="../media/image785.png"/><Relationship Id="rId124" Type="http://schemas.openxmlformats.org/officeDocument/2006/relationships/image" Target="../media/image793.png"/><Relationship Id="rId129" Type="http://schemas.openxmlformats.org/officeDocument/2006/relationships/image" Target="../media/image798.png"/><Relationship Id="rId137" Type="http://schemas.openxmlformats.org/officeDocument/2006/relationships/image" Target="../media/image806.png"/><Relationship Id="rId20" Type="http://schemas.openxmlformats.org/officeDocument/2006/relationships/image" Target="../media/image689.png"/><Relationship Id="rId41" Type="http://schemas.openxmlformats.org/officeDocument/2006/relationships/image" Target="../media/image710.png"/><Relationship Id="rId54" Type="http://schemas.openxmlformats.org/officeDocument/2006/relationships/image" Target="../media/image723.png"/><Relationship Id="rId62" Type="http://schemas.openxmlformats.org/officeDocument/2006/relationships/image" Target="../media/image731.png"/><Relationship Id="rId70" Type="http://schemas.openxmlformats.org/officeDocument/2006/relationships/image" Target="../media/image739.png"/><Relationship Id="rId75" Type="http://schemas.openxmlformats.org/officeDocument/2006/relationships/image" Target="../media/image744.png"/><Relationship Id="rId83" Type="http://schemas.openxmlformats.org/officeDocument/2006/relationships/image" Target="../media/image752.png"/><Relationship Id="rId88" Type="http://schemas.openxmlformats.org/officeDocument/2006/relationships/image" Target="../media/image757.png"/><Relationship Id="rId91" Type="http://schemas.openxmlformats.org/officeDocument/2006/relationships/image" Target="../media/image760.png"/><Relationship Id="rId96" Type="http://schemas.openxmlformats.org/officeDocument/2006/relationships/image" Target="../media/image765.png"/><Relationship Id="rId111" Type="http://schemas.openxmlformats.org/officeDocument/2006/relationships/image" Target="../media/image780.png"/><Relationship Id="rId132" Type="http://schemas.openxmlformats.org/officeDocument/2006/relationships/image" Target="../media/image801.png"/><Relationship Id="rId140" Type="http://schemas.openxmlformats.org/officeDocument/2006/relationships/image" Target="../media/image809.png"/><Relationship Id="rId1" Type="http://schemas.openxmlformats.org/officeDocument/2006/relationships/image" Target="../media/image670.png"/><Relationship Id="rId6" Type="http://schemas.openxmlformats.org/officeDocument/2006/relationships/image" Target="../media/image675.png"/><Relationship Id="rId15" Type="http://schemas.openxmlformats.org/officeDocument/2006/relationships/image" Target="../media/image684.png"/><Relationship Id="rId23" Type="http://schemas.openxmlformats.org/officeDocument/2006/relationships/image" Target="../media/image692.png"/><Relationship Id="rId28" Type="http://schemas.openxmlformats.org/officeDocument/2006/relationships/image" Target="../media/image697.png"/><Relationship Id="rId36" Type="http://schemas.openxmlformats.org/officeDocument/2006/relationships/image" Target="../media/image705.png"/><Relationship Id="rId49" Type="http://schemas.openxmlformats.org/officeDocument/2006/relationships/image" Target="../media/image718.png"/><Relationship Id="rId57" Type="http://schemas.openxmlformats.org/officeDocument/2006/relationships/image" Target="../media/image726.png"/><Relationship Id="rId106" Type="http://schemas.openxmlformats.org/officeDocument/2006/relationships/image" Target="../media/image775.png"/><Relationship Id="rId114" Type="http://schemas.openxmlformats.org/officeDocument/2006/relationships/image" Target="../media/image783.png"/><Relationship Id="rId119" Type="http://schemas.openxmlformats.org/officeDocument/2006/relationships/image" Target="../media/image788.png"/><Relationship Id="rId127" Type="http://schemas.openxmlformats.org/officeDocument/2006/relationships/image" Target="../media/image796.png"/><Relationship Id="rId10" Type="http://schemas.openxmlformats.org/officeDocument/2006/relationships/image" Target="../media/image679.png"/><Relationship Id="rId31" Type="http://schemas.openxmlformats.org/officeDocument/2006/relationships/image" Target="../media/image700.png"/><Relationship Id="rId44" Type="http://schemas.openxmlformats.org/officeDocument/2006/relationships/image" Target="../media/image713.png"/><Relationship Id="rId52" Type="http://schemas.openxmlformats.org/officeDocument/2006/relationships/image" Target="../media/image721.png"/><Relationship Id="rId60" Type="http://schemas.openxmlformats.org/officeDocument/2006/relationships/image" Target="../media/image729.png"/><Relationship Id="rId65" Type="http://schemas.openxmlformats.org/officeDocument/2006/relationships/image" Target="../media/image734.png"/><Relationship Id="rId73" Type="http://schemas.openxmlformats.org/officeDocument/2006/relationships/image" Target="../media/image742.png"/><Relationship Id="rId78" Type="http://schemas.openxmlformats.org/officeDocument/2006/relationships/image" Target="../media/image747.png"/><Relationship Id="rId81" Type="http://schemas.openxmlformats.org/officeDocument/2006/relationships/image" Target="../media/image750.png"/><Relationship Id="rId86" Type="http://schemas.openxmlformats.org/officeDocument/2006/relationships/image" Target="../media/image755.png"/><Relationship Id="rId94" Type="http://schemas.openxmlformats.org/officeDocument/2006/relationships/image" Target="../media/image763.png"/><Relationship Id="rId99" Type="http://schemas.openxmlformats.org/officeDocument/2006/relationships/image" Target="../media/image768.png"/><Relationship Id="rId101" Type="http://schemas.openxmlformats.org/officeDocument/2006/relationships/image" Target="../media/image770.png"/><Relationship Id="rId122" Type="http://schemas.openxmlformats.org/officeDocument/2006/relationships/image" Target="../media/image791.png"/><Relationship Id="rId130" Type="http://schemas.openxmlformats.org/officeDocument/2006/relationships/image" Target="../media/image799.png"/><Relationship Id="rId135" Type="http://schemas.openxmlformats.org/officeDocument/2006/relationships/image" Target="../media/image804.png"/><Relationship Id="rId143" Type="http://schemas.openxmlformats.org/officeDocument/2006/relationships/image" Target="../media/image812.png"/><Relationship Id="rId4" Type="http://schemas.openxmlformats.org/officeDocument/2006/relationships/image" Target="../media/image673.png"/><Relationship Id="rId9" Type="http://schemas.openxmlformats.org/officeDocument/2006/relationships/image" Target="../media/image678.png"/><Relationship Id="rId13" Type="http://schemas.openxmlformats.org/officeDocument/2006/relationships/image" Target="../media/image682.png"/><Relationship Id="rId18" Type="http://schemas.openxmlformats.org/officeDocument/2006/relationships/image" Target="../media/image687.png"/><Relationship Id="rId39" Type="http://schemas.openxmlformats.org/officeDocument/2006/relationships/image" Target="../media/image708.png"/><Relationship Id="rId109" Type="http://schemas.openxmlformats.org/officeDocument/2006/relationships/image" Target="../media/image778.png"/><Relationship Id="rId34" Type="http://schemas.openxmlformats.org/officeDocument/2006/relationships/image" Target="../media/image703.png"/><Relationship Id="rId50" Type="http://schemas.openxmlformats.org/officeDocument/2006/relationships/image" Target="../media/image719.png"/><Relationship Id="rId55" Type="http://schemas.openxmlformats.org/officeDocument/2006/relationships/image" Target="../media/image724.png"/><Relationship Id="rId76" Type="http://schemas.openxmlformats.org/officeDocument/2006/relationships/image" Target="../media/image745.png"/><Relationship Id="rId97" Type="http://schemas.openxmlformats.org/officeDocument/2006/relationships/image" Target="../media/image766.png"/><Relationship Id="rId104" Type="http://schemas.openxmlformats.org/officeDocument/2006/relationships/image" Target="../media/image773.png"/><Relationship Id="rId120" Type="http://schemas.openxmlformats.org/officeDocument/2006/relationships/image" Target="../media/image789.png"/><Relationship Id="rId125" Type="http://schemas.openxmlformats.org/officeDocument/2006/relationships/image" Target="../media/image794.png"/><Relationship Id="rId141" Type="http://schemas.openxmlformats.org/officeDocument/2006/relationships/image" Target="../media/image810.png"/><Relationship Id="rId7" Type="http://schemas.openxmlformats.org/officeDocument/2006/relationships/image" Target="../media/image676.png"/><Relationship Id="rId71" Type="http://schemas.openxmlformats.org/officeDocument/2006/relationships/image" Target="../media/image740.png"/><Relationship Id="rId92" Type="http://schemas.openxmlformats.org/officeDocument/2006/relationships/image" Target="../media/image761.png"/><Relationship Id="rId2" Type="http://schemas.openxmlformats.org/officeDocument/2006/relationships/image" Target="../media/image671.png"/><Relationship Id="rId29" Type="http://schemas.openxmlformats.org/officeDocument/2006/relationships/image" Target="../media/image698.png"/><Relationship Id="rId24" Type="http://schemas.openxmlformats.org/officeDocument/2006/relationships/image" Target="../media/image693.png"/><Relationship Id="rId40" Type="http://schemas.openxmlformats.org/officeDocument/2006/relationships/image" Target="../media/image709.png"/><Relationship Id="rId45" Type="http://schemas.openxmlformats.org/officeDocument/2006/relationships/image" Target="../media/image714.png"/><Relationship Id="rId66" Type="http://schemas.openxmlformats.org/officeDocument/2006/relationships/image" Target="../media/image735.png"/><Relationship Id="rId87" Type="http://schemas.openxmlformats.org/officeDocument/2006/relationships/image" Target="../media/image756.png"/><Relationship Id="rId110" Type="http://schemas.openxmlformats.org/officeDocument/2006/relationships/image" Target="../media/image779.png"/><Relationship Id="rId115" Type="http://schemas.openxmlformats.org/officeDocument/2006/relationships/image" Target="../media/image784.png"/><Relationship Id="rId131" Type="http://schemas.openxmlformats.org/officeDocument/2006/relationships/image" Target="../media/image800.png"/><Relationship Id="rId136" Type="http://schemas.openxmlformats.org/officeDocument/2006/relationships/image" Target="../media/image805.png"/><Relationship Id="rId61" Type="http://schemas.openxmlformats.org/officeDocument/2006/relationships/image" Target="../media/image730.png"/><Relationship Id="rId82" Type="http://schemas.openxmlformats.org/officeDocument/2006/relationships/image" Target="../media/image751.png"/><Relationship Id="rId19" Type="http://schemas.openxmlformats.org/officeDocument/2006/relationships/image" Target="../media/image688.png"/><Relationship Id="rId14" Type="http://schemas.openxmlformats.org/officeDocument/2006/relationships/image" Target="../media/image683.png"/><Relationship Id="rId30" Type="http://schemas.openxmlformats.org/officeDocument/2006/relationships/image" Target="../media/image699.png"/><Relationship Id="rId35" Type="http://schemas.openxmlformats.org/officeDocument/2006/relationships/image" Target="../media/image704.png"/><Relationship Id="rId56" Type="http://schemas.openxmlformats.org/officeDocument/2006/relationships/image" Target="../media/image725.png"/><Relationship Id="rId77" Type="http://schemas.openxmlformats.org/officeDocument/2006/relationships/image" Target="../media/image746.png"/><Relationship Id="rId100" Type="http://schemas.openxmlformats.org/officeDocument/2006/relationships/image" Target="../media/image769.png"/><Relationship Id="rId105" Type="http://schemas.openxmlformats.org/officeDocument/2006/relationships/image" Target="../media/image774.png"/><Relationship Id="rId126" Type="http://schemas.openxmlformats.org/officeDocument/2006/relationships/image" Target="../media/image79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60.png"/></Relationships>
</file>

<file path=xl/drawings/_rels/drawing27.xml.rels><?xml version="1.0" encoding="UTF-8" standalone="yes"?>
<Relationships xmlns="http://schemas.openxmlformats.org/package/2006/relationships"><Relationship Id="rId8" Type="http://schemas.openxmlformats.org/officeDocument/2006/relationships/image" Target="../media/image797.png"/><Relationship Id="rId3" Type="http://schemas.openxmlformats.org/officeDocument/2006/relationships/image" Target="../media/image779.png"/><Relationship Id="rId7" Type="http://schemas.openxmlformats.org/officeDocument/2006/relationships/image" Target="../media/image748.png"/><Relationship Id="rId2" Type="http://schemas.openxmlformats.org/officeDocument/2006/relationships/image" Target="../media/image776.png"/><Relationship Id="rId1" Type="http://schemas.openxmlformats.org/officeDocument/2006/relationships/image" Target="../media/image760.png"/><Relationship Id="rId6" Type="http://schemas.openxmlformats.org/officeDocument/2006/relationships/image" Target="../media/image721.png"/><Relationship Id="rId5" Type="http://schemas.openxmlformats.org/officeDocument/2006/relationships/image" Target="../media/image732.png"/><Relationship Id="rId10" Type="http://schemas.openxmlformats.org/officeDocument/2006/relationships/image" Target="../media/image792.png"/><Relationship Id="rId4" Type="http://schemas.openxmlformats.org/officeDocument/2006/relationships/image" Target="../media/image718.png"/><Relationship Id="rId9" Type="http://schemas.openxmlformats.org/officeDocument/2006/relationships/image" Target="../media/image710.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60.png"/></Relationships>
</file>

<file path=xl/drawings/_rels/drawing29.xml.rels><?xml version="1.0" encoding="UTF-8" standalone="yes"?>
<Relationships xmlns="http://schemas.openxmlformats.org/package/2006/relationships"><Relationship Id="rId1" Type="http://schemas.openxmlformats.org/officeDocument/2006/relationships/image" Target="../media/image81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816.gif"/><Relationship Id="rId2" Type="http://schemas.openxmlformats.org/officeDocument/2006/relationships/image" Target="../media/image815.gif"/><Relationship Id="rId1" Type="http://schemas.openxmlformats.org/officeDocument/2006/relationships/image" Target="../media/image814.gif"/><Relationship Id="rId4" Type="http://schemas.openxmlformats.org/officeDocument/2006/relationships/image" Target="../media/image817.gif"/></Relationships>
</file>

<file path=xl/drawings/_rels/drawing31.xml.rels><?xml version="1.0" encoding="UTF-8" standalone="yes"?>
<Relationships xmlns="http://schemas.openxmlformats.org/package/2006/relationships"><Relationship Id="rId1" Type="http://schemas.openxmlformats.org/officeDocument/2006/relationships/image" Target="../media/image818.png"/></Relationships>
</file>

<file path=xl/drawings/_rels/drawing32.xml.rels><?xml version="1.0" encoding="UTF-8" standalone="yes"?>
<Relationships xmlns="http://schemas.openxmlformats.org/package/2006/relationships"><Relationship Id="rId8" Type="http://schemas.openxmlformats.org/officeDocument/2006/relationships/image" Target="../media/image826.png"/><Relationship Id="rId3" Type="http://schemas.openxmlformats.org/officeDocument/2006/relationships/image" Target="../media/image821.png"/><Relationship Id="rId7" Type="http://schemas.openxmlformats.org/officeDocument/2006/relationships/image" Target="../media/image825.png"/><Relationship Id="rId2" Type="http://schemas.openxmlformats.org/officeDocument/2006/relationships/image" Target="../media/image820.png"/><Relationship Id="rId1" Type="http://schemas.openxmlformats.org/officeDocument/2006/relationships/image" Target="../media/image819.png"/><Relationship Id="rId6" Type="http://schemas.openxmlformats.org/officeDocument/2006/relationships/image" Target="../media/image824.png"/><Relationship Id="rId5" Type="http://schemas.openxmlformats.org/officeDocument/2006/relationships/image" Target="../media/image823.png"/><Relationship Id="rId4" Type="http://schemas.openxmlformats.org/officeDocument/2006/relationships/image" Target="../media/image822.png"/><Relationship Id="rId9" Type="http://schemas.openxmlformats.org/officeDocument/2006/relationships/image" Target="../media/image827.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99.gif"/></Relationships>
</file>

<file path=xl/drawings/_rels/drawing43.xml.rels><?xml version="1.0" encoding="UTF-8" standalone="yes"?>
<Relationships xmlns="http://schemas.openxmlformats.org/package/2006/relationships"><Relationship Id="rId2" Type="http://schemas.openxmlformats.org/officeDocument/2006/relationships/image" Target="http://maximusx.nm.ru/templates/Units/Castle/castle.jpg" TargetMode="External"/><Relationship Id="rId1" Type="http://schemas.openxmlformats.org/officeDocument/2006/relationships/image" Target="../media/image828.jpeg"/></Relationships>
</file>

<file path=xl/drawings/_rels/drawing44.xml.rels><?xml version="1.0" encoding="UTF-8" standalone="yes"?>
<Relationships xmlns="http://schemas.openxmlformats.org/package/2006/relationships"><Relationship Id="rId2" Type="http://schemas.openxmlformats.org/officeDocument/2006/relationships/image" Target="http://maximusx.nm.ru/templates/Units/Rampart/castle.jpg" TargetMode="External"/><Relationship Id="rId1" Type="http://schemas.openxmlformats.org/officeDocument/2006/relationships/image" Target="../media/image829.jpeg"/></Relationships>
</file>

<file path=xl/drawings/_rels/drawing45.xml.rels><?xml version="1.0" encoding="UTF-8" standalone="yes"?>
<Relationships xmlns="http://schemas.openxmlformats.org/package/2006/relationships"><Relationship Id="rId2" Type="http://schemas.openxmlformats.org/officeDocument/2006/relationships/image" Target="http://maximusx.nm.ru/templates/Units/Tower/castle.jpg" TargetMode="External"/><Relationship Id="rId1" Type="http://schemas.openxmlformats.org/officeDocument/2006/relationships/image" Target="../media/image830.jpeg"/></Relationships>
</file>

<file path=xl/drawings/_rels/drawing46.xml.rels><?xml version="1.0" encoding="UTF-8" standalone="yes"?>
<Relationships xmlns="http://schemas.openxmlformats.org/package/2006/relationships"><Relationship Id="rId2" Type="http://schemas.openxmlformats.org/officeDocument/2006/relationships/image" Target="http://maximusx.nm.ru/templates/Units/Necropolis/castle.jpg" TargetMode="External"/><Relationship Id="rId1" Type="http://schemas.openxmlformats.org/officeDocument/2006/relationships/image" Target="../media/image831.jpeg"/></Relationships>
</file>

<file path=xl/drawings/_rels/drawing47.xml.rels><?xml version="1.0" encoding="UTF-8" standalone="yes"?>
<Relationships xmlns="http://schemas.openxmlformats.org/package/2006/relationships"><Relationship Id="rId2" Type="http://schemas.openxmlformats.org/officeDocument/2006/relationships/image" Target="http://maximusx.nm.ru/templates/Units/Dungeon/castle.jpg" TargetMode="External"/><Relationship Id="rId1" Type="http://schemas.openxmlformats.org/officeDocument/2006/relationships/image" Target="../media/image832.jpeg"/></Relationships>
</file>

<file path=xl/drawings/_rels/drawing48.xml.rels><?xml version="1.0" encoding="UTF-8" standalone="yes"?>
<Relationships xmlns="http://schemas.openxmlformats.org/package/2006/relationships"><Relationship Id="rId2" Type="http://schemas.openxmlformats.org/officeDocument/2006/relationships/image" Target="http://maximusx.nm.ru/templates/Units/Inferno/castle.jpg" TargetMode="External"/><Relationship Id="rId1" Type="http://schemas.openxmlformats.org/officeDocument/2006/relationships/image" Target="../media/image833.jpeg"/></Relationships>
</file>

<file path=xl/drawings/_rels/drawing49.xml.rels><?xml version="1.0" encoding="UTF-8" standalone="yes"?>
<Relationships xmlns="http://schemas.openxmlformats.org/package/2006/relationships"><Relationship Id="rId2" Type="http://schemas.openxmlformats.org/officeDocument/2006/relationships/image" Target="http://maximusx.nm.ru/templates/Units/Fortress/castle.jpg" TargetMode="External"/><Relationship Id="rId1" Type="http://schemas.openxmlformats.org/officeDocument/2006/relationships/image" Target="../media/image834.jpeg"/></Relationships>
</file>

<file path=xl/drawings/_rels/drawing50.xml.rels><?xml version="1.0" encoding="UTF-8" standalone="yes"?>
<Relationships xmlns="http://schemas.openxmlformats.org/package/2006/relationships"><Relationship Id="rId2" Type="http://schemas.openxmlformats.org/officeDocument/2006/relationships/image" Target="http://maximusx.nm.ru/templates/Units/Stronghold/castle.jpg" TargetMode="External"/><Relationship Id="rId1" Type="http://schemas.openxmlformats.org/officeDocument/2006/relationships/image" Target="../media/image835.jpeg"/></Relationships>
</file>

<file path=xl/drawings/_rels/drawing51.xml.rels><?xml version="1.0" encoding="UTF-8" standalone="yes"?>
<Relationships xmlns="http://schemas.openxmlformats.org/package/2006/relationships"><Relationship Id="rId2" Type="http://schemas.openxmlformats.org/officeDocument/2006/relationships/image" Target="http://maximusx.nm.ru/templates/Units/Conflux/castle.jpg" TargetMode="External"/><Relationship Id="rId1" Type="http://schemas.openxmlformats.org/officeDocument/2006/relationships/image" Target="../media/image836.jpeg"/></Relationships>
</file>

<file path=xl/drawings/_rels/drawing52.xml.rels><?xml version="1.0" encoding="UTF-8" standalone="yes"?>
<Relationships xmlns="http://schemas.openxmlformats.org/package/2006/relationships"><Relationship Id="rId26" Type="http://schemas.openxmlformats.org/officeDocument/2006/relationships/image" Target="../media/image862.png"/><Relationship Id="rId117" Type="http://schemas.openxmlformats.org/officeDocument/2006/relationships/image" Target="../media/image953.png"/><Relationship Id="rId21" Type="http://schemas.openxmlformats.org/officeDocument/2006/relationships/image" Target="../media/image857.png"/><Relationship Id="rId42" Type="http://schemas.openxmlformats.org/officeDocument/2006/relationships/image" Target="../media/image878.png"/><Relationship Id="rId47" Type="http://schemas.openxmlformats.org/officeDocument/2006/relationships/image" Target="../media/image883.png"/><Relationship Id="rId63" Type="http://schemas.openxmlformats.org/officeDocument/2006/relationships/image" Target="../media/image899.png"/><Relationship Id="rId68" Type="http://schemas.openxmlformats.org/officeDocument/2006/relationships/image" Target="../media/image904.png"/><Relationship Id="rId84" Type="http://schemas.openxmlformats.org/officeDocument/2006/relationships/image" Target="../media/image920.png"/><Relationship Id="rId89" Type="http://schemas.openxmlformats.org/officeDocument/2006/relationships/image" Target="../media/image925.png"/><Relationship Id="rId112" Type="http://schemas.openxmlformats.org/officeDocument/2006/relationships/image" Target="../media/image948.png"/><Relationship Id="rId133" Type="http://schemas.openxmlformats.org/officeDocument/2006/relationships/image" Target="../media/image969.png"/><Relationship Id="rId138" Type="http://schemas.openxmlformats.org/officeDocument/2006/relationships/image" Target="../media/image974.png"/><Relationship Id="rId16" Type="http://schemas.openxmlformats.org/officeDocument/2006/relationships/image" Target="../media/image852.png"/><Relationship Id="rId107" Type="http://schemas.openxmlformats.org/officeDocument/2006/relationships/image" Target="../media/image943.png"/><Relationship Id="rId11" Type="http://schemas.openxmlformats.org/officeDocument/2006/relationships/image" Target="../media/image847.png"/><Relationship Id="rId32" Type="http://schemas.openxmlformats.org/officeDocument/2006/relationships/image" Target="../media/image868.png"/><Relationship Id="rId37" Type="http://schemas.openxmlformats.org/officeDocument/2006/relationships/image" Target="../media/image873.png"/><Relationship Id="rId53" Type="http://schemas.openxmlformats.org/officeDocument/2006/relationships/image" Target="../media/image889.png"/><Relationship Id="rId58" Type="http://schemas.openxmlformats.org/officeDocument/2006/relationships/image" Target="../media/image894.png"/><Relationship Id="rId74" Type="http://schemas.openxmlformats.org/officeDocument/2006/relationships/image" Target="../media/image910.png"/><Relationship Id="rId79" Type="http://schemas.openxmlformats.org/officeDocument/2006/relationships/image" Target="../media/image915.png"/><Relationship Id="rId102" Type="http://schemas.openxmlformats.org/officeDocument/2006/relationships/image" Target="../media/image938.png"/><Relationship Id="rId123" Type="http://schemas.openxmlformats.org/officeDocument/2006/relationships/image" Target="../media/image959.png"/><Relationship Id="rId128" Type="http://schemas.openxmlformats.org/officeDocument/2006/relationships/image" Target="../media/image964.png"/><Relationship Id="rId5" Type="http://schemas.openxmlformats.org/officeDocument/2006/relationships/image" Target="../media/image841.png"/><Relationship Id="rId90" Type="http://schemas.openxmlformats.org/officeDocument/2006/relationships/image" Target="../media/image926.png"/><Relationship Id="rId95" Type="http://schemas.openxmlformats.org/officeDocument/2006/relationships/image" Target="../media/image931.png"/><Relationship Id="rId22" Type="http://schemas.openxmlformats.org/officeDocument/2006/relationships/image" Target="../media/image858.png"/><Relationship Id="rId27" Type="http://schemas.openxmlformats.org/officeDocument/2006/relationships/image" Target="../media/image863.png"/><Relationship Id="rId43" Type="http://schemas.openxmlformats.org/officeDocument/2006/relationships/image" Target="../media/image879.png"/><Relationship Id="rId48" Type="http://schemas.openxmlformats.org/officeDocument/2006/relationships/image" Target="../media/image884.png"/><Relationship Id="rId64" Type="http://schemas.openxmlformats.org/officeDocument/2006/relationships/image" Target="../media/image900.png"/><Relationship Id="rId69" Type="http://schemas.openxmlformats.org/officeDocument/2006/relationships/image" Target="../media/image905.png"/><Relationship Id="rId113" Type="http://schemas.openxmlformats.org/officeDocument/2006/relationships/image" Target="../media/image949.png"/><Relationship Id="rId118" Type="http://schemas.openxmlformats.org/officeDocument/2006/relationships/image" Target="../media/image954.png"/><Relationship Id="rId134" Type="http://schemas.openxmlformats.org/officeDocument/2006/relationships/image" Target="../media/image970.png"/><Relationship Id="rId139" Type="http://schemas.openxmlformats.org/officeDocument/2006/relationships/image" Target="../media/image975.png"/><Relationship Id="rId8" Type="http://schemas.openxmlformats.org/officeDocument/2006/relationships/image" Target="../media/image844.png"/><Relationship Id="rId51" Type="http://schemas.openxmlformats.org/officeDocument/2006/relationships/image" Target="../media/image887.png"/><Relationship Id="rId72" Type="http://schemas.openxmlformats.org/officeDocument/2006/relationships/image" Target="../media/image908.png"/><Relationship Id="rId80" Type="http://schemas.openxmlformats.org/officeDocument/2006/relationships/image" Target="../media/image916.png"/><Relationship Id="rId85" Type="http://schemas.openxmlformats.org/officeDocument/2006/relationships/image" Target="../media/image921.png"/><Relationship Id="rId93" Type="http://schemas.openxmlformats.org/officeDocument/2006/relationships/image" Target="../media/image929.png"/><Relationship Id="rId98" Type="http://schemas.openxmlformats.org/officeDocument/2006/relationships/image" Target="../media/image934.png"/><Relationship Id="rId121" Type="http://schemas.openxmlformats.org/officeDocument/2006/relationships/image" Target="../media/image957.png"/><Relationship Id="rId3" Type="http://schemas.openxmlformats.org/officeDocument/2006/relationships/image" Target="../media/image839.png"/><Relationship Id="rId12" Type="http://schemas.openxmlformats.org/officeDocument/2006/relationships/image" Target="../media/image848.png"/><Relationship Id="rId17" Type="http://schemas.openxmlformats.org/officeDocument/2006/relationships/image" Target="../media/image853.png"/><Relationship Id="rId25" Type="http://schemas.openxmlformats.org/officeDocument/2006/relationships/image" Target="../media/image861.png"/><Relationship Id="rId33" Type="http://schemas.openxmlformats.org/officeDocument/2006/relationships/image" Target="../media/image869.png"/><Relationship Id="rId38" Type="http://schemas.openxmlformats.org/officeDocument/2006/relationships/image" Target="../media/image874.png"/><Relationship Id="rId46" Type="http://schemas.openxmlformats.org/officeDocument/2006/relationships/image" Target="../media/image882.png"/><Relationship Id="rId59" Type="http://schemas.openxmlformats.org/officeDocument/2006/relationships/image" Target="../media/image895.png"/><Relationship Id="rId67" Type="http://schemas.openxmlformats.org/officeDocument/2006/relationships/image" Target="../media/image903.png"/><Relationship Id="rId103" Type="http://schemas.openxmlformats.org/officeDocument/2006/relationships/image" Target="../media/image939.png"/><Relationship Id="rId108" Type="http://schemas.openxmlformats.org/officeDocument/2006/relationships/image" Target="../media/image944.png"/><Relationship Id="rId116" Type="http://schemas.openxmlformats.org/officeDocument/2006/relationships/image" Target="../media/image952.png"/><Relationship Id="rId124" Type="http://schemas.openxmlformats.org/officeDocument/2006/relationships/image" Target="../media/image960.png"/><Relationship Id="rId129" Type="http://schemas.openxmlformats.org/officeDocument/2006/relationships/image" Target="../media/image965.png"/><Relationship Id="rId137" Type="http://schemas.openxmlformats.org/officeDocument/2006/relationships/image" Target="../media/image973.png"/><Relationship Id="rId20" Type="http://schemas.openxmlformats.org/officeDocument/2006/relationships/image" Target="../media/image856.png"/><Relationship Id="rId41" Type="http://schemas.openxmlformats.org/officeDocument/2006/relationships/image" Target="../media/image877.png"/><Relationship Id="rId54" Type="http://schemas.openxmlformats.org/officeDocument/2006/relationships/image" Target="../media/image890.png"/><Relationship Id="rId62" Type="http://schemas.openxmlformats.org/officeDocument/2006/relationships/image" Target="../media/image898.png"/><Relationship Id="rId70" Type="http://schemas.openxmlformats.org/officeDocument/2006/relationships/image" Target="../media/image906.png"/><Relationship Id="rId75" Type="http://schemas.openxmlformats.org/officeDocument/2006/relationships/image" Target="../media/image911.png"/><Relationship Id="rId83" Type="http://schemas.openxmlformats.org/officeDocument/2006/relationships/image" Target="../media/image919.png"/><Relationship Id="rId88" Type="http://schemas.openxmlformats.org/officeDocument/2006/relationships/image" Target="../media/image924.png"/><Relationship Id="rId91" Type="http://schemas.openxmlformats.org/officeDocument/2006/relationships/image" Target="../media/image927.png"/><Relationship Id="rId96" Type="http://schemas.openxmlformats.org/officeDocument/2006/relationships/image" Target="../media/image932.png"/><Relationship Id="rId111" Type="http://schemas.openxmlformats.org/officeDocument/2006/relationships/image" Target="../media/image947.png"/><Relationship Id="rId132" Type="http://schemas.openxmlformats.org/officeDocument/2006/relationships/image" Target="../media/image968.png"/><Relationship Id="rId140" Type="http://schemas.openxmlformats.org/officeDocument/2006/relationships/image" Target="../media/image976.png"/><Relationship Id="rId1" Type="http://schemas.openxmlformats.org/officeDocument/2006/relationships/image" Target="../media/image837.png"/><Relationship Id="rId6" Type="http://schemas.openxmlformats.org/officeDocument/2006/relationships/image" Target="../media/image842.png"/><Relationship Id="rId15" Type="http://schemas.openxmlformats.org/officeDocument/2006/relationships/image" Target="../media/image851.png"/><Relationship Id="rId23" Type="http://schemas.openxmlformats.org/officeDocument/2006/relationships/image" Target="../media/image859.png"/><Relationship Id="rId28" Type="http://schemas.openxmlformats.org/officeDocument/2006/relationships/image" Target="../media/image864.png"/><Relationship Id="rId36" Type="http://schemas.openxmlformats.org/officeDocument/2006/relationships/image" Target="../media/image872.png"/><Relationship Id="rId49" Type="http://schemas.openxmlformats.org/officeDocument/2006/relationships/image" Target="../media/image885.png"/><Relationship Id="rId57" Type="http://schemas.openxmlformats.org/officeDocument/2006/relationships/image" Target="../media/image893.png"/><Relationship Id="rId106" Type="http://schemas.openxmlformats.org/officeDocument/2006/relationships/image" Target="../media/image942.png"/><Relationship Id="rId114" Type="http://schemas.openxmlformats.org/officeDocument/2006/relationships/image" Target="../media/image950.png"/><Relationship Id="rId119" Type="http://schemas.openxmlformats.org/officeDocument/2006/relationships/image" Target="../media/image955.png"/><Relationship Id="rId127" Type="http://schemas.openxmlformats.org/officeDocument/2006/relationships/image" Target="../media/image963.png"/><Relationship Id="rId10" Type="http://schemas.openxmlformats.org/officeDocument/2006/relationships/image" Target="../media/image846.png"/><Relationship Id="rId31" Type="http://schemas.openxmlformats.org/officeDocument/2006/relationships/image" Target="../media/image867.png"/><Relationship Id="rId44" Type="http://schemas.openxmlformats.org/officeDocument/2006/relationships/image" Target="../media/image880.png"/><Relationship Id="rId52" Type="http://schemas.openxmlformats.org/officeDocument/2006/relationships/image" Target="../media/image888.png"/><Relationship Id="rId60" Type="http://schemas.openxmlformats.org/officeDocument/2006/relationships/image" Target="../media/image896.png"/><Relationship Id="rId65" Type="http://schemas.openxmlformats.org/officeDocument/2006/relationships/image" Target="../media/image901.png"/><Relationship Id="rId73" Type="http://schemas.openxmlformats.org/officeDocument/2006/relationships/image" Target="../media/image909.png"/><Relationship Id="rId78" Type="http://schemas.openxmlformats.org/officeDocument/2006/relationships/image" Target="../media/image914.png"/><Relationship Id="rId81" Type="http://schemas.openxmlformats.org/officeDocument/2006/relationships/image" Target="../media/image917.png"/><Relationship Id="rId86" Type="http://schemas.openxmlformats.org/officeDocument/2006/relationships/image" Target="../media/image922.png"/><Relationship Id="rId94" Type="http://schemas.openxmlformats.org/officeDocument/2006/relationships/image" Target="../media/image930.png"/><Relationship Id="rId99" Type="http://schemas.openxmlformats.org/officeDocument/2006/relationships/image" Target="../media/image935.png"/><Relationship Id="rId101" Type="http://schemas.openxmlformats.org/officeDocument/2006/relationships/image" Target="../media/image937.png"/><Relationship Id="rId122" Type="http://schemas.openxmlformats.org/officeDocument/2006/relationships/image" Target="../media/image958.png"/><Relationship Id="rId130" Type="http://schemas.openxmlformats.org/officeDocument/2006/relationships/image" Target="../media/image966.png"/><Relationship Id="rId135" Type="http://schemas.openxmlformats.org/officeDocument/2006/relationships/image" Target="../media/image971.png"/><Relationship Id="rId4" Type="http://schemas.openxmlformats.org/officeDocument/2006/relationships/image" Target="../media/image840.png"/><Relationship Id="rId9" Type="http://schemas.openxmlformats.org/officeDocument/2006/relationships/image" Target="../media/image845.png"/><Relationship Id="rId13" Type="http://schemas.openxmlformats.org/officeDocument/2006/relationships/image" Target="../media/image849.png"/><Relationship Id="rId18" Type="http://schemas.openxmlformats.org/officeDocument/2006/relationships/image" Target="../media/image854.png"/><Relationship Id="rId39" Type="http://schemas.openxmlformats.org/officeDocument/2006/relationships/image" Target="../media/image875.png"/><Relationship Id="rId109" Type="http://schemas.openxmlformats.org/officeDocument/2006/relationships/image" Target="../media/image945.png"/><Relationship Id="rId34" Type="http://schemas.openxmlformats.org/officeDocument/2006/relationships/image" Target="../media/image870.png"/><Relationship Id="rId50" Type="http://schemas.openxmlformats.org/officeDocument/2006/relationships/image" Target="../media/image886.png"/><Relationship Id="rId55" Type="http://schemas.openxmlformats.org/officeDocument/2006/relationships/image" Target="../media/image891.png"/><Relationship Id="rId76" Type="http://schemas.openxmlformats.org/officeDocument/2006/relationships/image" Target="../media/image912.png"/><Relationship Id="rId97" Type="http://schemas.openxmlformats.org/officeDocument/2006/relationships/image" Target="../media/image933.png"/><Relationship Id="rId104" Type="http://schemas.openxmlformats.org/officeDocument/2006/relationships/image" Target="../media/image940.png"/><Relationship Id="rId120" Type="http://schemas.openxmlformats.org/officeDocument/2006/relationships/image" Target="../media/image956.png"/><Relationship Id="rId125" Type="http://schemas.openxmlformats.org/officeDocument/2006/relationships/image" Target="../media/image961.png"/><Relationship Id="rId141" Type="http://schemas.openxmlformats.org/officeDocument/2006/relationships/image" Target="../media/image977.png"/><Relationship Id="rId7" Type="http://schemas.openxmlformats.org/officeDocument/2006/relationships/image" Target="../media/image843.png"/><Relationship Id="rId71" Type="http://schemas.openxmlformats.org/officeDocument/2006/relationships/image" Target="../media/image907.png"/><Relationship Id="rId92" Type="http://schemas.openxmlformats.org/officeDocument/2006/relationships/image" Target="../media/image928.png"/><Relationship Id="rId2" Type="http://schemas.openxmlformats.org/officeDocument/2006/relationships/image" Target="../media/image838.png"/><Relationship Id="rId29" Type="http://schemas.openxmlformats.org/officeDocument/2006/relationships/image" Target="../media/image865.png"/><Relationship Id="rId24" Type="http://schemas.openxmlformats.org/officeDocument/2006/relationships/image" Target="../media/image860.png"/><Relationship Id="rId40" Type="http://schemas.openxmlformats.org/officeDocument/2006/relationships/image" Target="../media/image876.png"/><Relationship Id="rId45" Type="http://schemas.openxmlformats.org/officeDocument/2006/relationships/image" Target="../media/image881.png"/><Relationship Id="rId66" Type="http://schemas.openxmlformats.org/officeDocument/2006/relationships/image" Target="../media/image902.png"/><Relationship Id="rId87" Type="http://schemas.openxmlformats.org/officeDocument/2006/relationships/image" Target="../media/image923.png"/><Relationship Id="rId110" Type="http://schemas.openxmlformats.org/officeDocument/2006/relationships/image" Target="../media/image946.png"/><Relationship Id="rId115" Type="http://schemas.openxmlformats.org/officeDocument/2006/relationships/image" Target="../media/image951.png"/><Relationship Id="rId131" Type="http://schemas.openxmlformats.org/officeDocument/2006/relationships/image" Target="../media/image967.png"/><Relationship Id="rId136" Type="http://schemas.openxmlformats.org/officeDocument/2006/relationships/image" Target="../media/image972.png"/><Relationship Id="rId61" Type="http://schemas.openxmlformats.org/officeDocument/2006/relationships/image" Target="../media/image897.png"/><Relationship Id="rId82" Type="http://schemas.openxmlformats.org/officeDocument/2006/relationships/image" Target="../media/image918.png"/><Relationship Id="rId19" Type="http://schemas.openxmlformats.org/officeDocument/2006/relationships/image" Target="../media/image855.png"/><Relationship Id="rId14" Type="http://schemas.openxmlformats.org/officeDocument/2006/relationships/image" Target="../media/image850.png"/><Relationship Id="rId30" Type="http://schemas.openxmlformats.org/officeDocument/2006/relationships/image" Target="../media/image866.png"/><Relationship Id="rId35" Type="http://schemas.openxmlformats.org/officeDocument/2006/relationships/image" Target="../media/image871.png"/><Relationship Id="rId56" Type="http://schemas.openxmlformats.org/officeDocument/2006/relationships/image" Target="../media/image892.png"/><Relationship Id="rId77" Type="http://schemas.openxmlformats.org/officeDocument/2006/relationships/image" Target="../media/image913.png"/><Relationship Id="rId100" Type="http://schemas.openxmlformats.org/officeDocument/2006/relationships/image" Target="../media/image936.png"/><Relationship Id="rId105" Type="http://schemas.openxmlformats.org/officeDocument/2006/relationships/image" Target="../media/image941.png"/><Relationship Id="rId126" Type="http://schemas.openxmlformats.org/officeDocument/2006/relationships/image" Target="../media/image962.png"/></Relationships>
</file>

<file path=xl/drawings/_rels/drawing53.xml.rels><?xml version="1.0" encoding="UTF-8" standalone="yes"?>
<Relationships xmlns="http://schemas.openxmlformats.org/package/2006/relationships"><Relationship Id="rId8" Type="http://schemas.openxmlformats.org/officeDocument/2006/relationships/image" Target="../media/image985.jpeg"/><Relationship Id="rId13" Type="http://schemas.openxmlformats.org/officeDocument/2006/relationships/image" Target="../media/image990.jpeg"/><Relationship Id="rId18" Type="http://schemas.openxmlformats.org/officeDocument/2006/relationships/image" Target="../media/image995.jpeg"/><Relationship Id="rId3" Type="http://schemas.openxmlformats.org/officeDocument/2006/relationships/image" Target="../media/image980.jpeg"/><Relationship Id="rId21" Type="http://schemas.openxmlformats.org/officeDocument/2006/relationships/image" Target="../media/image998.jpeg"/><Relationship Id="rId7" Type="http://schemas.openxmlformats.org/officeDocument/2006/relationships/image" Target="../media/image984.jpeg"/><Relationship Id="rId12" Type="http://schemas.openxmlformats.org/officeDocument/2006/relationships/image" Target="../media/image989.jpeg"/><Relationship Id="rId17" Type="http://schemas.openxmlformats.org/officeDocument/2006/relationships/image" Target="../media/image994.jpeg"/><Relationship Id="rId2" Type="http://schemas.openxmlformats.org/officeDocument/2006/relationships/image" Target="../media/image979.jpeg"/><Relationship Id="rId16" Type="http://schemas.openxmlformats.org/officeDocument/2006/relationships/image" Target="../media/image993.jpeg"/><Relationship Id="rId20" Type="http://schemas.openxmlformats.org/officeDocument/2006/relationships/image" Target="../media/image997.jpeg"/><Relationship Id="rId1" Type="http://schemas.openxmlformats.org/officeDocument/2006/relationships/image" Target="../media/image978.jpeg"/><Relationship Id="rId6" Type="http://schemas.openxmlformats.org/officeDocument/2006/relationships/image" Target="../media/image983.jpeg"/><Relationship Id="rId11" Type="http://schemas.openxmlformats.org/officeDocument/2006/relationships/image" Target="../media/image988.jpeg"/><Relationship Id="rId5" Type="http://schemas.openxmlformats.org/officeDocument/2006/relationships/image" Target="../media/image982.jpeg"/><Relationship Id="rId15" Type="http://schemas.openxmlformats.org/officeDocument/2006/relationships/image" Target="../media/image992.jpeg"/><Relationship Id="rId10" Type="http://schemas.openxmlformats.org/officeDocument/2006/relationships/image" Target="../media/image987.jpeg"/><Relationship Id="rId19" Type="http://schemas.openxmlformats.org/officeDocument/2006/relationships/image" Target="../media/image996.jpeg"/><Relationship Id="rId4" Type="http://schemas.openxmlformats.org/officeDocument/2006/relationships/image" Target="../media/image981.jpeg"/><Relationship Id="rId9" Type="http://schemas.openxmlformats.org/officeDocument/2006/relationships/image" Target="../media/image986.jpeg"/><Relationship Id="rId14" Type="http://schemas.openxmlformats.org/officeDocument/2006/relationships/image" Target="../media/image99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999.png"/></Relationships>
</file>

<file path=xl/drawings/_rels/drawing55.xml.rels><?xml version="1.0" encoding="UTF-8" standalone="yes"?>
<Relationships xmlns="http://schemas.openxmlformats.org/package/2006/relationships"><Relationship Id="rId3" Type="http://schemas.openxmlformats.org/officeDocument/2006/relationships/image" Target="../media/image1002.png"/><Relationship Id="rId2" Type="http://schemas.openxmlformats.org/officeDocument/2006/relationships/image" Target="../media/image1001.jpeg"/><Relationship Id="rId1" Type="http://schemas.openxmlformats.org/officeDocument/2006/relationships/image" Target="../media/image1000.jpeg"/><Relationship Id="rId4" Type="http://schemas.openxmlformats.org/officeDocument/2006/relationships/image" Target="../media/image1003.png"/></Relationships>
</file>

<file path=xl/drawings/_rels/drawing56.xml.rels><?xml version="1.0" encoding="UTF-8" standalone="yes"?>
<Relationships xmlns="http://schemas.openxmlformats.org/package/2006/relationships"><Relationship Id="rId3" Type="http://schemas.openxmlformats.org/officeDocument/2006/relationships/image" Target="../media/image1006.png"/><Relationship Id="rId2" Type="http://schemas.openxmlformats.org/officeDocument/2006/relationships/image" Target="../media/image1005.png"/><Relationship Id="rId1" Type="http://schemas.openxmlformats.org/officeDocument/2006/relationships/image" Target="../media/image1004.png"/><Relationship Id="rId5" Type="http://schemas.openxmlformats.org/officeDocument/2006/relationships/image" Target="../media/image512.png"/><Relationship Id="rId4" Type="http://schemas.openxmlformats.org/officeDocument/2006/relationships/image" Target="../media/image1007.png"/></Relationships>
</file>

<file path=xl/drawings/_rels/drawing57.xml.rels><?xml version="1.0" encoding="UTF-8" standalone="yes"?>
<Relationships xmlns="http://schemas.openxmlformats.org/package/2006/relationships"><Relationship Id="rId3" Type="http://schemas.openxmlformats.org/officeDocument/2006/relationships/image" Target="../media/image1010.png"/><Relationship Id="rId2" Type="http://schemas.openxmlformats.org/officeDocument/2006/relationships/image" Target="../media/image1009.png"/><Relationship Id="rId1" Type="http://schemas.openxmlformats.org/officeDocument/2006/relationships/image" Target="../media/image1008.png"/><Relationship Id="rId6" Type="http://schemas.openxmlformats.org/officeDocument/2006/relationships/image" Target="../media/image1013.png"/><Relationship Id="rId5" Type="http://schemas.openxmlformats.org/officeDocument/2006/relationships/image" Target="../media/image1012.png"/><Relationship Id="rId4" Type="http://schemas.openxmlformats.org/officeDocument/2006/relationships/image" Target="../media/image101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274.png"/></Relationships>
</file>

<file path=xl/drawings/_rels/drawing59.xml.rels><?xml version="1.0" encoding="UTF-8" standalone="yes"?>
<Relationships xmlns="http://schemas.openxmlformats.org/package/2006/relationships"><Relationship Id="rId8" Type="http://schemas.openxmlformats.org/officeDocument/2006/relationships/image" Target="../media/image828.jpeg"/><Relationship Id="rId13" Type="http://schemas.openxmlformats.org/officeDocument/2006/relationships/image" Target="../media/image1020.jpeg"/><Relationship Id="rId18" Type="http://schemas.openxmlformats.org/officeDocument/2006/relationships/image" Target="http://maximusx.nm.ru/templates/Units/Tower/castle.jpg" TargetMode="External"/><Relationship Id="rId26" Type="http://schemas.openxmlformats.org/officeDocument/2006/relationships/image" Target="../media/image1029.png"/><Relationship Id="rId39" Type="http://schemas.openxmlformats.org/officeDocument/2006/relationships/image" Target="../media/image1040.jpeg"/><Relationship Id="rId3" Type="http://schemas.openxmlformats.org/officeDocument/2006/relationships/image" Target="../media/image1014.jpeg"/><Relationship Id="rId21" Type="http://schemas.openxmlformats.org/officeDocument/2006/relationships/image" Target="../media/image1026.jpeg"/><Relationship Id="rId34" Type="http://schemas.openxmlformats.org/officeDocument/2006/relationships/image" Target="../media/image1035.png"/><Relationship Id="rId42" Type="http://schemas.openxmlformats.org/officeDocument/2006/relationships/image" Target="../media/image835.jpeg"/><Relationship Id="rId47" Type="http://schemas.openxmlformats.org/officeDocument/2006/relationships/image" Target="../media/image1044.png"/><Relationship Id="rId7" Type="http://schemas.openxmlformats.org/officeDocument/2006/relationships/image" Target="../media/image1018.jpeg"/><Relationship Id="rId12" Type="http://schemas.openxmlformats.org/officeDocument/2006/relationships/image" Target="../media/image1019.png"/><Relationship Id="rId17" Type="http://schemas.openxmlformats.org/officeDocument/2006/relationships/image" Target="../media/image830.jpeg"/><Relationship Id="rId25" Type="http://schemas.openxmlformats.org/officeDocument/2006/relationships/image" Target="http://maximusx.nm.ru/templates/Units/Necropolis/castle.jpg" TargetMode="External"/><Relationship Id="rId33" Type="http://schemas.openxmlformats.org/officeDocument/2006/relationships/image" Target="../media/image1034.png"/><Relationship Id="rId38" Type="http://schemas.openxmlformats.org/officeDocument/2006/relationships/image" Target="../media/image1039.jpeg"/><Relationship Id="rId46" Type="http://schemas.openxmlformats.org/officeDocument/2006/relationships/image" Target="../media/image1043.png"/><Relationship Id="rId2" Type="http://schemas.openxmlformats.org/officeDocument/2006/relationships/image" Target="../media/image432.gif"/><Relationship Id="rId16" Type="http://schemas.openxmlformats.org/officeDocument/2006/relationships/image" Target="../media/image1023.png"/><Relationship Id="rId20" Type="http://schemas.openxmlformats.org/officeDocument/2006/relationships/image" Target="../media/image1025.png"/><Relationship Id="rId29" Type="http://schemas.openxmlformats.org/officeDocument/2006/relationships/image" Target="http://maximusx.nm.ru/templates/Units/Dungeon/castle.jpg" TargetMode="External"/><Relationship Id="rId41" Type="http://schemas.openxmlformats.org/officeDocument/2006/relationships/image" Target="../media/image1042.jpeg"/><Relationship Id="rId1" Type="http://schemas.openxmlformats.org/officeDocument/2006/relationships/image" Target="../media/image274.png"/><Relationship Id="rId6" Type="http://schemas.openxmlformats.org/officeDocument/2006/relationships/image" Target="../media/image1017.png"/><Relationship Id="rId11" Type="http://schemas.openxmlformats.org/officeDocument/2006/relationships/image" Target="http://maximusx.nm.ru/templates/Units/Rampart/castle.jpg" TargetMode="External"/><Relationship Id="rId24" Type="http://schemas.openxmlformats.org/officeDocument/2006/relationships/image" Target="../media/image831.jpeg"/><Relationship Id="rId32" Type="http://schemas.openxmlformats.org/officeDocument/2006/relationships/image" Target="../media/image1033.png"/><Relationship Id="rId37" Type="http://schemas.openxmlformats.org/officeDocument/2006/relationships/image" Target="../media/image1038.png"/><Relationship Id="rId40" Type="http://schemas.openxmlformats.org/officeDocument/2006/relationships/image" Target="../media/image1041.png"/><Relationship Id="rId45" Type="http://schemas.openxmlformats.org/officeDocument/2006/relationships/image" Target="http://maximusx.nm.ru/templates/Units/Inferno/castle.jpg" TargetMode="External"/><Relationship Id="rId5" Type="http://schemas.openxmlformats.org/officeDocument/2006/relationships/image" Target="../media/image1016.png"/><Relationship Id="rId15" Type="http://schemas.openxmlformats.org/officeDocument/2006/relationships/image" Target="../media/image1022.jpeg"/><Relationship Id="rId23" Type="http://schemas.openxmlformats.org/officeDocument/2006/relationships/image" Target="../media/image1028.png"/><Relationship Id="rId28" Type="http://schemas.openxmlformats.org/officeDocument/2006/relationships/image" Target="../media/image832.jpeg"/><Relationship Id="rId36" Type="http://schemas.openxmlformats.org/officeDocument/2006/relationships/image" Target="../media/image1037.png"/><Relationship Id="rId10" Type="http://schemas.openxmlformats.org/officeDocument/2006/relationships/image" Target="../media/image829.jpeg"/><Relationship Id="rId19" Type="http://schemas.openxmlformats.org/officeDocument/2006/relationships/image" Target="../media/image1024.png"/><Relationship Id="rId31" Type="http://schemas.openxmlformats.org/officeDocument/2006/relationships/image" Target="../media/image1032.png"/><Relationship Id="rId44" Type="http://schemas.openxmlformats.org/officeDocument/2006/relationships/image" Target="../media/image833.jpeg"/><Relationship Id="rId4" Type="http://schemas.openxmlformats.org/officeDocument/2006/relationships/image" Target="../media/image1015.jpeg"/><Relationship Id="rId9" Type="http://schemas.openxmlformats.org/officeDocument/2006/relationships/image" Target="http://maximusx.nm.ru/templates/Units/Castle/castle.jpg" TargetMode="External"/><Relationship Id="rId14" Type="http://schemas.openxmlformats.org/officeDocument/2006/relationships/image" Target="../media/image1021.png"/><Relationship Id="rId22" Type="http://schemas.openxmlformats.org/officeDocument/2006/relationships/image" Target="../media/image1027.png"/><Relationship Id="rId27" Type="http://schemas.openxmlformats.org/officeDocument/2006/relationships/image" Target="../media/image1030.png"/><Relationship Id="rId30" Type="http://schemas.openxmlformats.org/officeDocument/2006/relationships/image" Target="../media/image1031.png"/><Relationship Id="rId35" Type="http://schemas.openxmlformats.org/officeDocument/2006/relationships/image" Target="../media/image1036.png"/><Relationship Id="rId43" Type="http://schemas.openxmlformats.org/officeDocument/2006/relationships/image" Target="http://maximusx.nm.ru/templates/Units/Stronghold/castle.jpg" TargetMode="External"/></Relationships>
</file>

<file path=xl/drawings/_rels/drawing60.xml.rels><?xml version="1.0" encoding="UTF-8" standalone="yes"?>
<Relationships xmlns="http://schemas.openxmlformats.org/package/2006/relationships"><Relationship Id="rId8" Type="http://schemas.openxmlformats.org/officeDocument/2006/relationships/image" Target="../media/image1052.gif"/><Relationship Id="rId13" Type="http://schemas.openxmlformats.org/officeDocument/2006/relationships/image" Target="../media/image1057.gif"/><Relationship Id="rId18" Type="http://schemas.openxmlformats.org/officeDocument/2006/relationships/image" Target="../media/image1062.gif"/><Relationship Id="rId3" Type="http://schemas.openxmlformats.org/officeDocument/2006/relationships/image" Target="../media/image1047.gif"/><Relationship Id="rId21" Type="http://schemas.openxmlformats.org/officeDocument/2006/relationships/image" Target="../media/image1065.gif"/><Relationship Id="rId7" Type="http://schemas.openxmlformats.org/officeDocument/2006/relationships/image" Target="../media/image1051.gif"/><Relationship Id="rId12" Type="http://schemas.openxmlformats.org/officeDocument/2006/relationships/image" Target="../media/image1056.gif"/><Relationship Id="rId17" Type="http://schemas.openxmlformats.org/officeDocument/2006/relationships/image" Target="../media/image1061.gif"/><Relationship Id="rId2" Type="http://schemas.openxmlformats.org/officeDocument/2006/relationships/image" Target="../media/image1046.gif"/><Relationship Id="rId16" Type="http://schemas.openxmlformats.org/officeDocument/2006/relationships/image" Target="../media/image1060.gif"/><Relationship Id="rId20" Type="http://schemas.openxmlformats.org/officeDocument/2006/relationships/image" Target="../media/image1064.jpeg"/><Relationship Id="rId1" Type="http://schemas.openxmlformats.org/officeDocument/2006/relationships/image" Target="../media/image1045.gif"/><Relationship Id="rId6" Type="http://schemas.openxmlformats.org/officeDocument/2006/relationships/image" Target="../media/image1050.gif"/><Relationship Id="rId11" Type="http://schemas.openxmlformats.org/officeDocument/2006/relationships/image" Target="../media/image1055.gif"/><Relationship Id="rId5" Type="http://schemas.openxmlformats.org/officeDocument/2006/relationships/image" Target="../media/image1049.gif"/><Relationship Id="rId15" Type="http://schemas.openxmlformats.org/officeDocument/2006/relationships/image" Target="../media/image1059.gif"/><Relationship Id="rId10" Type="http://schemas.openxmlformats.org/officeDocument/2006/relationships/image" Target="../media/image1054.gif"/><Relationship Id="rId19" Type="http://schemas.openxmlformats.org/officeDocument/2006/relationships/image" Target="../media/image1063.jpeg"/><Relationship Id="rId4" Type="http://schemas.openxmlformats.org/officeDocument/2006/relationships/image" Target="../media/image1048.gif"/><Relationship Id="rId9" Type="http://schemas.openxmlformats.org/officeDocument/2006/relationships/image" Target="../media/image1053.gif"/><Relationship Id="rId14" Type="http://schemas.openxmlformats.org/officeDocument/2006/relationships/image" Target="../media/image1058.gif"/></Relationships>
</file>

<file path=xl/drawings/_rels/drawing61.xml.rels><?xml version="1.0" encoding="UTF-8" standalone="yes"?>
<Relationships xmlns="http://schemas.openxmlformats.org/package/2006/relationships"><Relationship Id="rId1" Type="http://schemas.openxmlformats.org/officeDocument/2006/relationships/image" Target="../media/image274.png"/></Relationships>
</file>

<file path=xl/drawings/_rels/drawing62.xml.rels><?xml version="1.0" encoding="UTF-8" standalone="yes"?>
<Relationships xmlns="http://schemas.openxmlformats.org/package/2006/relationships"><Relationship Id="rId8" Type="http://schemas.openxmlformats.org/officeDocument/2006/relationships/image" Target="../media/image1072.png"/><Relationship Id="rId13" Type="http://schemas.openxmlformats.org/officeDocument/2006/relationships/image" Target="../media/image974.png"/><Relationship Id="rId18" Type="http://schemas.openxmlformats.org/officeDocument/2006/relationships/image" Target="../media/image1077.png"/><Relationship Id="rId3" Type="http://schemas.openxmlformats.org/officeDocument/2006/relationships/image" Target="../media/image1068.png"/><Relationship Id="rId21" Type="http://schemas.openxmlformats.org/officeDocument/2006/relationships/image" Target="../media/image1080.png"/><Relationship Id="rId7" Type="http://schemas.openxmlformats.org/officeDocument/2006/relationships/image" Target="../media/image264.png"/><Relationship Id="rId12" Type="http://schemas.openxmlformats.org/officeDocument/2006/relationships/image" Target="../media/image950.png"/><Relationship Id="rId17" Type="http://schemas.openxmlformats.org/officeDocument/2006/relationships/image" Target="../media/image1076.png"/><Relationship Id="rId25" Type="http://schemas.openxmlformats.org/officeDocument/2006/relationships/image" Target="../media/image930.png"/><Relationship Id="rId2" Type="http://schemas.openxmlformats.org/officeDocument/2006/relationships/image" Target="../media/image1067.jpeg"/><Relationship Id="rId16" Type="http://schemas.openxmlformats.org/officeDocument/2006/relationships/image" Target="../media/image1075.png"/><Relationship Id="rId20" Type="http://schemas.openxmlformats.org/officeDocument/2006/relationships/image" Target="../media/image1079.png"/><Relationship Id="rId1" Type="http://schemas.openxmlformats.org/officeDocument/2006/relationships/image" Target="../media/image1066.jpeg"/><Relationship Id="rId6" Type="http://schemas.openxmlformats.org/officeDocument/2006/relationships/image" Target="../media/image1071.png"/><Relationship Id="rId11" Type="http://schemas.openxmlformats.org/officeDocument/2006/relationships/image" Target="../media/image852.png"/><Relationship Id="rId24" Type="http://schemas.openxmlformats.org/officeDocument/2006/relationships/image" Target="../media/image949.png"/><Relationship Id="rId5" Type="http://schemas.openxmlformats.org/officeDocument/2006/relationships/image" Target="../media/image1070.png"/><Relationship Id="rId15" Type="http://schemas.openxmlformats.org/officeDocument/2006/relationships/image" Target="../media/image1074.png"/><Relationship Id="rId23" Type="http://schemas.openxmlformats.org/officeDocument/2006/relationships/image" Target="../media/image1082.png"/><Relationship Id="rId10" Type="http://schemas.openxmlformats.org/officeDocument/2006/relationships/image" Target="../media/image880.png"/><Relationship Id="rId19" Type="http://schemas.openxmlformats.org/officeDocument/2006/relationships/image" Target="../media/image1078.png"/><Relationship Id="rId4" Type="http://schemas.openxmlformats.org/officeDocument/2006/relationships/image" Target="../media/image1069.png"/><Relationship Id="rId9" Type="http://schemas.openxmlformats.org/officeDocument/2006/relationships/image" Target="../media/image838.png"/><Relationship Id="rId14" Type="http://schemas.openxmlformats.org/officeDocument/2006/relationships/image" Target="../media/image1073.png"/><Relationship Id="rId22" Type="http://schemas.openxmlformats.org/officeDocument/2006/relationships/image" Target="../media/image1081.png"/></Relationships>
</file>

<file path=xl/drawings/_rels/drawing63.xml.rels><?xml version="1.0" encoding="UTF-8" standalone="yes"?>
<Relationships xmlns="http://schemas.openxmlformats.org/package/2006/relationships"><Relationship Id="rId2" Type="http://schemas.openxmlformats.org/officeDocument/2006/relationships/image" Target="http://www.artifactheroes.narod.ru/image1/nwcgrail.jpg" TargetMode="External"/><Relationship Id="rId1" Type="http://schemas.openxmlformats.org/officeDocument/2006/relationships/image" Target="../media/image1083.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760.png"/></Relationships>
</file>

<file path=xl/drawings/_rels/drawing65.xml.rels><?xml version="1.0" encoding="UTF-8" standalone="yes"?>
<Relationships xmlns="http://schemas.openxmlformats.org/package/2006/relationships"><Relationship Id="rId1" Type="http://schemas.openxmlformats.org/officeDocument/2006/relationships/image" Target="../media/image760.png"/></Relationships>
</file>

<file path=xl/drawings/_rels/drawing66.xml.rels><?xml version="1.0" encoding="UTF-8" standalone="yes"?>
<Relationships xmlns="http://schemas.openxmlformats.org/package/2006/relationships"><Relationship Id="rId3" Type="http://schemas.openxmlformats.org/officeDocument/2006/relationships/image" Target="../media/image1086.png"/><Relationship Id="rId2" Type="http://schemas.openxmlformats.org/officeDocument/2006/relationships/image" Target="../media/image1085.png"/><Relationship Id="rId1" Type="http://schemas.openxmlformats.org/officeDocument/2006/relationships/image" Target="../media/image1084.png"/><Relationship Id="rId5" Type="http://schemas.openxmlformats.org/officeDocument/2006/relationships/image" Target="../media/image1088.png"/><Relationship Id="rId4" Type="http://schemas.openxmlformats.org/officeDocument/2006/relationships/image" Target="../media/image108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19050</xdr:colOff>
      <xdr:row>65</xdr:row>
      <xdr:rowOff>19050</xdr:rowOff>
    </xdr:to>
    <xdr:pic>
      <xdr:nvPicPr>
        <xdr:cNvPr id="1034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7639050" cy="10496550"/>
        </a:xfrm>
        <a:prstGeom prst="rect">
          <a:avLst/>
        </a:prstGeom>
        <a:noFill/>
      </xdr:spPr>
    </xdr:pic>
    <xdr:clientData/>
  </xdr:twoCellAnchor>
  <xdr:twoCellAnchor editAs="oneCell">
    <xdr:from>
      <xdr:col>0</xdr:col>
      <xdr:colOff>142875</xdr:colOff>
      <xdr:row>9</xdr:row>
      <xdr:rowOff>123825</xdr:rowOff>
    </xdr:from>
    <xdr:to>
      <xdr:col>2</xdr:col>
      <xdr:colOff>247650</xdr:colOff>
      <xdr:row>23</xdr:row>
      <xdr:rowOff>47625</xdr:rowOff>
    </xdr:to>
    <xdr:pic>
      <xdr:nvPicPr>
        <xdr:cNvPr id="3" name="Рисунок 2" descr="book.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142875" y="1581150"/>
          <a:ext cx="1323975" cy="2190750"/>
        </a:xfrm>
        <a:prstGeom prst="rect">
          <a:avLst/>
        </a:prstGeom>
      </xdr:spPr>
    </xdr:pic>
    <xdr:clientData/>
  </xdr:twoCellAnchor>
  <xdr:twoCellAnchor>
    <xdr:from>
      <xdr:col>2</xdr:col>
      <xdr:colOff>314325</xdr:colOff>
      <xdr:row>12</xdr:row>
      <xdr:rowOff>152400</xdr:rowOff>
    </xdr:from>
    <xdr:to>
      <xdr:col>5</xdr:col>
      <xdr:colOff>504824</xdr:colOff>
      <xdr:row>16</xdr:row>
      <xdr:rowOff>28575</xdr:rowOff>
    </xdr:to>
    <xdr:sp macro="" textlink="">
      <xdr:nvSpPr>
        <xdr:cNvPr id="4" name="TextBox 3"/>
        <xdr:cNvSpPr txBox="1"/>
      </xdr:nvSpPr>
      <xdr:spPr>
        <a:xfrm>
          <a:off x="1533525" y="2095500"/>
          <a:ext cx="2019299"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ru-RU" sz="1400" b="1">
              <a:solidFill>
                <a:schemeClr val="bg2">
                  <a:lumMod val="75000"/>
                </a:schemeClr>
              </a:solidFill>
              <a:latin typeface="Arial" pitchFamily="34" charset="0"/>
              <a:cs typeface="Arial" pitchFamily="34" charset="0"/>
            </a:rPr>
            <a:t>Последняя</a:t>
          </a:r>
          <a:r>
            <a:rPr lang="ru-RU" sz="1400" b="1" baseline="0">
              <a:solidFill>
                <a:schemeClr val="bg2">
                  <a:lumMod val="75000"/>
                </a:schemeClr>
              </a:solidFill>
              <a:latin typeface="Arial" pitchFamily="34" charset="0"/>
              <a:cs typeface="Arial" pitchFamily="34" charset="0"/>
            </a:rPr>
            <a:t> версия</a:t>
          </a:r>
          <a:br>
            <a:rPr lang="ru-RU" sz="1400" b="1" baseline="0">
              <a:solidFill>
                <a:schemeClr val="bg2">
                  <a:lumMod val="75000"/>
                </a:schemeClr>
              </a:solidFill>
              <a:latin typeface="Arial" pitchFamily="34" charset="0"/>
              <a:cs typeface="Arial" pitchFamily="34" charset="0"/>
            </a:rPr>
          </a:br>
          <a:r>
            <a:rPr lang="en-US" sz="1400" b="1" baseline="0">
              <a:solidFill>
                <a:schemeClr val="bg2">
                  <a:lumMod val="75000"/>
                </a:schemeClr>
              </a:solidFill>
              <a:latin typeface="Arial" pitchFamily="34" charset="0"/>
              <a:cs typeface="Arial" pitchFamily="34" charset="0"/>
            </a:rPr>
            <a:t>FizMiG_v.2.</a:t>
          </a:r>
          <a:r>
            <a:rPr lang="ru-RU" sz="1400" b="1" baseline="0">
              <a:solidFill>
                <a:schemeClr val="bg2">
                  <a:lumMod val="75000"/>
                </a:schemeClr>
              </a:solidFill>
              <a:latin typeface="Arial" pitchFamily="34" charset="0"/>
              <a:cs typeface="Arial" pitchFamily="34" charset="0"/>
            </a:rPr>
            <a:t>3</a:t>
          </a:r>
          <a:endParaRPr lang="ru-RU" sz="1400" b="1">
            <a:solidFill>
              <a:schemeClr val="bg2">
                <a:lumMod val="75000"/>
              </a:schemeClr>
            </a:solidFill>
            <a:latin typeface="Arial" pitchFamily="34" charset="0"/>
            <a:cs typeface="Arial" pitchFamily="34" charset="0"/>
          </a:endParaRPr>
        </a:p>
      </xdr:txBody>
    </xdr:sp>
    <xdr:clientData/>
  </xdr:twoCellAnchor>
  <xdr:twoCellAnchor editAs="oneCell">
    <xdr:from>
      <xdr:col>2</xdr:col>
      <xdr:colOff>409575</xdr:colOff>
      <xdr:row>16</xdr:row>
      <xdr:rowOff>123825</xdr:rowOff>
    </xdr:from>
    <xdr:to>
      <xdr:col>5</xdr:col>
      <xdr:colOff>66675</xdr:colOff>
      <xdr:row>18</xdr:row>
      <xdr:rowOff>104775</xdr:rowOff>
    </xdr:to>
    <xdr:pic>
      <xdr:nvPicPr>
        <xdr:cNvPr id="5" name="Рисунок 4" descr="heroes_b2.gif">
          <a:hlinkClick xmlns:r="http://schemas.openxmlformats.org/officeDocument/2006/relationships" r:id="rId2"/>
        </xdr:cNvPr>
        <xdr:cNvPicPr>
          <a:picLocks noChangeAspect="1"/>
        </xdr:cNvPicPr>
      </xdr:nvPicPr>
      <xdr:blipFill>
        <a:blip xmlns:r="http://schemas.openxmlformats.org/officeDocument/2006/relationships" r:embed="rId4" cstate="print"/>
        <a:stretch>
          <a:fillRect/>
        </a:stretch>
      </xdr:blipFill>
      <xdr:spPr>
        <a:xfrm>
          <a:off x="1628775" y="2714625"/>
          <a:ext cx="1485900" cy="304800"/>
        </a:xfrm>
        <a:prstGeom prst="rect">
          <a:avLst/>
        </a:prstGeom>
      </xdr:spPr>
    </xdr:pic>
    <xdr:clientData/>
  </xdr:twoCellAnchor>
  <xdr:twoCellAnchor editAs="oneCell">
    <xdr:from>
      <xdr:col>2</xdr:col>
      <xdr:colOff>407175</xdr:colOff>
      <xdr:row>19</xdr:row>
      <xdr:rowOff>92850</xdr:rowOff>
    </xdr:from>
    <xdr:to>
      <xdr:col>5</xdr:col>
      <xdr:colOff>64275</xdr:colOff>
      <xdr:row>21</xdr:row>
      <xdr:rowOff>73800</xdr:rowOff>
    </xdr:to>
    <xdr:pic>
      <xdr:nvPicPr>
        <xdr:cNvPr id="6" name="Рисунок 5" descr="heroes_b4.gif">
          <a:hlinkClick xmlns:r="http://schemas.openxmlformats.org/officeDocument/2006/relationships" r:id="rId5"/>
        </xdr:cNvPr>
        <xdr:cNvPicPr>
          <a:picLocks noChangeAspect="1"/>
        </xdr:cNvPicPr>
      </xdr:nvPicPr>
      <xdr:blipFill>
        <a:blip xmlns:r="http://schemas.openxmlformats.org/officeDocument/2006/relationships" r:embed="rId6" cstate="print"/>
        <a:stretch>
          <a:fillRect/>
        </a:stretch>
      </xdr:blipFill>
      <xdr:spPr>
        <a:xfrm>
          <a:off x="1626375" y="3169425"/>
          <a:ext cx="1485900" cy="304800"/>
        </a:xfrm>
        <a:prstGeom prst="rect">
          <a:avLst/>
        </a:prstGeom>
      </xdr:spPr>
    </xdr:pic>
    <xdr:clientData/>
  </xdr:twoCellAnchor>
  <xdr:twoCellAnchor>
    <xdr:from>
      <xdr:col>5</xdr:col>
      <xdr:colOff>76200</xdr:colOff>
      <xdr:row>17</xdr:row>
      <xdr:rowOff>66675</xdr:rowOff>
    </xdr:from>
    <xdr:to>
      <xdr:col>7</xdr:col>
      <xdr:colOff>600075</xdr:colOff>
      <xdr:row>21</xdr:row>
      <xdr:rowOff>19050</xdr:rowOff>
    </xdr:to>
    <xdr:sp macro="" textlink="">
      <xdr:nvSpPr>
        <xdr:cNvPr id="7" name="TextBox 6"/>
        <xdr:cNvSpPr txBox="1"/>
      </xdr:nvSpPr>
      <xdr:spPr>
        <a:xfrm>
          <a:off x="3124200" y="2819400"/>
          <a:ext cx="17430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ru-RU" sz="1100" b="1">
              <a:solidFill>
                <a:schemeClr val="bg2">
                  <a:lumMod val="75000"/>
                </a:schemeClr>
              </a:solidFill>
              <a:latin typeface="Arial" pitchFamily="34" charset="0"/>
              <a:cs typeface="Arial" pitchFamily="34" charset="0"/>
            </a:rPr>
            <a:t>Официальная</a:t>
          </a:r>
          <a:r>
            <a:rPr lang="ru-RU" sz="1100" b="1" baseline="0">
              <a:solidFill>
                <a:schemeClr val="bg2">
                  <a:lumMod val="75000"/>
                </a:schemeClr>
              </a:solidFill>
              <a:latin typeface="Arial" pitchFamily="34" charset="0"/>
              <a:cs typeface="Arial" pitchFamily="34" charset="0"/>
            </a:rPr>
            <a:t> группа </a:t>
          </a:r>
          <a:r>
            <a:rPr lang="en-US" sz="1100" b="1" baseline="0">
              <a:solidFill>
                <a:schemeClr val="bg2">
                  <a:lumMod val="75000"/>
                </a:schemeClr>
              </a:solidFill>
              <a:latin typeface="Arial" pitchFamily="34" charset="0"/>
              <a:cs typeface="Arial" pitchFamily="34" charset="0"/>
            </a:rPr>
            <a:t>FizMiG </a:t>
          </a:r>
          <a:r>
            <a:rPr lang="ru-RU" sz="1100" b="1" baseline="0">
              <a:solidFill>
                <a:schemeClr val="bg2">
                  <a:lumMod val="75000"/>
                </a:schemeClr>
              </a:solidFill>
              <a:latin typeface="Arial" pitchFamily="34" charset="0"/>
              <a:cs typeface="Arial" pitchFamily="34" charset="0"/>
            </a:rPr>
            <a:t>ВКонтакте: </a:t>
          </a:r>
          <a:r>
            <a:rPr lang="en-US" sz="1100" b="1" u="sng" baseline="0">
              <a:solidFill>
                <a:srgbClr val="0066FF"/>
              </a:solidFill>
              <a:latin typeface="Arial" pitchFamily="34" charset="0"/>
              <a:cs typeface="Arial" pitchFamily="34" charset="0"/>
            </a:rPr>
            <a:t>vk.com/fizmig</a:t>
          </a:r>
          <a:endParaRPr lang="ru-RU" sz="1100" b="1" u="sng">
            <a:solidFill>
              <a:srgbClr val="0066FF"/>
            </a:solidFill>
            <a:latin typeface="Arial" pitchFamily="34" charset="0"/>
            <a:cs typeface="Arial" pitchFamily="34" charset="0"/>
          </a:endParaRPr>
        </a:p>
      </xdr:txBody>
    </xdr:sp>
    <xdr:clientData/>
  </xdr:twoCellAnchor>
  <xdr:twoCellAnchor>
    <xdr:from>
      <xdr:col>0</xdr:col>
      <xdr:colOff>0</xdr:colOff>
      <xdr:row>22</xdr:row>
      <xdr:rowOff>161924</xdr:rowOff>
    </xdr:from>
    <xdr:to>
      <xdr:col>12</xdr:col>
      <xdr:colOff>9524</xdr:colOff>
      <xdr:row>29</xdr:row>
      <xdr:rowOff>0</xdr:rowOff>
    </xdr:to>
    <xdr:sp macro="" textlink="">
      <xdr:nvSpPr>
        <xdr:cNvPr id="10" name="TextBox 9"/>
        <xdr:cNvSpPr txBox="1"/>
      </xdr:nvSpPr>
      <xdr:spPr>
        <a:xfrm>
          <a:off x="0" y="3724274"/>
          <a:ext cx="7629524" cy="971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ru-RU" sz="5400" b="1">
              <a:solidFill>
                <a:srgbClr val="FF0000"/>
              </a:solidFill>
              <a:latin typeface="Burford Stripes B" pitchFamily="18" charset="0"/>
              <a:cs typeface="Arial" pitchFamily="34" charset="0"/>
            </a:rPr>
            <a:t>Справочнику 10 лет!</a:t>
          </a:r>
          <a:endParaRPr lang="ru-RU" sz="5400" b="1" u="sng">
            <a:solidFill>
              <a:srgbClr val="FF0000"/>
            </a:solidFill>
            <a:latin typeface="Burford Stripes B" pitchFamily="18" charset="0"/>
            <a:cs typeface="Arial"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1</xdr:row>
      <xdr:rowOff>0</xdr:rowOff>
    </xdr:from>
    <xdr:to>
      <xdr:col>1</xdr:col>
      <xdr:colOff>419099</xdr:colOff>
      <xdr:row>3</xdr:row>
      <xdr:rowOff>279</xdr:rowOff>
    </xdr:to>
    <xdr:pic>
      <xdr:nvPicPr>
        <xdr:cNvPr id="2" name="Рисунок 1" descr="Иконка.jpg">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323850" y="57150"/>
          <a:ext cx="342899" cy="3908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xdr:colOff>
      <xdr:row>22</xdr:row>
      <xdr:rowOff>47625</xdr:rowOff>
    </xdr:from>
    <xdr:to>
      <xdr:col>2</xdr:col>
      <xdr:colOff>1876</xdr:colOff>
      <xdr:row>24</xdr:row>
      <xdr:rowOff>104775</xdr:rowOff>
    </xdr:to>
    <xdr:pic>
      <xdr:nvPicPr>
        <xdr:cNvPr id="2" name="Рисунок 1" descr="Схема 1.jpg"/>
        <xdr:cNvPicPr>
          <a:picLocks noChangeAspect="1"/>
        </xdr:cNvPicPr>
      </xdr:nvPicPr>
      <xdr:blipFill>
        <a:blip xmlns:r="http://schemas.openxmlformats.org/officeDocument/2006/relationships" r:embed="rId1" cstate="print"/>
        <a:stretch>
          <a:fillRect/>
        </a:stretch>
      </xdr:blipFill>
      <xdr:spPr>
        <a:xfrm>
          <a:off x="257175" y="3543300"/>
          <a:ext cx="913101" cy="704850"/>
        </a:xfrm>
        <a:prstGeom prst="rect">
          <a:avLst/>
        </a:prstGeom>
      </xdr:spPr>
    </xdr:pic>
    <xdr:clientData/>
  </xdr:twoCellAnchor>
  <xdr:twoCellAnchor editAs="oneCell">
    <xdr:from>
      <xdr:col>1</xdr:col>
      <xdr:colOff>159525</xdr:colOff>
      <xdr:row>25</xdr:row>
      <xdr:rowOff>17074</xdr:rowOff>
    </xdr:from>
    <xdr:to>
      <xdr:col>1</xdr:col>
      <xdr:colOff>771525</xdr:colOff>
      <xdr:row>27</xdr:row>
      <xdr:rowOff>157532</xdr:rowOff>
    </xdr:to>
    <xdr:pic>
      <xdr:nvPicPr>
        <xdr:cNvPr id="3" name="Рисунок 2" descr="Схема 2.jpg"/>
        <xdr:cNvPicPr>
          <a:picLocks noChangeAspect="1"/>
        </xdr:cNvPicPr>
      </xdr:nvPicPr>
      <xdr:blipFill>
        <a:blip xmlns:r="http://schemas.openxmlformats.org/officeDocument/2006/relationships" r:embed="rId2" cstate="print"/>
        <a:stretch>
          <a:fillRect/>
        </a:stretch>
      </xdr:blipFill>
      <xdr:spPr>
        <a:xfrm>
          <a:off x="407175" y="4331899"/>
          <a:ext cx="612000" cy="6262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3</xdr:col>
      <xdr:colOff>0</xdr:colOff>
      <xdr:row>8</xdr:row>
      <xdr:rowOff>0</xdr:rowOff>
    </xdr:to>
    <xdr:pic>
      <xdr:nvPicPr>
        <xdr:cNvPr id="100689"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1381125" y="1695450"/>
          <a:ext cx="781050" cy="895350"/>
        </a:xfrm>
        <a:prstGeom prst="rect">
          <a:avLst/>
        </a:prstGeom>
        <a:noFill/>
        <a:ln w="1">
          <a:noFill/>
          <a:miter lim="800000"/>
          <a:headEnd/>
          <a:tailEnd/>
        </a:ln>
      </xdr:spPr>
    </xdr:pic>
    <xdr:clientData/>
  </xdr:twoCellAnchor>
  <xdr:twoCellAnchor editAs="oneCell">
    <xdr:from>
      <xdr:col>2</xdr:col>
      <xdr:colOff>0</xdr:colOff>
      <xdr:row>10</xdr:row>
      <xdr:rowOff>0</xdr:rowOff>
    </xdr:from>
    <xdr:to>
      <xdr:col>3</xdr:col>
      <xdr:colOff>0</xdr:colOff>
      <xdr:row>11</xdr:row>
      <xdr:rowOff>0</xdr:rowOff>
    </xdr:to>
    <xdr:pic>
      <xdr:nvPicPr>
        <xdr:cNvPr id="100690" name="Picture 10"/>
        <xdr:cNvPicPr>
          <a:picLocks noChangeAspect="1" noChangeArrowheads="1"/>
        </xdr:cNvPicPr>
      </xdr:nvPicPr>
      <xdr:blipFill>
        <a:blip xmlns:r="http://schemas.openxmlformats.org/officeDocument/2006/relationships" r:embed="rId2" cstate="print"/>
        <a:srcRect/>
        <a:stretch>
          <a:fillRect/>
        </a:stretch>
      </xdr:blipFill>
      <xdr:spPr bwMode="auto">
        <a:xfrm>
          <a:off x="1381125" y="4381500"/>
          <a:ext cx="781050" cy="895350"/>
        </a:xfrm>
        <a:prstGeom prst="rect">
          <a:avLst/>
        </a:prstGeom>
        <a:noFill/>
        <a:ln w="1">
          <a:noFill/>
          <a:miter lim="800000"/>
          <a:headEnd/>
          <a:tailEnd/>
        </a:ln>
      </xdr:spPr>
    </xdr:pic>
    <xdr:clientData/>
  </xdr:twoCellAnchor>
  <xdr:twoCellAnchor editAs="oneCell">
    <xdr:from>
      <xdr:col>2</xdr:col>
      <xdr:colOff>0</xdr:colOff>
      <xdr:row>13</xdr:row>
      <xdr:rowOff>0</xdr:rowOff>
    </xdr:from>
    <xdr:to>
      <xdr:col>3</xdr:col>
      <xdr:colOff>0</xdr:colOff>
      <xdr:row>14</xdr:row>
      <xdr:rowOff>0</xdr:rowOff>
    </xdr:to>
    <xdr:pic>
      <xdr:nvPicPr>
        <xdr:cNvPr id="100691" name="Picture 11"/>
        <xdr:cNvPicPr>
          <a:picLocks noChangeAspect="1" noChangeArrowheads="1"/>
        </xdr:cNvPicPr>
      </xdr:nvPicPr>
      <xdr:blipFill>
        <a:blip xmlns:r="http://schemas.openxmlformats.org/officeDocument/2006/relationships" r:embed="rId3" cstate="print"/>
        <a:srcRect/>
        <a:stretch>
          <a:fillRect/>
        </a:stretch>
      </xdr:blipFill>
      <xdr:spPr bwMode="auto">
        <a:xfrm>
          <a:off x="1381125" y="6172200"/>
          <a:ext cx="781050" cy="895350"/>
        </a:xfrm>
        <a:prstGeom prst="rect">
          <a:avLst/>
        </a:prstGeom>
        <a:noFill/>
        <a:ln w="1">
          <a:noFill/>
          <a:miter lim="800000"/>
          <a:headEnd/>
          <a:tailEnd/>
        </a:ln>
      </xdr:spPr>
    </xdr:pic>
    <xdr:clientData/>
  </xdr:twoCellAnchor>
  <xdr:twoCellAnchor editAs="oneCell">
    <xdr:from>
      <xdr:col>2</xdr:col>
      <xdr:colOff>0</xdr:colOff>
      <xdr:row>14</xdr:row>
      <xdr:rowOff>0</xdr:rowOff>
    </xdr:from>
    <xdr:to>
      <xdr:col>3</xdr:col>
      <xdr:colOff>0</xdr:colOff>
      <xdr:row>15</xdr:row>
      <xdr:rowOff>0</xdr:rowOff>
    </xdr:to>
    <xdr:pic>
      <xdr:nvPicPr>
        <xdr:cNvPr id="100692" name="Picture 12"/>
        <xdr:cNvPicPr>
          <a:picLocks noChangeAspect="1" noChangeArrowheads="1"/>
        </xdr:cNvPicPr>
      </xdr:nvPicPr>
      <xdr:blipFill>
        <a:blip xmlns:r="http://schemas.openxmlformats.org/officeDocument/2006/relationships" r:embed="rId4" cstate="print"/>
        <a:srcRect/>
        <a:stretch>
          <a:fillRect/>
        </a:stretch>
      </xdr:blipFill>
      <xdr:spPr bwMode="auto">
        <a:xfrm>
          <a:off x="1381125" y="7067550"/>
          <a:ext cx="781050" cy="895350"/>
        </a:xfrm>
        <a:prstGeom prst="rect">
          <a:avLst/>
        </a:prstGeom>
        <a:noFill/>
        <a:ln w="1">
          <a:noFill/>
          <a:miter lim="800000"/>
          <a:headEnd/>
          <a:tailEnd/>
        </a:ln>
      </xdr:spPr>
    </xdr:pic>
    <xdr:clientData/>
  </xdr:twoCellAnchor>
  <xdr:twoCellAnchor editAs="oneCell">
    <xdr:from>
      <xdr:col>2</xdr:col>
      <xdr:colOff>0</xdr:colOff>
      <xdr:row>16</xdr:row>
      <xdr:rowOff>0</xdr:rowOff>
    </xdr:from>
    <xdr:to>
      <xdr:col>3</xdr:col>
      <xdr:colOff>0</xdr:colOff>
      <xdr:row>17</xdr:row>
      <xdr:rowOff>0</xdr:rowOff>
    </xdr:to>
    <xdr:pic>
      <xdr:nvPicPr>
        <xdr:cNvPr id="100693" name="Picture 13"/>
        <xdr:cNvPicPr>
          <a:picLocks noChangeAspect="1" noChangeArrowheads="1"/>
        </xdr:cNvPicPr>
      </xdr:nvPicPr>
      <xdr:blipFill>
        <a:blip xmlns:r="http://schemas.openxmlformats.org/officeDocument/2006/relationships" r:embed="rId5" cstate="print"/>
        <a:srcRect/>
        <a:stretch>
          <a:fillRect/>
        </a:stretch>
      </xdr:blipFill>
      <xdr:spPr bwMode="auto">
        <a:xfrm>
          <a:off x="1381125" y="8858250"/>
          <a:ext cx="781050" cy="895350"/>
        </a:xfrm>
        <a:prstGeom prst="rect">
          <a:avLst/>
        </a:prstGeom>
        <a:noFill/>
        <a:ln w="1">
          <a:noFill/>
          <a:miter lim="800000"/>
          <a:headEnd/>
          <a:tailEnd/>
        </a:ln>
      </xdr:spPr>
    </xdr:pic>
    <xdr:clientData/>
  </xdr:twoCellAnchor>
  <xdr:twoCellAnchor editAs="oneCell">
    <xdr:from>
      <xdr:col>2</xdr:col>
      <xdr:colOff>0</xdr:colOff>
      <xdr:row>17</xdr:row>
      <xdr:rowOff>0</xdr:rowOff>
    </xdr:from>
    <xdr:to>
      <xdr:col>3</xdr:col>
      <xdr:colOff>0</xdr:colOff>
      <xdr:row>18</xdr:row>
      <xdr:rowOff>0</xdr:rowOff>
    </xdr:to>
    <xdr:pic>
      <xdr:nvPicPr>
        <xdr:cNvPr id="10069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381125" y="9753600"/>
          <a:ext cx="781050" cy="895350"/>
        </a:xfrm>
        <a:prstGeom prst="rect">
          <a:avLst/>
        </a:prstGeom>
        <a:noFill/>
        <a:ln w="1">
          <a:noFill/>
          <a:miter lim="800000"/>
          <a:headEnd/>
          <a:tailEnd/>
        </a:ln>
      </xdr:spPr>
    </xdr:pic>
    <xdr:clientData/>
  </xdr:twoCellAnchor>
  <xdr:twoCellAnchor editAs="oneCell">
    <xdr:from>
      <xdr:col>2</xdr:col>
      <xdr:colOff>0</xdr:colOff>
      <xdr:row>36</xdr:row>
      <xdr:rowOff>0</xdr:rowOff>
    </xdr:from>
    <xdr:to>
      <xdr:col>3</xdr:col>
      <xdr:colOff>0</xdr:colOff>
      <xdr:row>37</xdr:row>
      <xdr:rowOff>0</xdr:rowOff>
    </xdr:to>
    <xdr:pic>
      <xdr:nvPicPr>
        <xdr:cNvPr id="100695" name="Picture 15"/>
        <xdr:cNvPicPr>
          <a:picLocks noChangeAspect="1" noChangeArrowheads="1"/>
        </xdr:cNvPicPr>
      </xdr:nvPicPr>
      <xdr:blipFill>
        <a:blip xmlns:r="http://schemas.openxmlformats.org/officeDocument/2006/relationships" r:embed="rId7" cstate="print"/>
        <a:srcRect/>
        <a:stretch>
          <a:fillRect/>
        </a:stretch>
      </xdr:blipFill>
      <xdr:spPr bwMode="auto">
        <a:xfrm>
          <a:off x="1381125" y="24079200"/>
          <a:ext cx="781050" cy="895350"/>
        </a:xfrm>
        <a:prstGeom prst="rect">
          <a:avLst/>
        </a:prstGeom>
        <a:noFill/>
        <a:ln w="1">
          <a:noFill/>
          <a:miter lim="800000"/>
          <a:headEnd/>
          <a:tailEnd/>
        </a:ln>
      </xdr:spPr>
    </xdr:pic>
    <xdr:clientData/>
  </xdr:twoCellAnchor>
  <xdr:twoCellAnchor editAs="oneCell">
    <xdr:from>
      <xdr:col>2</xdr:col>
      <xdr:colOff>0</xdr:colOff>
      <xdr:row>22</xdr:row>
      <xdr:rowOff>0</xdr:rowOff>
    </xdr:from>
    <xdr:to>
      <xdr:col>3</xdr:col>
      <xdr:colOff>0</xdr:colOff>
      <xdr:row>23</xdr:row>
      <xdr:rowOff>0</xdr:rowOff>
    </xdr:to>
    <xdr:pic>
      <xdr:nvPicPr>
        <xdr:cNvPr id="100696" name="Picture 16"/>
        <xdr:cNvPicPr>
          <a:picLocks noChangeAspect="1" noChangeArrowheads="1"/>
        </xdr:cNvPicPr>
      </xdr:nvPicPr>
      <xdr:blipFill>
        <a:blip xmlns:r="http://schemas.openxmlformats.org/officeDocument/2006/relationships" r:embed="rId8" cstate="print"/>
        <a:srcRect/>
        <a:stretch>
          <a:fillRect/>
        </a:stretch>
      </xdr:blipFill>
      <xdr:spPr bwMode="auto">
        <a:xfrm>
          <a:off x="1381125" y="14230350"/>
          <a:ext cx="781050" cy="895350"/>
        </a:xfrm>
        <a:prstGeom prst="rect">
          <a:avLst/>
        </a:prstGeom>
        <a:noFill/>
        <a:ln w="1">
          <a:noFill/>
          <a:miter lim="800000"/>
          <a:headEnd/>
          <a:tailEnd/>
        </a:ln>
      </xdr:spPr>
    </xdr:pic>
    <xdr:clientData/>
  </xdr:twoCellAnchor>
  <xdr:twoCellAnchor editAs="oneCell">
    <xdr:from>
      <xdr:col>2</xdr:col>
      <xdr:colOff>0</xdr:colOff>
      <xdr:row>24</xdr:row>
      <xdr:rowOff>0</xdr:rowOff>
    </xdr:from>
    <xdr:to>
      <xdr:col>3</xdr:col>
      <xdr:colOff>0</xdr:colOff>
      <xdr:row>25</xdr:row>
      <xdr:rowOff>0</xdr:rowOff>
    </xdr:to>
    <xdr:pic>
      <xdr:nvPicPr>
        <xdr:cNvPr id="100697" name="Picture 17"/>
        <xdr:cNvPicPr>
          <a:picLocks noChangeAspect="1" noChangeArrowheads="1"/>
        </xdr:cNvPicPr>
      </xdr:nvPicPr>
      <xdr:blipFill>
        <a:blip xmlns:r="http://schemas.openxmlformats.org/officeDocument/2006/relationships" r:embed="rId9" cstate="print"/>
        <a:srcRect/>
        <a:stretch>
          <a:fillRect/>
        </a:stretch>
      </xdr:blipFill>
      <xdr:spPr bwMode="auto">
        <a:xfrm>
          <a:off x="1381125" y="16021050"/>
          <a:ext cx="781050" cy="895350"/>
        </a:xfrm>
        <a:prstGeom prst="rect">
          <a:avLst/>
        </a:prstGeom>
        <a:noFill/>
        <a:ln w="1">
          <a:noFill/>
          <a:miter lim="800000"/>
          <a:headEnd/>
          <a:tailEnd/>
        </a:ln>
      </xdr:spPr>
    </xdr:pic>
    <xdr:clientData/>
  </xdr:twoCellAnchor>
  <xdr:twoCellAnchor editAs="oneCell">
    <xdr:from>
      <xdr:col>2</xdr:col>
      <xdr:colOff>0</xdr:colOff>
      <xdr:row>37</xdr:row>
      <xdr:rowOff>0</xdr:rowOff>
    </xdr:from>
    <xdr:to>
      <xdr:col>3</xdr:col>
      <xdr:colOff>0</xdr:colOff>
      <xdr:row>38</xdr:row>
      <xdr:rowOff>76200</xdr:rowOff>
    </xdr:to>
    <xdr:pic>
      <xdr:nvPicPr>
        <xdr:cNvPr id="100698" name="Picture 18"/>
        <xdr:cNvPicPr>
          <a:picLocks noChangeAspect="1" noChangeArrowheads="1"/>
        </xdr:cNvPicPr>
      </xdr:nvPicPr>
      <xdr:blipFill>
        <a:blip xmlns:r="http://schemas.openxmlformats.org/officeDocument/2006/relationships" r:embed="rId10" cstate="print"/>
        <a:srcRect/>
        <a:stretch>
          <a:fillRect/>
        </a:stretch>
      </xdr:blipFill>
      <xdr:spPr bwMode="auto">
        <a:xfrm>
          <a:off x="1381125" y="24974550"/>
          <a:ext cx="781050" cy="895350"/>
        </a:xfrm>
        <a:prstGeom prst="rect">
          <a:avLst/>
        </a:prstGeom>
        <a:noFill/>
        <a:ln w="1">
          <a:noFill/>
          <a:miter lim="800000"/>
          <a:headEnd/>
          <a:tailEnd/>
        </a:ln>
      </xdr:spPr>
    </xdr:pic>
    <xdr:clientData/>
  </xdr:twoCellAnchor>
  <xdr:twoCellAnchor editAs="oneCell">
    <xdr:from>
      <xdr:col>2</xdr:col>
      <xdr:colOff>0</xdr:colOff>
      <xdr:row>28</xdr:row>
      <xdr:rowOff>0</xdr:rowOff>
    </xdr:from>
    <xdr:to>
      <xdr:col>3</xdr:col>
      <xdr:colOff>0</xdr:colOff>
      <xdr:row>29</xdr:row>
      <xdr:rowOff>0</xdr:rowOff>
    </xdr:to>
    <xdr:pic>
      <xdr:nvPicPr>
        <xdr:cNvPr id="100699" name="Picture 19"/>
        <xdr:cNvPicPr>
          <a:picLocks noChangeAspect="1" noChangeArrowheads="1"/>
        </xdr:cNvPicPr>
      </xdr:nvPicPr>
      <xdr:blipFill>
        <a:blip xmlns:r="http://schemas.openxmlformats.org/officeDocument/2006/relationships" r:embed="rId11" cstate="print"/>
        <a:srcRect/>
        <a:stretch>
          <a:fillRect/>
        </a:stretch>
      </xdr:blipFill>
      <xdr:spPr bwMode="auto">
        <a:xfrm>
          <a:off x="1381125" y="19602450"/>
          <a:ext cx="781050" cy="895350"/>
        </a:xfrm>
        <a:prstGeom prst="rect">
          <a:avLst/>
        </a:prstGeom>
        <a:noFill/>
        <a:ln w="1">
          <a:noFill/>
          <a:miter lim="800000"/>
          <a:headEnd/>
          <a:tailEnd/>
        </a:ln>
      </xdr:spPr>
    </xdr:pic>
    <xdr:clientData/>
  </xdr:twoCellAnchor>
  <xdr:twoCellAnchor editAs="oneCell">
    <xdr:from>
      <xdr:col>2</xdr:col>
      <xdr:colOff>0</xdr:colOff>
      <xdr:row>29</xdr:row>
      <xdr:rowOff>0</xdr:rowOff>
    </xdr:from>
    <xdr:to>
      <xdr:col>3</xdr:col>
      <xdr:colOff>0</xdr:colOff>
      <xdr:row>30</xdr:row>
      <xdr:rowOff>400050</xdr:rowOff>
    </xdr:to>
    <xdr:pic>
      <xdr:nvPicPr>
        <xdr:cNvPr id="100700" name="Picture 20"/>
        <xdr:cNvPicPr>
          <a:picLocks noChangeAspect="1" noChangeArrowheads="1"/>
        </xdr:cNvPicPr>
      </xdr:nvPicPr>
      <xdr:blipFill>
        <a:blip xmlns:r="http://schemas.openxmlformats.org/officeDocument/2006/relationships" r:embed="rId12" cstate="print"/>
        <a:srcRect/>
        <a:stretch>
          <a:fillRect/>
        </a:stretch>
      </xdr:blipFill>
      <xdr:spPr bwMode="auto">
        <a:xfrm>
          <a:off x="1381125" y="20497800"/>
          <a:ext cx="781050" cy="895350"/>
        </a:xfrm>
        <a:prstGeom prst="rect">
          <a:avLst/>
        </a:prstGeom>
        <a:noFill/>
        <a:ln w="1">
          <a:noFill/>
          <a:miter lim="800000"/>
          <a:headEnd/>
          <a:tailEnd/>
        </a:ln>
      </xdr:spPr>
    </xdr:pic>
    <xdr:clientData/>
  </xdr:twoCellAnchor>
  <xdr:twoCellAnchor editAs="oneCell">
    <xdr:from>
      <xdr:col>2</xdr:col>
      <xdr:colOff>0</xdr:colOff>
      <xdr:row>23</xdr:row>
      <xdr:rowOff>0</xdr:rowOff>
    </xdr:from>
    <xdr:to>
      <xdr:col>3</xdr:col>
      <xdr:colOff>0</xdr:colOff>
      <xdr:row>24</xdr:row>
      <xdr:rowOff>0</xdr:rowOff>
    </xdr:to>
    <xdr:pic>
      <xdr:nvPicPr>
        <xdr:cNvPr id="100701" name="Picture 21"/>
        <xdr:cNvPicPr>
          <a:picLocks noChangeAspect="1" noChangeArrowheads="1"/>
        </xdr:cNvPicPr>
      </xdr:nvPicPr>
      <xdr:blipFill>
        <a:blip xmlns:r="http://schemas.openxmlformats.org/officeDocument/2006/relationships" r:embed="rId13" cstate="print"/>
        <a:srcRect/>
        <a:stretch>
          <a:fillRect/>
        </a:stretch>
      </xdr:blipFill>
      <xdr:spPr bwMode="auto">
        <a:xfrm>
          <a:off x="1381125" y="15125700"/>
          <a:ext cx="781050" cy="895350"/>
        </a:xfrm>
        <a:prstGeom prst="rect">
          <a:avLst/>
        </a:prstGeom>
        <a:noFill/>
        <a:ln w="1">
          <a:noFill/>
          <a:miter lim="800000"/>
          <a:headEnd/>
          <a:tailEnd/>
        </a:ln>
      </xdr:spPr>
    </xdr:pic>
    <xdr:clientData/>
  </xdr:twoCellAnchor>
  <xdr:twoCellAnchor editAs="oneCell">
    <xdr:from>
      <xdr:col>2</xdr:col>
      <xdr:colOff>0</xdr:colOff>
      <xdr:row>21</xdr:row>
      <xdr:rowOff>0</xdr:rowOff>
    </xdr:from>
    <xdr:to>
      <xdr:col>3</xdr:col>
      <xdr:colOff>0</xdr:colOff>
      <xdr:row>22</xdr:row>
      <xdr:rowOff>0</xdr:rowOff>
    </xdr:to>
    <xdr:pic>
      <xdr:nvPicPr>
        <xdr:cNvPr id="100702" name="Picture 22"/>
        <xdr:cNvPicPr>
          <a:picLocks noChangeAspect="1" noChangeArrowheads="1"/>
        </xdr:cNvPicPr>
      </xdr:nvPicPr>
      <xdr:blipFill>
        <a:blip xmlns:r="http://schemas.openxmlformats.org/officeDocument/2006/relationships" r:embed="rId14" cstate="print"/>
        <a:srcRect/>
        <a:stretch>
          <a:fillRect/>
        </a:stretch>
      </xdr:blipFill>
      <xdr:spPr bwMode="auto">
        <a:xfrm>
          <a:off x="1381125" y="13335000"/>
          <a:ext cx="781050" cy="895350"/>
        </a:xfrm>
        <a:prstGeom prst="rect">
          <a:avLst/>
        </a:prstGeom>
        <a:noFill/>
        <a:ln w="1">
          <a:noFill/>
          <a:miter lim="800000"/>
          <a:headEnd/>
          <a:tailEnd/>
        </a:ln>
      </xdr:spPr>
    </xdr:pic>
    <xdr:clientData/>
  </xdr:twoCellAnchor>
  <xdr:twoCellAnchor editAs="oneCell">
    <xdr:from>
      <xdr:col>2</xdr:col>
      <xdr:colOff>0</xdr:colOff>
      <xdr:row>19</xdr:row>
      <xdr:rowOff>0</xdr:rowOff>
    </xdr:from>
    <xdr:to>
      <xdr:col>3</xdr:col>
      <xdr:colOff>0</xdr:colOff>
      <xdr:row>20</xdr:row>
      <xdr:rowOff>0</xdr:rowOff>
    </xdr:to>
    <xdr:pic>
      <xdr:nvPicPr>
        <xdr:cNvPr id="100703" name="Picture 23"/>
        <xdr:cNvPicPr>
          <a:picLocks noChangeAspect="1" noChangeArrowheads="1"/>
        </xdr:cNvPicPr>
      </xdr:nvPicPr>
      <xdr:blipFill>
        <a:blip xmlns:r="http://schemas.openxmlformats.org/officeDocument/2006/relationships" r:embed="rId15" cstate="print"/>
        <a:srcRect/>
        <a:stretch>
          <a:fillRect/>
        </a:stretch>
      </xdr:blipFill>
      <xdr:spPr bwMode="auto">
        <a:xfrm>
          <a:off x="1381125" y="11544300"/>
          <a:ext cx="781050" cy="895350"/>
        </a:xfrm>
        <a:prstGeom prst="rect">
          <a:avLst/>
        </a:prstGeom>
        <a:noFill/>
        <a:ln w="1">
          <a:noFill/>
          <a:miter lim="800000"/>
          <a:headEnd/>
          <a:tailEnd/>
        </a:ln>
      </xdr:spPr>
    </xdr:pic>
    <xdr:clientData/>
  </xdr:twoCellAnchor>
  <xdr:twoCellAnchor editAs="oneCell">
    <xdr:from>
      <xdr:col>2</xdr:col>
      <xdr:colOff>0</xdr:colOff>
      <xdr:row>18</xdr:row>
      <xdr:rowOff>0</xdr:rowOff>
    </xdr:from>
    <xdr:to>
      <xdr:col>3</xdr:col>
      <xdr:colOff>0</xdr:colOff>
      <xdr:row>19</xdr:row>
      <xdr:rowOff>0</xdr:rowOff>
    </xdr:to>
    <xdr:pic>
      <xdr:nvPicPr>
        <xdr:cNvPr id="100704" name="Picture 24"/>
        <xdr:cNvPicPr>
          <a:picLocks noChangeAspect="1" noChangeArrowheads="1"/>
        </xdr:cNvPicPr>
      </xdr:nvPicPr>
      <xdr:blipFill>
        <a:blip xmlns:r="http://schemas.openxmlformats.org/officeDocument/2006/relationships" r:embed="rId16" cstate="print"/>
        <a:srcRect/>
        <a:stretch>
          <a:fillRect/>
        </a:stretch>
      </xdr:blipFill>
      <xdr:spPr bwMode="auto">
        <a:xfrm>
          <a:off x="1381125" y="10648950"/>
          <a:ext cx="781050" cy="895350"/>
        </a:xfrm>
        <a:prstGeom prst="rect">
          <a:avLst/>
        </a:prstGeom>
        <a:noFill/>
        <a:ln w="1">
          <a:noFill/>
          <a:miter lim="800000"/>
          <a:headEnd/>
          <a:tailEnd/>
        </a:ln>
      </xdr:spPr>
    </xdr:pic>
    <xdr:clientData/>
  </xdr:twoCellAnchor>
  <xdr:twoCellAnchor editAs="oneCell">
    <xdr:from>
      <xdr:col>2</xdr:col>
      <xdr:colOff>0</xdr:colOff>
      <xdr:row>20</xdr:row>
      <xdr:rowOff>0</xdr:rowOff>
    </xdr:from>
    <xdr:to>
      <xdr:col>3</xdr:col>
      <xdr:colOff>0</xdr:colOff>
      <xdr:row>21</xdr:row>
      <xdr:rowOff>0</xdr:rowOff>
    </xdr:to>
    <xdr:pic>
      <xdr:nvPicPr>
        <xdr:cNvPr id="100705" name="Picture 25"/>
        <xdr:cNvPicPr>
          <a:picLocks noChangeAspect="1" noChangeArrowheads="1"/>
        </xdr:cNvPicPr>
      </xdr:nvPicPr>
      <xdr:blipFill>
        <a:blip xmlns:r="http://schemas.openxmlformats.org/officeDocument/2006/relationships" r:embed="rId17" cstate="print"/>
        <a:srcRect/>
        <a:stretch>
          <a:fillRect/>
        </a:stretch>
      </xdr:blipFill>
      <xdr:spPr bwMode="auto">
        <a:xfrm>
          <a:off x="1381125" y="12439650"/>
          <a:ext cx="781050" cy="895350"/>
        </a:xfrm>
        <a:prstGeom prst="rect">
          <a:avLst/>
        </a:prstGeom>
        <a:noFill/>
        <a:ln w="1">
          <a:noFill/>
          <a:miter lim="800000"/>
          <a:headEnd/>
          <a:tailEnd/>
        </a:ln>
      </xdr:spPr>
    </xdr:pic>
    <xdr:clientData/>
  </xdr:twoCellAnchor>
  <xdr:twoCellAnchor editAs="oneCell">
    <xdr:from>
      <xdr:col>2</xdr:col>
      <xdr:colOff>0</xdr:colOff>
      <xdr:row>9</xdr:row>
      <xdr:rowOff>0</xdr:rowOff>
    </xdr:from>
    <xdr:to>
      <xdr:col>3</xdr:col>
      <xdr:colOff>0</xdr:colOff>
      <xdr:row>10</xdr:row>
      <xdr:rowOff>0</xdr:rowOff>
    </xdr:to>
    <xdr:pic>
      <xdr:nvPicPr>
        <xdr:cNvPr id="100706" name="Picture 27"/>
        <xdr:cNvPicPr>
          <a:picLocks noChangeAspect="1" noChangeArrowheads="1"/>
        </xdr:cNvPicPr>
      </xdr:nvPicPr>
      <xdr:blipFill>
        <a:blip xmlns:r="http://schemas.openxmlformats.org/officeDocument/2006/relationships" r:embed="rId18" cstate="print"/>
        <a:srcRect/>
        <a:stretch>
          <a:fillRect/>
        </a:stretch>
      </xdr:blipFill>
      <xdr:spPr bwMode="auto">
        <a:xfrm>
          <a:off x="1381125" y="3486150"/>
          <a:ext cx="781050" cy="895350"/>
        </a:xfrm>
        <a:prstGeom prst="rect">
          <a:avLst/>
        </a:prstGeom>
        <a:noFill/>
        <a:ln w="1">
          <a:noFill/>
          <a:miter lim="800000"/>
          <a:headEnd/>
          <a:tailEnd/>
        </a:ln>
      </xdr:spPr>
    </xdr:pic>
    <xdr:clientData/>
  </xdr:twoCellAnchor>
  <xdr:twoCellAnchor editAs="oneCell">
    <xdr:from>
      <xdr:col>2</xdr:col>
      <xdr:colOff>0</xdr:colOff>
      <xdr:row>34</xdr:row>
      <xdr:rowOff>0</xdr:rowOff>
    </xdr:from>
    <xdr:to>
      <xdr:col>3</xdr:col>
      <xdr:colOff>0</xdr:colOff>
      <xdr:row>35</xdr:row>
      <xdr:rowOff>76200</xdr:rowOff>
    </xdr:to>
    <xdr:pic>
      <xdr:nvPicPr>
        <xdr:cNvPr id="100707" name="Picture 28"/>
        <xdr:cNvPicPr>
          <a:picLocks noChangeAspect="1" noChangeArrowheads="1"/>
        </xdr:cNvPicPr>
      </xdr:nvPicPr>
      <xdr:blipFill>
        <a:blip xmlns:r="http://schemas.openxmlformats.org/officeDocument/2006/relationships" r:embed="rId19" cstate="print"/>
        <a:srcRect/>
        <a:stretch>
          <a:fillRect/>
        </a:stretch>
      </xdr:blipFill>
      <xdr:spPr bwMode="auto">
        <a:xfrm>
          <a:off x="1381125" y="23183850"/>
          <a:ext cx="781050" cy="895350"/>
        </a:xfrm>
        <a:prstGeom prst="rect">
          <a:avLst/>
        </a:prstGeom>
        <a:noFill/>
        <a:ln w="1">
          <a:noFill/>
          <a:miter lim="800000"/>
          <a:headEnd/>
          <a:tailEnd/>
        </a:ln>
      </xdr:spPr>
    </xdr:pic>
    <xdr:clientData/>
  </xdr:twoCellAnchor>
  <xdr:twoCellAnchor editAs="oneCell">
    <xdr:from>
      <xdr:col>2</xdr:col>
      <xdr:colOff>0</xdr:colOff>
      <xdr:row>33</xdr:row>
      <xdr:rowOff>0</xdr:rowOff>
    </xdr:from>
    <xdr:to>
      <xdr:col>3</xdr:col>
      <xdr:colOff>0</xdr:colOff>
      <xdr:row>34</xdr:row>
      <xdr:rowOff>0</xdr:rowOff>
    </xdr:to>
    <xdr:pic>
      <xdr:nvPicPr>
        <xdr:cNvPr id="100708" name="Picture 29"/>
        <xdr:cNvPicPr>
          <a:picLocks noChangeAspect="1" noChangeArrowheads="1"/>
        </xdr:cNvPicPr>
      </xdr:nvPicPr>
      <xdr:blipFill>
        <a:blip xmlns:r="http://schemas.openxmlformats.org/officeDocument/2006/relationships" r:embed="rId20" cstate="print"/>
        <a:srcRect/>
        <a:stretch>
          <a:fillRect/>
        </a:stretch>
      </xdr:blipFill>
      <xdr:spPr bwMode="auto">
        <a:xfrm>
          <a:off x="1381125" y="22288500"/>
          <a:ext cx="781050" cy="895350"/>
        </a:xfrm>
        <a:prstGeom prst="rect">
          <a:avLst/>
        </a:prstGeom>
        <a:noFill/>
        <a:ln w="1">
          <a:noFill/>
          <a:miter lim="800000"/>
          <a:headEnd/>
          <a:tailEnd/>
        </a:ln>
      </xdr:spPr>
    </xdr:pic>
    <xdr:clientData/>
  </xdr:twoCellAnchor>
  <xdr:twoCellAnchor editAs="oneCell">
    <xdr:from>
      <xdr:col>2</xdr:col>
      <xdr:colOff>0</xdr:colOff>
      <xdr:row>6</xdr:row>
      <xdr:rowOff>0</xdr:rowOff>
    </xdr:from>
    <xdr:to>
      <xdr:col>3</xdr:col>
      <xdr:colOff>0</xdr:colOff>
      <xdr:row>7</xdr:row>
      <xdr:rowOff>0</xdr:rowOff>
    </xdr:to>
    <xdr:pic>
      <xdr:nvPicPr>
        <xdr:cNvPr id="100709" name="Picture 30"/>
        <xdr:cNvPicPr>
          <a:picLocks noChangeAspect="1" noChangeArrowheads="1"/>
        </xdr:cNvPicPr>
      </xdr:nvPicPr>
      <xdr:blipFill>
        <a:blip xmlns:r="http://schemas.openxmlformats.org/officeDocument/2006/relationships" r:embed="rId21" cstate="print"/>
        <a:srcRect/>
        <a:stretch>
          <a:fillRect/>
        </a:stretch>
      </xdr:blipFill>
      <xdr:spPr bwMode="auto">
        <a:xfrm>
          <a:off x="1381125" y="800100"/>
          <a:ext cx="781050" cy="895350"/>
        </a:xfrm>
        <a:prstGeom prst="rect">
          <a:avLst/>
        </a:prstGeom>
        <a:noFill/>
        <a:ln w="1">
          <a:noFill/>
          <a:miter lim="800000"/>
          <a:headEnd/>
          <a:tailEnd/>
        </a:ln>
      </xdr:spPr>
    </xdr:pic>
    <xdr:clientData/>
  </xdr:twoCellAnchor>
  <xdr:twoCellAnchor editAs="oneCell">
    <xdr:from>
      <xdr:col>2</xdr:col>
      <xdr:colOff>0</xdr:colOff>
      <xdr:row>25</xdr:row>
      <xdr:rowOff>0</xdr:rowOff>
    </xdr:from>
    <xdr:to>
      <xdr:col>3</xdr:col>
      <xdr:colOff>0</xdr:colOff>
      <xdr:row>26</xdr:row>
      <xdr:rowOff>0</xdr:rowOff>
    </xdr:to>
    <xdr:pic>
      <xdr:nvPicPr>
        <xdr:cNvPr id="100710" name="Picture 32"/>
        <xdr:cNvPicPr>
          <a:picLocks noChangeAspect="1" noChangeArrowheads="1"/>
        </xdr:cNvPicPr>
      </xdr:nvPicPr>
      <xdr:blipFill>
        <a:blip xmlns:r="http://schemas.openxmlformats.org/officeDocument/2006/relationships" r:embed="rId22" cstate="print"/>
        <a:srcRect/>
        <a:stretch>
          <a:fillRect/>
        </a:stretch>
      </xdr:blipFill>
      <xdr:spPr bwMode="auto">
        <a:xfrm>
          <a:off x="1381125" y="16916400"/>
          <a:ext cx="781050" cy="895350"/>
        </a:xfrm>
        <a:prstGeom prst="rect">
          <a:avLst/>
        </a:prstGeom>
        <a:noFill/>
        <a:ln w="1">
          <a:noFill/>
          <a:miter lim="800000"/>
          <a:headEnd/>
          <a:tailEnd/>
        </a:ln>
      </xdr:spPr>
    </xdr:pic>
    <xdr:clientData/>
  </xdr:twoCellAnchor>
  <xdr:twoCellAnchor editAs="oneCell">
    <xdr:from>
      <xdr:col>2</xdr:col>
      <xdr:colOff>0</xdr:colOff>
      <xdr:row>11</xdr:row>
      <xdr:rowOff>0</xdr:rowOff>
    </xdr:from>
    <xdr:to>
      <xdr:col>3</xdr:col>
      <xdr:colOff>0</xdr:colOff>
      <xdr:row>13</xdr:row>
      <xdr:rowOff>9525</xdr:rowOff>
    </xdr:to>
    <xdr:pic>
      <xdr:nvPicPr>
        <xdr:cNvPr id="100711" name="Picture 33"/>
        <xdr:cNvPicPr>
          <a:picLocks noChangeAspect="1" noChangeArrowheads="1"/>
        </xdr:cNvPicPr>
      </xdr:nvPicPr>
      <xdr:blipFill>
        <a:blip xmlns:r="http://schemas.openxmlformats.org/officeDocument/2006/relationships" r:embed="rId23" cstate="print"/>
        <a:srcRect/>
        <a:stretch>
          <a:fillRect/>
        </a:stretch>
      </xdr:blipFill>
      <xdr:spPr bwMode="auto">
        <a:xfrm>
          <a:off x="1381125" y="5276850"/>
          <a:ext cx="781050" cy="895350"/>
        </a:xfrm>
        <a:prstGeom prst="rect">
          <a:avLst/>
        </a:prstGeom>
        <a:noFill/>
        <a:ln w="1">
          <a:noFill/>
          <a:miter lim="800000"/>
          <a:headEnd/>
          <a:tailEnd/>
        </a:ln>
      </xdr:spPr>
    </xdr:pic>
    <xdr:clientData/>
  </xdr:twoCellAnchor>
  <xdr:twoCellAnchor editAs="oneCell">
    <xdr:from>
      <xdr:col>2</xdr:col>
      <xdr:colOff>0</xdr:colOff>
      <xdr:row>8</xdr:row>
      <xdr:rowOff>0</xdr:rowOff>
    </xdr:from>
    <xdr:to>
      <xdr:col>3</xdr:col>
      <xdr:colOff>0</xdr:colOff>
      <xdr:row>9</xdr:row>
      <xdr:rowOff>0</xdr:rowOff>
    </xdr:to>
    <xdr:pic>
      <xdr:nvPicPr>
        <xdr:cNvPr id="100712" name="Picture 34"/>
        <xdr:cNvPicPr>
          <a:picLocks noChangeAspect="1" noChangeArrowheads="1"/>
        </xdr:cNvPicPr>
      </xdr:nvPicPr>
      <xdr:blipFill>
        <a:blip xmlns:r="http://schemas.openxmlformats.org/officeDocument/2006/relationships" r:embed="rId24" cstate="print"/>
        <a:srcRect/>
        <a:stretch>
          <a:fillRect/>
        </a:stretch>
      </xdr:blipFill>
      <xdr:spPr bwMode="auto">
        <a:xfrm>
          <a:off x="1381125" y="2590800"/>
          <a:ext cx="781050" cy="895350"/>
        </a:xfrm>
        <a:prstGeom prst="rect">
          <a:avLst/>
        </a:prstGeom>
        <a:noFill/>
        <a:ln w="1">
          <a:noFill/>
          <a:miter lim="800000"/>
          <a:headEnd/>
          <a:tailEnd/>
        </a:ln>
      </xdr:spPr>
    </xdr:pic>
    <xdr:clientData/>
  </xdr:twoCellAnchor>
  <xdr:twoCellAnchor editAs="oneCell">
    <xdr:from>
      <xdr:col>2</xdr:col>
      <xdr:colOff>0</xdr:colOff>
      <xdr:row>31</xdr:row>
      <xdr:rowOff>0</xdr:rowOff>
    </xdr:from>
    <xdr:to>
      <xdr:col>3</xdr:col>
      <xdr:colOff>0</xdr:colOff>
      <xdr:row>32</xdr:row>
      <xdr:rowOff>76200</xdr:rowOff>
    </xdr:to>
    <xdr:pic>
      <xdr:nvPicPr>
        <xdr:cNvPr id="100713" name="Picture 35"/>
        <xdr:cNvPicPr>
          <a:picLocks noChangeAspect="1" noChangeArrowheads="1"/>
        </xdr:cNvPicPr>
      </xdr:nvPicPr>
      <xdr:blipFill>
        <a:blip xmlns:r="http://schemas.openxmlformats.org/officeDocument/2006/relationships" r:embed="rId25" cstate="print"/>
        <a:srcRect/>
        <a:stretch>
          <a:fillRect/>
        </a:stretch>
      </xdr:blipFill>
      <xdr:spPr bwMode="auto">
        <a:xfrm>
          <a:off x="1381125" y="21393150"/>
          <a:ext cx="781050" cy="895350"/>
        </a:xfrm>
        <a:prstGeom prst="rect">
          <a:avLst/>
        </a:prstGeom>
        <a:noFill/>
        <a:ln w="1">
          <a:noFill/>
          <a:miter lim="800000"/>
          <a:headEnd/>
          <a:tailEnd/>
        </a:ln>
      </xdr:spPr>
    </xdr:pic>
    <xdr:clientData/>
  </xdr:twoCellAnchor>
  <xdr:twoCellAnchor editAs="oneCell">
    <xdr:from>
      <xdr:col>2</xdr:col>
      <xdr:colOff>0</xdr:colOff>
      <xdr:row>27</xdr:row>
      <xdr:rowOff>0</xdr:rowOff>
    </xdr:from>
    <xdr:to>
      <xdr:col>3</xdr:col>
      <xdr:colOff>0</xdr:colOff>
      <xdr:row>28</xdr:row>
      <xdr:rowOff>0</xdr:rowOff>
    </xdr:to>
    <xdr:pic>
      <xdr:nvPicPr>
        <xdr:cNvPr id="100714" name="Picture 36"/>
        <xdr:cNvPicPr>
          <a:picLocks noChangeAspect="1" noChangeArrowheads="1"/>
        </xdr:cNvPicPr>
      </xdr:nvPicPr>
      <xdr:blipFill>
        <a:blip xmlns:r="http://schemas.openxmlformats.org/officeDocument/2006/relationships" r:embed="rId26" cstate="print"/>
        <a:srcRect/>
        <a:stretch>
          <a:fillRect/>
        </a:stretch>
      </xdr:blipFill>
      <xdr:spPr bwMode="auto">
        <a:xfrm>
          <a:off x="1381125" y="18707100"/>
          <a:ext cx="781050" cy="895350"/>
        </a:xfrm>
        <a:prstGeom prst="rect">
          <a:avLst/>
        </a:prstGeom>
        <a:noFill/>
        <a:ln w="1">
          <a:noFill/>
          <a:miter lim="800000"/>
          <a:headEnd/>
          <a:tailEnd/>
        </a:ln>
      </xdr:spPr>
    </xdr:pic>
    <xdr:clientData/>
  </xdr:twoCellAnchor>
  <xdr:twoCellAnchor editAs="oneCell">
    <xdr:from>
      <xdr:col>2</xdr:col>
      <xdr:colOff>0</xdr:colOff>
      <xdr:row>26</xdr:row>
      <xdr:rowOff>0</xdr:rowOff>
    </xdr:from>
    <xdr:to>
      <xdr:col>3</xdr:col>
      <xdr:colOff>0</xdr:colOff>
      <xdr:row>27</xdr:row>
      <xdr:rowOff>0</xdr:rowOff>
    </xdr:to>
    <xdr:pic>
      <xdr:nvPicPr>
        <xdr:cNvPr id="100715" name="Picture 37"/>
        <xdr:cNvPicPr>
          <a:picLocks noChangeAspect="1" noChangeArrowheads="1"/>
        </xdr:cNvPicPr>
      </xdr:nvPicPr>
      <xdr:blipFill>
        <a:blip xmlns:r="http://schemas.openxmlformats.org/officeDocument/2006/relationships" r:embed="rId27" cstate="print"/>
        <a:srcRect/>
        <a:stretch>
          <a:fillRect/>
        </a:stretch>
      </xdr:blipFill>
      <xdr:spPr bwMode="auto">
        <a:xfrm>
          <a:off x="1381125" y="17811750"/>
          <a:ext cx="781050" cy="895350"/>
        </a:xfrm>
        <a:prstGeom prst="rect">
          <a:avLst/>
        </a:prstGeom>
        <a:noFill/>
        <a:ln w="1">
          <a:noFill/>
          <a:miter lim="800000"/>
          <a:headEnd/>
          <a:tailEnd/>
        </a:ln>
      </xdr:spPr>
    </xdr:pic>
    <xdr:clientData/>
  </xdr:twoCellAnchor>
  <xdr:twoCellAnchor editAs="oneCell">
    <xdr:from>
      <xdr:col>2</xdr:col>
      <xdr:colOff>0</xdr:colOff>
      <xdr:row>15</xdr:row>
      <xdr:rowOff>0</xdr:rowOff>
    </xdr:from>
    <xdr:to>
      <xdr:col>3</xdr:col>
      <xdr:colOff>0</xdr:colOff>
      <xdr:row>16</xdr:row>
      <xdr:rowOff>0</xdr:rowOff>
    </xdr:to>
    <xdr:pic>
      <xdr:nvPicPr>
        <xdr:cNvPr id="100716" name="Picture 38"/>
        <xdr:cNvPicPr>
          <a:picLocks noChangeAspect="1" noChangeArrowheads="1"/>
        </xdr:cNvPicPr>
      </xdr:nvPicPr>
      <xdr:blipFill>
        <a:blip xmlns:r="http://schemas.openxmlformats.org/officeDocument/2006/relationships" r:embed="rId28" cstate="print"/>
        <a:srcRect/>
        <a:stretch>
          <a:fillRect/>
        </a:stretch>
      </xdr:blipFill>
      <xdr:spPr bwMode="auto">
        <a:xfrm>
          <a:off x="1381125" y="7962900"/>
          <a:ext cx="781050" cy="895350"/>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51</xdr:row>
      <xdr:rowOff>9525</xdr:rowOff>
    </xdr:from>
    <xdr:to>
      <xdr:col>2</xdr:col>
      <xdr:colOff>0</xdr:colOff>
      <xdr:row>52</xdr:row>
      <xdr:rowOff>9525</xdr:rowOff>
    </xdr:to>
    <xdr:pic>
      <xdr:nvPicPr>
        <xdr:cNvPr id="110582" name="Picture 474"/>
        <xdr:cNvPicPr>
          <a:picLocks noChangeAspect="1" noChangeArrowheads="1"/>
        </xdr:cNvPicPr>
      </xdr:nvPicPr>
      <xdr:blipFill>
        <a:blip xmlns:r="http://schemas.openxmlformats.org/officeDocument/2006/relationships" r:embed="rId1" cstate="print"/>
        <a:srcRect/>
        <a:stretch>
          <a:fillRect/>
        </a:stretch>
      </xdr:blipFill>
      <xdr:spPr bwMode="auto">
        <a:xfrm>
          <a:off x="247650" y="27879675"/>
          <a:ext cx="542925" cy="609600"/>
        </a:xfrm>
        <a:prstGeom prst="rect">
          <a:avLst/>
        </a:prstGeom>
        <a:noFill/>
        <a:ln w="1">
          <a:noFill/>
          <a:miter lim="800000"/>
          <a:headEnd/>
          <a:tailEnd/>
        </a:ln>
      </xdr:spPr>
    </xdr:pic>
    <xdr:clientData/>
  </xdr:twoCellAnchor>
  <xdr:twoCellAnchor editAs="oneCell">
    <xdr:from>
      <xdr:col>1</xdr:col>
      <xdr:colOff>0</xdr:colOff>
      <xdr:row>52</xdr:row>
      <xdr:rowOff>9525</xdr:rowOff>
    </xdr:from>
    <xdr:to>
      <xdr:col>2</xdr:col>
      <xdr:colOff>0</xdr:colOff>
      <xdr:row>52</xdr:row>
      <xdr:rowOff>619125</xdr:rowOff>
    </xdr:to>
    <xdr:pic>
      <xdr:nvPicPr>
        <xdr:cNvPr id="110583" name="Picture 475"/>
        <xdr:cNvPicPr>
          <a:picLocks noChangeAspect="1" noChangeArrowheads="1"/>
        </xdr:cNvPicPr>
      </xdr:nvPicPr>
      <xdr:blipFill>
        <a:blip xmlns:r="http://schemas.openxmlformats.org/officeDocument/2006/relationships" r:embed="rId2" cstate="print"/>
        <a:srcRect/>
        <a:stretch>
          <a:fillRect/>
        </a:stretch>
      </xdr:blipFill>
      <xdr:spPr bwMode="auto">
        <a:xfrm>
          <a:off x="247650" y="28489275"/>
          <a:ext cx="542925" cy="609600"/>
        </a:xfrm>
        <a:prstGeom prst="rect">
          <a:avLst/>
        </a:prstGeom>
        <a:noFill/>
        <a:ln w="1">
          <a:noFill/>
          <a:miter lim="800000"/>
          <a:headEnd/>
          <a:tailEnd/>
        </a:ln>
      </xdr:spPr>
    </xdr:pic>
    <xdr:clientData/>
  </xdr:twoCellAnchor>
  <xdr:twoCellAnchor editAs="oneCell">
    <xdr:from>
      <xdr:col>1</xdr:col>
      <xdr:colOff>0</xdr:colOff>
      <xdr:row>33</xdr:row>
      <xdr:rowOff>9525</xdr:rowOff>
    </xdr:from>
    <xdr:to>
      <xdr:col>2</xdr:col>
      <xdr:colOff>0</xdr:colOff>
      <xdr:row>34</xdr:row>
      <xdr:rowOff>9525</xdr:rowOff>
    </xdr:to>
    <xdr:pic>
      <xdr:nvPicPr>
        <xdr:cNvPr id="110579" name="Picture 471"/>
        <xdr:cNvPicPr>
          <a:picLocks noChangeAspect="1" noChangeArrowheads="1"/>
        </xdr:cNvPicPr>
      </xdr:nvPicPr>
      <xdr:blipFill>
        <a:blip xmlns:r="http://schemas.openxmlformats.org/officeDocument/2006/relationships" r:embed="rId3" cstate="print"/>
        <a:srcRect/>
        <a:stretch>
          <a:fillRect/>
        </a:stretch>
      </xdr:blipFill>
      <xdr:spPr bwMode="auto">
        <a:xfrm>
          <a:off x="247650" y="16906875"/>
          <a:ext cx="542925" cy="609600"/>
        </a:xfrm>
        <a:prstGeom prst="rect">
          <a:avLst/>
        </a:prstGeom>
        <a:noFill/>
        <a:ln w="1">
          <a:noFill/>
          <a:miter lim="800000"/>
          <a:headEnd/>
          <a:tailEnd/>
        </a:ln>
      </xdr:spPr>
    </xdr:pic>
    <xdr:clientData/>
  </xdr:twoCellAnchor>
  <xdr:twoCellAnchor editAs="oneCell">
    <xdr:from>
      <xdr:col>1</xdr:col>
      <xdr:colOff>0</xdr:colOff>
      <xdr:row>153</xdr:row>
      <xdr:rowOff>9525</xdr:rowOff>
    </xdr:from>
    <xdr:to>
      <xdr:col>2</xdr:col>
      <xdr:colOff>9525</xdr:colOff>
      <xdr:row>154</xdr:row>
      <xdr:rowOff>9525</xdr:rowOff>
    </xdr:to>
    <xdr:pic>
      <xdr:nvPicPr>
        <xdr:cNvPr id="110440"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247650" y="90335100"/>
          <a:ext cx="552450" cy="609600"/>
        </a:xfrm>
        <a:prstGeom prst="rect">
          <a:avLst/>
        </a:prstGeom>
        <a:noFill/>
        <a:ln w="9525">
          <a:noFill/>
          <a:miter lim="800000"/>
          <a:headEnd/>
          <a:tailEnd/>
        </a:ln>
      </xdr:spPr>
    </xdr:pic>
    <xdr:clientData/>
  </xdr:twoCellAnchor>
  <xdr:twoCellAnchor editAs="oneCell">
    <xdr:from>
      <xdr:col>1</xdr:col>
      <xdr:colOff>0</xdr:colOff>
      <xdr:row>144</xdr:row>
      <xdr:rowOff>9525</xdr:rowOff>
    </xdr:from>
    <xdr:to>
      <xdr:col>2</xdr:col>
      <xdr:colOff>9525</xdr:colOff>
      <xdr:row>145</xdr:row>
      <xdr:rowOff>9525</xdr:rowOff>
    </xdr:to>
    <xdr:pic>
      <xdr:nvPicPr>
        <xdr:cNvPr id="110441"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247650" y="84810600"/>
          <a:ext cx="552450" cy="609600"/>
        </a:xfrm>
        <a:prstGeom prst="rect">
          <a:avLst/>
        </a:prstGeom>
        <a:noFill/>
        <a:ln w="9525">
          <a:noFill/>
          <a:miter lim="800000"/>
          <a:headEnd/>
          <a:tailEnd/>
        </a:ln>
      </xdr:spPr>
    </xdr:pic>
    <xdr:clientData/>
  </xdr:twoCellAnchor>
  <xdr:twoCellAnchor editAs="oneCell">
    <xdr:from>
      <xdr:col>1</xdr:col>
      <xdr:colOff>0</xdr:colOff>
      <xdr:row>8</xdr:row>
      <xdr:rowOff>9525</xdr:rowOff>
    </xdr:from>
    <xdr:to>
      <xdr:col>2</xdr:col>
      <xdr:colOff>9525</xdr:colOff>
      <xdr:row>9</xdr:row>
      <xdr:rowOff>9525</xdr:rowOff>
    </xdr:to>
    <xdr:pic>
      <xdr:nvPicPr>
        <xdr:cNvPr id="110442"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247650" y="1371600"/>
          <a:ext cx="552450" cy="609600"/>
        </a:xfrm>
        <a:prstGeom prst="rect">
          <a:avLst/>
        </a:prstGeom>
        <a:noFill/>
        <a:ln w="9525">
          <a:noFill/>
          <a:miter lim="800000"/>
          <a:headEnd/>
          <a:tailEnd/>
        </a:ln>
      </xdr:spPr>
    </xdr:pic>
    <xdr:clientData/>
  </xdr:twoCellAnchor>
  <xdr:twoCellAnchor editAs="oneCell">
    <xdr:from>
      <xdr:col>1</xdr:col>
      <xdr:colOff>0</xdr:colOff>
      <xdr:row>136</xdr:row>
      <xdr:rowOff>9525</xdr:rowOff>
    </xdr:from>
    <xdr:to>
      <xdr:col>2</xdr:col>
      <xdr:colOff>9525</xdr:colOff>
      <xdr:row>137</xdr:row>
      <xdr:rowOff>9525</xdr:rowOff>
    </xdr:to>
    <xdr:pic>
      <xdr:nvPicPr>
        <xdr:cNvPr id="110443" name="Picture 13"/>
        <xdr:cNvPicPr>
          <a:picLocks noChangeAspect="1" noChangeArrowheads="1"/>
        </xdr:cNvPicPr>
      </xdr:nvPicPr>
      <xdr:blipFill>
        <a:blip xmlns:r="http://schemas.openxmlformats.org/officeDocument/2006/relationships" r:embed="rId7" cstate="print"/>
        <a:srcRect/>
        <a:stretch>
          <a:fillRect/>
        </a:stretch>
      </xdr:blipFill>
      <xdr:spPr bwMode="auto">
        <a:xfrm>
          <a:off x="247650" y="79933800"/>
          <a:ext cx="552450" cy="609600"/>
        </a:xfrm>
        <a:prstGeom prst="rect">
          <a:avLst/>
        </a:prstGeom>
        <a:noFill/>
        <a:ln w="9525">
          <a:noFill/>
          <a:miter lim="800000"/>
          <a:headEnd/>
          <a:tailEnd/>
        </a:ln>
      </xdr:spPr>
    </xdr:pic>
    <xdr:clientData/>
  </xdr:twoCellAnchor>
  <xdr:twoCellAnchor editAs="oneCell">
    <xdr:from>
      <xdr:col>1</xdr:col>
      <xdr:colOff>0</xdr:colOff>
      <xdr:row>145</xdr:row>
      <xdr:rowOff>9525</xdr:rowOff>
    </xdr:from>
    <xdr:to>
      <xdr:col>2</xdr:col>
      <xdr:colOff>9525</xdr:colOff>
      <xdr:row>146</xdr:row>
      <xdr:rowOff>9525</xdr:rowOff>
    </xdr:to>
    <xdr:pic>
      <xdr:nvPicPr>
        <xdr:cNvPr id="110445" name="Picture 17"/>
        <xdr:cNvPicPr>
          <a:picLocks noChangeAspect="1" noChangeArrowheads="1"/>
        </xdr:cNvPicPr>
      </xdr:nvPicPr>
      <xdr:blipFill>
        <a:blip xmlns:r="http://schemas.openxmlformats.org/officeDocument/2006/relationships" r:embed="rId8" cstate="print"/>
        <a:srcRect/>
        <a:stretch>
          <a:fillRect/>
        </a:stretch>
      </xdr:blipFill>
      <xdr:spPr bwMode="auto">
        <a:xfrm>
          <a:off x="247650" y="85420200"/>
          <a:ext cx="552450" cy="609600"/>
        </a:xfrm>
        <a:prstGeom prst="rect">
          <a:avLst/>
        </a:prstGeom>
        <a:noFill/>
        <a:ln w="9525">
          <a:noFill/>
          <a:miter lim="800000"/>
          <a:headEnd/>
          <a:tailEnd/>
        </a:ln>
      </xdr:spPr>
    </xdr:pic>
    <xdr:clientData/>
  </xdr:twoCellAnchor>
  <xdr:twoCellAnchor editAs="oneCell">
    <xdr:from>
      <xdr:col>1</xdr:col>
      <xdr:colOff>0</xdr:colOff>
      <xdr:row>146</xdr:row>
      <xdr:rowOff>9525</xdr:rowOff>
    </xdr:from>
    <xdr:to>
      <xdr:col>2</xdr:col>
      <xdr:colOff>9525</xdr:colOff>
      <xdr:row>147</xdr:row>
      <xdr:rowOff>9525</xdr:rowOff>
    </xdr:to>
    <xdr:pic>
      <xdr:nvPicPr>
        <xdr:cNvPr id="110447" name="Picture 21"/>
        <xdr:cNvPicPr>
          <a:picLocks noChangeAspect="1" noChangeArrowheads="1"/>
        </xdr:cNvPicPr>
      </xdr:nvPicPr>
      <xdr:blipFill>
        <a:blip xmlns:r="http://schemas.openxmlformats.org/officeDocument/2006/relationships" r:embed="rId9" cstate="print"/>
        <a:srcRect/>
        <a:stretch>
          <a:fillRect/>
        </a:stretch>
      </xdr:blipFill>
      <xdr:spPr bwMode="auto">
        <a:xfrm>
          <a:off x="247650" y="86029800"/>
          <a:ext cx="552450" cy="609600"/>
        </a:xfrm>
        <a:prstGeom prst="rect">
          <a:avLst/>
        </a:prstGeom>
        <a:noFill/>
        <a:ln w="9525">
          <a:noFill/>
          <a:miter lim="800000"/>
          <a:headEnd/>
          <a:tailEnd/>
        </a:ln>
      </xdr:spPr>
    </xdr:pic>
    <xdr:clientData/>
  </xdr:twoCellAnchor>
  <xdr:twoCellAnchor editAs="oneCell">
    <xdr:from>
      <xdr:col>1</xdr:col>
      <xdr:colOff>0</xdr:colOff>
      <xdr:row>10</xdr:row>
      <xdr:rowOff>9525</xdr:rowOff>
    </xdr:from>
    <xdr:to>
      <xdr:col>2</xdr:col>
      <xdr:colOff>9525</xdr:colOff>
      <xdr:row>11</xdr:row>
      <xdr:rowOff>9525</xdr:rowOff>
    </xdr:to>
    <xdr:pic>
      <xdr:nvPicPr>
        <xdr:cNvPr id="110448" name="Picture 23"/>
        <xdr:cNvPicPr>
          <a:picLocks noChangeAspect="1" noChangeArrowheads="1"/>
        </xdr:cNvPicPr>
      </xdr:nvPicPr>
      <xdr:blipFill>
        <a:blip xmlns:r="http://schemas.openxmlformats.org/officeDocument/2006/relationships" r:embed="rId10" cstate="print"/>
        <a:srcRect/>
        <a:stretch>
          <a:fillRect/>
        </a:stretch>
      </xdr:blipFill>
      <xdr:spPr bwMode="auto">
        <a:xfrm>
          <a:off x="247650" y="2590800"/>
          <a:ext cx="552450" cy="609600"/>
        </a:xfrm>
        <a:prstGeom prst="rect">
          <a:avLst/>
        </a:prstGeom>
        <a:noFill/>
        <a:ln w="9525">
          <a:noFill/>
          <a:miter lim="800000"/>
          <a:headEnd/>
          <a:tailEnd/>
        </a:ln>
      </xdr:spPr>
    </xdr:pic>
    <xdr:clientData/>
  </xdr:twoCellAnchor>
  <xdr:twoCellAnchor editAs="oneCell">
    <xdr:from>
      <xdr:col>1</xdr:col>
      <xdr:colOff>0</xdr:colOff>
      <xdr:row>138</xdr:row>
      <xdr:rowOff>9525</xdr:rowOff>
    </xdr:from>
    <xdr:to>
      <xdr:col>2</xdr:col>
      <xdr:colOff>9525</xdr:colOff>
      <xdr:row>139</xdr:row>
      <xdr:rowOff>9525</xdr:rowOff>
    </xdr:to>
    <xdr:pic>
      <xdr:nvPicPr>
        <xdr:cNvPr id="110449" name="Picture 25"/>
        <xdr:cNvPicPr>
          <a:picLocks noChangeAspect="1" noChangeArrowheads="1"/>
        </xdr:cNvPicPr>
      </xdr:nvPicPr>
      <xdr:blipFill>
        <a:blip xmlns:r="http://schemas.openxmlformats.org/officeDocument/2006/relationships" r:embed="rId11" cstate="print"/>
        <a:srcRect/>
        <a:stretch>
          <a:fillRect/>
        </a:stretch>
      </xdr:blipFill>
      <xdr:spPr bwMode="auto">
        <a:xfrm>
          <a:off x="247650" y="81153000"/>
          <a:ext cx="552450" cy="609600"/>
        </a:xfrm>
        <a:prstGeom prst="rect">
          <a:avLst/>
        </a:prstGeom>
        <a:noFill/>
        <a:ln w="9525">
          <a:noFill/>
          <a:miter lim="800000"/>
          <a:headEnd/>
          <a:tailEnd/>
        </a:ln>
      </xdr:spPr>
    </xdr:pic>
    <xdr:clientData/>
  </xdr:twoCellAnchor>
  <xdr:twoCellAnchor editAs="oneCell">
    <xdr:from>
      <xdr:col>1</xdr:col>
      <xdr:colOff>0</xdr:colOff>
      <xdr:row>156</xdr:row>
      <xdr:rowOff>9525</xdr:rowOff>
    </xdr:from>
    <xdr:to>
      <xdr:col>2</xdr:col>
      <xdr:colOff>9525</xdr:colOff>
      <xdr:row>157</xdr:row>
      <xdr:rowOff>9525</xdr:rowOff>
    </xdr:to>
    <xdr:pic>
      <xdr:nvPicPr>
        <xdr:cNvPr id="110450" name="Picture 27"/>
        <xdr:cNvPicPr>
          <a:picLocks noChangeAspect="1" noChangeArrowheads="1"/>
        </xdr:cNvPicPr>
      </xdr:nvPicPr>
      <xdr:blipFill>
        <a:blip xmlns:r="http://schemas.openxmlformats.org/officeDocument/2006/relationships" r:embed="rId12" cstate="print"/>
        <a:srcRect/>
        <a:stretch>
          <a:fillRect/>
        </a:stretch>
      </xdr:blipFill>
      <xdr:spPr bwMode="auto">
        <a:xfrm>
          <a:off x="247650" y="92202000"/>
          <a:ext cx="552450" cy="609600"/>
        </a:xfrm>
        <a:prstGeom prst="rect">
          <a:avLst/>
        </a:prstGeom>
        <a:noFill/>
        <a:ln w="9525">
          <a:noFill/>
          <a:miter lim="800000"/>
          <a:headEnd/>
          <a:tailEnd/>
        </a:ln>
      </xdr:spPr>
    </xdr:pic>
    <xdr:clientData/>
  </xdr:twoCellAnchor>
  <xdr:twoCellAnchor editAs="oneCell">
    <xdr:from>
      <xdr:col>1</xdr:col>
      <xdr:colOff>0</xdr:colOff>
      <xdr:row>147</xdr:row>
      <xdr:rowOff>9525</xdr:rowOff>
    </xdr:from>
    <xdr:to>
      <xdr:col>2</xdr:col>
      <xdr:colOff>9525</xdr:colOff>
      <xdr:row>148</xdr:row>
      <xdr:rowOff>9525</xdr:rowOff>
    </xdr:to>
    <xdr:pic>
      <xdr:nvPicPr>
        <xdr:cNvPr id="110451" name="Picture 29"/>
        <xdr:cNvPicPr>
          <a:picLocks noChangeAspect="1" noChangeArrowheads="1"/>
        </xdr:cNvPicPr>
      </xdr:nvPicPr>
      <xdr:blipFill>
        <a:blip xmlns:r="http://schemas.openxmlformats.org/officeDocument/2006/relationships" r:embed="rId13" cstate="print"/>
        <a:srcRect/>
        <a:stretch>
          <a:fillRect/>
        </a:stretch>
      </xdr:blipFill>
      <xdr:spPr bwMode="auto">
        <a:xfrm>
          <a:off x="247650" y="86639400"/>
          <a:ext cx="552450" cy="609600"/>
        </a:xfrm>
        <a:prstGeom prst="rect">
          <a:avLst/>
        </a:prstGeom>
        <a:noFill/>
        <a:ln w="9525">
          <a:noFill/>
          <a:miter lim="800000"/>
          <a:headEnd/>
          <a:tailEnd/>
        </a:ln>
      </xdr:spPr>
    </xdr:pic>
    <xdr:clientData/>
  </xdr:twoCellAnchor>
  <xdr:twoCellAnchor editAs="oneCell">
    <xdr:from>
      <xdr:col>1</xdr:col>
      <xdr:colOff>0</xdr:colOff>
      <xdr:row>160</xdr:row>
      <xdr:rowOff>9525</xdr:rowOff>
    </xdr:from>
    <xdr:to>
      <xdr:col>2</xdr:col>
      <xdr:colOff>9525</xdr:colOff>
      <xdr:row>160</xdr:row>
      <xdr:rowOff>619125</xdr:rowOff>
    </xdr:to>
    <xdr:pic>
      <xdr:nvPicPr>
        <xdr:cNvPr id="110453" name="Picture 33"/>
        <xdr:cNvPicPr>
          <a:picLocks noChangeAspect="1" noChangeArrowheads="1"/>
        </xdr:cNvPicPr>
      </xdr:nvPicPr>
      <xdr:blipFill>
        <a:blip xmlns:r="http://schemas.openxmlformats.org/officeDocument/2006/relationships" r:embed="rId14" cstate="print"/>
        <a:srcRect/>
        <a:stretch>
          <a:fillRect/>
        </a:stretch>
      </xdr:blipFill>
      <xdr:spPr bwMode="auto">
        <a:xfrm>
          <a:off x="247650" y="94688025"/>
          <a:ext cx="552450" cy="609600"/>
        </a:xfrm>
        <a:prstGeom prst="rect">
          <a:avLst/>
        </a:prstGeom>
        <a:noFill/>
        <a:ln w="9525">
          <a:noFill/>
          <a:miter lim="800000"/>
          <a:headEnd/>
          <a:tailEnd/>
        </a:ln>
      </xdr:spPr>
    </xdr:pic>
    <xdr:clientData/>
  </xdr:twoCellAnchor>
  <xdr:twoCellAnchor editAs="oneCell">
    <xdr:from>
      <xdr:col>1</xdr:col>
      <xdr:colOff>0</xdr:colOff>
      <xdr:row>12</xdr:row>
      <xdr:rowOff>9525</xdr:rowOff>
    </xdr:from>
    <xdr:to>
      <xdr:col>2</xdr:col>
      <xdr:colOff>9525</xdr:colOff>
      <xdr:row>13</xdr:row>
      <xdr:rowOff>9525</xdr:rowOff>
    </xdr:to>
    <xdr:pic>
      <xdr:nvPicPr>
        <xdr:cNvPr id="110454" name="Picture 35"/>
        <xdr:cNvPicPr>
          <a:picLocks noChangeAspect="1" noChangeArrowheads="1"/>
        </xdr:cNvPicPr>
      </xdr:nvPicPr>
      <xdr:blipFill>
        <a:blip xmlns:r="http://schemas.openxmlformats.org/officeDocument/2006/relationships" r:embed="rId15" cstate="print"/>
        <a:srcRect/>
        <a:stretch>
          <a:fillRect/>
        </a:stretch>
      </xdr:blipFill>
      <xdr:spPr bwMode="auto">
        <a:xfrm>
          <a:off x="247650" y="3810000"/>
          <a:ext cx="552450" cy="609600"/>
        </a:xfrm>
        <a:prstGeom prst="rect">
          <a:avLst/>
        </a:prstGeom>
        <a:noFill/>
        <a:ln w="9525">
          <a:noFill/>
          <a:miter lim="800000"/>
          <a:headEnd/>
          <a:tailEnd/>
        </a:ln>
      </xdr:spPr>
    </xdr:pic>
    <xdr:clientData/>
  </xdr:twoCellAnchor>
  <xdr:twoCellAnchor editAs="oneCell">
    <xdr:from>
      <xdr:col>1</xdr:col>
      <xdr:colOff>0</xdr:colOff>
      <xdr:row>140</xdr:row>
      <xdr:rowOff>9525</xdr:rowOff>
    </xdr:from>
    <xdr:to>
      <xdr:col>2</xdr:col>
      <xdr:colOff>9525</xdr:colOff>
      <xdr:row>141</xdr:row>
      <xdr:rowOff>9525</xdr:rowOff>
    </xdr:to>
    <xdr:pic>
      <xdr:nvPicPr>
        <xdr:cNvPr id="110455" name="Picture 37"/>
        <xdr:cNvPicPr>
          <a:picLocks noChangeAspect="1" noChangeArrowheads="1"/>
        </xdr:cNvPicPr>
      </xdr:nvPicPr>
      <xdr:blipFill>
        <a:blip xmlns:r="http://schemas.openxmlformats.org/officeDocument/2006/relationships" r:embed="rId16" cstate="print"/>
        <a:srcRect/>
        <a:stretch>
          <a:fillRect/>
        </a:stretch>
      </xdr:blipFill>
      <xdr:spPr bwMode="auto">
        <a:xfrm>
          <a:off x="247650" y="82372200"/>
          <a:ext cx="552450" cy="609600"/>
        </a:xfrm>
        <a:prstGeom prst="rect">
          <a:avLst/>
        </a:prstGeom>
        <a:noFill/>
        <a:ln w="9525">
          <a:noFill/>
          <a:miter lim="800000"/>
          <a:headEnd/>
          <a:tailEnd/>
        </a:ln>
      </xdr:spPr>
    </xdr:pic>
    <xdr:clientData/>
  </xdr:twoCellAnchor>
  <xdr:twoCellAnchor editAs="oneCell">
    <xdr:from>
      <xdr:col>1</xdr:col>
      <xdr:colOff>0</xdr:colOff>
      <xdr:row>152</xdr:row>
      <xdr:rowOff>9525</xdr:rowOff>
    </xdr:from>
    <xdr:to>
      <xdr:col>2</xdr:col>
      <xdr:colOff>9525</xdr:colOff>
      <xdr:row>153</xdr:row>
      <xdr:rowOff>9525</xdr:rowOff>
    </xdr:to>
    <xdr:pic>
      <xdr:nvPicPr>
        <xdr:cNvPr id="110456" name="Picture 39"/>
        <xdr:cNvPicPr>
          <a:picLocks noChangeAspect="1" noChangeArrowheads="1"/>
        </xdr:cNvPicPr>
      </xdr:nvPicPr>
      <xdr:blipFill>
        <a:blip xmlns:r="http://schemas.openxmlformats.org/officeDocument/2006/relationships" r:embed="rId17" cstate="print"/>
        <a:srcRect/>
        <a:stretch>
          <a:fillRect/>
        </a:stretch>
      </xdr:blipFill>
      <xdr:spPr bwMode="auto">
        <a:xfrm>
          <a:off x="247650" y="89725500"/>
          <a:ext cx="552450" cy="609600"/>
        </a:xfrm>
        <a:prstGeom prst="rect">
          <a:avLst/>
        </a:prstGeom>
        <a:noFill/>
        <a:ln w="9525">
          <a:noFill/>
          <a:miter lim="800000"/>
          <a:headEnd/>
          <a:tailEnd/>
        </a:ln>
      </xdr:spPr>
    </xdr:pic>
    <xdr:clientData/>
  </xdr:twoCellAnchor>
  <xdr:twoCellAnchor editAs="oneCell">
    <xdr:from>
      <xdr:col>1</xdr:col>
      <xdr:colOff>0</xdr:colOff>
      <xdr:row>149</xdr:row>
      <xdr:rowOff>9525</xdr:rowOff>
    </xdr:from>
    <xdr:to>
      <xdr:col>2</xdr:col>
      <xdr:colOff>9525</xdr:colOff>
      <xdr:row>150</xdr:row>
      <xdr:rowOff>9525</xdr:rowOff>
    </xdr:to>
    <xdr:pic>
      <xdr:nvPicPr>
        <xdr:cNvPr id="110457" name="Picture 41"/>
        <xdr:cNvPicPr>
          <a:picLocks noChangeAspect="1" noChangeArrowheads="1"/>
        </xdr:cNvPicPr>
      </xdr:nvPicPr>
      <xdr:blipFill>
        <a:blip xmlns:r="http://schemas.openxmlformats.org/officeDocument/2006/relationships" r:embed="rId18" cstate="print"/>
        <a:srcRect/>
        <a:stretch>
          <a:fillRect/>
        </a:stretch>
      </xdr:blipFill>
      <xdr:spPr bwMode="auto">
        <a:xfrm>
          <a:off x="247650" y="87896700"/>
          <a:ext cx="552450" cy="609600"/>
        </a:xfrm>
        <a:prstGeom prst="rect">
          <a:avLst/>
        </a:prstGeom>
        <a:noFill/>
        <a:ln w="9525">
          <a:noFill/>
          <a:miter lim="800000"/>
          <a:headEnd/>
          <a:tailEnd/>
        </a:ln>
      </xdr:spPr>
    </xdr:pic>
    <xdr:clientData/>
  </xdr:twoCellAnchor>
  <xdr:twoCellAnchor editAs="oneCell">
    <xdr:from>
      <xdr:col>1</xdr:col>
      <xdr:colOff>0</xdr:colOff>
      <xdr:row>13</xdr:row>
      <xdr:rowOff>9525</xdr:rowOff>
    </xdr:from>
    <xdr:to>
      <xdr:col>2</xdr:col>
      <xdr:colOff>9525</xdr:colOff>
      <xdr:row>13</xdr:row>
      <xdr:rowOff>619125</xdr:rowOff>
    </xdr:to>
    <xdr:pic>
      <xdr:nvPicPr>
        <xdr:cNvPr id="110458" name="Picture 43"/>
        <xdr:cNvPicPr>
          <a:picLocks noChangeAspect="1" noChangeArrowheads="1"/>
        </xdr:cNvPicPr>
      </xdr:nvPicPr>
      <xdr:blipFill>
        <a:blip xmlns:r="http://schemas.openxmlformats.org/officeDocument/2006/relationships" r:embed="rId19" cstate="print"/>
        <a:srcRect/>
        <a:stretch>
          <a:fillRect/>
        </a:stretch>
      </xdr:blipFill>
      <xdr:spPr bwMode="auto">
        <a:xfrm>
          <a:off x="247650" y="4419600"/>
          <a:ext cx="552450" cy="609600"/>
        </a:xfrm>
        <a:prstGeom prst="rect">
          <a:avLst/>
        </a:prstGeom>
        <a:noFill/>
        <a:ln w="9525">
          <a:noFill/>
          <a:miter lim="800000"/>
          <a:headEnd/>
          <a:tailEnd/>
        </a:ln>
      </xdr:spPr>
    </xdr:pic>
    <xdr:clientData/>
  </xdr:twoCellAnchor>
  <xdr:twoCellAnchor editAs="oneCell">
    <xdr:from>
      <xdr:col>1</xdr:col>
      <xdr:colOff>0</xdr:colOff>
      <xdr:row>141</xdr:row>
      <xdr:rowOff>9525</xdr:rowOff>
    </xdr:from>
    <xdr:to>
      <xdr:col>2</xdr:col>
      <xdr:colOff>9525</xdr:colOff>
      <xdr:row>142</xdr:row>
      <xdr:rowOff>9525</xdr:rowOff>
    </xdr:to>
    <xdr:pic>
      <xdr:nvPicPr>
        <xdr:cNvPr id="110459" name="Picture 45"/>
        <xdr:cNvPicPr>
          <a:picLocks noChangeAspect="1" noChangeArrowheads="1"/>
        </xdr:cNvPicPr>
      </xdr:nvPicPr>
      <xdr:blipFill>
        <a:blip xmlns:r="http://schemas.openxmlformats.org/officeDocument/2006/relationships" r:embed="rId20" cstate="print"/>
        <a:srcRect/>
        <a:stretch>
          <a:fillRect/>
        </a:stretch>
      </xdr:blipFill>
      <xdr:spPr bwMode="auto">
        <a:xfrm>
          <a:off x="247650" y="82981800"/>
          <a:ext cx="552450" cy="609600"/>
        </a:xfrm>
        <a:prstGeom prst="rect">
          <a:avLst/>
        </a:prstGeom>
        <a:noFill/>
        <a:ln w="9525">
          <a:noFill/>
          <a:miter lim="800000"/>
          <a:headEnd/>
          <a:tailEnd/>
        </a:ln>
      </xdr:spPr>
    </xdr:pic>
    <xdr:clientData/>
  </xdr:twoCellAnchor>
  <xdr:twoCellAnchor editAs="oneCell">
    <xdr:from>
      <xdr:col>1</xdr:col>
      <xdr:colOff>0</xdr:colOff>
      <xdr:row>149</xdr:row>
      <xdr:rowOff>600075</xdr:rowOff>
    </xdr:from>
    <xdr:to>
      <xdr:col>2</xdr:col>
      <xdr:colOff>9525</xdr:colOff>
      <xdr:row>150</xdr:row>
      <xdr:rowOff>600075</xdr:rowOff>
    </xdr:to>
    <xdr:pic>
      <xdr:nvPicPr>
        <xdr:cNvPr id="110460" name="Picture 47"/>
        <xdr:cNvPicPr>
          <a:picLocks noChangeAspect="1" noChangeArrowheads="1"/>
        </xdr:cNvPicPr>
      </xdr:nvPicPr>
      <xdr:blipFill>
        <a:blip xmlns:r="http://schemas.openxmlformats.org/officeDocument/2006/relationships" r:embed="rId21" cstate="print"/>
        <a:srcRect/>
        <a:stretch>
          <a:fillRect/>
        </a:stretch>
      </xdr:blipFill>
      <xdr:spPr bwMode="auto">
        <a:xfrm>
          <a:off x="247650" y="88630125"/>
          <a:ext cx="552450" cy="609600"/>
        </a:xfrm>
        <a:prstGeom prst="rect">
          <a:avLst/>
        </a:prstGeom>
        <a:noFill/>
        <a:ln w="9525">
          <a:noFill/>
          <a:miter lim="800000"/>
          <a:headEnd/>
          <a:tailEnd/>
        </a:ln>
      </xdr:spPr>
    </xdr:pic>
    <xdr:clientData/>
  </xdr:twoCellAnchor>
  <xdr:twoCellAnchor editAs="oneCell">
    <xdr:from>
      <xdr:col>1</xdr:col>
      <xdr:colOff>0</xdr:colOff>
      <xdr:row>14</xdr:row>
      <xdr:rowOff>9525</xdr:rowOff>
    </xdr:from>
    <xdr:to>
      <xdr:col>2</xdr:col>
      <xdr:colOff>9525</xdr:colOff>
      <xdr:row>14</xdr:row>
      <xdr:rowOff>619125</xdr:rowOff>
    </xdr:to>
    <xdr:pic>
      <xdr:nvPicPr>
        <xdr:cNvPr id="110461" name="Picture 49"/>
        <xdr:cNvPicPr>
          <a:picLocks noChangeAspect="1" noChangeArrowheads="1"/>
        </xdr:cNvPicPr>
      </xdr:nvPicPr>
      <xdr:blipFill>
        <a:blip xmlns:r="http://schemas.openxmlformats.org/officeDocument/2006/relationships" r:embed="rId22" cstate="print"/>
        <a:srcRect/>
        <a:stretch>
          <a:fillRect/>
        </a:stretch>
      </xdr:blipFill>
      <xdr:spPr bwMode="auto">
        <a:xfrm>
          <a:off x="247650" y="5238750"/>
          <a:ext cx="552450" cy="609600"/>
        </a:xfrm>
        <a:prstGeom prst="rect">
          <a:avLst/>
        </a:prstGeom>
        <a:noFill/>
        <a:ln w="9525">
          <a:noFill/>
          <a:miter lim="800000"/>
          <a:headEnd/>
          <a:tailEnd/>
        </a:ln>
      </xdr:spPr>
    </xdr:pic>
    <xdr:clientData/>
  </xdr:twoCellAnchor>
  <xdr:twoCellAnchor editAs="oneCell">
    <xdr:from>
      <xdr:col>1</xdr:col>
      <xdr:colOff>0</xdr:colOff>
      <xdr:row>141</xdr:row>
      <xdr:rowOff>600075</xdr:rowOff>
    </xdr:from>
    <xdr:to>
      <xdr:col>2</xdr:col>
      <xdr:colOff>9525</xdr:colOff>
      <xdr:row>142</xdr:row>
      <xdr:rowOff>600075</xdr:rowOff>
    </xdr:to>
    <xdr:pic>
      <xdr:nvPicPr>
        <xdr:cNvPr id="110462" name="Picture 51"/>
        <xdr:cNvPicPr>
          <a:picLocks noChangeAspect="1" noChangeArrowheads="1"/>
        </xdr:cNvPicPr>
      </xdr:nvPicPr>
      <xdr:blipFill>
        <a:blip xmlns:r="http://schemas.openxmlformats.org/officeDocument/2006/relationships" r:embed="rId23" cstate="print"/>
        <a:srcRect/>
        <a:stretch>
          <a:fillRect/>
        </a:stretch>
      </xdr:blipFill>
      <xdr:spPr bwMode="auto">
        <a:xfrm>
          <a:off x="247650" y="83715225"/>
          <a:ext cx="552450" cy="609600"/>
        </a:xfrm>
        <a:prstGeom prst="rect">
          <a:avLst/>
        </a:prstGeom>
        <a:noFill/>
        <a:ln w="9525">
          <a:noFill/>
          <a:miter lim="800000"/>
          <a:headEnd/>
          <a:tailEnd/>
        </a:ln>
      </xdr:spPr>
    </xdr:pic>
    <xdr:clientData/>
  </xdr:twoCellAnchor>
  <xdr:twoCellAnchor editAs="oneCell">
    <xdr:from>
      <xdr:col>1</xdr:col>
      <xdr:colOff>0</xdr:colOff>
      <xdr:row>155</xdr:row>
      <xdr:rowOff>9525</xdr:rowOff>
    </xdr:from>
    <xdr:to>
      <xdr:col>2</xdr:col>
      <xdr:colOff>9525</xdr:colOff>
      <xdr:row>155</xdr:row>
      <xdr:rowOff>619125</xdr:rowOff>
    </xdr:to>
    <xdr:pic>
      <xdr:nvPicPr>
        <xdr:cNvPr id="110463" name="Picture 53"/>
        <xdr:cNvPicPr>
          <a:picLocks noChangeAspect="1" noChangeArrowheads="1"/>
        </xdr:cNvPicPr>
      </xdr:nvPicPr>
      <xdr:blipFill>
        <a:blip xmlns:r="http://schemas.openxmlformats.org/officeDocument/2006/relationships" r:embed="rId24" cstate="print"/>
        <a:srcRect/>
        <a:stretch>
          <a:fillRect/>
        </a:stretch>
      </xdr:blipFill>
      <xdr:spPr bwMode="auto">
        <a:xfrm>
          <a:off x="247650" y="91554300"/>
          <a:ext cx="552450" cy="609600"/>
        </a:xfrm>
        <a:prstGeom prst="rect">
          <a:avLst/>
        </a:prstGeom>
        <a:noFill/>
        <a:ln w="9525">
          <a:noFill/>
          <a:miter lim="800000"/>
          <a:headEnd/>
          <a:tailEnd/>
        </a:ln>
      </xdr:spPr>
    </xdr:pic>
    <xdr:clientData/>
  </xdr:twoCellAnchor>
  <xdr:twoCellAnchor editAs="oneCell">
    <xdr:from>
      <xdr:col>1</xdr:col>
      <xdr:colOff>0</xdr:colOff>
      <xdr:row>16</xdr:row>
      <xdr:rowOff>9525</xdr:rowOff>
    </xdr:from>
    <xdr:to>
      <xdr:col>2</xdr:col>
      <xdr:colOff>9525</xdr:colOff>
      <xdr:row>17</xdr:row>
      <xdr:rowOff>9525</xdr:rowOff>
    </xdr:to>
    <xdr:pic>
      <xdr:nvPicPr>
        <xdr:cNvPr id="110465" name="Picture 57"/>
        <xdr:cNvPicPr>
          <a:picLocks noChangeAspect="1" noChangeArrowheads="1"/>
        </xdr:cNvPicPr>
      </xdr:nvPicPr>
      <xdr:blipFill>
        <a:blip xmlns:r="http://schemas.openxmlformats.org/officeDocument/2006/relationships" r:embed="rId25" cstate="print"/>
        <a:srcRect/>
        <a:stretch>
          <a:fillRect/>
        </a:stretch>
      </xdr:blipFill>
      <xdr:spPr bwMode="auto">
        <a:xfrm>
          <a:off x="247650" y="6505575"/>
          <a:ext cx="552450" cy="609600"/>
        </a:xfrm>
        <a:prstGeom prst="rect">
          <a:avLst/>
        </a:prstGeom>
        <a:noFill/>
        <a:ln w="9525">
          <a:noFill/>
          <a:miter lim="800000"/>
          <a:headEnd/>
          <a:tailEnd/>
        </a:ln>
      </xdr:spPr>
    </xdr:pic>
    <xdr:clientData/>
  </xdr:twoCellAnchor>
  <xdr:twoCellAnchor editAs="oneCell">
    <xdr:from>
      <xdr:col>1</xdr:col>
      <xdr:colOff>0</xdr:colOff>
      <xdr:row>158</xdr:row>
      <xdr:rowOff>9525</xdr:rowOff>
    </xdr:from>
    <xdr:to>
      <xdr:col>2</xdr:col>
      <xdr:colOff>9525</xdr:colOff>
      <xdr:row>158</xdr:row>
      <xdr:rowOff>619125</xdr:rowOff>
    </xdr:to>
    <xdr:pic>
      <xdr:nvPicPr>
        <xdr:cNvPr id="110466" name="Picture 59"/>
        <xdr:cNvPicPr>
          <a:picLocks noChangeAspect="1" noChangeArrowheads="1"/>
        </xdr:cNvPicPr>
      </xdr:nvPicPr>
      <xdr:blipFill>
        <a:blip xmlns:r="http://schemas.openxmlformats.org/officeDocument/2006/relationships" r:embed="rId26" cstate="print"/>
        <a:srcRect/>
        <a:stretch>
          <a:fillRect/>
        </a:stretch>
      </xdr:blipFill>
      <xdr:spPr bwMode="auto">
        <a:xfrm>
          <a:off x="247650" y="93421200"/>
          <a:ext cx="552450" cy="609600"/>
        </a:xfrm>
        <a:prstGeom prst="rect">
          <a:avLst/>
        </a:prstGeom>
        <a:noFill/>
        <a:ln w="9525">
          <a:noFill/>
          <a:miter lim="800000"/>
          <a:headEnd/>
          <a:tailEnd/>
        </a:ln>
      </xdr:spPr>
    </xdr:pic>
    <xdr:clientData/>
  </xdr:twoCellAnchor>
  <xdr:twoCellAnchor editAs="oneCell">
    <xdr:from>
      <xdr:col>1</xdr:col>
      <xdr:colOff>0</xdr:colOff>
      <xdr:row>17</xdr:row>
      <xdr:rowOff>9525</xdr:rowOff>
    </xdr:from>
    <xdr:to>
      <xdr:col>2</xdr:col>
      <xdr:colOff>9525</xdr:colOff>
      <xdr:row>17</xdr:row>
      <xdr:rowOff>619125</xdr:rowOff>
    </xdr:to>
    <xdr:pic>
      <xdr:nvPicPr>
        <xdr:cNvPr id="110467" name="Picture 61"/>
        <xdr:cNvPicPr>
          <a:picLocks noChangeAspect="1" noChangeArrowheads="1"/>
        </xdr:cNvPicPr>
      </xdr:nvPicPr>
      <xdr:blipFill>
        <a:blip xmlns:r="http://schemas.openxmlformats.org/officeDocument/2006/relationships" r:embed="rId27" cstate="print"/>
        <a:srcRect/>
        <a:stretch>
          <a:fillRect/>
        </a:stretch>
      </xdr:blipFill>
      <xdr:spPr bwMode="auto">
        <a:xfrm>
          <a:off x="247650" y="7115175"/>
          <a:ext cx="552450" cy="609600"/>
        </a:xfrm>
        <a:prstGeom prst="rect">
          <a:avLst/>
        </a:prstGeom>
        <a:noFill/>
        <a:ln w="9525">
          <a:noFill/>
          <a:miter lim="800000"/>
          <a:headEnd/>
          <a:tailEnd/>
        </a:ln>
      </xdr:spPr>
    </xdr:pic>
    <xdr:clientData/>
  </xdr:twoCellAnchor>
  <xdr:twoCellAnchor editAs="oneCell">
    <xdr:from>
      <xdr:col>1</xdr:col>
      <xdr:colOff>0</xdr:colOff>
      <xdr:row>18</xdr:row>
      <xdr:rowOff>9525</xdr:rowOff>
    </xdr:from>
    <xdr:to>
      <xdr:col>2</xdr:col>
      <xdr:colOff>9525</xdr:colOff>
      <xdr:row>19</xdr:row>
      <xdr:rowOff>9525</xdr:rowOff>
    </xdr:to>
    <xdr:pic>
      <xdr:nvPicPr>
        <xdr:cNvPr id="110468" name="Picture 63"/>
        <xdr:cNvPicPr>
          <a:picLocks noChangeAspect="1" noChangeArrowheads="1"/>
        </xdr:cNvPicPr>
      </xdr:nvPicPr>
      <xdr:blipFill>
        <a:blip xmlns:r="http://schemas.openxmlformats.org/officeDocument/2006/relationships" r:embed="rId28" cstate="print"/>
        <a:srcRect/>
        <a:stretch>
          <a:fillRect/>
        </a:stretch>
      </xdr:blipFill>
      <xdr:spPr bwMode="auto">
        <a:xfrm>
          <a:off x="247650" y="7762875"/>
          <a:ext cx="552450" cy="609600"/>
        </a:xfrm>
        <a:prstGeom prst="rect">
          <a:avLst/>
        </a:prstGeom>
        <a:noFill/>
        <a:ln w="9525">
          <a:noFill/>
          <a:miter lim="800000"/>
          <a:headEnd/>
          <a:tailEnd/>
        </a:ln>
      </xdr:spPr>
    </xdr:pic>
    <xdr:clientData/>
  </xdr:twoCellAnchor>
  <xdr:twoCellAnchor editAs="oneCell">
    <xdr:from>
      <xdr:col>1</xdr:col>
      <xdr:colOff>0</xdr:colOff>
      <xdr:row>19</xdr:row>
      <xdr:rowOff>9525</xdr:rowOff>
    </xdr:from>
    <xdr:to>
      <xdr:col>2</xdr:col>
      <xdr:colOff>9525</xdr:colOff>
      <xdr:row>20</xdr:row>
      <xdr:rowOff>9525</xdr:rowOff>
    </xdr:to>
    <xdr:pic>
      <xdr:nvPicPr>
        <xdr:cNvPr id="110469" name="Picture 65"/>
        <xdr:cNvPicPr>
          <a:picLocks noChangeAspect="1" noChangeArrowheads="1"/>
        </xdr:cNvPicPr>
      </xdr:nvPicPr>
      <xdr:blipFill>
        <a:blip xmlns:r="http://schemas.openxmlformats.org/officeDocument/2006/relationships" r:embed="rId29" cstate="print"/>
        <a:srcRect/>
        <a:stretch>
          <a:fillRect/>
        </a:stretch>
      </xdr:blipFill>
      <xdr:spPr bwMode="auto">
        <a:xfrm>
          <a:off x="247650" y="8372475"/>
          <a:ext cx="552450" cy="609600"/>
        </a:xfrm>
        <a:prstGeom prst="rect">
          <a:avLst/>
        </a:prstGeom>
        <a:noFill/>
        <a:ln w="9525">
          <a:noFill/>
          <a:miter lim="800000"/>
          <a:headEnd/>
          <a:tailEnd/>
        </a:ln>
      </xdr:spPr>
    </xdr:pic>
    <xdr:clientData/>
  </xdr:twoCellAnchor>
  <xdr:twoCellAnchor editAs="oneCell">
    <xdr:from>
      <xdr:col>1</xdr:col>
      <xdr:colOff>0</xdr:colOff>
      <xdr:row>20</xdr:row>
      <xdr:rowOff>9525</xdr:rowOff>
    </xdr:from>
    <xdr:to>
      <xdr:col>2</xdr:col>
      <xdr:colOff>9525</xdr:colOff>
      <xdr:row>21</xdr:row>
      <xdr:rowOff>9525</xdr:rowOff>
    </xdr:to>
    <xdr:pic>
      <xdr:nvPicPr>
        <xdr:cNvPr id="110470" name="Picture 67"/>
        <xdr:cNvPicPr>
          <a:picLocks noChangeAspect="1" noChangeArrowheads="1"/>
        </xdr:cNvPicPr>
      </xdr:nvPicPr>
      <xdr:blipFill>
        <a:blip xmlns:r="http://schemas.openxmlformats.org/officeDocument/2006/relationships" r:embed="rId30" cstate="print"/>
        <a:srcRect/>
        <a:stretch>
          <a:fillRect/>
        </a:stretch>
      </xdr:blipFill>
      <xdr:spPr bwMode="auto">
        <a:xfrm>
          <a:off x="247650" y="8982075"/>
          <a:ext cx="552450" cy="609600"/>
        </a:xfrm>
        <a:prstGeom prst="rect">
          <a:avLst/>
        </a:prstGeom>
        <a:noFill/>
        <a:ln w="9525">
          <a:noFill/>
          <a:miter lim="800000"/>
          <a:headEnd/>
          <a:tailEnd/>
        </a:ln>
      </xdr:spPr>
    </xdr:pic>
    <xdr:clientData/>
  </xdr:twoCellAnchor>
  <xdr:twoCellAnchor editAs="oneCell">
    <xdr:from>
      <xdr:col>1</xdr:col>
      <xdr:colOff>0</xdr:colOff>
      <xdr:row>21</xdr:row>
      <xdr:rowOff>9525</xdr:rowOff>
    </xdr:from>
    <xdr:to>
      <xdr:col>2</xdr:col>
      <xdr:colOff>9525</xdr:colOff>
      <xdr:row>22</xdr:row>
      <xdr:rowOff>9525</xdr:rowOff>
    </xdr:to>
    <xdr:pic>
      <xdr:nvPicPr>
        <xdr:cNvPr id="110471" name="Picture 69"/>
        <xdr:cNvPicPr>
          <a:picLocks noChangeAspect="1" noChangeArrowheads="1"/>
        </xdr:cNvPicPr>
      </xdr:nvPicPr>
      <xdr:blipFill>
        <a:blip xmlns:r="http://schemas.openxmlformats.org/officeDocument/2006/relationships" r:embed="rId31" cstate="print"/>
        <a:srcRect/>
        <a:stretch>
          <a:fillRect/>
        </a:stretch>
      </xdr:blipFill>
      <xdr:spPr bwMode="auto">
        <a:xfrm>
          <a:off x="247650" y="9591675"/>
          <a:ext cx="552450" cy="609600"/>
        </a:xfrm>
        <a:prstGeom prst="rect">
          <a:avLst/>
        </a:prstGeom>
        <a:noFill/>
        <a:ln w="9525">
          <a:noFill/>
          <a:miter lim="800000"/>
          <a:headEnd/>
          <a:tailEnd/>
        </a:ln>
      </xdr:spPr>
    </xdr:pic>
    <xdr:clientData/>
  </xdr:twoCellAnchor>
  <xdr:twoCellAnchor editAs="oneCell">
    <xdr:from>
      <xdr:col>1</xdr:col>
      <xdr:colOff>0</xdr:colOff>
      <xdr:row>21</xdr:row>
      <xdr:rowOff>600075</xdr:rowOff>
    </xdr:from>
    <xdr:to>
      <xdr:col>2</xdr:col>
      <xdr:colOff>9525</xdr:colOff>
      <xdr:row>22</xdr:row>
      <xdr:rowOff>600075</xdr:rowOff>
    </xdr:to>
    <xdr:pic>
      <xdr:nvPicPr>
        <xdr:cNvPr id="110472" name="Picture 71"/>
        <xdr:cNvPicPr>
          <a:picLocks noChangeAspect="1" noChangeArrowheads="1"/>
        </xdr:cNvPicPr>
      </xdr:nvPicPr>
      <xdr:blipFill>
        <a:blip xmlns:r="http://schemas.openxmlformats.org/officeDocument/2006/relationships" r:embed="rId32" cstate="print"/>
        <a:srcRect/>
        <a:stretch>
          <a:fillRect/>
        </a:stretch>
      </xdr:blipFill>
      <xdr:spPr bwMode="auto">
        <a:xfrm>
          <a:off x="247650" y="10325100"/>
          <a:ext cx="552450" cy="609600"/>
        </a:xfrm>
        <a:prstGeom prst="rect">
          <a:avLst/>
        </a:prstGeom>
        <a:noFill/>
        <a:ln w="9525">
          <a:noFill/>
          <a:miter lim="800000"/>
          <a:headEnd/>
          <a:tailEnd/>
        </a:ln>
      </xdr:spPr>
    </xdr:pic>
    <xdr:clientData/>
  </xdr:twoCellAnchor>
  <xdr:twoCellAnchor editAs="oneCell">
    <xdr:from>
      <xdr:col>1</xdr:col>
      <xdr:colOff>0</xdr:colOff>
      <xdr:row>24</xdr:row>
      <xdr:rowOff>9525</xdr:rowOff>
    </xdr:from>
    <xdr:to>
      <xdr:col>2</xdr:col>
      <xdr:colOff>9525</xdr:colOff>
      <xdr:row>25</xdr:row>
      <xdr:rowOff>9525</xdr:rowOff>
    </xdr:to>
    <xdr:pic>
      <xdr:nvPicPr>
        <xdr:cNvPr id="110474" name="Picture 75"/>
        <xdr:cNvPicPr>
          <a:picLocks noChangeAspect="1" noChangeArrowheads="1"/>
        </xdr:cNvPicPr>
      </xdr:nvPicPr>
      <xdr:blipFill>
        <a:blip xmlns:r="http://schemas.openxmlformats.org/officeDocument/2006/relationships" r:embed="rId33" cstate="print"/>
        <a:srcRect/>
        <a:stretch>
          <a:fillRect/>
        </a:stretch>
      </xdr:blipFill>
      <xdr:spPr bwMode="auto">
        <a:xfrm>
          <a:off x="247650" y="11420475"/>
          <a:ext cx="552450" cy="609600"/>
        </a:xfrm>
        <a:prstGeom prst="rect">
          <a:avLst/>
        </a:prstGeom>
        <a:noFill/>
        <a:ln w="9525">
          <a:noFill/>
          <a:miter lim="800000"/>
          <a:headEnd/>
          <a:tailEnd/>
        </a:ln>
      </xdr:spPr>
    </xdr:pic>
    <xdr:clientData/>
  </xdr:twoCellAnchor>
  <xdr:twoCellAnchor editAs="oneCell">
    <xdr:from>
      <xdr:col>1</xdr:col>
      <xdr:colOff>0</xdr:colOff>
      <xdr:row>26</xdr:row>
      <xdr:rowOff>9525</xdr:rowOff>
    </xdr:from>
    <xdr:to>
      <xdr:col>2</xdr:col>
      <xdr:colOff>9525</xdr:colOff>
      <xdr:row>27</xdr:row>
      <xdr:rowOff>9525</xdr:rowOff>
    </xdr:to>
    <xdr:pic>
      <xdr:nvPicPr>
        <xdr:cNvPr id="110475" name="Picture 77"/>
        <xdr:cNvPicPr>
          <a:picLocks noChangeAspect="1" noChangeArrowheads="1"/>
        </xdr:cNvPicPr>
      </xdr:nvPicPr>
      <xdr:blipFill>
        <a:blip xmlns:r="http://schemas.openxmlformats.org/officeDocument/2006/relationships" r:embed="rId34" cstate="print"/>
        <a:srcRect/>
        <a:stretch>
          <a:fillRect/>
        </a:stretch>
      </xdr:blipFill>
      <xdr:spPr bwMode="auto">
        <a:xfrm>
          <a:off x="247650" y="12639675"/>
          <a:ext cx="552450" cy="609600"/>
        </a:xfrm>
        <a:prstGeom prst="rect">
          <a:avLst/>
        </a:prstGeom>
        <a:noFill/>
        <a:ln w="9525">
          <a:noFill/>
          <a:miter lim="800000"/>
          <a:headEnd/>
          <a:tailEnd/>
        </a:ln>
      </xdr:spPr>
    </xdr:pic>
    <xdr:clientData/>
  </xdr:twoCellAnchor>
  <xdr:twoCellAnchor editAs="oneCell">
    <xdr:from>
      <xdr:col>1</xdr:col>
      <xdr:colOff>0</xdr:colOff>
      <xdr:row>27</xdr:row>
      <xdr:rowOff>9525</xdr:rowOff>
    </xdr:from>
    <xdr:to>
      <xdr:col>2</xdr:col>
      <xdr:colOff>9525</xdr:colOff>
      <xdr:row>28</xdr:row>
      <xdr:rowOff>9525</xdr:rowOff>
    </xdr:to>
    <xdr:pic>
      <xdr:nvPicPr>
        <xdr:cNvPr id="110476" name="Picture 79"/>
        <xdr:cNvPicPr>
          <a:picLocks noChangeAspect="1" noChangeArrowheads="1"/>
        </xdr:cNvPicPr>
      </xdr:nvPicPr>
      <xdr:blipFill>
        <a:blip xmlns:r="http://schemas.openxmlformats.org/officeDocument/2006/relationships" r:embed="rId35" cstate="print"/>
        <a:srcRect/>
        <a:stretch>
          <a:fillRect/>
        </a:stretch>
      </xdr:blipFill>
      <xdr:spPr bwMode="auto">
        <a:xfrm>
          <a:off x="247650" y="13249275"/>
          <a:ext cx="552450" cy="609600"/>
        </a:xfrm>
        <a:prstGeom prst="rect">
          <a:avLst/>
        </a:prstGeom>
        <a:noFill/>
        <a:ln w="9525">
          <a:noFill/>
          <a:miter lim="800000"/>
          <a:headEnd/>
          <a:tailEnd/>
        </a:ln>
      </xdr:spPr>
    </xdr:pic>
    <xdr:clientData/>
  </xdr:twoCellAnchor>
  <xdr:twoCellAnchor editAs="oneCell">
    <xdr:from>
      <xdr:col>1</xdr:col>
      <xdr:colOff>0</xdr:colOff>
      <xdr:row>28</xdr:row>
      <xdr:rowOff>9525</xdr:rowOff>
    </xdr:from>
    <xdr:to>
      <xdr:col>2</xdr:col>
      <xdr:colOff>9525</xdr:colOff>
      <xdr:row>29</xdr:row>
      <xdr:rowOff>9525</xdr:rowOff>
    </xdr:to>
    <xdr:pic>
      <xdr:nvPicPr>
        <xdr:cNvPr id="110477" name="Picture 81"/>
        <xdr:cNvPicPr>
          <a:picLocks noChangeAspect="1" noChangeArrowheads="1"/>
        </xdr:cNvPicPr>
      </xdr:nvPicPr>
      <xdr:blipFill>
        <a:blip xmlns:r="http://schemas.openxmlformats.org/officeDocument/2006/relationships" r:embed="rId36" cstate="print"/>
        <a:srcRect/>
        <a:stretch>
          <a:fillRect/>
        </a:stretch>
      </xdr:blipFill>
      <xdr:spPr bwMode="auto">
        <a:xfrm>
          <a:off x="247650" y="13858875"/>
          <a:ext cx="552450" cy="609600"/>
        </a:xfrm>
        <a:prstGeom prst="rect">
          <a:avLst/>
        </a:prstGeom>
        <a:noFill/>
        <a:ln w="9525">
          <a:noFill/>
          <a:miter lim="800000"/>
          <a:headEnd/>
          <a:tailEnd/>
        </a:ln>
      </xdr:spPr>
    </xdr:pic>
    <xdr:clientData/>
  </xdr:twoCellAnchor>
  <xdr:twoCellAnchor editAs="oneCell">
    <xdr:from>
      <xdr:col>1</xdr:col>
      <xdr:colOff>0</xdr:colOff>
      <xdr:row>29</xdr:row>
      <xdr:rowOff>9525</xdr:rowOff>
    </xdr:from>
    <xdr:to>
      <xdr:col>2</xdr:col>
      <xdr:colOff>9525</xdr:colOff>
      <xdr:row>30</xdr:row>
      <xdr:rowOff>9525</xdr:rowOff>
    </xdr:to>
    <xdr:pic>
      <xdr:nvPicPr>
        <xdr:cNvPr id="110478" name="Picture 83"/>
        <xdr:cNvPicPr>
          <a:picLocks noChangeAspect="1" noChangeArrowheads="1"/>
        </xdr:cNvPicPr>
      </xdr:nvPicPr>
      <xdr:blipFill>
        <a:blip xmlns:r="http://schemas.openxmlformats.org/officeDocument/2006/relationships" r:embed="rId37" cstate="print"/>
        <a:srcRect/>
        <a:stretch>
          <a:fillRect/>
        </a:stretch>
      </xdr:blipFill>
      <xdr:spPr bwMode="auto">
        <a:xfrm>
          <a:off x="247650" y="14468475"/>
          <a:ext cx="552450" cy="609600"/>
        </a:xfrm>
        <a:prstGeom prst="rect">
          <a:avLst/>
        </a:prstGeom>
        <a:noFill/>
        <a:ln w="9525">
          <a:noFill/>
          <a:miter lim="800000"/>
          <a:headEnd/>
          <a:tailEnd/>
        </a:ln>
      </xdr:spPr>
    </xdr:pic>
    <xdr:clientData/>
  </xdr:twoCellAnchor>
  <xdr:twoCellAnchor editAs="oneCell">
    <xdr:from>
      <xdr:col>1</xdr:col>
      <xdr:colOff>0</xdr:colOff>
      <xdr:row>32</xdr:row>
      <xdr:rowOff>9525</xdr:rowOff>
    </xdr:from>
    <xdr:to>
      <xdr:col>2</xdr:col>
      <xdr:colOff>9525</xdr:colOff>
      <xdr:row>33</xdr:row>
      <xdr:rowOff>9525</xdr:rowOff>
    </xdr:to>
    <xdr:pic>
      <xdr:nvPicPr>
        <xdr:cNvPr id="110480" name="Picture 87"/>
        <xdr:cNvPicPr>
          <a:picLocks noChangeAspect="1" noChangeArrowheads="1"/>
        </xdr:cNvPicPr>
      </xdr:nvPicPr>
      <xdr:blipFill>
        <a:blip xmlns:r="http://schemas.openxmlformats.org/officeDocument/2006/relationships" r:embed="rId38" cstate="print"/>
        <a:srcRect/>
        <a:stretch>
          <a:fillRect/>
        </a:stretch>
      </xdr:blipFill>
      <xdr:spPr bwMode="auto">
        <a:xfrm>
          <a:off x="247650" y="16297275"/>
          <a:ext cx="552450" cy="609600"/>
        </a:xfrm>
        <a:prstGeom prst="rect">
          <a:avLst/>
        </a:prstGeom>
        <a:noFill/>
        <a:ln w="9525">
          <a:noFill/>
          <a:miter lim="800000"/>
          <a:headEnd/>
          <a:tailEnd/>
        </a:ln>
      </xdr:spPr>
    </xdr:pic>
    <xdr:clientData/>
  </xdr:twoCellAnchor>
  <xdr:twoCellAnchor editAs="oneCell">
    <xdr:from>
      <xdr:col>1</xdr:col>
      <xdr:colOff>0</xdr:colOff>
      <xdr:row>34</xdr:row>
      <xdr:rowOff>9525</xdr:rowOff>
    </xdr:from>
    <xdr:to>
      <xdr:col>2</xdr:col>
      <xdr:colOff>9525</xdr:colOff>
      <xdr:row>35</xdr:row>
      <xdr:rowOff>9525</xdr:rowOff>
    </xdr:to>
    <xdr:pic>
      <xdr:nvPicPr>
        <xdr:cNvPr id="110481" name="Picture 89"/>
        <xdr:cNvPicPr>
          <a:picLocks noChangeAspect="1" noChangeArrowheads="1"/>
        </xdr:cNvPicPr>
      </xdr:nvPicPr>
      <xdr:blipFill>
        <a:blip xmlns:r="http://schemas.openxmlformats.org/officeDocument/2006/relationships" r:embed="rId39" cstate="print"/>
        <a:srcRect/>
        <a:stretch>
          <a:fillRect/>
        </a:stretch>
      </xdr:blipFill>
      <xdr:spPr bwMode="auto">
        <a:xfrm>
          <a:off x="247650" y="17516475"/>
          <a:ext cx="552450" cy="609600"/>
        </a:xfrm>
        <a:prstGeom prst="rect">
          <a:avLst/>
        </a:prstGeom>
        <a:noFill/>
        <a:ln w="9525">
          <a:noFill/>
          <a:miter lim="800000"/>
          <a:headEnd/>
          <a:tailEnd/>
        </a:ln>
      </xdr:spPr>
    </xdr:pic>
    <xdr:clientData/>
  </xdr:twoCellAnchor>
  <xdr:twoCellAnchor editAs="oneCell">
    <xdr:from>
      <xdr:col>1</xdr:col>
      <xdr:colOff>0</xdr:colOff>
      <xdr:row>35</xdr:row>
      <xdr:rowOff>9525</xdr:rowOff>
    </xdr:from>
    <xdr:to>
      <xdr:col>2</xdr:col>
      <xdr:colOff>9525</xdr:colOff>
      <xdr:row>36</xdr:row>
      <xdr:rowOff>9525</xdr:rowOff>
    </xdr:to>
    <xdr:pic>
      <xdr:nvPicPr>
        <xdr:cNvPr id="110482" name="Picture 91"/>
        <xdr:cNvPicPr>
          <a:picLocks noChangeAspect="1" noChangeArrowheads="1"/>
        </xdr:cNvPicPr>
      </xdr:nvPicPr>
      <xdr:blipFill>
        <a:blip xmlns:r="http://schemas.openxmlformats.org/officeDocument/2006/relationships" r:embed="rId40" cstate="print"/>
        <a:srcRect/>
        <a:stretch>
          <a:fillRect/>
        </a:stretch>
      </xdr:blipFill>
      <xdr:spPr bwMode="auto">
        <a:xfrm>
          <a:off x="247650" y="18126075"/>
          <a:ext cx="552450" cy="609600"/>
        </a:xfrm>
        <a:prstGeom prst="rect">
          <a:avLst/>
        </a:prstGeom>
        <a:noFill/>
        <a:ln w="9525">
          <a:noFill/>
          <a:miter lim="800000"/>
          <a:headEnd/>
          <a:tailEnd/>
        </a:ln>
      </xdr:spPr>
    </xdr:pic>
    <xdr:clientData/>
  </xdr:twoCellAnchor>
  <xdr:twoCellAnchor editAs="oneCell">
    <xdr:from>
      <xdr:col>1</xdr:col>
      <xdr:colOff>0</xdr:colOff>
      <xdr:row>36</xdr:row>
      <xdr:rowOff>9525</xdr:rowOff>
    </xdr:from>
    <xdr:to>
      <xdr:col>2</xdr:col>
      <xdr:colOff>9525</xdr:colOff>
      <xdr:row>37</xdr:row>
      <xdr:rowOff>9525</xdr:rowOff>
    </xdr:to>
    <xdr:pic>
      <xdr:nvPicPr>
        <xdr:cNvPr id="110483" name="Picture 93"/>
        <xdr:cNvPicPr>
          <a:picLocks noChangeAspect="1" noChangeArrowheads="1"/>
        </xdr:cNvPicPr>
      </xdr:nvPicPr>
      <xdr:blipFill>
        <a:blip xmlns:r="http://schemas.openxmlformats.org/officeDocument/2006/relationships" r:embed="rId41" cstate="print"/>
        <a:srcRect/>
        <a:stretch>
          <a:fillRect/>
        </a:stretch>
      </xdr:blipFill>
      <xdr:spPr bwMode="auto">
        <a:xfrm>
          <a:off x="247650" y="18735675"/>
          <a:ext cx="552450" cy="609600"/>
        </a:xfrm>
        <a:prstGeom prst="rect">
          <a:avLst/>
        </a:prstGeom>
        <a:noFill/>
        <a:ln w="9525">
          <a:noFill/>
          <a:miter lim="800000"/>
          <a:headEnd/>
          <a:tailEnd/>
        </a:ln>
      </xdr:spPr>
    </xdr:pic>
    <xdr:clientData/>
  </xdr:twoCellAnchor>
  <xdr:twoCellAnchor editAs="oneCell">
    <xdr:from>
      <xdr:col>1</xdr:col>
      <xdr:colOff>0</xdr:colOff>
      <xdr:row>37</xdr:row>
      <xdr:rowOff>9525</xdr:rowOff>
    </xdr:from>
    <xdr:to>
      <xdr:col>2</xdr:col>
      <xdr:colOff>9525</xdr:colOff>
      <xdr:row>38</xdr:row>
      <xdr:rowOff>9525</xdr:rowOff>
    </xdr:to>
    <xdr:pic>
      <xdr:nvPicPr>
        <xdr:cNvPr id="110484" name="Picture 95"/>
        <xdr:cNvPicPr>
          <a:picLocks noChangeAspect="1" noChangeArrowheads="1"/>
        </xdr:cNvPicPr>
      </xdr:nvPicPr>
      <xdr:blipFill>
        <a:blip xmlns:r="http://schemas.openxmlformats.org/officeDocument/2006/relationships" r:embed="rId42" cstate="print"/>
        <a:srcRect/>
        <a:stretch>
          <a:fillRect/>
        </a:stretch>
      </xdr:blipFill>
      <xdr:spPr bwMode="auto">
        <a:xfrm>
          <a:off x="247650" y="19345275"/>
          <a:ext cx="552450" cy="609600"/>
        </a:xfrm>
        <a:prstGeom prst="rect">
          <a:avLst/>
        </a:prstGeom>
        <a:noFill/>
        <a:ln w="9525">
          <a:noFill/>
          <a:miter lim="800000"/>
          <a:headEnd/>
          <a:tailEnd/>
        </a:ln>
      </xdr:spPr>
    </xdr:pic>
    <xdr:clientData/>
  </xdr:twoCellAnchor>
  <xdr:twoCellAnchor editAs="oneCell">
    <xdr:from>
      <xdr:col>1</xdr:col>
      <xdr:colOff>0</xdr:colOff>
      <xdr:row>37</xdr:row>
      <xdr:rowOff>600075</xdr:rowOff>
    </xdr:from>
    <xdr:to>
      <xdr:col>2</xdr:col>
      <xdr:colOff>9525</xdr:colOff>
      <xdr:row>38</xdr:row>
      <xdr:rowOff>600075</xdr:rowOff>
    </xdr:to>
    <xdr:pic>
      <xdr:nvPicPr>
        <xdr:cNvPr id="110485" name="Picture 97"/>
        <xdr:cNvPicPr>
          <a:picLocks noChangeAspect="1" noChangeArrowheads="1"/>
        </xdr:cNvPicPr>
      </xdr:nvPicPr>
      <xdr:blipFill>
        <a:blip xmlns:r="http://schemas.openxmlformats.org/officeDocument/2006/relationships" r:embed="rId43" cstate="print"/>
        <a:srcRect/>
        <a:stretch>
          <a:fillRect/>
        </a:stretch>
      </xdr:blipFill>
      <xdr:spPr bwMode="auto">
        <a:xfrm>
          <a:off x="247650" y="20078700"/>
          <a:ext cx="552450" cy="609600"/>
        </a:xfrm>
        <a:prstGeom prst="rect">
          <a:avLst/>
        </a:prstGeom>
        <a:noFill/>
        <a:ln w="9525">
          <a:noFill/>
          <a:miter lim="800000"/>
          <a:headEnd/>
          <a:tailEnd/>
        </a:ln>
      </xdr:spPr>
    </xdr:pic>
    <xdr:clientData/>
  </xdr:twoCellAnchor>
  <xdr:twoCellAnchor editAs="oneCell">
    <xdr:from>
      <xdr:col>1</xdr:col>
      <xdr:colOff>0</xdr:colOff>
      <xdr:row>39</xdr:row>
      <xdr:rowOff>19050</xdr:rowOff>
    </xdr:from>
    <xdr:to>
      <xdr:col>2</xdr:col>
      <xdr:colOff>9525</xdr:colOff>
      <xdr:row>40</xdr:row>
      <xdr:rowOff>19050</xdr:rowOff>
    </xdr:to>
    <xdr:pic>
      <xdr:nvPicPr>
        <xdr:cNvPr id="110486" name="Picture 99"/>
        <xdr:cNvPicPr>
          <a:picLocks noChangeAspect="1" noChangeArrowheads="1"/>
        </xdr:cNvPicPr>
      </xdr:nvPicPr>
      <xdr:blipFill>
        <a:blip xmlns:r="http://schemas.openxmlformats.org/officeDocument/2006/relationships" r:embed="rId44" cstate="print"/>
        <a:srcRect/>
        <a:stretch>
          <a:fillRect/>
        </a:stretch>
      </xdr:blipFill>
      <xdr:spPr bwMode="auto">
        <a:xfrm>
          <a:off x="247650" y="20716875"/>
          <a:ext cx="552450" cy="609600"/>
        </a:xfrm>
        <a:prstGeom prst="rect">
          <a:avLst/>
        </a:prstGeom>
        <a:noFill/>
        <a:ln w="9525">
          <a:noFill/>
          <a:miter lim="800000"/>
          <a:headEnd/>
          <a:tailEnd/>
        </a:ln>
      </xdr:spPr>
    </xdr:pic>
    <xdr:clientData/>
  </xdr:twoCellAnchor>
  <xdr:twoCellAnchor editAs="oneCell">
    <xdr:from>
      <xdr:col>1</xdr:col>
      <xdr:colOff>0</xdr:colOff>
      <xdr:row>40</xdr:row>
      <xdr:rowOff>9525</xdr:rowOff>
    </xdr:from>
    <xdr:to>
      <xdr:col>2</xdr:col>
      <xdr:colOff>9525</xdr:colOff>
      <xdr:row>41</xdr:row>
      <xdr:rowOff>9525</xdr:rowOff>
    </xdr:to>
    <xdr:pic>
      <xdr:nvPicPr>
        <xdr:cNvPr id="110487" name="Picture 101"/>
        <xdr:cNvPicPr>
          <a:picLocks noChangeAspect="1" noChangeArrowheads="1"/>
        </xdr:cNvPicPr>
      </xdr:nvPicPr>
      <xdr:blipFill>
        <a:blip xmlns:r="http://schemas.openxmlformats.org/officeDocument/2006/relationships" r:embed="rId45" cstate="print"/>
        <a:srcRect/>
        <a:stretch>
          <a:fillRect/>
        </a:stretch>
      </xdr:blipFill>
      <xdr:spPr bwMode="auto">
        <a:xfrm>
          <a:off x="247650" y="21174075"/>
          <a:ext cx="552450" cy="609600"/>
        </a:xfrm>
        <a:prstGeom prst="rect">
          <a:avLst/>
        </a:prstGeom>
        <a:noFill/>
        <a:ln w="9525">
          <a:noFill/>
          <a:miter lim="800000"/>
          <a:headEnd/>
          <a:tailEnd/>
        </a:ln>
      </xdr:spPr>
    </xdr:pic>
    <xdr:clientData/>
  </xdr:twoCellAnchor>
  <xdr:twoCellAnchor editAs="oneCell">
    <xdr:from>
      <xdr:col>1</xdr:col>
      <xdr:colOff>0</xdr:colOff>
      <xdr:row>41</xdr:row>
      <xdr:rowOff>9525</xdr:rowOff>
    </xdr:from>
    <xdr:to>
      <xdr:col>2</xdr:col>
      <xdr:colOff>9525</xdr:colOff>
      <xdr:row>42</xdr:row>
      <xdr:rowOff>9525</xdr:rowOff>
    </xdr:to>
    <xdr:pic>
      <xdr:nvPicPr>
        <xdr:cNvPr id="110488" name="Picture 103"/>
        <xdr:cNvPicPr>
          <a:picLocks noChangeAspect="1" noChangeArrowheads="1"/>
        </xdr:cNvPicPr>
      </xdr:nvPicPr>
      <xdr:blipFill>
        <a:blip xmlns:r="http://schemas.openxmlformats.org/officeDocument/2006/relationships" r:embed="rId46" cstate="print"/>
        <a:srcRect/>
        <a:stretch>
          <a:fillRect/>
        </a:stretch>
      </xdr:blipFill>
      <xdr:spPr bwMode="auto">
        <a:xfrm>
          <a:off x="247650" y="21783675"/>
          <a:ext cx="552450" cy="609600"/>
        </a:xfrm>
        <a:prstGeom prst="rect">
          <a:avLst/>
        </a:prstGeom>
        <a:noFill/>
        <a:ln w="9525">
          <a:noFill/>
          <a:miter lim="800000"/>
          <a:headEnd/>
          <a:tailEnd/>
        </a:ln>
      </xdr:spPr>
    </xdr:pic>
    <xdr:clientData/>
  </xdr:twoCellAnchor>
  <xdr:twoCellAnchor editAs="oneCell">
    <xdr:from>
      <xdr:col>1</xdr:col>
      <xdr:colOff>0</xdr:colOff>
      <xdr:row>42</xdr:row>
      <xdr:rowOff>9525</xdr:rowOff>
    </xdr:from>
    <xdr:to>
      <xdr:col>2</xdr:col>
      <xdr:colOff>9525</xdr:colOff>
      <xdr:row>43</xdr:row>
      <xdr:rowOff>9525</xdr:rowOff>
    </xdr:to>
    <xdr:pic>
      <xdr:nvPicPr>
        <xdr:cNvPr id="110489" name="Picture 105"/>
        <xdr:cNvPicPr>
          <a:picLocks noChangeAspect="1" noChangeArrowheads="1"/>
        </xdr:cNvPicPr>
      </xdr:nvPicPr>
      <xdr:blipFill>
        <a:blip xmlns:r="http://schemas.openxmlformats.org/officeDocument/2006/relationships" r:embed="rId47" cstate="print"/>
        <a:srcRect/>
        <a:stretch>
          <a:fillRect/>
        </a:stretch>
      </xdr:blipFill>
      <xdr:spPr bwMode="auto">
        <a:xfrm>
          <a:off x="247650" y="22393275"/>
          <a:ext cx="552450" cy="609600"/>
        </a:xfrm>
        <a:prstGeom prst="rect">
          <a:avLst/>
        </a:prstGeom>
        <a:noFill/>
        <a:ln w="9525">
          <a:noFill/>
          <a:miter lim="800000"/>
          <a:headEnd/>
          <a:tailEnd/>
        </a:ln>
      </xdr:spPr>
    </xdr:pic>
    <xdr:clientData/>
  </xdr:twoCellAnchor>
  <xdr:twoCellAnchor editAs="oneCell">
    <xdr:from>
      <xdr:col>1</xdr:col>
      <xdr:colOff>0</xdr:colOff>
      <xdr:row>43</xdr:row>
      <xdr:rowOff>9525</xdr:rowOff>
    </xdr:from>
    <xdr:to>
      <xdr:col>2</xdr:col>
      <xdr:colOff>9525</xdr:colOff>
      <xdr:row>44</xdr:row>
      <xdr:rowOff>9525</xdr:rowOff>
    </xdr:to>
    <xdr:pic>
      <xdr:nvPicPr>
        <xdr:cNvPr id="110490" name="Picture 107"/>
        <xdr:cNvPicPr>
          <a:picLocks noChangeAspect="1" noChangeArrowheads="1"/>
        </xdr:cNvPicPr>
      </xdr:nvPicPr>
      <xdr:blipFill>
        <a:blip xmlns:r="http://schemas.openxmlformats.org/officeDocument/2006/relationships" r:embed="rId48" cstate="print"/>
        <a:srcRect/>
        <a:stretch>
          <a:fillRect/>
        </a:stretch>
      </xdr:blipFill>
      <xdr:spPr bwMode="auto">
        <a:xfrm>
          <a:off x="247650" y="23002875"/>
          <a:ext cx="552450" cy="609600"/>
        </a:xfrm>
        <a:prstGeom prst="rect">
          <a:avLst/>
        </a:prstGeom>
        <a:noFill/>
        <a:ln w="9525">
          <a:noFill/>
          <a:miter lim="800000"/>
          <a:headEnd/>
          <a:tailEnd/>
        </a:ln>
      </xdr:spPr>
    </xdr:pic>
    <xdr:clientData/>
  </xdr:twoCellAnchor>
  <xdr:twoCellAnchor editAs="oneCell">
    <xdr:from>
      <xdr:col>1</xdr:col>
      <xdr:colOff>0</xdr:colOff>
      <xdr:row>44</xdr:row>
      <xdr:rowOff>9525</xdr:rowOff>
    </xdr:from>
    <xdr:to>
      <xdr:col>2</xdr:col>
      <xdr:colOff>9525</xdr:colOff>
      <xdr:row>45</xdr:row>
      <xdr:rowOff>9525</xdr:rowOff>
    </xdr:to>
    <xdr:pic>
      <xdr:nvPicPr>
        <xdr:cNvPr id="110491" name="Picture 109"/>
        <xdr:cNvPicPr>
          <a:picLocks noChangeAspect="1" noChangeArrowheads="1"/>
        </xdr:cNvPicPr>
      </xdr:nvPicPr>
      <xdr:blipFill>
        <a:blip xmlns:r="http://schemas.openxmlformats.org/officeDocument/2006/relationships" r:embed="rId49" cstate="print"/>
        <a:srcRect/>
        <a:stretch>
          <a:fillRect/>
        </a:stretch>
      </xdr:blipFill>
      <xdr:spPr bwMode="auto">
        <a:xfrm>
          <a:off x="247650" y="23612475"/>
          <a:ext cx="552450" cy="609600"/>
        </a:xfrm>
        <a:prstGeom prst="rect">
          <a:avLst/>
        </a:prstGeom>
        <a:noFill/>
        <a:ln w="9525">
          <a:noFill/>
          <a:miter lim="800000"/>
          <a:headEnd/>
          <a:tailEnd/>
        </a:ln>
      </xdr:spPr>
    </xdr:pic>
    <xdr:clientData/>
  </xdr:twoCellAnchor>
  <xdr:twoCellAnchor editAs="oneCell">
    <xdr:from>
      <xdr:col>1</xdr:col>
      <xdr:colOff>0</xdr:colOff>
      <xdr:row>45</xdr:row>
      <xdr:rowOff>9525</xdr:rowOff>
    </xdr:from>
    <xdr:to>
      <xdr:col>2</xdr:col>
      <xdr:colOff>9525</xdr:colOff>
      <xdr:row>46</xdr:row>
      <xdr:rowOff>9525</xdr:rowOff>
    </xdr:to>
    <xdr:pic>
      <xdr:nvPicPr>
        <xdr:cNvPr id="110492" name="Picture 111"/>
        <xdr:cNvPicPr>
          <a:picLocks noChangeAspect="1" noChangeArrowheads="1"/>
        </xdr:cNvPicPr>
      </xdr:nvPicPr>
      <xdr:blipFill>
        <a:blip xmlns:r="http://schemas.openxmlformats.org/officeDocument/2006/relationships" r:embed="rId50" cstate="print"/>
        <a:srcRect/>
        <a:stretch>
          <a:fillRect/>
        </a:stretch>
      </xdr:blipFill>
      <xdr:spPr bwMode="auto">
        <a:xfrm>
          <a:off x="247650" y="24222075"/>
          <a:ext cx="552450" cy="609600"/>
        </a:xfrm>
        <a:prstGeom prst="rect">
          <a:avLst/>
        </a:prstGeom>
        <a:noFill/>
        <a:ln w="9525">
          <a:noFill/>
          <a:miter lim="800000"/>
          <a:headEnd/>
          <a:tailEnd/>
        </a:ln>
      </xdr:spPr>
    </xdr:pic>
    <xdr:clientData/>
  </xdr:twoCellAnchor>
  <xdr:twoCellAnchor editAs="oneCell">
    <xdr:from>
      <xdr:col>1</xdr:col>
      <xdr:colOff>0</xdr:colOff>
      <xdr:row>45</xdr:row>
      <xdr:rowOff>600075</xdr:rowOff>
    </xdr:from>
    <xdr:to>
      <xdr:col>2</xdr:col>
      <xdr:colOff>9525</xdr:colOff>
      <xdr:row>46</xdr:row>
      <xdr:rowOff>600075</xdr:rowOff>
    </xdr:to>
    <xdr:pic>
      <xdr:nvPicPr>
        <xdr:cNvPr id="110493" name="Picture 113"/>
        <xdr:cNvPicPr>
          <a:picLocks noChangeAspect="1" noChangeArrowheads="1"/>
        </xdr:cNvPicPr>
      </xdr:nvPicPr>
      <xdr:blipFill>
        <a:blip xmlns:r="http://schemas.openxmlformats.org/officeDocument/2006/relationships" r:embed="rId51" cstate="print"/>
        <a:srcRect/>
        <a:stretch>
          <a:fillRect/>
        </a:stretch>
      </xdr:blipFill>
      <xdr:spPr bwMode="auto">
        <a:xfrm>
          <a:off x="247650" y="24955500"/>
          <a:ext cx="552450" cy="609600"/>
        </a:xfrm>
        <a:prstGeom prst="rect">
          <a:avLst/>
        </a:prstGeom>
        <a:noFill/>
        <a:ln w="9525">
          <a:noFill/>
          <a:miter lim="800000"/>
          <a:headEnd/>
          <a:tailEnd/>
        </a:ln>
      </xdr:spPr>
    </xdr:pic>
    <xdr:clientData/>
  </xdr:twoCellAnchor>
  <xdr:twoCellAnchor editAs="oneCell">
    <xdr:from>
      <xdr:col>1</xdr:col>
      <xdr:colOff>0</xdr:colOff>
      <xdr:row>50</xdr:row>
      <xdr:rowOff>9525</xdr:rowOff>
    </xdr:from>
    <xdr:to>
      <xdr:col>2</xdr:col>
      <xdr:colOff>9525</xdr:colOff>
      <xdr:row>51</xdr:row>
      <xdr:rowOff>9525</xdr:rowOff>
    </xdr:to>
    <xdr:pic>
      <xdr:nvPicPr>
        <xdr:cNvPr id="110494" name="Picture 117"/>
        <xdr:cNvPicPr>
          <a:picLocks noChangeAspect="1" noChangeArrowheads="1"/>
        </xdr:cNvPicPr>
      </xdr:nvPicPr>
      <xdr:blipFill>
        <a:blip xmlns:r="http://schemas.openxmlformats.org/officeDocument/2006/relationships" r:embed="rId52" cstate="print"/>
        <a:srcRect/>
        <a:stretch>
          <a:fillRect/>
        </a:stretch>
      </xdr:blipFill>
      <xdr:spPr bwMode="auto">
        <a:xfrm>
          <a:off x="247650" y="27270075"/>
          <a:ext cx="552450" cy="609600"/>
        </a:xfrm>
        <a:prstGeom prst="rect">
          <a:avLst/>
        </a:prstGeom>
        <a:noFill/>
        <a:ln w="9525">
          <a:noFill/>
          <a:miter lim="800000"/>
          <a:headEnd/>
          <a:tailEnd/>
        </a:ln>
      </xdr:spPr>
    </xdr:pic>
    <xdr:clientData/>
  </xdr:twoCellAnchor>
  <xdr:twoCellAnchor editAs="oneCell">
    <xdr:from>
      <xdr:col>1</xdr:col>
      <xdr:colOff>0</xdr:colOff>
      <xdr:row>49</xdr:row>
      <xdr:rowOff>9525</xdr:rowOff>
    </xdr:from>
    <xdr:to>
      <xdr:col>2</xdr:col>
      <xdr:colOff>9525</xdr:colOff>
      <xdr:row>50</xdr:row>
      <xdr:rowOff>9525</xdr:rowOff>
    </xdr:to>
    <xdr:pic>
      <xdr:nvPicPr>
        <xdr:cNvPr id="110495" name="Picture 115"/>
        <xdr:cNvPicPr>
          <a:picLocks noChangeAspect="1" noChangeArrowheads="1"/>
        </xdr:cNvPicPr>
      </xdr:nvPicPr>
      <xdr:blipFill>
        <a:blip xmlns:r="http://schemas.openxmlformats.org/officeDocument/2006/relationships" r:embed="rId53" cstate="print"/>
        <a:srcRect/>
        <a:stretch>
          <a:fillRect/>
        </a:stretch>
      </xdr:blipFill>
      <xdr:spPr bwMode="auto">
        <a:xfrm>
          <a:off x="247650" y="26660475"/>
          <a:ext cx="552450" cy="609600"/>
        </a:xfrm>
        <a:prstGeom prst="rect">
          <a:avLst/>
        </a:prstGeom>
        <a:noFill/>
        <a:ln w="9525">
          <a:noFill/>
          <a:miter lim="800000"/>
          <a:headEnd/>
          <a:tailEnd/>
        </a:ln>
      </xdr:spPr>
    </xdr:pic>
    <xdr:clientData/>
  </xdr:twoCellAnchor>
  <xdr:twoCellAnchor editAs="oneCell">
    <xdr:from>
      <xdr:col>1</xdr:col>
      <xdr:colOff>0</xdr:colOff>
      <xdr:row>53</xdr:row>
      <xdr:rowOff>9525</xdr:rowOff>
    </xdr:from>
    <xdr:to>
      <xdr:col>2</xdr:col>
      <xdr:colOff>9525</xdr:colOff>
      <xdr:row>54</xdr:row>
      <xdr:rowOff>9525</xdr:rowOff>
    </xdr:to>
    <xdr:pic>
      <xdr:nvPicPr>
        <xdr:cNvPr id="110496" name="Picture 176"/>
        <xdr:cNvPicPr>
          <a:picLocks noChangeAspect="1" noChangeArrowheads="1"/>
        </xdr:cNvPicPr>
      </xdr:nvPicPr>
      <xdr:blipFill>
        <a:blip xmlns:r="http://schemas.openxmlformats.org/officeDocument/2006/relationships" r:embed="rId54" cstate="print"/>
        <a:srcRect/>
        <a:stretch>
          <a:fillRect/>
        </a:stretch>
      </xdr:blipFill>
      <xdr:spPr bwMode="auto">
        <a:xfrm>
          <a:off x="247650" y="29146500"/>
          <a:ext cx="552450" cy="609600"/>
        </a:xfrm>
        <a:prstGeom prst="rect">
          <a:avLst/>
        </a:prstGeom>
        <a:noFill/>
        <a:ln w="9525">
          <a:noFill/>
          <a:miter lim="800000"/>
          <a:headEnd/>
          <a:tailEnd/>
        </a:ln>
      </xdr:spPr>
    </xdr:pic>
    <xdr:clientData/>
  </xdr:twoCellAnchor>
  <xdr:twoCellAnchor editAs="oneCell">
    <xdr:from>
      <xdr:col>1</xdr:col>
      <xdr:colOff>0</xdr:colOff>
      <xdr:row>54</xdr:row>
      <xdr:rowOff>0</xdr:rowOff>
    </xdr:from>
    <xdr:to>
      <xdr:col>2</xdr:col>
      <xdr:colOff>9525</xdr:colOff>
      <xdr:row>54</xdr:row>
      <xdr:rowOff>609600</xdr:rowOff>
    </xdr:to>
    <xdr:pic>
      <xdr:nvPicPr>
        <xdr:cNvPr id="110497" name="Picture 178"/>
        <xdr:cNvPicPr>
          <a:picLocks noChangeAspect="1" noChangeArrowheads="1"/>
        </xdr:cNvPicPr>
      </xdr:nvPicPr>
      <xdr:blipFill>
        <a:blip xmlns:r="http://schemas.openxmlformats.org/officeDocument/2006/relationships" r:embed="rId55" cstate="print"/>
        <a:srcRect/>
        <a:stretch>
          <a:fillRect/>
        </a:stretch>
      </xdr:blipFill>
      <xdr:spPr bwMode="auto">
        <a:xfrm>
          <a:off x="247650" y="29746575"/>
          <a:ext cx="552450" cy="609600"/>
        </a:xfrm>
        <a:prstGeom prst="rect">
          <a:avLst/>
        </a:prstGeom>
        <a:noFill/>
        <a:ln w="9525">
          <a:noFill/>
          <a:miter lim="800000"/>
          <a:headEnd/>
          <a:tailEnd/>
        </a:ln>
      </xdr:spPr>
    </xdr:pic>
    <xdr:clientData/>
  </xdr:twoCellAnchor>
  <xdr:twoCellAnchor editAs="oneCell">
    <xdr:from>
      <xdr:col>1</xdr:col>
      <xdr:colOff>0</xdr:colOff>
      <xdr:row>56</xdr:row>
      <xdr:rowOff>9525</xdr:rowOff>
    </xdr:from>
    <xdr:to>
      <xdr:col>2</xdr:col>
      <xdr:colOff>9525</xdr:colOff>
      <xdr:row>57</xdr:row>
      <xdr:rowOff>9525</xdr:rowOff>
    </xdr:to>
    <xdr:pic>
      <xdr:nvPicPr>
        <xdr:cNvPr id="110499" name="Picture 182"/>
        <xdr:cNvPicPr>
          <a:picLocks noChangeAspect="1" noChangeArrowheads="1"/>
        </xdr:cNvPicPr>
      </xdr:nvPicPr>
      <xdr:blipFill>
        <a:blip xmlns:r="http://schemas.openxmlformats.org/officeDocument/2006/relationships" r:embed="rId56" cstate="print"/>
        <a:srcRect/>
        <a:stretch>
          <a:fillRect/>
        </a:stretch>
      </xdr:blipFill>
      <xdr:spPr bwMode="auto">
        <a:xfrm>
          <a:off x="247650" y="31022925"/>
          <a:ext cx="552450" cy="609600"/>
        </a:xfrm>
        <a:prstGeom prst="rect">
          <a:avLst/>
        </a:prstGeom>
        <a:noFill/>
        <a:ln w="9525">
          <a:noFill/>
          <a:miter lim="800000"/>
          <a:headEnd/>
          <a:tailEnd/>
        </a:ln>
      </xdr:spPr>
    </xdr:pic>
    <xdr:clientData/>
  </xdr:twoCellAnchor>
  <xdr:twoCellAnchor editAs="oneCell">
    <xdr:from>
      <xdr:col>1</xdr:col>
      <xdr:colOff>0</xdr:colOff>
      <xdr:row>57</xdr:row>
      <xdr:rowOff>9525</xdr:rowOff>
    </xdr:from>
    <xdr:to>
      <xdr:col>2</xdr:col>
      <xdr:colOff>9525</xdr:colOff>
      <xdr:row>58</xdr:row>
      <xdr:rowOff>9525</xdr:rowOff>
    </xdr:to>
    <xdr:pic>
      <xdr:nvPicPr>
        <xdr:cNvPr id="110500" name="Picture 184"/>
        <xdr:cNvPicPr>
          <a:picLocks noChangeAspect="1" noChangeArrowheads="1"/>
        </xdr:cNvPicPr>
      </xdr:nvPicPr>
      <xdr:blipFill>
        <a:blip xmlns:r="http://schemas.openxmlformats.org/officeDocument/2006/relationships" r:embed="rId57" cstate="print"/>
        <a:srcRect/>
        <a:stretch>
          <a:fillRect/>
        </a:stretch>
      </xdr:blipFill>
      <xdr:spPr bwMode="auto">
        <a:xfrm>
          <a:off x="247650" y="31632525"/>
          <a:ext cx="552450" cy="609600"/>
        </a:xfrm>
        <a:prstGeom prst="rect">
          <a:avLst/>
        </a:prstGeom>
        <a:noFill/>
        <a:ln w="9525">
          <a:noFill/>
          <a:miter lim="800000"/>
          <a:headEnd/>
          <a:tailEnd/>
        </a:ln>
      </xdr:spPr>
    </xdr:pic>
    <xdr:clientData/>
  </xdr:twoCellAnchor>
  <xdr:twoCellAnchor editAs="oneCell">
    <xdr:from>
      <xdr:col>1</xdr:col>
      <xdr:colOff>0</xdr:colOff>
      <xdr:row>58</xdr:row>
      <xdr:rowOff>9525</xdr:rowOff>
    </xdr:from>
    <xdr:to>
      <xdr:col>2</xdr:col>
      <xdr:colOff>9525</xdr:colOff>
      <xdr:row>59</xdr:row>
      <xdr:rowOff>9525</xdr:rowOff>
    </xdr:to>
    <xdr:pic>
      <xdr:nvPicPr>
        <xdr:cNvPr id="110501" name="Picture 186"/>
        <xdr:cNvPicPr>
          <a:picLocks noChangeAspect="1" noChangeArrowheads="1"/>
        </xdr:cNvPicPr>
      </xdr:nvPicPr>
      <xdr:blipFill>
        <a:blip xmlns:r="http://schemas.openxmlformats.org/officeDocument/2006/relationships" r:embed="rId58" cstate="print"/>
        <a:srcRect/>
        <a:stretch>
          <a:fillRect/>
        </a:stretch>
      </xdr:blipFill>
      <xdr:spPr bwMode="auto">
        <a:xfrm>
          <a:off x="247650" y="32242125"/>
          <a:ext cx="552450" cy="609600"/>
        </a:xfrm>
        <a:prstGeom prst="rect">
          <a:avLst/>
        </a:prstGeom>
        <a:noFill/>
        <a:ln w="9525">
          <a:noFill/>
          <a:miter lim="800000"/>
          <a:headEnd/>
          <a:tailEnd/>
        </a:ln>
      </xdr:spPr>
    </xdr:pic>
    <xdr:clientData/>
  </xdr:twoCellAnchor>
  <xdr:twoCellAnchor editAs="oneCell">
    <xdr:from>
      <xdr:col>1</xdr:col>
      <xdr:colOff>0</xdr:colOff>
      <xdr:row>59</xdr:row>
      <xdr:rowOff>9525</xdr:rowOff>
    </xdr:from>
    <xdr:to>
      <xdr:col>2</xdr:col>
      <xdr:colOff>9525</xdr:colOff>
      <xdr:row>60</xdr:row>
      <xdr:rowOff>9525</xdr:rowOff>
    </xdr:to>
    <xdr:pic>
      <xdr:nvPicPr>
        <xdr:cNvPr id="110502" name="Picture 188"/>
        <xdr:cNvPicPr>
          <a:picLocks noChangeAspect="1" noChangeArrowheads="1"/>
        </xdr:cNvPicPr>
      </xdr:nvPicPr>
      <xdr:blipFill>
        <a:blip xmlns:r="http://schemas.openxmlformats.org/officeDocument/2006/relationships" r:embed="rId59" cstate="print"/>
        <a:srcRect/>
        <a:stretch>
          <a:fillRect/>
        </a:stretch>
      </xdr:blipFill>
      <xdr:spPr bwMode="auto">
        <a:xfrm>
          <a:off x="247650" y="32851725"/>
          <a:ext cx="552450" cy="609600"/>
        </a:xfrm>
        <a:prstGeom prst="rect">
          <a:avLst/>
        </a:prstGeom>
        <a:noFill/>
        <a:ln w="9525">
          <a:noFill/>
          <a:miter lim="800000"/>
          <a:headEnd/>
          <a:tailEnd/>
        </a:ln>
      </xdr:spPr>
    </xdr:pic>
    <xdr:clientData/>
  </xdr:twoCellAnchor>
  <xdr:twoCellAnchor editAs="oneCell">
    <xdr:from>
      <xdr:col>1</xdr:col>
      <xdr:colOff>0</xdr:colOff>
      <xdr:row>60</xdr:row>
      <xdr:rowOff>9525</xdr:rowOff>
    </xdr:from>
    <xdr:to>
      <xdr:col>2</xdr:col>
      <xdr:colOff>9525</xdr:colOff>
      <xdr:row>61</xdr:row>
      <xdr:rowOff>9525</xdr:rowOff>
    </xdr:to>
    <xdr:pic>
      <xdr:nvPicPr>
        <xdr:cNvPr id="110503" name="Picture 190"/>
        <xdr:cNvPicPr>
          <a:picLocks noChangeAspect="1" noChangeArrowheads="1"/>
        </xdr:cNvPicPr>
      </xdr:nvPicPr>
      <xdr:blipFill>
        <a:blip xmlns:r="http://schemas.openxmlformats.org/officeDocument/2006/relationships" r:embed="rId60" cstate="print"/>
        <a:srcRect/>
        <a:stretch>
          <a:fillRect/>
        </a:stretch>
      </xdr:blipFill>
      <xdr:spPr bwMode="auto">
        <a:xfrm>
          <a:off x="247650" y="33461325"/>
          <a:ext cx="552450" cy="609600"/>
        </a:xfrm>
        <a:prstGeom prst="rect">
          <a:avLst/>
        </a:prstGeom>
        <a:noFill/>
        <a:ln w="9525">
          <a:noFill/>
          <a:miter lim="800000"/>
          <a:headEnd/>
          <a:tailEnd/>
        </a:ln>
      </xdr:spPr>
    </xdr:pic>
    <xdr:clientData/>
  </xdr:twoCellAnchor>
  <xdr:twoCellAnchor editAs="oneCell">
    <xdr:from>
      <xdr:col>1</xdr:col>
      <xdr:colOff>0</xdr:colOff>
      <xdr:row>61</xdr:row>
      <xdr:rowOff>9525</xdr:rowOff>
    </xdr:from>
    <xdr:to>
      <xdr:col>2</xdr:col>
      <xdr:colOff>9525</xdr:colOff>
      <xdr:row>61</xdr:row>
      <xdr:rowOff>619125</xdr:rowOff>
    </xdr:to>
    <xdr:pic>
      <xdr:nvPicPr>
        <xdr:cNvPr id="110504" name="Picture 192"/>
        <xdr:cNvPicPr>
          <a:picLocks noChangeAspect="1" noChangeArrowheads="1"/>
        </xdr:cNvPicPr>
      </xdr:nvPicPr>
      <xdr:blipFill>
        <a:blip xmlns:r="http://schemas.openxmlformats.org/officeDocument/2006/relationships" r:embed="rId61" cstate="print"/>
        <a:srcRect/>
        <a:stretch>
          <a:fillRect/>
        </a:stretch>
      </xdr:blipFill>
      <xdr:spPr bwMode="auto">
        <a:xfrm>
          <a:off x="247650" y="34070925"/>
          <a:ext cx="552450" cy="609600"/>
        </a:xfrm>
        <a:prstGeom prst="rect">
          <a:avLst/>
        </a:prstGeom>
        <a:noFill/>
        <a:ln w="9525">
          <a:noFill/>
          <a:miter lim="800000"/>
          <a:headEnd/>
          <a:tailEnd/>
        </a:ln>
      </xdr:spPr>
    </xdr:pic>
    <xdr:clientData/>
  </xdr:twoCellAnchor>
  <xdr:twoCellAnchor editAs="oneCell">
    <xdr:from>
      <xdr:col>1</xdr:col>
      <xdr:colOff>0</xdr:colOff>
      <xdr:row>61</xdr:row>
      <xdr:rowOff>647700</xdr:rowOff>
    </xdr:from>
    <xdr:to>
      <xdr:col>2</xdr:col>
      <xdr:colOff>9525</xdr:colOff>
      <xdr:row>62</xdr:row>
      <xdr:rowOff>600075</xdr:rowOff>
    </xdr:to>
    <xdr:pic>
      <xdr:nvPicPr>
        <xdr:cNvPr id="110505" name="Picture 194"/>
        <xdr:cNvPicPr>
          <a:picLocks noChangeAspect="1" noChangeArrowheads="1"/>
        </xdr:cNvPicPr>
      </xdr:nvPicPr>
      <xdr:blipFill>
        <a:blip xmlns:r="http://schemas.openxmlformats.org/officeDocument/2006/relationships" r:embed="rId62" cstate="print"/>
        <a:srcRect/>
        <a:stretch>
          <a:fillRect/>
        </a:stretch>
      </xdr:blipFill>
      <xdr:spPr bwMode="auto">
        <a:xfrm>
          <a:off x="247650" y="34851975"/>
          <a:ext cx="552450" cy="609600"/>
        </a:xfrm>
        <a:prstGeom prst="rect">
          <a:avLst/>
        </a:prstGeom>
        <a:noFill/>
        <a:ln w="9525">
          <a:noFill/>
          <a:miter lim="800000"/>
          <a:headEnd/>
          <a:tailEnd/>
        </a:ln>
      </xdr:spPr>
    </xdr:pic>
    <xdr:clientData/>
  </xdr:twoCellAnchor>
  <xdr:twoCellAnchor editAs="oneCell">
    <xdr:from>
      <xdr:col>1</xdr:col>
      <xdr:colOff>0</xdr:colOff>
      <xdr:row>63</xdr:row>
      <xdr:rowOff>19050</xdr:rowOff>
    </xdr:from>
    <xdr:to>
      <xdr:col>2</xdr:col>
      <xdr:colOff>9525</xdr:colOff>
      <xdr:row>64</xdr:row>
      <xdr:rowOff>19050</xdr:rowOff>
    </xdr:to>
    <xdr:pic>
      <xdr:nvPicPr>
        <xdr:cNvPr id="110506" name="Picture 196"/>
        <xdr:cNvPicPr>
          <a:picLocks noChangeAspect="1" noChangeArrowheads="1"/>
        </xdr:cNvPicPr>
      </xdr:nvPicPr>
      <xdr:blipFill>
        <a:blip xmlns:r="http://schemas.openxmlformats.org/officeDocument/2006/relationships" r:embed="rId63" cstate="print"/>
        <a:srcRect/>
        <a:stretch>
          <a:fillRect/>
        </a:stretch>
      </xdr:blipFill>
      <xdr:spPr bwMode="auto">
        <a:xfrm>
          <a:off x="247650" y="35490150"/>
          <a:ext cx="552450" cy="609600"/>
        </a:xfrm>
        <a:prstGeom prst="rect">
          <a:avLst/>
        </a:prstGeom>
        <a:noFill/>
        <a:ln w="9525">
          <a:noFill/>
          <a:miter lim="800000"/>
          <a:headEnd/>
          <a:tailEnd/>
        </a:ln>
      </xdr:spPr>
    </xdr:pic>
    <xdr:clientData/>
  </xdr:twoCellAnchor>
  <xdr:twoCellAnchor editAs="oneCell">
    <xdr:from>
      <xdr:col>1</xdr:col>
      <xdr:colOff>0</xdr:colOff>
      <xdr:row>64</xdr:row>
      <xdr:rowOff>9525</xdr:rowOff>
    </xdr:from>
    <xdr:to>
      <xdr:col>2</xdr:col>
      <xdr:colOff>9525</xdr:colOff>
      <xdr:row>65</xdr:row>
      <xdr:rowOff>9525</xdr:rowOff>
    </xdr:to>
    <xdr:pic>
      <xdr:nvPicPr>
        <xdr:cNvPr id="110507" name="Picture 198"/>
        <xdr:cNvPicPr>
          <a:picLocks noChangeAspect="1" noChangeArrowheads="1"/>
        </xdr:cNvPicPr>
      </xdr:nvPicPr>
      <xdr:blipFill>
        <a:blip xmlns:r="http://schemas.openxmlformats.org/officeDocument/2006/relationships" r:embed="rId64" cstate="print"/>
        <a:srcRect/>
        <a:stretch>
          <a:fillRect/>
        </a:stretch>
      </xdr:blipFill>
      <xdr:spPr bwMode="auto">
        <a:xfrm>
          <a:off x="247650" y="35947350"/>
          <a:ext cx="552450" cy="609600"/>
        </a:xfrm>
        <a:prstGeom prst="rect">
          <a:avLst/>
        </a:prstGeom>
        <a:noFill/>
        <a:ln w="9525">
          <a:noFill/>
          <a:miter lim="800000"/>
          <a:headEnd/>
          <a:tailEnd/>
        </a:ln>
      </xdr:spPr>
    </xdr:pic>
    <xdr:clientData/>
  </xdr:twoCellAnchor>
  <xdr:twoCellAnchor editAs="oneCell">
    <xdr:from>
      <xdr:col>1</xdr:col>
      <xdr:colOff>0</xdr:colOff>
      <xdr:row>65</xdr:row>
      <xdr:rowOff>9525</xdr:rowOff>
    </xdr:from>
    <xdr:to>
      <xdr:col>2</xdr:col>
      <xdr:colOff>9525</xdr:colOff>
      <xdr:row>66</xdr:row>
      <xdr:rowOff>9525</xdr:rowOff>
    </xdr:to>
    <xdr:pic>
      <xdr:nvPicPr>
        <xdr:cNvPr id="110508" name="Picture 200"/>
        <xdr:cNvPicPr>
          <a:picLocks noChangeAspect="1" noChangeArrowheads="1"/>
        </xdr:cNvPicPr>
      </xdr:nvPicPr>
      <xdr:blipFill>
        <a:blip xmlns:r="http://schemas.openxmlformats.org/officeDocument/2006/relationships" r:embed="rId65" cstate="print"/>
        <a:srcRect/>
        <a:stretch>
          <a:fillRect/>
        </a:stretch>
      </xdr:blipFill>
      <xdr:spPr bwMode="auto">
        <a:xfrm>
          <a:off x="247650" y="36556950"/>
          <a:ext cx="552450" cy="609600"/>
        </a:xfrm>
        <a:prstGeom prst="rect">
          <a:avLst/>
        </a:prstGeom>
        <a:noFill/>
        <a:ln w="9525">
          <a:noFill/>
          <a:miter lim="800000"/>
          <a:headEnd/>
          <a:tailEnd/>
        </a:ln>
      </xdr:spPr>
    </xdr:pic>
    <xdr:clientData/>
  </xdr:twoCellAnchor>
  <xdr:twoCellAnchor editAs="oneCell">
    <xdr:from>
      <xdr:col>1</xdr:col>
      <xdr:colOff>0</xdr:colOff>
      <xdr:row>66</xdr:row>
      <xdr:rowOff>9525</xdr:rowOff>
    </xdr:from>
    <xdr:to>
      <xdr:col>2</xdr:col>
      <xdr:colOff>9525</xdr:colOff>
      <xdr:row>67</xdr:row>
      <xdr:rowOff>9525</xdr:rowOff>
    </xdr:to>
    <xdr:pic>
      <xdr:nvPicPr>
        <xdr:cNvPr id="110509" name="Picture 202"/>
        <xdr:cNvPicPr>
          <a:picLocks noChangeAspect="1" noChangeArrowheads="1"/>
        </xdr:cNvPicPr>
      </xdr:nvPicPr>
      <xdr:blipFill>
        <a:blip xmlns:r="http://schemas.openxmlformats.org/officeDocument/2006/relationships" r:embed="rId66" cstate="print"/>
        <a:srcRect/>
        <a:stretch>
          <a:fillRect/>
        </a:stretch>
      </xdr:blipFill>
      <xdr:spPr bwMode="auto">
        <a:xfrm>
          <a:off x="247650" y="37166550"/>
          <a:ext cx="552450" cy="609600"/>
        </a:xfrm>
        <a:prstGeom prst="rect">
          <a:avLst/>
        </a:prstGeom>
        <a:noFill/>
        <a:ln w="9525">
          <a:noFill/>
          <a:miter lim="800000"/>
          <a:headEnd/>
          <a:tailEnd/>
        </a:ln>
      </xdr:spPr>
    </xdr:pic>
    <xdr:clientData/>
  </xdr:twoCellAnchor>
  <xdr:twoCellAnchor editAs="oneCell">
    <xdr:from>
      <xdr:col>1</xdr:col>
      <xdr:colOff>0</xdr:colOff>
      <xdr:row>67</xdr:row>
      <xdr:rowOff>9525</xdr:rowOff>
    </xdr:from>
    <xdr:to>
      <xdr:col>2</xdr:col>
      <xdr:colOff>9525</xdr:colOff>
      <xdr:row>68</xdr:row>
      <xdr:rowOff>9525</xdr:rowOff>
    </xdr:to>
    <xdr:pic>
      <xdr:nvPicPr>
        <xdr:cNvPr id="110510" name="Picture 204"/>
        <xdr:cNvPicPr>
          <a:picLocks noChangeAspect="1" noChangeArrowheads="1"/>
        </xdr:cNvPicPr>
      </xdr:nvPicPr>
      <xdr:blipFill>
        <a:blip xmlns:r="http://schemas.openxmlformats.org/officeDocument/2006/relationships" r:embed="rId67" cstate="print"/>
        <a:srcRect/>
        <a:stretch>
          <a:fillRect/>
        </a:stretch>
      </xdr:blipFill>
      <xdr:spPr bwMode="auto">
        <a:xfrm>
          <a:off x="247650" y="37776150"/>
          <a:ext cx="552450" cy="609600"/>
        </a:xfrm>
        <a:prstGeom prst="rect">
          <a:avLst/>
        </a:prstGeom>
        <a:noFill/>
        <a:ln w="9525">
          <a:noFill/>
          <a:miter lim="800000"/>
          <a:headEnd/>
          <a:tailEnd/>
        </a:ln>
      </xdr:spPr>
    </xdr:pic>
    <xdr:clientData/>
  </xdr:twoCellAnchor>
  <xdr:twoCellAnchor editAs="oneCell">
    <xdr:from>
      <xdr:col>1</xdr:col>
      <xdr:colOff>0</xdr:colOff>
      <xdr:row>68</xdr:row>
      <xdr:rowOff>9525</xdr:rowOff>
    </xdr:from>
    <xdr:to>
      <xdr:col>2</xdr:col>
      <xdr:colOff>9525</xdr:colOff>
      <xdr:row>69</xdr:row>
      <xdr:rowOff>9525</xdr:rowOff>
    </xdr:to>
    <xdr:pic>
      <xdr:nvPicPr>
        <xdr:cNvPr id="110511" name="Picture 206"/>
        <xdr:cNvPicPr>
          <a:picLocks noChangeAspect="1" noChangeArrowheads="1"/>
        </xdr:cNvPicPr>
      </xdr:nvPicPr>
      <xdr:blipFill>
        <a:blip xmlns:r="http://schemas.openxmlformats.org/officeDocument/2006/relationships" r:embed="rId68" cstate="print"/>
        <a:srcRect/>
        <a:stretch>
          <a:fillRect/>
        </a:stretch>
      </xdr:blipFill>
      <xdr:spPr bwMode="auto">
        <a:xfrm>
          <a:off x="247650" y="38385750"/>
          <a:ext cx="552450" cy="609600"/>
        </a:xfrm>
        <a:prstGeom prst="rect">
          <a:avLst/>
        </a:prstGeom>
        <a:noFill/>
        <a:ln w="9525">
          <a:noFill/>
          <a:miter lim="800000"/>
          <a:headEnd/>
          <a:tailEnd/>
        </a:ln>
      </xdr:spPr>
    </xdr:pic>
    <xdr:clientData/>
  </xdr:twoCellAnchor>
  <xdr:twoCellAnchor editAs="oneCell">
    <xdr:from>
      <xdr:col>1</xdr:col>
      <xdr:colOff>0</xdr:colOff>
      <xdr:row>69</xdr:row>
      <xdr:rowOff>9525</xdr:rowOff>
    </xdr:from>
    <xdr:to>
      <xdr:col>2</xdr:col>
      <xdr:colOff>9525</xdr:colOff>
      <xdr:row>70</xdr:row>
      <xdr:rowOff>9525</xdr:rowOff>
    </xdr:to>
    <xdr:pic>
      <xdr:nvPicPr>
        <xdr:cNvPr id="110512" name="Picture 208"/>
        <xdr:cNvPicPr>
          <a:picLocks noChangeAspect="1" noChangeArrowheads="1"/>
        </xdr:cNvPicPr>
      </xdr:nvPicPr>
      <xdr:blipFill>
        <a:blip xmlns:r="http://schemas.openxmlformats.org/officeDocument/2006/relationships" r:embed="rId69" cstate="print"/>
        <a:srcRect/>
        <a:stretch>
          <a:fillRect/>
        </a:stretch>
      </xdr:blipFill>
      <xdr:spPr bwMode="auto">
        <a:xfrm>
          <a:off x="247650" y="38995350"/>
          <a:ext cx="552450" cy="609600"/>
        </a:xfrm>
        <a:prstGeom prst="rect">
          <a:avLst/>
        </a:prstGeom>
        <a:noFill/>
        <a:ln w="9525">
          <a:noFill/>
          <a:miter lim="800000"/>
          <a:headEnd/>
          <a:tailEnd/>
        </a:ln>
      </xdr:spPr>
    </xdr:pic>
    <xdr:clientData/>
  </xdr:twoCellAnchor>
  <xdr:twoCellAnchor editAs="oneCell">
    <xdr:from>
      <xdr:col>1</xdr:col>
      <xdr:colOff>0</xdr:colOff>
      <xdr:row>69</xdr:row>
      <xdr:rowOff>600075</xdr:rowOff>
    </xdr:from>
    <xdr:to>
      <xdr:col>2</xdr:col>
      <xdr:colOff>9525</xdr:colOff>
      <xdr:row>70</xdr:row>
      <xdr:rowOff>600075</xdr:rowOff>
    </xdr:to>
    <xdr:pic>
      <xdr:nvPicPr>
        <xdr:cNvPr id="110513" name="Picture 210"/>
        <xdr:cNvPicPr>
          <a:picLocks noChangeAspect="1" noChangeArrowheads="1"/>
        </xdr:cNvPicPr>
      </xdr:nvPicPr>
      <xdr:blipFill>
        <a:blip xmlns:r="http://schemas.openxmlformats.org/officeDocument/2006/relationships" r:embed="rId70" cstate="print"/>
        <a:srcRect/>
        <a:stretch>
          <a:fillRect/>
        </a:stretch>
      </xdr:blipFill>
      <xdr:spPr bwMode="auto">
        <a:xfrm>
          <a:off x="247650" y="39728775"/>
          <a:ext cx="552450" cy="609600"/>
        </a:xfrm>
        <a:prstGeom prst="rect">
          <a:avLst/>
        </a:prstGeom>
        <a:noFill/>
        <a:ln w="9525">
          <a:noFill/>
          <a:miter lim="800000"/>
          <a:headEnd/>
          <a:tailEnd/>
        </a:ln>
      </xdr:spPr>
    </xdr:pic>
    <xdr:clientData/>
  </xdr:twoCellAnchor>
  <xdr:twoCellAnchor editAs="oneCell">
    <xdr:from>
      <xdr:col>1</xdr:col>
      <xdr:colOff>0</xdr:colOff>
      <xdr:row>71</xdr:row>
      <xdr:rowOff>19050</xdr:rowOff>
    </xdr:from>
    <xdr:to>
      <xdr:col>2</xdr:col>
      <xdr:colOff>9525</xdr:colOff>
      <xdr:row>71</xdr:row>
      <xdr:rowOff>628650</xdr:rowOff>
    </xdr:to>
    <xdr:pic>
      <xdr:nvPicPr>
        <xdr:cNvPr id="110514" name="Picture 212"/>
        <xdr:cNvPicPr>
          <a:picLocks noChangeAspect="1" noChangeArrowheads="1"/>
        </xdr:cNvPicPr>
      </xdr:nvPicPr>
      <xdr:blipFill>
        <a:blip xmlns:r="http://schemas.openxmlformats.org/officeDocument/2006/relationships" r:embed="rId71" cstate="print"/>
        <a:srcRect/>
        <a:stretch>
          <a:fillRect/>
        </a:stretch>
      </xdr:blipFill>
      <xdr:spPr bwMode="auto">
        <a:xfrm>
          <a:off x="247650" y="40366950"/>
          <a:ext cx="552450" cy="609600"/>
        </a:xfrm>
        <a:prstGeom prst="rect">
          <a:avLst/>
        </a:prstGeom>
        <a:noFill/>
        <a:ln w="9525">
          <a:noFill/>
          <a:miter lim="800000"/>
          <a:headEnd/>
          <a:tailEnd/>
        </a:ln>
      </xdr:spPr>
    </xdr:pic>
    <xdr:clientData/>
  </xdr:twoCellAnchor>
  <xdr:twoCellAnchor editAs="oneCell">
    <xdr:from>
      <xdr:col>1</xdr:col>
      <xdr:colOff>0</xdr:colOff>
      <xdr:row>72</xdr:row>
      <xdr:rowOff>9525</xdr:rowOff>
    </xdr:from>
    <xdr:to>
      <xdr:col>2</xdr:col>
      <xdr:colOff>9525</xdr:colOff>
      <xdr:row>73</xdr:row>
      <xdr:rowOff>9525</xdr:rowOff>
    </xdr:to>
    <xdr:pic>
      <xdr:nvPicPr>
        <xdr:cNvPr id="110515" name="Picture 214"/>
        <xdr:cNvPicPr>
          <a:picLocks noChangeAspect="1" noChangeArrowheads="1"/>
        </xdr:cNvPicPr>
      </xdr:nvPicPr>
      <xdr:blipFill>
        <a:blip xmlns:r="http://schemas.openxmlformats.org/officeDocument/2006/relationships" r:embed="rId72" cstate="print"/>
        <a:srcRect/>
        <a:stretch>
          <a:fillRect/>
        </a:stretch>
      </xdr:blipFill>
      <xdr:spPr bwMode="auto">
        <a:xfrm>
          <a:off x="247650" y="40871775"/>
          <a:ext cx="552450" cy="609600"/>
        </a:xfrm>
        <a:prstGeom prst="rect">
          <a:avLst/>
        </a:prstGeom>
        <a:noFill/>
        <a:ln w="9525">
          <a:noFill/>
          <a:miter lim="800000"/>
          <a:headEnd/>
          <a:tailEnd/>
        </a:ln>
      </xdr:spPr>
    </xdr:pic>
    <xdr:clientData/>
  </xdr:twoCellAnchor>
  <xdr:twoCellAnchor editAs="oneCell">
    <xdr:from>
      <xdr:col>1</xdr:col>
      <xdr:colOff>0</xdr:colOff>
      <xdr:row>73</xdr:row>
      <xdr:rowOff>9525</xdr:rowOff>
    </xdr:from>
    <xdr:to>
      <xdr:col>2</xdr:col>
      <xdr:colOff>9525</xdr:colOff>
      <xdr:row>74</xdr:row>
      <xdr:rowOff>9525</xdr:rowOff>
    </xdr:to>
    <xdr:pic>
      <xdr:nvPicPr>
        <xdr:cNvPr id="110516" name="Picture 216"/>
        <xdr:cNvPicPr>
          <a:picLocks noChangeAspect="1" noChangeArrowheads="1"/>
        </xdr:cNvPicPr>
      </xdr:nvPicPr>
      <xdr:blipFill>
        <a:blip xmlns:r="http://schemas.openxmlformats.org/officeDocument/2006/relationships" r:embed="rId73" cstate="print"/>
        <a:srcRect/>
        <a:stretch>
          <a:fillRect/>
        </a:stretch>
      </xdr:blipFill>
      <xdr:spPr bwMode="auto">
        <a:xfrm>
          <a:off x="247650" y="41481375"/>
          <a:ext cx="552450" cy="609600"/>
        </a:xfrm>
        <a:prstGeom prst="rect">
          <a:avLst/>
        </a:prstGeom>
        <a:noFill/>
        <a:ln w="9525">
          <a:noFill/>
          <a:miter lim="800000"/>
          <a:headEnd/>
          <a:tailEnd/>
        </a:ln>
      </xdr:spPr>
    </xdr:pic>
    <xdr:clientData/>
  </xdr:twoCellAnchor>
  <xdr:twoCellAnchor editAs="oneCell">
    <xdr:from>
      <xdr:col>1</xdr:col>
      <xdr:colOff>0</xdr:colOff>
      <xdr:row>74</xdr:row>
      <xdr:rowOff>9525</xdr:rowOff>
    </xdr:from>
    <xdr:to>
      <xdr:col>2</xdr:col>
      <xdr:colOff>9525</xdr:colOff>
      <xdr:row>75</xdr:row>
      <xdr:rowOff>9525</xdr:rowOff>
    </xdr:to>
    <xdr:pic>
      <xdr:nvPicPr>
        <xdr:cNvPr id="110517" name="Picture 218"/>
        <xdr:cNvPicPr>
          <a:picLocks noChangeAspect="1" noChangeArrowheads="1"/>
        </xdr:cNvPicPr>
      </xdr:nvPicPr>
      <xdr:blipFill>
        <a:blip xmlns:r="http://schemas.openxmlformats.org/officeDocument/2006/relationships" r:embed="rId74" cstate="print"/>
        <a:srcRect/>
        <a:stretch>
          <a:fillRect/>
        </a:stretch>
      </xdr:blipFill>
      <xdr:spPr bwMode="auto">
        <a:xfrm>
          <a:off x="247650" y="42090975"/>
          <a:ext cx="552450" cy="609600"/>
        </a:xfrm>
        <a:prstGeom prst="rect">
          <a:avLst/>
        </a:prstGeom>
        <a:noFill/>
        <a:ln w="9525">
          <a:noFill/>
          <a:miter lim="800000"/>
          <a:headEnd/>
          <a:tailEnd/>
        </a:ln>
      </xdr:spPr>
    </xdr:pic>
    <xdr:clientData/>
  </xdr:twoCellAnchor>
  <xdr:twoCellAnchor editAs="oneCell">
    <xdr:from>
      <xdr:col>1</xdr:col>
      <xdr:colOff>0</xdr:colOff>
      <xdr:row>75</xdr:row>
      <xdr:rowOff>9525</xdr:rowOff>
    </xdr:from>
    <xdr:to>
      <xdr:col>2</xdr:col>
      <xdr:colOff>9525</xdr:colOff>
      <xdr:row>76</xdr:row>
      <xdr:rowOff>9525</xdr:rowOff>
    </xdr:to>
    <xdr:pic>
      <xdr:nvPicPr>
        <xdr:cNvPr id="110518" name="Picture 220"/>
        <xdr:cNvPicPr>
          <a:picLocks noChangeAspect="1" noChangeArrowheads="1"/>
        </xdr:cNvPicPr>
      </xdr:nvPicPr>
      <xdr:blipFill>
        <a:blip xmlns:r="http://schemas.openxmlformats.org/officeDocument/2006/relationships" r:embed="rId75" cstate="print"/>
        <a:srcRect/>
        <a:stretch>
          <a:fillRect/>
        </a:stretch>
      </xdr:blipFill>
      <xdr:spPr bwMode="auto">
        <a:xfrm>
          <a:off x="247650" y="42700575"/>
          <a:ext cx="552450" cy="609600"/>
        </a:xfrm>
        <a:prstGeom prst="rect">
          <a:avLst/>
        </a:prstGeom>
        <a:noFill/>
        <a:ln w="9525">
          <a:noFill/>
          <a:miter lim="800000"/>
          <a:headEnd/>
          <a:tailEnd/>
        </a:ln>
      </xdr:spPr>
    </xdr:pic>
    <xdr:clientData/>
  </xdr:twoCellAnchor>
  <xdr:twoCellAnchor editAs="oneCell">
    <xdr:from>
      <xdr:col>1</xdr:col>
      <xdr:colOff>0</xdr:colOff>
      <xdr:row>76</xdr:row>
      <xdr:rowOff>9525</xdr:rowOff>
    </xdr:from>
    <xdr:to>
      <xdr:col>2</xdr:col>
      <xdr:colOff>9525</xdr:colOff>
      <xdr:row>77</xdr:row>
      <xdr:rowOff>9525</xdr:rowOff>
    </xdr:to>
    <xdr:pic>
      <xdr:nvPicPr>
        <xdr:cNvPr id="110519" name="Picture 222"/>
        <xdr:cNvPicPr>
          <a:picLocks noChangeAspect="1" noChangeArrowheads="1"/>
        </xdr:cNvPicPr>
      </xdr:nvPicPr>
      <xdr:blipFill>
        <a:blip xmlns:r="http://schemas.openxmlformats.org/officeDocument/2006/relationships" r:embed="rId76" cstate="print"/>
        <a:srcRect/>
        <a:stretch>
          <a:fillRect/>
        </a:stretch>
      </xdr:blipFill>
      <xdr:spPr bwMode="auto">
        <a:xfrm>
          <a:off x="247650" y="43310175"/>
          <a:ext cx="552450" cy="609600"/>
        </a:xfrm>
        <a:prstGeom prst="rect">
          <a:avLst/>
        </a:prstGeom>
        <a:noFill/>
        <a:ln w="9525">
          <a:noFill/>
          <a:miter lim="800000"/>
          <a:headEnd/>
          <a:tailEnd/>
        </a:ln>
      </xdr:spPr>
    </xdr:pic>
    <xdr:clientData/>
  </xdr:twoCellAnchor>
  <xdr:twoCellAnchor editAs="oneCell">
    <xdr:from>
      <xdr:col>1</xdr:col>
      <xdr:colOff>0</xdr:colOff>
      <xdr:row>80</xdr:row>
      <xdr:rowOff>9525</xdr:rowOff>
    </xdr:from>
    <xdr:to>
      <xdr:col>2</xdr:col>
      <xdr:colOff>9525</xdr:colOff>
      <xdr:row>81</xdr:row>
      <xdr:rowOff>9525</xdr:rowOff>
    </xdr:to>
    <xdr:pic>
      <xdr:nvPicPr>
        <xdr:cNvPr id="110520" name="Picture 224"/>
        <xdr:cNvPicPr>
          <a:picLocks noChangeAspect="1" noChangeArrowheads="1"/>
        </xdr:cNvPicPr>
      </xdr:nvPicPr>
      <xdr:blipFill>
        <a:blip xmlns:r="http://schemas.openxmlformats.org/officeDocument/2006/relationships" r:embed="rId77" cstate="print"/>
        <a:srcRect/>
        <a:stretch>
          <a:fillRect/>
        </a:stretch>
      </xdr:blipFill>
      <xdr:spPr bwMode="auto">
        <a:xfrm>
          <a:off x="247650" y="45748575"/>
          <a:ext cx="552450" cy="609600"/>
        </a:xfrm>
        <a:prstGeom prst="rect">
          <a:avLst/>
        </a:prstGeom>
        <a:noFill/>
        <a:ln w="9525">
          <a:noFill/>
          <a:miter lim="800000"/>
          <a:headEnd/>
          <a:tailEnd/>
        </a:ln>
      </xdr:spPr>
    </xdr:pic>
    <xdr:clientData/>
  </xdr:twoCellAnchor>
  <xdr:twoCellAnchor editAs="oneCell">
    <xdr:from>
      <xdr:col>1</xdr:col>
      <xdr:colOff>0</xdr:colOff>
      <xdr:row>81</xdr:row>
      <xdr:rowOff>9525</xdr:rowOff>
    </xdr:from>
    <xdr:to>
      <xdr:col>2</xdr:col>
      <xdr:colOff>9525</xdr:colOff>
      <xdr:row>82</xdr:row>
      <xdr:rowOff>9525</xdr:rowOff>
    </xdr:to>
    <xdr:pic>
      <xdr:nvPicPr>
        <xdr:cNvPr id="110521" name="Picture 226"/>
        <xdr:cNvPicPr>
          <a:picLocks noChangeAspect="1" noChangeArrowheads="1"/>
        </xdr:cNvPicPr>
      </xdr:nvPicPr>
      <xdr:blipFill>
        <a:blip xmlns:r="http://schemas.openxmlformats.org/officeDocument/2006/relationships" r:embed="rId78" cstate="print"/>
        <a:srcRect/>
        <a:stretch>
          <a:fillRect/>
        </a:stretch>
      </xdr:blipFill>
      <xdr:spPr bwMode="auto">
        <a:xfrm>
          <a:off x="247650" y="46358175"/>
          <a:ext cx="552450" cy="609600"/>
        </a:xfrm>
        <a:prstGeom prst="rect">
          <a:avLst/>
        </a:prstGeom>
        <a:noFill/>
        <a:ln w="9525">
          <a:noFill/>
          <a:miter lim="800000"/>
          <a:headEnd/>
          <a:tailEnd/>
        </a:ln>
      </xdr:spPr>
    </xdr:pic>
    <xdr:clientData/>
  </xdr:twoCellAnchor>
  <xdr:twoCellAnchor editAs="oneCell">
    <xdr:from>
      <xdr:col>1</xdr:col>
      <xdr:colOff>0</xdr:colOff>
      <xdr:row>82</xdr:row>
      <xdr:rowOff>9525</xdr:rowOff>
    </xdr:from>
    <xdr:to>
      <xdr:col>2</xdr:col>
      <xdr:colOff>9525</xdr:colOff>
      <xdr:row>83</xdr:row>
      <xdr:rowOff>9525</xdr:rowOff>
    </xdr:to>
    <xdr:pic>
      <xdr:nvPicPr>
        <xdr:cNvPr id="110522" name="Picture 228"/>
        <xdr:cNvPicPr>
          <a:picLocks noChangeAspect="1" noChangeArrowheads="1"/>
        </xdr:cNvPicPr>
      </xdr:nvPicPr>
      <xdr:blipFill>
        <a:blip xmlns:r="http://schemas.openxmlformats.org/officeDocument/2006/relationships" r:embed="rId79" cstate="print"/>
        <a:srcRect/>
        <a:stretch>
          <a:fillRect/>
        </a:stretch>
      </xdr:blipFill>
      <xdr:spPr bwMode="auto">
        <a:xfrm>
          <a:off x="247650" y="46967775"/>
          <a:ext cx="552450" cy="609600"/>
        </a:xfrm>
        <a:prstGeom prst="rect">
          <a:avLst/>
        </a:prstGeom>
        <a:noFill/>
        <a:ln w="9525">
          <a:noFill/>
          <a:miter lim="800000"/>
          <a:headEnd/>
          <a:tailEnd/>
        </a:ln>
      </xdr:spPr>
    </xdr:pic>
    <xdr:clientData/>
  </xdr:twoCellAnchor>
  <xdr:twoCellAnchor editAs="oneCell">
    <xdr:from>
      <xdr:col>1</xdr:col>
      <xdr:colOff>0</xdr:colOff>
      <xdr:row>83</xdr:row>
      <xdr:rowOff>9525</xdr:rowOff>
    </xdr:from>
    <xdr:to>
      <xdr:col>2</xdr:col>
      <xdr:colOff>9525</xdr:colOff>
      <xdr:row>84</xdr:row>
      <xdr:rowOff>9525</xdr:rowOff>
    </xdr:to>
    <xdr:pic>
      <xdr:nvPicPr>
        <xdr:cNvPr id="110523" name="Picture 230"/>
        <xdr:cNvPicPr>
          <a:picLocks noChangeAspect="1" noChangeArrowheads="1"/>
        </xdr:cNvPicPr>
      </xdr:nvPicPr>
      <xdr:blipFill>
        <a:blip xmlns:r="http://schemas.openxmlformats.org/officeDocument/2006/relationships" r:embed="rId80" cstate="print"/>
        <a:srcRect/>
        <a:stretch>
          <a:fillRect/>
        </a:stretch>
      </xdr:blipFill>
      <xdr:spPr bwMode="auto">
        <a:xfrm>
          <a:off x="247650" y="47577375"/>
          <a:ext cx="552450" cy="609600"/>
        </a:xfrm>
        <a:prstGeom prst="rect">
          <a:avLst/>
        </a:prstGeom>
        <a:noFill/>
        <a:ln w="9525">
          <a:noFill/>
          <a:miter lim="800000"/>
          <a:headEnd/>
          <a:tailEnd/>
        </a:ln>
      </xdr:spPr>
    </xdr:pic>
    <xdr:clientData/>
  </xdr:twoCellAnchor>
  <xdr:twoCellAnchor editAs="oneCell">
    <xdr:from>
      <xdr:col>1</xdr:col>
      <xdr:colOff>0</xdr:colOff>
      <xdr:row>84</xdr:row>
      <xdr:rowOff>9525</xdr:rowOff>
    </xdr:from>
    <xdr:to>
      <xdr:col>2</xdr:col>
      <xdr:colOff>9525</xdr:colOff>
      <xdr:row>85</xdr:row>
      <xdr:rowOff>9525</xdr:rowOff>
    </xdr:to>
    <xdr:pic>
      <xdr:nvPicPr>
        <xdr:cNvPr id="110524" name="Picture 232"/>
        <xdr:cNvPicPr>
          <a:picLocks noChangeAspect="1" noChangeArrowheads="1"/>
        </xdr:cNvPicPr>
      </xdr:nvPicPr>
      <xdr:blipFill>
        <a:blip xmlns:r="http://schemas.openxmlformats.org/officeDocument/2006/relationships" r:embed="rId81" cstate="print"/>
        <a:srcRect/>
        <a:stretch>
          <a:fillRect/>
        </a:stretch>
      </xdr:blipFill>
      <xdr:spPr bwMode="auto">
        <a:xfrm>
          <a:off x="247650" y="48186975"/>
          <a:ext cx="552450" cy="609600"/>
        </a:xfrm>
        <a:prstGeom prst="rect">
          <a:avLst/>
        </a:prstGeom>
        <a:noFill/>
        <a:ln w="9525">
          <a:noFill/>
          <a:miter lim="800000"/>
          <a:headEnd/>
          <a:tailEnd/>
        </a:ln>
      </xdr:spPr>
    </xdr:pic>
    <xdr:clientData/>
  </xdr:twoCellAnchor>
  <xdr:twoCellAnchor editAs="oneCell">
    <xdr:from>
      <xdr:col>1</xdr:col>
      <xdr:colOff>0</xdr:colOff>
      <xdr:row>85</xdr:row>
      <xdr:rowOff>9525</xdr:rowOff>
    </xdr:from>
    <xdr:to>
      <xdr:col>2</xdr:col>
      <xdr:colOff>9525</xdr:colOff>
      <xdr:row>86</xdr:row>
      <xdr:rowOff>9525</xdr:rowOff>
    </xdr:to>
    <xdr:pic>
      <xdr:nvPicPr>
        <xdr:cNvPr id="110525" name="Picture 234"/>
        <xdr:cNvPicPr>
          <a:picLocks noChangeAspect="1" noChangeArrowheads="1"/>
        </xdr:cNvPicPr>
      </xdr:nvPicPr>
      <xdr:blipFill>
        <a:blip xmlns:r="http://schemas.openxmlformats.org/officeDocument/2006/relationships" r:embed="rId82" cstate="print"/>
        <a:srcRect/>
        <a:stretch>
          <a:fillRect/>
        </a:stretch>
      </xdr:blipFill>
      <xdr:spPr bwMode="auto">
        <a:xfrm>
          <a:off x="247650" y="48796575"/>
          <a:ext cx="552450" cy="609600"/>
        </a:xfrm>
        <a:prstGeom prst="rect">
          <a:avLst/>
        </a:prstGeom>
        <a:noFill/>
        <a:ln w="9525">
          <a:noFill/>
          <a:miter lim="800000"/>
          <a:headEnd/>
          <a:tailEnd/>
        </a:ln>
      </xdr:spPr>
    </xdr:pic>
    <xdr:clientData/>
  </xdr:twoCellAnchor>
  <xdr:twoCellAnchor editAs="oneCell">
    <xdr:from>
      <xdr:col>1</xdr:col>
      <xdr:colOff>0</xdr:colOff>
      <xdr:row>85</xdr:row>
      <xdr:rowOff>600075</xdr:rowOff>
    </xdr:from>
    <xdr:to>
      <xdr:col>2</xdr:col>
      <xdr:colOff>9525</xdr:colOff>
      <xdr:row>86</xdr:row>
      <xdr:rowOff>600075</xdr:rowOff>
    </xdr:to>
    <xdr:pic>
      <xdr:nvPicPr>
        <xdr:cNvPr id="110526" name="Picture 236"/>
        <xdr:cNvPicPr>
          <a:picLocks noChangeAspect="1" noChangeArrowheads="1"/>
        </xdr:cNvPicPr>
      </xdr:nvPicPr>
      <xdr:blipFill>
        <a:blip xmlns:r="http://schemas.openxmlformats.org/officeDocument/2006/relationships" r:embed="rId83" cstate="print"/>
        <a:srcRect/>
        <a:stretch>
          <a:fillRect/>
        </a:stretch>
      </xdr:blipFill>
      <xdr:spPr bwMode="auto">
        <a:xfrm>
          <a:off x="247650" y="49530000"/>
          <a:ext cx="552450" cy="609600"/>
        </a:xfrm>
        <a:prstGeom prst="rect">
          <a:avLst/>
        </a:prstGeom>
        <a:noFill/>
        <a:ln w="9525">
          <a:noFill/>
          <a:miter lim="800000"/>
          <a:headEnd/>
          <a:tailEnd/>
        </a:ln>
      </xdr:spPr>
    </xdr:pic>
    <xdr:clientData/>
  </xdr:twoCellAnchor>
  <xdr:twoCellAnchor editAs="oneCell">
    <xdr:from>
      <xdr:col>1</xdr:col>
      <xdr:colOff>0</xdr:colOff>
      <xdr:row>87</xdr:row>
      <xdr:rowOff>19050</xdr:rowOff>
    </xdr:from>
    <xdr:to>
      <xdr:col>2</xdr:col>
      <xdr:colOff>9525</xdr:colOff>
      <xdr:row>88</xdr:row>
      <xdr:rowOff>19050</xdr:rowOff>
    </xdr:to>
    <xdr:pic>
      <xdr:nvPicPr>
        <xdr:cNvPr id="110527" name="Picture 238"/>
        <xdr:cNvPicPr>
          <a:picLocks noChangeAspect="1" noChangeArrowheads="1"/>
        </xdr:cNvPicPr>
      </xdr:nvPicPr>
      <xdr:blipFill>
        <a:blip xmlns:r="http://schemas.openxmlformats.org/officeDocument/2006/relationships" r:embed="rId84" cstate="print"/>
        <a:srcRect/>
        <a:stretch>
          <a:fillRect/>
        </a:stretch>
      </xdr:blipFill>
      <xdr:spPr bwMode="auto">
        <a:xfrm>
          <a:off x="247650" y="50168175"/>
          <a:ext cx="552450" cy="609600"/>
        </a:xfrm>
        <a:prstGeom prst="rect">
          <a:avLst/>
        </a:prstGeom>
        <a:noFill/>
        <a:ln w="9525">
          <a:noFill/>
          <a:miter lim="800000"/>
          <a:headEnd/>
          <a:tailEnd/>
        </a:ln>
      </xdr:spPr>
    </xdr:pic>
    <xdr:clientData/>
  </xdr:twoCellAnchor>
  <xdr:twoCellAnchor editAs="oneCell">
    <xdr:from>
      <xdr:col>1</xdr:col>
      <xdr:colOff>0</xdr:colOff>
      <xdr:row>88</xdr:row>
      <xdr:rowOff>9525</xdr:rowOff>
    </xdr:from>
    <xdr:to>
      <xdr:col>2</xdr:col>
      <xdr:colOff>9525</xdr:colOff>
      <xdr:row>89</xdr:row>
      <xdr:rowOff>9525</xdr:rowOff>
    </xdr:to>
    <xdr:pic>
      <xdr:nvPicPr>
        <xdr:cNvPr id="110528" name="Picture 240"/>
        <xdr:cNvPicPr>
          <a:picLocks noChangeAspect="1" noChangeArrowheads="1"/>
        </xdr:cNvPicPr>
      </xdr:nvPicPr>
      <xdr:blipFill>
        <a:blip xmlns:r="http://schemas.openxmlformats.org/officeDocument/2006/relationships" r:embed="rId85" cstate="print"/>
        <a:srcRect/>
        <a:stretch>
          <a:fillRect/>
        </a:stretch>
      </xdr:blipFill>
      <xdr:spPr bwMode="auto">
        <a:xfrm>
          <a:off x="247650" y="50625375"/>
          <a:ext cx="552450" cy="609600"/>
        </a:xfrm>
        <a:prstGeom prst="rect">
          <a:avLst/>
        </a:prstGeom>
        <a:noFill/>
        <a:ln w="9525">
          <a:noFill/>
          <a:miter lim="800000"/>
          <a:headEnd/>
          <a:tailEnd/>
        </a:ln>
      </xdr:spPr>
    </xdr:pic>
    <xdr:clientData/>
  </xdr:twoCellAnchor>
  <xdr:twoCellAnchor editAs="oneCell">
    <xdr:from>
      <xdr:col>1</xdr:col>
      <xdr:colOff>0</xdr:colOff>
      <xdr:row>89</xdr:row>
      <xdr:rowOff>9525</xdr:rowOff>
    </xdr:from>
    <xdr:to>
      <xdr:col>2</xdr:col>
      <xdr:colOff>9525</xdr:colOff>
      <xdr:row>90</xdr:row>
      <xdr:rowOff>9525</xdr:rowOff>
    </xdr:to>
    <xdr:pic>
      <xdr:nvPicPr>
        <xdr:cNvPr id="110529" name="Picture 242"/>
        <xdr:cNvPicPr>
          <a:picLocks noChangeAspect="1" noChangeArrowheads="1"/>
        </xdr:cNvPicPr>
      </xdr:nvPicPr>
      <xdr:blipFill>
        <a:blip xmlns:r="http://schemas.openxmlformats.org/officeDocument/2006/relationships" r:embed="rId86" cstate="print"/>
        <a:srcRect/>
        <a:stretch>
          <a:fillRect/>
        </a:stretch>
      </xdr:blipFill>
      <xdr:spPr bwMode="auto">
        <a:xfrm>
          <a:off x="247650" y="51234975"/>
          <a:ext cx="552450" cy="609600"/>
        </a:xfrm>
        <a:prstGeom prst="rect">
          <a:avLst/>
        </a:prstGeom>
        <a:noFill/>
        <a:ln w="9525">
          <a:noFill/>
          <a:miter lim="800000"/>
          <a:headEnd/>
          <a:tailEnd/>
        </a:ln>
      </xdr:spPr>
    </xdr:pic>
    <xdr:clientData/>
  </xdr:twoCellAnchor>
  <xdr:twoCellAnchor editAs="oneCell">
    <xdr:from>
      <xdr:col>1</xdr:col>
      <xdr:colOff>0</xdr:colOff>
      <xdr:row>91</xdr:row>
      <xdr:rowOff>9525</xdr:rowOff>
    </xdr:from>
    <xdr:to>
      <xdr:col>2</xdr:col>
      <xdr:colOff>9525</xdr:colOff>
      <xdr:row>92</xdr:row>
      <xdr:rowOff>9525</xdr:rowOff>
    </xdr:to>
    <xdr:pic>
      <xdr:nvPicPr>
        <xdr:cNvPr id="110530" name="Picture 244"/>
        <xdr:cNvPicPr>
          <a:picLocks noChangeAspect="1" noChangeArrowheads="1"/>
        </xdr:cNvPicPr>
      </xdr:nvPicPr>
      <xdr:blipFill>
        <a:blip xmlns:r="http://schemas.openxmlformats.org/officeDocument/2006/relationships" r:embed="rId87" cstate="print"/>
        <a:srcRect/>
        <a:stretch>
          <a:fillRect/>
        </a:stretch>
      </xdr:blipFill>
      <xdr:spPr bwMode="auto">
        <a:xfrm>
          <a:off x="247650" y="52454175"/>
          <a:ext cx="552450" cy="609600"/>
        </a:xfrm>
        <a:prstGeom prst="rect">
          <a:avLst/>
        </a:prstGeom>
        <a:noFill/>
        <a:ln w="9525">
          <a:noFill/>
          <a:miter lim="800000"/>
          <a:headEnd/>
          <a:tailEnd/>
        </a:ln>
      </xdr:spPr>
    </xdr:pic>
    <xdr:clientData/>
  </xdr:twoCellAnchor>
  <xdr:twoCellAnchor editAs="oneCell">
    <xdr:from>
      <xdr:col>1</xdr:col>
      <xdr:colOff>0</xdr:colOff>
      <xdr:row>92</xdr:row>
      <xdr:rowOff>9525</xdr:rowOff>
    </xdr:from>
    <xdr:to>
      <xdr:col>2</xdr:col>
      <xdr:colOff>9525</xdr:colOff>
      <xdr:row>93</xdr:row>
      <xdr:rowOff>9525</xdr:rowOff>
    </xdr:to>
    <xdr:pic>
      <xdr:nvPicPr>
        <xdr:cNvPr id="110531" name="Picture 246"/>
        <xdr:cNvPicPr>
          <a:picLocks noChangeAspect="1" noChangeArrowheads="1"/>
        </xdr:cNvPicPr>
      </xdr:nvPicPr>
      <xdr:blipFill>
        <a:blip xmlns:r="http://schemas.openxmlformats.org/officeDocument/2006/relationships" r:embed="rId88" cstate="print"/>
        <a:srcRect/>
        <a:stretch>
          <a:fillRect/>
        </a:stretch>
      </xdr:blipFill>
      <xdr:spPr bwMode="auto">
        <a:xfrm>
          <a:off x="247650" y="53063775"/>
          <a:ext cx="552450" cy="609600"/>
        </a:xfrm>
        <a:prstGeom prst="rect">
          <a:avLst/>
        </a:prstGeom>
        <a:noFill/>
        <a:ln w="9525">
          <a:noFill/>
          <a:miter lim="800000"/>
          <a:headEnd/>
          <a:tailEnd/>
        </a:ln>
      </xdr:spPr>
    </xdr:pic>
    <xdr:clientData/>
  </xdr:twoCellAnchor>
  <xdr:twoCellAnchor editAs="oneCell">
    <xdr:from>
      <xdr:col>1</xdr:col>
      <xdr:colOff>0</xdr:colOff>
      <xdr:row>93</xdr:row>
      <xdr:rowOff>9525</xdr:rowOff>
    </xdr:from>
    <xdr:to>
      <xdr:col>2</xdr:col>
      <xdr:colOff>9525</xdr:colOff>
      <xdr:row>94</xdr:row>
      <xdr:rowOff>9525</xdr:rowOff>
    </xdr:to>
    <xdr:pic>
      <xdr:nvPicPr>
        <xdr:cNvPr id="110532" name="Picture 248"/>
        <xdr:cNvPicPr>
          <a:picLocks noChangeAspect="1" noChangeArrowheads="1"/>
        </xdr:cNvPicPr>
      </xdr:nvPicPr>
      <xdr:blipFill>
        <a:blip xmlns:r="http://schemas.openxmlformats.org/officeDocument/2006/relationships" r:embed="rId89" cstate="print"/>
        <a:srcRect/>
        <a:stretch>
          <a:fillRect/>
        </a:stretch>
      </xdr:blipFill>
      <xdr:spPr bwMode="auto">
        <a:xfrm>
          <a:off x="247650" y="53673375"/>
          <a:ext cx="552450" cy="609600"/>
        </a:xfrm>
        <a:prstGeom prst="rect">
          <a:avLst/>
        </a:prstGeom>
        <a:noFill/>
        <a:ln w="9525">
          <a:noFill/>
          <a:miter lim="800000"/>
          <a:headEnd/>
          <a:tailEnd/>
        </a:ln>
      </xdr:spPr>
    </xdr:pic>
    <xdr:clientData/>
  </xdr:twoCellAnchor>
  <xdr:twoCellAnchor editAs="oneCell">
    <xdr:from>
      <xdr:col>1</xdr:col>
      <xdr:colOff>0</xdr:colOff>
      <xdr:row>93</xdr:row>
      <xdr:rowOff>600075</xdr:rowOff>
    </xdr:from>
    <xdr:to>
      <xdr:col>2</xdr:col>
      <xdr:colOff>9525</xdr:colOff>
      <xdr:row>94</xdr:row>
      <xdr:rowOff>600075</xdr:rowOff>
    </xdr:to>
    <xdr:pic>
      <xdr:nvPicPr>
        <xdr:cNvPr id="110533" name="Picture 250"/>
        <xdr:cNvPicPr>
          <a:picLocks noChangeAspect="1" noChangeArrowheads="1"/>
        </xdr:cNvPicPr>
      </xdr:nvPicPr>
      <xdr:blipFill>
        <a:blip xmlns:r="http://schemas.openxmlformats.org/officeDocument/2006/relationships" r:embed="rId90" cstate="print"/>
        <a:srcRect/>
        <a:stretch>
          <a:fillRect/>
        </a:stretch>
      </xdr:blipFill>
      <xdr:spPr bwMode="auto">
        <a:xfrm>
          <a:off x="247650" y="54406800"/>
          <a:ext cx="552450" cy="609600"/>
        </a:xfrm>
        <a:prstGeom prst="rect">
          <a:avLst/>
        </a:prstGeom>
        <a:noFill/>
        <a:ln w="9525">
          <a:noFill/>
          <a:miter lim="800000"/>
          <a:headEnd/>
          <a:tailEnd/>
        </a:ln>
      </xdr:spPr>
    </xdr:pic>
    <xdr:clientData/>
  </xdr:twoCellAnchor>
  <xdr:twoCellAnchor editAs="oneCell">
    <xdr:from>
      <xdr:col>1</xdr:col>
      <xdr:colOff>0</xdr:colOff>
      <xdr:row>95</xdr:row>
      <xdr:rowOff>19050</xdr:rowOff>
    </xdr:from>
    <xdr:to>
      <xdr:col>2</xdr:col>
      <xdr:colOff>9525</xdr:colOff>
      <xdr:row>96</xdr:row>
      <xdr:rowOff>19050</xdr:rowOff>
    </xdr:to>
    <xdr:pic>
      <xdr:nvPicPr>
        <xdr:cNvPr id="110534" name="Picture 252"/>
        <xdr:cNvPicPr>
          <a:picLocks noChangeAspect="1" noChangeArrowheads="1"/>
        </xdr:cNvPicPr>
      </xdr:nvPicPr>
      <xdr:blipFill>
        <a:blip xmlns:r="http://schemas.openxmlformats.org/officeDocument/2006/relationships" r:embed="rId91" cstate="print"/>
        <a:srcRect/>
        <a:stretch>
          <a:fillRect/>
        </a:stretch>
      </xdr:blipFill>
      <xdr:spPr bwMode="auto">
        <a:xfrm>
          <a:off x="247650" y="55044975"/>
          <a:ext cx="552450" cy="609600"/>
        </a:xfrm>
        <a:prstGeom prst="rect">
          <a:avLst/>
        </a:prstGeom>
        <a:noFill/>
        <a:ln w="9525">
          <a:noFill/>
          <a:miter lim="800000"/>
          <a:headEnd/>
          <a:tailEnd/>
        </a:ln>
      </xdr:spPr>
    </xdr:pic>
    <xdr:clientData/>
  </xdr:twoCellAnchor>
  <xdr:twoCellAnchor editAs="oneCell">
    <xdr:from>
      <xdr:col>1</xdr:col>
      <xdr:colOff>0</xdr:colOff>
      <xdr:row>96</xdr:row>
      <xdr:rowOff>9525</xdr:rowOff>
    </xdr:from>
    <xdr:to>
      <xdr:col>2</xdr:col>
      <xdr:colOff>9525</xdr:colOff>
      <xdr:row>97</xdr:row>
      <xdr:rowOff>9525</xdr:rowOff>
    </xdr:to>
    <xdr:pic>
      <xdr:nvPicPr>
        <xdr:cNvPr id="110535" name="Picture 254"/>
        <xdr:cNvPicPr>
          <a:picLocks noChangeAspect="1" noChangeArrowheads="1"/>
        </xdr:cNvPicPr>
      </xdr:nvPicPr>
      <xdr:blipFill>
        <a:blip xmlns:r="http://schemas.openxmlformats.org/officeDocument/2006/relationships" r:embed="rId92" cstate="print"/>
        <a:srcRect/>
        <a:stretch>
          <a:fillRect/>
        </a:stretch>
      </xdr:blipFill>
      <xdr:spPr bwMode="auto">
        <a:xfrm>
          <a:off x="247650" y="55502175"/>
          <a:ext cx="552450" cy="609600"/>
        </a:xfrm>
        <a:prstGeom prst="rect">
          <a:avLst/>
        </a:prstGeom>
        <a:noFill/>
        <a:ln w="9525">
          <a:noFill/>
          <a:miter lim="800000"/>
          <a:headEnd/>
          <a:tailEnd/>
        </a:ln>
      </xdr:spPr>
    </xdr:pic>
    <xdr:clientData/>
  </xdr:twoCellAnchor>
  <xdr:twoCellAnchor editAs="oneCell">
    <xdr:from>
      <xdr:col>1</xdr:col>
      <xdr:colOff>0</xdr:colOff>
      <xdr:row>97</xdr:row>
      <xdr:rowOff>9525</xdr:rowOff>
    </xdr:from>
    <xdr:to>
      <xdr:col>2</xdr:col>
      <xdr:colOff>9525</xdr:colOff>
      <xdr:row>98</xdr:row>
      <xdr:rowOff>9525</xdr:rowOff>
    </xdr:to>
    <xdr:pic>
      <xdr:nvPicPr>
        <xdr:cNvPr id="110536" name="Picture 256"/>
        <xdr:cNvPicPr>
          <a:picLocks noChangeAspect="1" noChangeArrowheads="1"/>
        </xdr:cNvPicPr>
      </xdr:nvPicPr>
      <xdr:blipFill>
        <a:blip xmlns:r="http://schemas.openxmlformats.org/officeDocument/2006/relationships" r:embed="rId93" cstate="print"/>
        <a:srcRect/>
        <a:stretch>
          <a:fillRect/>
        </a:stretch>
      </xdr:blipFill>
      <xdr:spPr bwMode="auto">
        <a:xfrm>
          <a:off x="247650" y="56111775"/>
          <a:ext cx="552450" cy="609600"/>
        </a:xfrm>
        <a:prstGeom prst="rect">
          <a:avLst/>
        </a:prstGeom>
        <a:noFill/>
        <a:ln w="9525">
          <a:noFill/>
          <a:miter lim="800000"/>
          <a:headEnd/>
          <a:tailEnd/>
        </a:ln>
      </xdr:spPr>
    </xdr:pic>
    <xdr:clientData/>
  </xdr:twoCellAnchor>
  <xdr:twoCellAnchor editAs="oneCell">
    <xdr:from>
      <xdr:col>1</xdr:col>
      <xdr:colOff>0</xdr:colOff>
      <xdr:row>99</xdr:row>
      <xdr:rowOff>9525</xdr:rowOff>
    </xdr:from>
    <xdr:to>
      <xdr:col>2</xdr:col>
      <xdr:colOff>9525</xdr:colOff>
      <xdr:row>100</xdr:row>
      <xdr:rowOff>9525</xdr:rowOff>
    </xdr:to>
    <xdr:pic>
      <xdr:nvPicPr>
        <xdr:cNvPr id="110537" name="Picture 258"/>
        <xdr:cNvPicPr>
          <a:picLocks noChangeAspect="1" noChangeArrowheads="1"/>
        </xdr:cNvPicPr>
      </xdr:nvPicPr>
      <xdr:blipFill>
        <a:blip xmlns:r="http://schemas.openxmlformats.org/officeDocument/2006/relationships" r:embed="rId94" cstate="print"/>
        <a:srcRect/>
        <a:stretch>
          <a:fillRect/>
        </a:stretch>
      </xdr:blipFill>
      <xdr:spPr bwMode="auto">
        <a:xfrm>
          <a:off x="247650" y="57330975"/>
          <a:ext cx="552450" cy="609600"/>
        </a:xfrm>
        <a:prstGeom prst="rect">
          <a:avLst/>
        </a:prstGeom>
        <a:noFill/>
        <a:ln w="9525">
          <a:noFill/>
          <a:miter lim="800000"/>
          <a:headEnd/>
          <a:tailEnd/>
        </a:ln>
      </xdr:spPr>
    </xdr:pic>
    <xdr:clientData/>
  </xdr:twoCellAnchor>
  <xdr:twoCellAnchor editAs="oneCell">
    <xdr:from>
      <xdr:col>1</xdr:col>
      <xdr:colOff>0</xdr:colOff>
      <xdr:row>100</xdr:row>
      <xdr:rowOff>9525</xdr:rowOff>
    </xdr:from>
    <xdr:to>
      <xdr:col>2</xdr:col>
      <xdr:colOff>9525</xdr:colOff>
      <xdr:row>101</xdr:row>
      <xdr:rowOff>9525</xdr:rowOff>
    </xdr:to>
    <xdr:pic>
      <xdr:nvPicPr>
        <xdr:cNvPr id="110538" name="Picture 260"/>
        <xdr:cNvPicPr>
          <a:picLocks noChangeAspect="1" noChangeArrowheads="1"/>
        </xdr:cNvPicPr>
      </xdr:nvPicPr>
      <xdr:blipFill>
        <a:blip xmlns:r="http://schemas.openxmlformats.org/officeDocument/2006/relationships" r:embed="rId95" cstate="print"/>
        <a:srcRect/>
        <a:stretch>
          <a:fillRect/>
        </a:stretch>
      </xdr:blipFill>
      <xdr:spPr bwMode="auto">
        <a:xfrm>
          <a:off x="247650" y="57940575"/>
          <a:ext cx="552450" cy="609600"/>
        </a:xfrm>
        <a:prstGeom prst="rect">
          <a:avLst/>
        </a:prstGeom>
        <a:noFill/>
        <a:ln w="9525">
          <a:noFill/>
          <a:miter lim="800000"/>
          <a:headEnd/>
          <a:tailEnd/>
        </a:ln>
      </xdr:spPr>
    </xdr:pic>
    <xdr:clientData/>
  </xdr:twoCellAnchor>
  <xdr:twoCellAnchor editAs="oneCell">
    <xdr:from>
      <xdr:col>1</xdr:col>
      <xdr:colOff>0</xdr:colOff>
      <xdr:row>101</xdr:row>
      <xdr:rowOff>600075</xdr:rowOff>
    </xdr:from>
    <xdr:to>
      <xdr:col>2</xdr:col>
      <xdr:colOff>9525</xdr:colOff>
      <xdr:row>102</xdr:row>
      <xdr:rowOff>600075</xdr:rowOff>
    </xdr:to>
    <xdr:pic>
      <xdr:nvPicPr>
        <xdr:cNvPr id="110539" name="Picture 262"/>
        <xdr:cNvPicPr>
          <a:picLocks noChangeAspect="1" noChangeArrowheads="1"/>
        </xdr:cNvPicPr>
      </xdr:nvPicPr>
      <xdr:blipFill>
        <a:blip xmlns:r="http://schemas.openxmlformats.org/officeDocument/2006/relationships" r:embed="rId96" cstate="print"/>
        <a:srcRect/>
        <a:stretch>
          <a:fillRect/>
        </a:stretch>
      </xdr:blipFill>
      <xdr:spPr bwMode="auto">
        <a:xfrm>
          <a:off x="247650" y="59283600"/>
          <a:ext cx="552450" cy="609600"/>
        </a:xfrm>
        <a:prstGeom prst="rect">
          <a:avLst/>
        </a:prstGeom>
        <a:noFill/>
        <a:ln w="9525">
          <a:noFill/>
          <a:miter lim="800000"/>
          <a:headEnd/>
          <a:tailEnd/>
        </a:ln>
      </xdr:spPr>
    </xdr:pic>
    <xdr:clientData/>
  </xdr:twoCellAnchor>
  <xdr:twoCellAnchor editAs="oneCell">
    <xdr:from>
      <xdr:col>1</xdr:col>
      <xdr:colOff>0</xdr:colOff>
      <xdr:row>105</xdr:row>
      <xdr:rowOff>9525</xdr:rowOff>
    </xdr:from>
    <xdr:to>
      <xdr:col>2</xdr:col>
      <xdr:colOff>9525</xdr:colOff>
      <xdr:row>106</xdr:row>
      <xdr:rowOff>9525</xdr:rowOff>
    </xdr:to>
    <xdr:pic>
      <xdr:nvPicPr>
        <xdr:cNvPr id="110541" name="Picture 266"/>
        <xdr:cNvPicPr>
          <a:picLocks noChangeAspect="1" noChangeArrowheads="1"/>
        </xdr:cNvPicPr>
      </xdr:nvPicPr>
      <xdr:blipFill>
        <a:blip xmlns:r="http://schemas.openxmlformats.org/officeDocument/2006/relationships" r:embed="rId97" cstate="print"/>
        <a:srcRect/>
        <a:stretch>
          <a:fillRect/>
        </a:stretch>
      </xdr:blipFill>
      <xdr:spPr bwMode="auto">
        <a:xfrm>
          <a:off x="247650" y="60988575"/>
          <a:ext cx="552450" cy="609600"/>
        </a:xfrm>
        <a:prstGeom prst="rect">
          <a:avLst/>
        </a:prstGeom>
        <a:noFill/>
        <a:ln w="9525">
          <a:noFill/>
          <a:miter lim="800000"/>
          <a:headEnd/>
          <a:tailEnd/>
        </a:ln>
      </xdr:spPr>
    </xdr:pic>
    <xdr:clientData/>
  </xdr:twoCellAnchor>
  <xdr:twoCellAnchor editAs="oneCell">
    <xdr:from>
      <xdr:col>1</xdr:col>
      <xdr:colOff>0</xdr:colOff>
      <xdr:row>106</xdr:row>
      <xdr:rowOff>9525</xdr:rowOff>
    </xdr:from>
    <xdr:to>
      <xdr:col>2</xdr:col>
      <xdr:colOff>9525</xdr:colOff>
      <xdr:row>107</xdr:row>
      <xdr:rowOff>9525</xdr:rowOff>
    </xdr:to>
    <xdr:pic>
      <xdr:nvPicPr>
        <xdr:cNvPr id="110542" name="Picture 268"/>
        <xdr:cNvPicPr>
          <a:picLocks noChangeAspect="1" noChangeArrowheads="1"/>
        </xdr:cNvPicPr>
      </xdr:nvPicPr>
      <xdr:blipFill>
        <a:blip xmlns:r="http://schemas.openxmlformats.org/officeDocument/2006/relationships" r:embed="rId98" cstate="print"/>
        <a:srcRect/>
        <a:stretch>
          <a:fillRect/>
        </a:stretch>
      </xdr:blipFill>
      <xdr:spPr bwMode="auto">
        <a:xfrm>
          <a:off x="247650" y="61598175"/>
          <a:ext cx="552450" cy="609600"/>
        </a:xfrm>
        <a:prstGeom prst="rect">
          <a:avLst/>
        </a:prstGeom>
        <a:noFill/>
        <a:ln w="9525">
          <a:noFill/>
          <a:miter lim="800000"/>
          <a:headEnd/>
          <a:tailEnd/>
        </a:ln>
      </xdr:spPr>
    </xdr:pic>
    <xdr:clientData/>
  </xdr:twoCellAnchor>
  <xdr:twoCellAnchor editAs="oneCell">
    <xdr:from>
      <xdr:col>1</xdr:col>
      <xdr:colOff>0</xdr:colOff>
      <xdr:row>107</xdr:row>
      <xdr:rowOff>9525</xdr:rowOff>
    </xdr:from>
    <xdr:to>
      <xdr:col>2</xdr:col>
      <xdr:colOff>9525</xdr:colOff>
      <xdr:row>108</xdr:row>
      <xdr:rowOff>9525</xdr:rowOff>
    </xdr:to>
    <xdr:pic>
      <xdr:nvPicPr>
        <xdr:cNvPr id="110543" name="Picture 270"/>
        <xdr:cNvPicPr>
          <a:picLocks noChangeAspect="1" noChangeArrowheads="1"/>
        </xdr:cNvPicPr>
      </xdr:nvPicPr>
      <xdr:blipFill>
        <a:blip xmlns:r="http://schemas.openxmlformats.org/officeDocument/2006/relationships" r:embed="rId99" cstate="print"/>
        <a:srcRect/>
        <a:stretch>
          <a:fillRect/>
        </a:stretch>
      </xdr:blipFill>
      <xdr:spPr bwMode="auto">
        <a:xfrm>
          <a:off x="247650" y="62207775"/>
          <a:ext cx="552450" cy="609600"/>
        </a:xfrm>
        <a:prstGeom prst="rect">
          <a:avLst/>
        </a:prstGeom>
        <a:noFill/>
        <a:ln w="9525">
          <a:noFill/>
          <a:miter lim="800000"/>
          <a:headEnd/>
          <a:tailEnd/>
        </a:ln>
      </xdr:spPr>
    </xdr:pic>
    <xdr:clientData/>
  </xdr:twoCellAnchor>
  <xdr:twoCellAnchor editAs="oneCell">
    <xdr:from>
      <xdr:col>1</xdr:col>
      <xdr:colOff>0</xdr:colOff>
      <xdr:row>108</xdr:row>
      <xdr:rowOff>9525</xdr:rowOff>
    </xdr:from>
    <xdr:to>
      <xdr:col>2</xdr:col>
      <xdr:colOff>9525</xdr:colOff>
      <xdr:row>109</xdr:row>
      <xdr:rowOff>9525</xdr:rowOff>
    </xdr:to>
    <xdr:pic>
      <xdr:nvPicPr>
        <xdr:cNvPr id="110544" name="Picture 272"/>
        <xdr:cNvPicPr>
          <a:picLocks noChangeAspect="1" noChangeArrowheads="1"/>
        </xdr:cNvPicPr>
      </xdr:nvPicPr>
      <xdr:blipFill>
        <a:blip xmlns:r="http://schemas.openxmlformats.org/officeDocument/2006/relationships" r:embed="rId100" cstate="print"/>
        <a:srcRect/>
        <a:stretch>
          <a:fillRect/>
        </a:stretch>
      </xdr:blipFill>
      <xdr:spPr bwMode="auto">
        <a:xfrm>
          <a:off x="247650" y="62817375"/>
          <a:ext cx="552450" cy="609600"/>
        </a:xfrm>
        <a:prstGeom prst="rect">
          <a:avLst/>
        </a:prstGeom>
        <a:noFill/>
        <a:ln w="9525">
          <a:noFill/>
          <a:miter lim="800000"/>
          <a:headEnd/>
          <a:tailEnd/>
        </a:ln>
      </xdr:spPr>
    </xdr:pic>
    <xdr:clientData/>
  </xdr:twoCellAnchor>
  <xdr:twoCellAnchor editAs="oneCell">
    <xdr:from>
      <xdr:col>1</xdr:col>
      <xdr:colOff>0</xdr:colOff>
      <xdr:row>109</xdr:row>
      <xdr:rowOff>9525</xdr:rowOff>
    </xdr:from>
    <xdr:to>
      <xdr:col>2</xdr:col>
      <xdr:colOff>9525</xdr:colOff>
      <xdr:row>110</xdr:row>
      <xdr:rowOff>9525</xdr:rowOff>
    </xdr:to>
    <xdr:pic>
      <xdr:nvPicPr>
        <xdr:cNvPr id="110545" name="Picture 274"/>
        <xdr:cNvPicPr>
          <a:picLocks noChangeAspect="1" noChangeArrowheads="1"/>
        </xdr:cNvPicPr>
      </xdr:nvPicPr>
      <xdr:blipFill>
        <a:blip xmlns:r="http://schemas.openxmlformats.org/officeDocument/2006/relationships" r:embed="rId101" cstate="print"/>
        <a:srcRect/>
        <a:stretch>
          <a:fillRect/>
        </a:stretch>
      </xdr:blipFill>
      <xdr:spPr bwMode="auto">
        <a:xfrm>
          <a:off x="247650" y="63426975"/>
          <a:ext cx="552450" cy="609600"/>
        </a:xfrm>
        <a:prstGeom prst="rect">
          <a:avLst/>
        </a:prstGeom>
        <a:noFill/>
        <a:ln w="9525">
          <a:noFill/>
          <a:miter lim="800000"/>
          <a:headEnd/>
          <a:tailEnd/>
        </a:ln>
      </xdr:spPr>
    </xdr:pic>
    <xdr:clientData/>
  </xdr:twoCellAnchor>
  <xdr:twoCellAnchor editAs="oneCell">
    <xdr:from>
      <xdr:col>1</xdr:col>
      <xdr:colOff>0</xdr:colOff>
      <xdr:row>109</xdr:row>
      <xdr:rowOff>600075</xdr:rowOff>
    </xdr:from>
    <xdr:to>
      <xdr:col>2</xdr:col>
      <xdr:colOff>9525</xdr:colOff>
      <xdr:row>110</xdr:row>
      <xdr:rowOff>600075</xdr:rowOff>
    </xdr:to>
    <xdr:pic>
      <xdr:nvPicPr>
        <xdr:cNvPr id="110546" name="Picture 276"/>
        <xdr:cNvPicPr>
          <a:picLocks noChangeAspect="1" noChangeArrowheads="1"/>
        </xdr:cNvPicPr>
      </xdr:nvPicPr>
      <xdr:blipFill>
        <a:blip xmlns:r="http://schemas.openxmlformats.org/officeDocument/2006/relationships" r:embed="rId102" cstate="print"/>
        <a:srcRect/>
        <a:stretch>
          <a:fillRect/>
        </a:stretch>
      </xdr:blipFill>
      <xdr:spPr bwMode="auto">
        <a:xfrm>
          <a:off x="247650" y="64160400"/>
          <a:ext cx="552450" cy="609600"/>
        </a:xfrm>
        <a:prstGeom prst="rect">
          <a:avLst/>
        </a:prstGeom>
        <a:noFill/>
        <a:ln w="9525">
          <a:noFill/>
          <a:miter lim="800000"/>
          <a:headEnd/>
          <a:tailEnd/>
        </a:ln>
      </xdr:spPr>
    </xdr:pic>
    <xdr:clientData/>
  </xdr:twoCellAnchor>
  <xdr:twoCellAnchor editAs="oneCell">
    <xdr:from>
      <xdr:col>1</xdr:col>
      <xdr:colOff>0</xdr:colOff>
      <xdr:row>112</xdr:row>
      <xdr:rowOff>9525</xdr:rowOff>
    </xdr:from>
    <xdr:to>
      <xdr:col>2</xdr:col>
      <xdr:colOff>9525</xdr:colOff>
      <xdr:row>113</xdr:row>
      <xdr:rowOff>9525</xdr:rowOff>
    </xdr:to>
    <xdr:pic>
      <xdr:nvPicPr>
        <xdr:cNvPr id="110548" name="Picture 280"/>
        <xdr:cNvPicPr>
          <a:picLocks noChangeAspect="1" noChangeArrowheads="1"/>
        </xdr:cNvPicPr>
      </xdr:nvPicPr>
      <xdr:blipFill>
        <a:blip xmlns:r="http://schemas.openxmlformats.org/officeDocument/2006/relationships" r:embed="rId103" cstate="print"/>
        <a:srcRect/>
        <a:stretch>
          <a:fillRect/>
        </a:stretch>
      </xdr:blipFill>
      <xdr:spPr bwMode="auto">
        <a:xfrm>
          <a:off x="247650" y="65255775"/>
          <a:ext cx="552450" cy="609600"/>
        </a:xfrm>
        <a:prstGeom prst="rect">
          <a:avLst/>
        </a:prstGeom>
        <a:noFill/>
        <a:ln w="9525">
          <a:noFill/>
          <a:miter lim="800000"/>
          <a:headEnd/>
          <a:tailEnd/>
        </a:ln>
      </xdr:spPr>
    </xdr:pic>
    <xdr:clientData/>
  </xdr:twoCellAnchor>
  <xdr:twoCellAnchor editAs="oneCell">
    <xdr:from>
      <xdr:col>1</xdr:col>
      <xdr:colOff>0</xdr:colOff>
      <xdr:row>113</xdr:row>
      <xdr:rowOff>9525</xdr:rowOff>
    </xdr:from>
    <xdr:to>
      <xdr:col>2</xdr:col>
      <xdr:colOff>9525</xdr:colOff>
      <xdr:row>114</xdr:row>
      <xdr:rowOff>9525</xdr:rowOff>
    </xdr:to>
    <xdr:pic>
      <xdr:nvPicPr>
        <xdr:cNvPr id="110549" name="Picture 282"/>
        <xdr:cNvPicPr>
          <a:picLocks noChangeAspect="1" noChangeArrowheads="1"/>
        </xdr:cNvPicPr>
      </xdr:nvPicPr>
      <xdr:blipFill>
        <a:blip xmlns:r="http://schemas.openxmlformats.org/officeDocument/2006/relationships" r:embed="rId104" cstate="print"/>
        <a:srcRect/>
        <a:stretch>
          <a:fillRect/>
        </a:stretch>
      </xdr:blipFill>
      <xdr:spPr bwMode="auto">
        <a:xfrm>
          <a:off x="247650" y="65865375"/>
          <a:ext cx="552450" cy="609600"/>
        </a:xfrm>
        <a:prstGeom prst="rect">
          <a:avLst/>
        </a:prstGeom>
        <a:noFill/>
        <a:ln w="9525">
          <a:noFill/>
          <a:miter lim="800000"/>
          <a:headEnd/>
          <a:tailEnd/>
        </a:ln>
      </xdr:spPr>
    </xdr:pic>
    <xdr:clientData/>
  </xdr:twoCellAnchor>
  <xdr:twoCellAnchor editAs="oneCell">
    <xdr:from>
      <xdr:col>1</xdr:col>
      <xdr:colOff>0</xdr:colOff>
      <xdr:row>116</xdr:row>
      <xdr:rowOff>9525</xdr:rowOff>
    </xdr:from>
    <xdr:to>
      <xdr:col>2</xdr:col>
      <xdr:colOff>9525</xdr:colOff>
      <xdr:row>116</xdr:row>
      <xdr:rowOff>619125</xdr:rowOff>
    </xdr:to>
    <xdr:pic>
      <xdr:nvPicPr>
        <xdr:cNvPr id="110550" name="Picture 284"/>
        <xdr:cNvPicPr>
          <a:picLocks noChangeAspect="1" noChangeArrowheads="1"/>
        </xdr:cNvPicPr>
      </xdr:nvPicPr>
      <xdr:blipFill>
        <a:blip xmlns:r="http://schemas.openxmlformats.org/officeDocument/2006/relationships" r:embed="rId105" cstate="print"/>
        <a:srcRect/>
        <a:stretch>
          <a:fillRect/>
        </a:stretch>
      </xdr:blipFill>
      <xdr:spPr bwMode="auto">
        <a:xfrm>
          <a:off x="247650" y="67694175"/>
          <a:ext cx="552450" cy="609600"/>
        </a:xfrm>
        <a:prstGeom prst="rect">
          <a:avLst/>
        </a:prstGeom>
        <a:noFill/>
        <a:ln w="9525">
          <a:noFill/>
          <a:miter lim="800000"/>
          <a:headEnd/>
          <a:tailEnd/>
        </a:ln>
      </xdr:spPr>
    </xdr:pic>
    <xdr:clientData/>
  </xdr:twoCellAnchor>
  <xdr:twoCellAnchor editAs="oneCell">
    <xdr:from>
      <xdr:col>1</xdr:col>
      <xdr:colOff>0</xdr:colOff>
      <xdr:row>117</xdr:row>
      <xdr:rowOff>9525</xdr:rowOff>
    </xdr:from>
    <xdr:to>
      <xdr:col>2</xdr:col>
      <xdr:colOff>9525</xdr:colOff>
      <xdr:row>118</xdr:row>
      <xdr:rowOff>9525</xdr:rowOff>
    </xdr:to>
    <xdr:pic>
      <xdr:nvPicPr>
        <xdr:cNvPr id="110551" name="Picture 286"/>
        <xdr:cNvPicPr>
          <a:picLocks noChangeAspect="1" noChangeArrowheads="1"/>
        </xdr:cNvPicPr>
      </xdr:nvPicPr>
      <xdr:blipFill>
        <a:blip xmlns:r="http://schemas.openxmlformats.org/officeDocument/2006/relationships" r:embed="rId106" cstate="print"/>
        <a:srcRect/>
        <a:stretch>
          <a:fillRect/>
        </a:stretch>
      </xdr:blipFill>
      <xdr:spPr bwMode="auto">
        <a:xfrm>
          <a:off x="247650" y="68351400"/>
          <a:ext cx="552450" cy="609600"/>
        </a:xfrm>
        <a:prstGeom prst="rect">
          <a:avLst/>
        </a:prstGeom>
        <a:noFill/>
        <a:ln w="9525">
          <a:noFill/>
          <a:miter lim="800000"/>
          <a:headEnd/>
          <a:tailEnd/>
        </a:ln>
      </xdr:spPr>
    </xdr:pic>
    <xdr:clientData/>
  </xdr:twoCellAnchor>
  <xdr:twoCellAnchor editAs="oneCell">
    <xdr:from>
      <xdr:col>1</xdr:col>
      <xdr:colOff>0</xdr:colOff>
      <xdr:row>117</xdr:row>
      <xdr:rowOff>600075</xdr:rowOff>
    </xdr:from>
    <xdr:to>
      <xdr:col>2</xdr:col>
      <xdr:colOff>9525</xdr:colOff>
      <xdr:row>118</xdr:row>
      <xdr:rowOff>600075</xdr:rowOff>
    </xdr:to>
    <xdr:pic>
      <xdr:nvPicPr>
        <xdr:cNvPr id="110552" name="Picture 288"/>
        <xdr:cNvPicPr>
          <a:picLocks noChangeAspect="1" noChangeArrowheads="1"/>
        </xdr:cNvPicPr>
      </xdr:nvPicPr>
      <xdr:blipFill>
        <a:blip xmlns:r="http://schemas.openxmlformats.org/officeDocument/2006/relationships" r:embed="rId107" cstate="print"/>
        <a:srcRect/>
        <a:stretch>
          <a:fillRect/>
        </a:stretch>
      </xdr:blipFill>
      <xdr:spPr bwMode="auto">
        <a:xfrm>
          <a:off x="247650" y="69084825"/>
          <a:ext cx="552450" cy="609600"/>
        </a:xfrm>
        <a:prstGeom prst="rect">
          <a:avLst/>
        </a:prstGeom>
        <a:noFill/>
        <a:ln w="9525">
          <a:noFill/>
          <a:miter lim="800000"/>
          <a:headEnd/>
          <a:tailEnd/>
        </a:ln>
      </xdr:spPr>
    </xdr:pic>
    <xdr:clientData/>
  </xdr:twoCellAnchor>
  <xdr:twoCellAnchor editAs="oneCell">
    <xdr:from>
      <xdr:col>1</xdr:col>
      <xdr:colOff>0</xdr:colOff>
      <xdr:row>120</xdr:row>
      <xdr:rowOff>9525</xdr:rowOff>
    </xdr:from>
    <xdr:to>
      <xdr:col>2</xdr:col>
      <xdr:colOff>9525</xdr:colOff>
      <xdr:row>121</xdr:row>
      <xdr:rowOff>9525</xdr:rowOff>
    </xdr:to>
    <xdr:pic>
      <xdr:nvPicPr>
        <xdr:cNvPr id="110553" name="Picture 290"/>
        <xdr:cNvPicPr>
          <a:picLocks noChangeAspect="1" noChangeArrowheads="1"/>
        </xdr:cNvPicPr>
      </xdr:nvPicPr>
      <xdr:blipFill>
        <a:blip xmlns:r="http://schemas.openxmlformats.org/officeDocument/2006/relationships" r:embed="rId108" cstate="print"/>
        <a:srcRect/>
        <a:stretch>
          <a:fillRect/>
        </a:stretch>
      </xdr:blipFill>
      <xdr:spPr bwMode="auto">
        <a:xfrm>
          <a:off x="247650" y="70180200"/>
          <a:ext cx="552450" cy="609600"/>
        </a:xfrm>
        <a:prstGeom prst="rect">
          <a:avLst/>
        </a:prstGeom>
        <a:noFill/>
        <a:ln w="9525">
          <a:noFill/>
          <a:miter lim="800000"/>
          <a:headEnd/>
          <a:tailEnd/>
        </a:ln>
      </xdr:spPr>
    </xdr:pic>
    <xdr:clientData/>
  </xdr:twoCellAnchor>
  <xdr:twoCellAnchor editAs="oneCell">
    <xdr:from>
      <xdr:col>1</xdr:col>
      <xdr:colOff>0</xdr:colOff>
      <xdr:row>121</xdr:row>
      <xdr:rowOff>9525</xdr:rowOff>
    </xdr:from>
    <xdr:to>
      <xdr:col>2</xdr:col>
      <xdr:colOff>9525</xdr:colOff>
      <xdr:row>122</xdr:row>
      <xdr:rowOff>9525</xdr:rowOff>
    </xdr:to>
    <xdr:pic>
      <xdr:nvPicPr>
        <xdr:cNvPr id="110554" name="Picture 292"/>
        <xdr:cNvPicPr>
          <a:picLocks noChangeAspect="1" noChangeArrowheads="1"/>
        </xdr:cNvPicPr>
      </xdr:nvPicPr>
      <xdr:blipFill>
        <a:blip xmlns:r="http://schemas.openxmlformats.org/officeDocument/2006/relationships" r:embed="rId109" cstate="print"/>
        <a:srcRect/>
        <a:stretch>
          <a:fillRect/>
        </a:stretch>
      </xdr:blipFill>
      <xdr:spPr bwMode="auto">
        <a:xfrm>
          <a:off x="247650" y="70789800"/>
          <a:ext cx="552450" cy="609600"/>
        </a:xfrm>
        <a:prstGeom prst="rect">
          <a:avLst/>
        </a:prstGeom>
        <a:noFill/>
        <a:ln w="9525">
          <a:noFill/>
          <a:miter lim="800000"/>
          <a:headEnd/>
          <a:tailEnd/>
        </a:ln>
      </xdr:spPr>
    </xdr:pic>
    <xdr:clientData/>
  </xdr:twoCellAnchor>
  <xdr:twoCellAnchor editAs="oneCell">
    <xdr:from>
      <xdr:col>1</xdr:col>
      <xdr:colOff>0</xdr:colOff>
      <xdr:row>125</xdr:row>
      <xdr:rowOff>9525</xdr:rowOff>
    </xdr:from>
    <xdr:to>
      <xdr:col>2</xdr:col>
      <xdr:colOff>9525</xdr:colOff>
      <xdr:row>126</xdr:row>
      <xdr:rowOff>9525</xdr:rowOff>
    </xdr:to>
    <xdr:pic>
      <xdr:nvPicPr>
        <xdr:cNvPr id="110555" name="Picture 294"/>
        <xdr:cNvPicPr>
          <a:picLocks noChangeAspect="1" noChangeArrowheads="1"/>
        </xdr:cNvPicPr>
      </xdr:nvPicPr>
      <xdr:blipFill>
        <a:blip xmlns:r="http://schemas.openxmlformats.org/officeDocument/2006/relationships" r:embed="rId110" cstate="print"/>
        <a:srcRect/>
        <a:stretch>
          <a:fillRect/>
        </a:stretch>
      </xdr:blipFill>
      <xdr:spPr bwMode="auto">
        <a:xfrm>
          <a:off x="247650" y="73228200"/>
          <a:ext cx="552450" cy="609600"/>
        </a:xfrm>
        <a:prstGeom prst="rect">
          <a:avLst/>
        </a:prstGeom>
        <a:noFill/>
        <a:ln w="9525">
          <a:noFill/>
          <a:miter lim="800000"/>
          <a:headEnd/>
          <a:tailEnd/>
        </a:ln>
      </xdr:spPr>
    </xdr:pic>
    <xdr:clientData/>
  </xdr:twoCellAnchor>
  <xdr:twoCellAnchor editAs="oneCell">
    <xdr:from>
      <xdr:col>1</xdr:col>
      <xdr:colOff>0</xdr:colOff>
      <xdr:row>125</xdr:row>
      <xdr:rowOff>600075</xdr:rowOff>
    </xdr:from>
    <xdr:to>
      <xdr:col>2</xdr:col>
      <xdr:colOff>9525</xdr:colOff>
      <xdr:row>126</xdr:row>
      <xdr:rowOff>600075</xdr:rowOff>
    </xdr:to>
    <xdr:pic>
      <xdr:nvPicPr>
        <xdr:cNvPr id="110556" name="Picture 296"/>
        <xdr:cNvPicPr>
          <a:picLocks noChangeAspect="1" noChangeArrowheads="1"/>
        </xdr:cNvPicPr>
      </xdr:nvPicPr>
      <xdr:blipFill>
        <a:blip xmlns:r="http://schemas.openxmlformats.org/officeDocument/2006/relationships" r:embed="rId111" cstate="print"/>
        <a:srcRect/>
        <a:stretch>
          <a:fillRect/>
        </a:stretch>
      </xdr:blipFill>
      <xdr:spPr bwMode="auto">
        <a:xfrm>
          <a:off x="247650" y="73961625"/>
          <a:ext cx="552450" cy="609600"/>
        </a:xfrm>
        <a:prstGeom prst="rect">
          <a:avLst/>
        </a:prstGeom>
        <a:noFill/>
        <a:ln w="9525">
          <a:noFill/>
          <a:miter lim="800000"/>
          <a:headEnd/>
          <a:tailEnd/>
        </a:ln>
      </xdr:spPr>
    </xdr:pic>
    <xdr:clientData/>
  </xdr:twoCellAnchor>
  <xdr:twoCellAnchor editAs="oneCell">
    <xdr:from>
      <xdr:col>1</xdr:col>
      <xdr:colOff>0</xdr:colOff>
      <xdr:row>128</xdr:row>
      <xdr:rowOff>9525</xdr:rowOff>
    </xdr:from>
    <xdr:to>
      <xdr:col>2</xdr:col>
      <xdr:colOff>9525</xdr:colOff>
      <xdr:row>129</xdr:row>
      <xdr:rowOff>9525</xdr:rowOff>
    </xdr:to>
    <xdr:pic>
      <xdr:nvPicPr>
        <xdr:cNvPr id="110558" name="Picture 300"/>
        <xdr:cNvPicPr>
          <a:picLocks noChangeAspect="1" noChangeArrowheads="1"/>
        </xdr:cNvPicPr>
      </xdr:nvPicPr>
      <xdr:blipFill>
        <a:blip xmlns:r="http://schemas.openxmlformats.org/officeDocument/2006/relationships" r:embed="rId112" cstate="print"/>
        <a:srcRect/>
        <a:stretch>
          <a:fillRect/>
        </a:stretch>
      </xdr:blipFill>
      <xdr:spPr bwMode="auto">
        <a:xfrm>
          <a:off x="247650" y="75057000"/>
          <a:ext cx="552450" cy="609600"/>
        </a:xfrm>
        <a:prstGeom prst="rect">
          <a:avLst/>
        </a:prstGeom>
        <a:noFill/>
        <a:ln w="9525">
          <a:noFill/>
          <a:miter lim="800000"/>
          <a:headEnd/>
          <a:tailEnd/>
        </a:ln>
      </xdr:spPr>
    </xdr:pic>
    <xdr:clientData/>
  </xdr:twoCellAnchor>
  <xdr:twoCellAnchor editAs="oneCell">
    <xdr:from>
      <xdr:col>1</xdr:col>
      <xdr:colOff>0</xdr:colOff>
      <xdr:row>129</xdr:row>
      <xdr:rowOff>9525</xdr:rowOff>
    </xdr:from>
    <xdr:to>
      <xdr:col>2</xdr:col>
      <xdr:colOff>9525</xdr:colOff>
      <xdr:row>130</xdr:row>
      <xdr:rowOff>9525</xdr:rowOff>
    </xdr:to>
    <xdr:pic>
      <xdr:nvPicPr>
        <xdr:cNvPr id="110559" name="Picture 302"/>
        <xdr:cNvPicPr>
          <a:picLocks noChangeAspect="1" noChangeArrowheads="1"/>
        </xdr:cNvPicPr>
      </xdr:nvPicPr>
      <xdr:blipFill>
        <a:blip xmlns:r="http://schemas.openxmlformats.org/officeDocument/2006/relationships" r:embed="rId113" cstate="print"/>
        <a:srcRect/>
        <a:stretch>
          <a:fillRect/>
        </a:stretch>
      </xdr:blipFill>
      <xdr:spPr bwMode="auto">
        <a:xfrm>
          <a:off x="247650" y="75666600"/>
          <a:ext cx="552450" cy="609600"/>
        </a:xfrm>
        <a:prstGeom prst="rect">
          <a:avLst/>
        </a:prstGeom>
        <a:noFill/>
        <a:ln w="9525">
          <a:noFill/>
          <a:miter lim="800000"/>
          <a:headEnd/>
          <a:tailEnd/>
        </a:ln>
      </xdr:spPr>
    </xdr:pic>
    <xdr:clientData/>
  </xdr:twoCellAnchor>
  <xdr:twoCellAnchor editAs="oneCell">
    <xdr:from>
      <xdr:col>1</xdr:col>
      <xdr:colOff>0</xdr:colOff>
      <xdr:row>130</xdr:row>
      <xdr:rowOff>9525</xdr:rowOff>
    </xdr:from>
    <xdr:to>
      <xdr:col>2</xdr:col>
      <xdr:colOff>9525</xdr:colOff>
      <xdr:row>131</xdr:row>
      <xdr:rowOff>9525</xdr:rowOff>
    </xdr:to>
    <xdr:pic>
      <xdr:nvPicPr>
        <xdr:cNvPr id="110560" name="Picture 304"/>
        <xdr:cNvPicPr>
          <a:picLocks noChangeAspect="1" noChangeArrowheads="1"/>
        </xdr:cNvPicPr>
      </xdr:nvPicPr>
      <xdr:blipFill>
        <a:blip xmlns:r="http://schemas.openxmlformats.org/officeDocument/2006/relationships" r:embed="rId114" cstate="print"/>
        <a:srcRect/>
        <a:stretch>
          <a:fillRect/>
        </a:stretch>
      </xdr:blipFill>
      <xdr:spPr bwMode="auto">
        <a:xfrm>
          <a:off x="247650" y="76276200"/>
          <a:ext cx="552450" cy="609600"/>
        </a:xfrm>
        <a:prstGeom prst="rect">
          <a:avLst/>
        </a:prstGeom>
        <a:noFill/>
        <a:ln w="9525">
          <a:noFill/>
          <a:miter lim="800000"/>
          <a:headEnd/>
          <a:tailEnd/>
        </a:ln>
      </xdr:spPr>
    </xdr:pic>
    <xdr:clientData/>
  </xdr:twoCellAnchor>
  <xdr:twoCellAnchor editAs="oneCell">
    <xdr:from>
      <xdr:col>1</xdr:col>
      <xdr:colOff>0</xdr:colOff>
      <xdr:row>131</xdr:row>
      <xdr:rowOff>9525</xdr:rowOff>
    </xdr:from>
    <xdr:to>
      <xdr:col>2</xdr:col>
      <xdr:colOff>9525</xdr:colOff>
      <xdr:row>132</xdr:row>
      <xdr:rowOff>9525</xdr:rowOff>
    </xdr:to>
    <xdr:pic>
      <xdr:nvPicPr>
        <xdr:cNvPr id="110561" name="Picture 306"/>
        <xdr:cNvPicPr>
          <a:picLocks noChangeAspect="1" noChangeArrowheads="1"/>
        </xdr:cNvPicPr>
      </xdr:nvPicPr>
      <xdr:blipFill>
        <a:blip xmlns:r="http://schemas.openxmlformats.org/officeDocument/2006/relationships" r:embed="rId115" cstate="print"/>
        <a:srcRect/>
        <a:stretch>
          <a:fillRect/>
        </a:stretch>
      </xdr:blipFill>
      <xdr:spPr bwMode="auto">
        <a:xfrm>
          <a:off x="247650" y="76885800"/>
          <a:ext cx="552450" cy="609600"/>
        </a:xfrm>
        <a:prstGeom prst="rect">
          <a:avLst/>
        </a:prstGeom>
        <a:noFill/>
        <a:ln w="9525">
          <a:noFill/>
          <a:miter lim="800000"/>
          <a:headEnd/>
          <a:tailEnd/>
        </a:ln>
      </xdr:spPr>
    </xdr:pic>
    <xdr:clientData/>
  </xdr:twoCellAnchor>
  <xdr:twoCellAnchor editAs="oneCell">
    <xdr:from>
      <xdr:col>1</xdr:col>
      <xdr:colOff>0</xdr:colOff>
      <xdr:row>132</xdr:row>
      <xdr:rowOff>9525</xdr:rowOff>
    </xdr:from>
    <xdr:to>
      <xdr:col>2</xdr:col>
      <xdr:colOff>9525</xdr:colOff>
      <xdr:row>133</xdr:row>
      <xdr:rowOff>9525</xdr:rowOff>
    </xdr:to>
    <xdr:pic>
      <xdr:nvPicPr>
        <xdr:cNvPr id="110562" name="Picture 308"/>
        <xdr:cNvPicPr>
          <a:picLocks noChangeAspect="1" noChangeArrowheads="1"/>
        </xdr:cNvPicPr>
      </xdr:nvPicPr>
      <xdr:blipFill>
        <a:blip xmlns:r="http://schemas.openxmlformats.org/officeDocument/2006/relationships" r:embed="rId116" cstate="print"/>
        <a:srcRect/>
        <a:stretch>
          <a:fillRect/>
        </a:stretch>
      </xdr:blipFill>
      <xdr:spPr bwMode="auto">
        <a:xfrm>
          <a:off x="247650" y="77495400"/>
          <a:ext cx="552450" cy="609600"/>
        </a:xfrm>
        <a:prstGeom prst="rect">
          <a:avLst/>
        </a:prstGeom>
        <a:noFill/>
        <a:ln w="9525">
          <a:noFill/>
          <a:miter lim="800000"/>
          <a:headEnd/>
          <a:tailEnd/>
        </a:ln>
      </xdr:spPr>
    </xdr:pic>
    <xdr:clientData/>
  </xdr:twoCellAnchor>
  <xdr:twoCellAnchor editAs="oneCell">
    <xdr:from>
      <xdr:col>1</xdr:col>
      <xdr:colOff>0</xdr:colOff>
      <xdr:row>133</xdr:row>
      <xdr:rowOff>9525</xdr:rowOff>
    </xdr:from>
    <xdr:to>
      <xdr:col>2</xdr:col>
      <xdr:colOff>9525</xdr:colOff>
      <xdr:row>134</xdr:row>
      <xdr:rowOff>9525</xdr:rowOff>
    </xdr:to>
    <xdr:pic>
      <xdr:nvPicPr>
        <xdr:cNvPr id="110563" name="Picture 310"/>
        <xdr:cNvPicPr>
          <a:picLocks noChangeAspect="1" noChangeArrowheads="1"/>
        </xdr:cNvPicPr>
      </xdr:nvPicPr>
      <xdr:blipFill>
        <a:blip xmlns:r="http://schemas.openxmlformats.org/officeDocument/2006/relationships" r:embed="rId117" cstate="print"/>
        <a:srcRect/>
        <a:stretch>
          <a:fillRect/>
        </a:stretch>
      </xdr:blipFill>
      <xdr:spPr bwMode="auto">
        <a:xfrm>
          <a:off x="247650" y="78105000"/>
          <a:ext cx="552450" cy="609600"/>
        </a:xfrm>
        <a:prstGeom prst="rect">
          <a:avLst/>
        </a:prstGeom>
        <a:noFill/>
        <a:ln w="9525">
          <a:noFill/>
          <a:miter lim="800000"/>
          <a:headEnd/>
          <a:tailEnd/>
        </a:ln>
      </xdr:spPr>
    </xdr:pic>
    <xdr:clientData/>
  </xdr:twoCellAnchor>
  <xdr:twoCellAnchor editAs="oneCell">
    <xdr:from>
      <xdr:col>1</xdr:col>
      <xdr:colOff>0</xdr:colOff>
      <xdr:row>133</xdr:row>
      <xdr:rowOff>600075</xdr:rowOff>
    </xdr:from>
    <xdr:to>
      <xdr:col>2</xdr:col>
      <xdr:colOff>9525</xdr:colOff>
      <xdr:row>134</xdr:row>
      <xdr:rowOff>600075</xdr:rowOff>
    </xdr:to>
    <xdr:pic>
      <xdr:nvPicPr>
        <xdr:cNvPr id="110564" name="Picture 312"/>
        <xdr:cNvPicPr>
          <a:picLocks noChangeAspect="1" noChangeArrowheads="1"/>
        </xdr:cNvPicPr>
      </xdr:nvPicPr>
      <xdr:blipFill>
        <a:blip xmlns:r="http://schemas.openxmlformats.org/officeDocument/2006/relationships" r:embed="rId118" cstate="print"/>
        <a:srcRect/>
        <a:stretch>
          <a:fillRect/>
        </a:stretch>
      </xdr:blipFill>
      <xdr:spPr bwMode="auto">
        <a:xfrm>
          <a:off x="247650" y="78838425"/>
          <a:ext cx="552450" cy="609600"/>
        </a:xfrm>
        <a:prstGeom prst="rect">
          <a:avLst/>
        </a:prstGeom>
        <a:noFill/>
        <a:ln w="9525">
          <a:noFill/>
          <a:miter lim="800000"/>
          <a:headEnd/>
          <a:tailEnd/>
        </a:ln>
      </xdr:spPr>
    </xdr:pic>
    <xdr:clientData/>
  </xdr:twoCellAnchor>
  <xdr:twoCellAnchor editAs="oneCell">
    <xdr:from>
      <xdr:col>1</xdr:col>
      <xdr:colOff>0</xdr:colOff>
      <xdr:row>157</xdr:row>
      <xdr:rowOff>9525</xdr:rowOff>
    </xdr:from>
    <xdr:to>
      <xdr:col>2</xdr:col>
      <xdr:colOff>9525</xdr:colOff>
      <xdr:row>158</xdr:row>
      <xdr:rowOff>9525</xdr:rowOff>
    </xdr:to>
    <xdr:pic>
      <xdr:nvPicPr>
        <xdr:cNvPr id="110565" name="Picture 314"/>
        <xdr:cNvPicPr>
          <a:picLocks noChangeAspect="1" noChangeArrowheads="1"/>
        </xdr:cNvPicPr>
      </xdr:nvPicPr>
      <xdr:blipFill>
        <a:blip xmlns:r="http://schemas.openxmlformats.org/officeDocument/2006/relationships" r:embed="rId119" cstate="print"/>
        <a:srcRect/>
        <a:stretch>
          <a:fillRect/>
        </a:stretch>
      </xdr:blipFill>
      <xdr:spPr bwMode="auto">
        <a:xfrm>
          <a:off x="247650" y="92811600"/>
          <a:ext cx="552450" cy="609600"/>
        </a:xfrm>
        <a:prstGeom prst="rect">
          <a:avLst/>
        </a:prstGeom>
        <a:noFill/>
        <a:ln w="9525">
          <a:noFill/>
          <a:miter lim="800000"/>
          <a:headEnd/>
          <a:tailEnd/>
        </a:ln>
      </xdr:spPr>
    </xdr:pic>
    <xdr:clientData/>
  </xdr:twoCellAnchor>
  <xdr:twoCellAnchor editAs="oneCell">
    <xdr:from>
      <xdr:col>1</xdr:col>
      <xdr:colOff>0</xdr:colOff>
      <xdr:row>11</xdr:row>
      <xdr:rowOff>9525</xdr:rowOff>
    </xdr:from>
    <xdr:to>
      <xdr:col>2</xdr:col>
      <xdr:colOff>9525</xdr:colOff>
      <xdr:row>12</xdr:row>
      <xdr:rowOff>9525</xdr:rowOff>
    </xdr:to>
    <xdr:pic>
      <xdr:nvPicPr>
        <xdr:cNvPr id="110567" name="Picture 318"/>
        <xdr:cNvPicPr>
          <a:picLocks noChangeAspect="1" noChangeArrowheads="1"/>
        </xdr:cNvPicPr>
      </xdr:nvPicPr>
      <xdr:blipFill>
        <a:blip xmlns:r="http://schemas.openxmlformats.org/officeDocument/2006/relationships" r:embed="rId120" cstate="print"/>
        <a:srcRect/>
        <a:stretch>
          <a:fillRect/>
        </a:stretch>
      </xdr:blipFill>
      <xdr:spPr bwMode="auto">
        <a:xfrm>
          <a:off x="247650" y="3200400"/>
          <a:ext cx="552450" cy="609600"/>
        </a:xfrm>
        <a:prstGeom prst="rect">
          <a:avLst/>
        </a:prstGeom>
        <a:noFill/>
        <a:ln w="9525">
          <a:noFill/>
          <a:miter lim="800000"/>
          <a:headEnd/>
          <a:tailEnd/>
        </a:ln>
      </xdr:spPr>
    </xdr:pic>
    <xdr:clientData/>
  </xdr:twoCellAnchor>
  <xdr:twoCellAnchor editAs="oneCell">
    <xdr:from>
      <xdr:col>1</xdr:col>
      <xdr:colOff>0</xdr:colOff>
      <xdr:row>154</xdr:row>
      <xdr:rowOff>9525</xdr:rowOff>
    </xdr:from>
    <xdr:to>
      <xdr:col>2</xdr:col>
      <xdr:colOff>9525</xdr:colOff>
      <xdr:row>155</xdr:row>
      <xdr:rowOff>9525</xdr:rowOff>
    </xdr:to>
    <xdr:pic>
      <xdr:nvPicPr>
        <xdr:cNvPr id="110568" name="Picture 320"/>
        <xdr:cNvPicPr>
          <a:picLocks noChangeAspect="1" noChangeArrowheads="1"/>
        </xdr:cNvPicPr>
      </xdr:nvPicPr>
      <xdr:blipFill>
        <a:blip xmlns:r="http://schemas.openxmlformats.org/officeDocument/2006/relationships" r:embed="rId121" cstate="print"/>
        <a:srcRect/>
        <a:stretch>
          <a:fillRect/>
        </a:stretch>
      </xdr:blipFill>
      <xdr:spPr bwMode="auto">
        <a:xfrm>
          <a:off x="247650" y="90944700"/>
          <a:ext cx="552450" cy="609600"/>
        </a:xfrm>
        <a:prstGeom prst="rect">
          <a:avLst/>
        </a:prstGeom>
        <a:noFill/>
        <a:ln w="9525">
          <a:noFill/>
          <a:miter lim="800000"/>
          <a:headEnd/>
          <a:tailEnd/>
        </a:ln>
      </xdr:spPr>
    </xdr:pic>
    <xdr:clientData/>
  </xdr:twoCellAnchor>
  <xdr:twoCellAnchor editAs="oneCell">
    <xdr:from>
      <xdr:col>1</xdr:col>
      <xdr:colOff>9525</xdr:colOff>
      <xdr:row>7</xdr:row>
      <xdr:rowOff>9525</xdr:rowOff>
    </xdr:from>
    <xdr:to>
      <xdr:col>2</xdr:col>
      <xdr:colOff>9525</xdr:colOff>
      <xdr:row>8</xdr:row>
      <xdr:rowOff>9525</xdr:rowOff>
    </xdr:to>
    <xdr:pic>
      <xdr:nvPicPr>
        <xdr:cNvPr id="110574" name="Picture 466"/>
        <xdr:cNvPicPr>
          <a:picLocks noChangeAspect="1" noChangeArrowheads="1"/>
        </xdr:cNvPicPr>
      </xdr:nvPicPr>
      <xdr:blipFill>
        <a:blip xmlns:r="http://schemas.openxmlformats.org/officeDocument/2006/relationships" r:embed="rId122" cstate="print"/>
        <a:srcRect/>
        <a:stretch>
          <a:fillRect/>
        </a:stretch>
      </xdr:blipFill>
      <xdr:spPr bwMode="auto">
        <a:xfrm>
          <a:off x="257175" y="904875"/>
          <a:ext cx="542925" cy="609600"/>
        </a:xfrm>
        <a:prstGeom prst="rect">
          <a:avLst/>
        </a:prstGeom>
        <a:noFill/>
        <a:ln w="1">
          <a:noFill/>
          <a:miter lim="800000"/>
          <a:headEnd/>
          <a:tailEnd/>
        </a:ln>
      </xdr:spPr>
    </xdr:pic>
    <xdr:clientData/>
  </xdr:twoCellAnchor>
  <xdr:twoCellAnchor editAs="oneCell">
    <xdr:from>
      <xdr:col>1</xdr:col>
      <xdr:colOff>0</xdr:colOff>
      <xdr:row>25</xdr:row>
      <xdr:rowOff>9525</xdr:rowOff>
    </xdr:from>
    <xdr:to>
      <xdr:col>2</xdr:col>
      <xdr:colOff>0</xdr:colOff>
      <xdr:row>26</xdr:row>
      <xdr:rowOff>9525</xdr:rowOff>
    </xdr:to>
    <xdr:pic>
      <xdr:nvPicPr>
        <xdr:cNvPr id="110577" name="Picture 469"/>
        <xdr:cNvPicPr>
          <a:picLocks noChangeAspect="1" noChangeArrowheads="1"/>
        </xdr:cNvPicPr>
      </xdr:nvPicPr>
      <xdr:blipFill>
        <a:blip xmlns:r="http://schemas.openxmlformats.org/officeDocument/2006/relationships" r:embed="rId123" cstate="print"/>
        <a:srcRect/>
        <a:stretch>
          <a:fillRect/>
        </a:stretch>
      </xdr:blipFill>
      <xdr:spPr bwMode="auto">
        <a:xfrm>
          <a:off x="247650" y="12030075"/>
          <a:ext cx="542925" cy="609600"/>
        </a:xfrm>
        <a:prstGeom prst="rect">
          <a:avLst/>
        </a:prstGeom>
        <a:noFill/>
        <a:ln w="1">
          <a:noFill/>
          <a:miter lim="800000"/>
          <a:headEnd/>
          <a:tailEnd/>
        </a:ln>
      </xdr:spPr>
    </xdr:pic>
    <xdr:clientData/>
  </xdr:twoCellAnchor>
  <xdr:twoCellAnchor editAs="oneCell">
    <xdr:from>
      <xdr:col>1</xdr:col>
      <xdr:colOff>0</xdr:colOff>
      <xdr:row>47</xdr:row>
      <xdr:rowOff>19050</xdr:rowOff>
    </xdr:from>
    <xdr:to>
      <xdr:col>2</xdr:col>
      <xdr:colOff>0</xdr:colOff>
      <xdr:row>48</xdr:row>
      <xdr:rowOff>19050</xdr:rowOff>
    </xdr:to>
    <xdr:pic>
      <xdr:nvPicPr>
        <xdr:cNvPr id="110580" name="Picture 472"/>
        <xdr:cNvPicPr>
          <a:picLocks noChangeAspect="1" noChangeArrowheads="1"/>
        </xdr:cNvPicPr>
      </xdr:nvPicPr>
      <xdr:blipFill>
        <a:blip xmlns:r="http://schemas.openxmlformats.org/officeDocument/2006/relationships" r:embed="rId124" cstate="print"/>
        <a:srcRect/>
        <a:stretch>
          <a:fillRect/>
        </a:stretch>
      </xdr:blipFill>
      <xdr:spPr bwMode="auto">
        <a:xfrm>
          <a:off x="247650" y="25593675"/>
          <a:ext cx="542925" cy="609600"/>
        </a:xfrm>
        <a:prstGeom prst="rect">
          <a:avLst/>
        </a:prstGeom>
        <a:noFill/>
        <a:ln w="1">
          <a:noFill/>
          <a:miter lim="800000"/>
          <a:headEnd/>
          <a:tailEnd/>
        </a:ln>
      </xdr:spPr>
    </xdr:pic>
    <xdr:clientData/>
  </xdr:twoCellAnchor>
  <xdr:twoCellAnchor editAs="oneCell">
    <xdr:from>
      <xdr:col>1</xdr:col>
      <xdr:colOff>0</xdr:colOff>
      <xdr:row>48</xdr:row>
      <xdr:rowOff>9525</xdr:rowOff>
    </xdr:from>
    <xdr:to>
      <xdr:col>2</xdr:col>
      <xdr:colOff>0</xdr:colOff>
      <xdr:row>49</xdr:row>
      <xdr:rowOff>9525</xdr:rowOff>
    </xdr:to>
    <xdr:pic>
      <xdr:nvPicPr>
        <xdr:cNvPr id="110581" name="Picture 473"/>
        <xdr:cNvPicPr>
          <a:picLocks noChangeAspect="1" noChangeArrowheads="1"/>
        </xdr:cNvPicPr>
      </xdr:nvPicPr>
      <xdr:blipFill>
        <a:blip xmlns:r="http://schemas.openxmlformats.org/officeDocument/2006/relationships" r:embed="rId125" cstate="print"/>
        <a:srcRect/>
        <a:stretch>
          <a:fillRect/>
        </a:stretch>
      </xdr:blipFill>
      <xdr:spPr bwMode="auto">
        <a:xfrm>
          <a:off x="247650" y="26050875"/>
          <a:ext cx="542925" cy="609600"/>
        </a:xfrm>
        <a:prstGeom prst="rect">
          <a:avLst/>
        </a:prstGeom>
        <a:noFill/>
        <a:ln w="1">
          <a:noFill/>
          <a:miter lim="800000"/>
          <a:headEnd/>
          <a:tailEnd/>
        </a:ln>
      </xdr:spPr>
    </xdr:pic>
    <xdr:clientData/>
  </xdr:twoCellAnchor>
  <xdr:twoCellAnchor editAs="oneCell">
    <xdr:from>
      <xdr:col>1</xdr:col>
      <xdr:colOff>0</xdr:colOff>
      <xdr:row>77</xdr:row>
      <xdr:rowOff>9525</xdr:rowOff>
    </xdr:from>
    <xdr:to>
      <xdr:col>2</xdr:col>
      <xdr:colOff>0</xdr:colOff>
      <xdr:row>78</xdr:row>
      <xdr:rowOff>9525</xdr:rowOff>
    </xdr:to>
    <xdr:pic>
      <xdr:nvPicPr>
        <xdr:cNvPr id="110584" name="Picture 476"/>
        <xdr:cNvPicPr>
          <a:picLocks noChangeAspect="1" noChangeArrowheads="1"/>
        </xdr:cNvPicPr>
      </xdr:nvPicPr>
      <xdr:blipFill>
        <a:blip xmlns:r="http://schemas.openxmlformats.org/officeDocument/2006/relationships" r:embed="rId126" cstate="print"/>
        <a:srcRect/>
        <a:stretch>
          <a:fillRect/>
        </a:stretch>
      </xdr:blipFill>
      <xdr:spPr bwMode="auto">
        <a:xfrm>
          <a:off x="247650" y="43919775"/>
          <a:ext cx="542925" cy="609600"/>
        </a:xfrm>
        <a:prstGeom prst="rect">
          <a:avLst/>
        </a:prstGeom>
        <a:noFill/>
        <a:ln w="1">
          <a:noFill/>
          <a:miter lim="800000"/>
          <a:headEnd/>
          <a:tailEnd/>
        </a:ln>
      </xdr:spPr>
    </xdr:pic>
    <xdr:clientData/>
  </xdr:twoCellAnchor>
  <xdr:twoCellAnchor editAs="oneCell">
    <xdr:from>
      <xdr:col>1</xdr:col>
      <xdr:colOff>0</xdr:colOff>
      <xdr:row>77</xdr:row>
      <xdr:rowOff>600075</xdr:rowOff>
    </xdr:from>
    <xdr:to>
      <xdr:col>2</xdr:col>
      <xdr:colOff>0</xdr:colOff>
      <xdr:row>78</xdr:row>
      <xdr:rowOff>600075</xdr:rowOff>
    </xdr:to>
    <xdr:pic>
      <xdr:nvPicPr>
        <xdr:cNvPr id="110585" name="Picture 477"/>
        <xdr:cNvPicPr>
          <a:picLocks noChangeAspect="1" noChangeArrowheads="1"/>
        </xdr:cNvPicPr>
      </xdr:nvPicPr>
      <xdr:blipFill>
        <a:blip xmlns:r="http://schemas.openxmlformats.org/officeDocument/2006/relationships" r:embed="rId127" cstate="print"/>
        <a:srcRect/>
        <a:stretch>
          <a:fillRect/>
        </a:stretch>
      </xdr:blipFill>
      <xdr:spPr bwMode="auto">
        <a:xfrm>
          <a:off x="247650" y="44653200"/>
          <a:ext cx="542925" cy="609600"/>
        </a:xfrm>
        <a:prstGeom prst="rect">
          <a:avLst/>
        </a:prstGeom>
        <a:noFill/>
        <a:ln w="1">
          <a:noFill/>
          <a:miter lim="800000"/>
          <a:headEnd/>
          <a:tailEnd/>
        </a:ln>
      </xdr:spPr>
    </xdr:pic>
    <xdr:clientData/>
  </xdr:twoCellAnchor>
  <xdr:twoCellAnchor editAs="oneCell">
    <xdr:from>
      <xdr:col>1</xdr:col>
      <xdr:colOff>0</xdr:colOff>
      <xdr:row>79</xdr:row>
      <xdr:rowOff>19050</xdr:rowOff>
    </xdr:from>
    <xdr:to>
      <xdr:col>2</xdr:col>
      <xdr:colOff>0</xdr:colOff>
      <xdr:row>80</xdr:row>
      <xdr:rowOff>19050</xdr:rowOff>
    </xdr:to>
    <xdr:pic>
      <xdr:nvPicPr>
        <xdr:cNvPr id="110586" name="Picture 478"/>
        <xdr:cNvPicPr>
          <a:picLocks noChangeAspect="1" noChangeArrowheads="1"/>
        </xdr:cNvPicPr>
      </xdr:nvPicPr>
      <xdr:blipFill>
        <a:blip xmlns:r="http://schemas.openxmlformats.org/officeDocument/2006/relationships" r:embed="rId128" cstate="print"/>
        <a:srcRect/>
        <a:stretch>
          <a:fillRect/>
        </a:stretch>
      </xdr:blipFill>
      <xdr:spPr bwMode="auto">
        <a:xfrm>
          <a:off x="247650" y="45291375"/>
          <a:ext cx="542925" cy="609600"/>
        </a:xfrm>
        <a:prstGeom prst="rect">
          <a:avLst/>
        </a:prstGeom>
        <a:noFill/>
        <a:ln w="1">
          <a:noFill/>
          <a:miter lim="800000"/>
          <a:headEnd/>
          <a:tailEnd/>
        </a:ln>
      </xdr:spPr>
    </xdr:pic>
    <xdr:clientData/>
  </xdr:twoCellAnchor>
  <xdr:twoCellAnchor editAs="oneCell">
    <xdr:from>
      <xdr:col>1</xdr:col>
      <xdr:colOff>0</xdr:colOff>
      <xdr:row>90</xdr:row>
      <xdr:rowOff>9525</xdr:rowOff>
    </xdr:from>
    <xdr:to>
      <xdr:col>2</xdr:col>
      <xdr:colOff>0</xdr:colOff>
      <xdr:row>91</xdr:row>
      <xdr:rowOff>9525</xdr:rowOff>
    </xdr:to>
    <xdr:pic>
      <xdr:nvPicPr>
        <xdr:cNvPr id="110587" name="Picture 479"/>
        <xdr:cNvPicPr>
          <a:picLocks noChangeAspect="1" noChangeArrowheads="1"/>
        </xdr:cNvPicPr>
      </xdr:nvPicPr>
      <xdr:blipFill>
        <a:blip xmlns:r="http://schemas.openxmlformats.org/officeDocument/2006/relationships" r:embed="rId129" cstate="print"/>
        <a:srcRect/>
        <a:stretch>
          <a:fillRect/>
        </a:stretch>
      </xdr:blipFill>
      <xdr:spPr bwMode="auto">
        <a:xfrm>
          <a:off x="247650" y="51844575"/>
          <a:ext cx="542925" cy="609600"/>
        </a:xfrm>
        <a:prstGeom prst="rect">
          <a:avLst/>
        </a:prstGeom>
        <a:noFill/>
        <a:ln w="1">
          <a:noFill/>
          <a:miter lim="800000"/>
          <a:headEnd/>
          <a:tailEnd/>
        </a:ln>
      </xdr:spPr>
    </xdr:pic>
    <xdr:clientData/>
  </xdr:twoCellAnchor>
  <xdr:twoCellAnchor editAs="oneCell">
    <xdr:from>
      <xdr:col>1</xdr:col>
      <xdr:colOff>0</xdr:colOff>
      <xdr:row>98</xdr:row>
      <xdr:rowOff>9525</xdr:rowOff>
    </xdr:from>
    <xdr:to>
      <xdr:col>2</xdr:col>
      <xdr:colOff>0</xdr:colOff>
      <xdr:row>99</xdr:row>
      <xdr:rowOff>9525</xdr:rowOff>
    </xdr:to>
    <xdr:pic>
      <xdr:nvPicPr>
        <xdr:cNvPr id="110588" name="Picture 480"/>
        <xdr:cNvPicPr>
          <a:picLocks noChangeAspect="1" noChangeArrowheads="1"/>
        </xdr:cNvPicPr>
      </xdr:nvPicPr>
      <xdr:blipFill>
        <a:blip xmlns:r="http://schemas.openxmlformats.org/officeDocument/2006/relationships" r:embed="rId130" cstate="print"/>
        <a:srcRect/>
        <a:stretch>
          <a:fillRect/>
        </a:stretch>
      </xdr:blipFill>
      <xdr:spPr bwMode="auto">
        <a:xfrm>
          <a:off x="247650" y="56721375"/>
          <a:ext cx="542925" cy="609600"/>
        </a:xfrm>
        <a:prstGeom prst="rect">
          <a:avLst/>
        </a:prstGeom>
        <a:noFill/>
        <a:ln w="1">
          <a:noFill/>
          <a:miter lim="800000"/>
          <a:headEnd/>
          <a:tailEnd/>
        </a:ln>
      </xdr:spPr>
    </xdr:pic>
    <xdr:clientData/>
  </xdr:twoCellAnchor>
  <xdr:twoCellAnchor editAs="oneCell">
    <xdr:from>
      <xdr:col>1</xdr:col>
      <xdr:colOff>0</xdr:colOff>
      <xdr:row>101</xdr:row>
      <xdr:rowOff>9525</xdr:rowOff>
    </xdr:from>
    <xdr:to>
      <xdr:col>2</xdr:col>
      <xdr:colOff>0</xdr:colOff>
      <xdr:row>102</xdr:row>
      <xdr:rowOff>9525</xdr:rowOff>
    </xdr:to>
    <xdr:pic>
      <xdr:nvPicPr>
        <xdr:cNvPr id="110589" name="Picture 481"/>
        <xdr:cNvPicPr>
          <a:picLocks noChangeAspect="1" noChangeArrowheads="1"/>
        </xdr:cNvPicPr>
      </xdr:nvPicPr>
      <xdr:blipFill>
        <a:blip xmlns:r="http://schemas.openxmlformats.org/officeDocument/2006/relationships" r:embed="rId131" cstate="print"/>
        <a:srcRect/>
        <a:stretch>
          <a:fillRect/>
        </a:stretch>
      </xdr:blipFill>
      <xdr:spPr bwMode="auto">
        <a:xfrm>
          <a:off x="247650" y="58550175"/>
          <a:ext cx="542925" cy="609600"/>
        </a:xfrm>
        <a:prstGeom prst="rect">
          <a:avLst/>
        </a:prstGeom>
        <a:noFill/>
        <a:ln w="1">
          <a:noFill/>
          <a:miter lim="800000"/>
          <a:headEnd/>
          <a:tailEnd/>
        </a:ln>
      </xdr:spPr>
    </xdr:pic>
    <xdr:clientData/>
  </xdr:twoCellAnchor>
  <xdr:twoCellAnchor editAs="oneCell">
    <xdr:from>
      <xdr:col>1</xdr:col>
      <xdr:colOff>0</xdr:colOff>
      <xdr:row>104</xdr:row>
      <xdr:rowOff>9525</xdr:rowOff>
    </xdr:from>
    <xdr:to>
      <xdr:col>2</xdr:col>
      <xdr:colOff>0</xdr:colOff>
      <xdr:row>105</xdr:row>
      <xdr:rowOff>9525</xdr:rowOff>
    </xdr:to>
    <xdr:pic>
      <xdr:nvPicPr>
        <xdr:cNvPr id="110590" name="Picture 482"/>
        <xdr:cNvPicPr>
          <a:picLocks noChangeAspect="1" noChangeArrowheads="1"/>
        </xdr:cNvPicPr>
      </xdr:nvPicPr>
      <xdr:blipFill>
        <a:blip xmlns:r="http://schemas.openxmlformats.org/officeDocument/2006/relationships" r:embed="rId132" cstate="print"/>
        <a:srcRect/>
        <a:stretch>
          <a:fillRect/>
        </a:stretch>
      </xdr:blipFill>
      <xdr:spPr bwMode="auto">
        <a:xfrm>
          <a:off x="247650" y="60378975"/>
          <a:ext cx="542925" cy="609600"/>
        </a:xfrm>
        <a:prstGeom prst="rect">
          <a:avLst/>
        </a:prstGeom>
        <a:noFill/>
        <a:ln w="1">
          <a:noFill/>
          <a:miter lim="800000"/>
          <a:headEnd/>
          <a:tailEnd/>
        </a:ln>
      </xdr:spPr>
    </xdr:pic>
    <xdr:clientData/>
  </xdr:twoCellAnchor>
  <xdr:twoCellAnchor editAs="oneCell">
    <xdr:from>
      <xdr:col>1</xdr:col>
      <xdr:colOff>0</xdr:colOff>
      <xdr:row>114</xdr:row>
      <xdr:rowOff>9525</xdr:rowOff>
    </xdr:from>
    <xdr:to>
      <xdr:col>2</xdr:col>
      <xdr:colOff>0</xdr:colOff>
      <xdr:row>115</xdr:row>
      <xdr:rowOff>9525</xdr:rowOff>
    </xdr:to>
    <xdr:pic>
      <xdr:nvPicPr>
        <xdr:cNvPr id="110591" name="Picture 483"/>
        <xdr:cNvPicPr>
          <a:picLocks noChangeAspect="1" noChangeArrowheads="1"/>
        </xdr:cNvPicPr>
      </xdr:nvPicPr>
      <xdr:blipFill>
        <a:blip xmlns:r="http://schemas.openxmlformats.org/officeDocument/2006/relationships" r:embed="rId133" cstate="print"/>
        <a:srcRect/>
        <a:stretch>
          <a:fillRect/>
        </a:stretch>
      </xdr:blipFill>
      <xdr:spPr bwMode="auto">
        <a:xfrm>
          <a:off x="247650" y="66474975"/>
          <a:ext cx="542925" cy="609600"/>
        </a:xfrm>
        <a:prstGeom prst="rect">
          <a:avLst/>
        </a:prstGeom>
        <a:noFill/>
        <a:ln w="1">
          <a:noFill/>
          <a:miter lim="800000"/>
          <a:headEnd/>
          <a:tailEnd/>
        </a:ln>
      </xdr:spPr>
    </xdr:pic>
    <xdr:clientData/>
  </xdr:twoCellAnchor>
  <xdr:twoCellAnchor editAs="oneCell">
    <xdr:from>
      <xdr:col>1</xdr:col>
      <xdr:colOff>0</xdr:colOff>
      <xdr:row>115</xdr:row>
      <xdr:rowOff>9525</xdr:rowOff>
    </xdr:from>
    <xdr:to>
      <xdr:col>2</xdr:col>
      <xdr:colOff>0</xdr:colOff>
      <xdr:row>116</xdr:row>
      <xdr:rowOff>9525</xdr:rowOff>
    </xdr:to>
    <xdr:pic>
      <xdr:nvPicPr>
        <xdr:cNvPr id="118784" name="Picture 484"/>
        <xdr:cNvPicPr>
          <a:picLocks noChangeAspect="1" noChangeArrowheads="1"/>
        </xdr:cNvPicPr>
      </xdr:nvPicPr>
      <xdr:blipFill>
        <a:blip xmlns:r="http://schemas.openxmlformats.org/officeDocument/2006/relationships" r:embed="rId134" cstate="print"/>
        <a:srcRect/>
        <a:stretch>
          <a:fillRect/>
        </a:stretch>
      </xdr:blipFill>
      <xdr:spPr bwMode="auto">
        <a:xfrm>
          <a:off x="247650" y="67084575"/>
          <a:ext cx="542925" cy="609600"/>
        </a:xfrm>
        <a:prstGeom prst="rect">
          <a:avLst/>
        </a:prstGeom>
        <a:noFill/>
        <a:ln w="1">
          <a:noFill/>
          <a:miter lim="800000"/>
          <a:headEnd/>
          <a:tailEnd/>
        </a:ln>
      </xdr:spPr>
    </xdr:pic>
    <xdr:clientData/>
  </xdr:twoCellAnchor>
  <xdr:twoCellAnchor editAs="oneCell">
    <xdr:from>
      <xdr:col>1</xdr:col>
      <xdr:colOff>0</xdr:colOff>
      <xdr:row>119</xdr:row>
      <xdr:rowOff>19050</xdr:rowOff>
    </xdr:from>
    <xdr:to>
      <xdr:col>2</xdr:col>
      <xdr:colOff>0</xdr:colOff>
      <xdr:row>120</xdr:row>
      <xdr:rowOff>19050</xdr:rowOff>
    </xdr:to>
    <xdr:pic>
      <xdr:nvPicPr>
        <xdr:cNvPr id="118785" name="Picture 485"/>
        <xdr:cNvPicPr>
          <a:picLocks noChangeAspect="1" noChangeArrowheads="1"/>
        </xdr:cNvPicPr>
      </xdr:nvPicPr>
      <xdr:blipFill>
        <a:blip xmlns:r="http://schemas.openxmlformats.org/officeDocument/2006/relationships" r:embed="rId135" cstate="print"/>
        <a:srcRect/>
        <a:stretch>
          <a:fillRect/>
        </a:stretch>
      </xdr:blipFill>
      <xdr:spPr bwMode="auto">
        <a:xfrm>
          <a:off x="247650" y="69723000"/>
          <a:ext cx="542925" cy="609600"/>
        </a:xfrm>
        <a:prstGeom prst="rect">
          <a:avLst/>
        </a:prstGeom>
        <a:noFill/>
        <a:ln w="1">
          <a:noFill/>
          <a:miter lim="800000"/>
          <a:headEnd/>
          <a:tailEnd/>
        </a:ln>
      </xdr:spPr>
    </xdr:pic>
    <xdr:clientData/>
  </xdr:twoCellAnchor>
  <xdr:twoCellAnchor editAs="oneCell">
    <xdr:from>
      <xdr:col>1</xdr:col>
      <xdr:colOff>0</xdr:colOff>
      <xdr:row>122</xdr:row>
      <xdr:rowOff>9525</xdr:rowOff>
    </xdr:from>
    <xdr:to>
      <xdr:col>2</xdr:col>
      <xdr:colOff>0</xdr:colOff>
      <xdr:row>123</xdr:row>
      <xdr:rowOff>9525</xdr:rowOff>
    </xdr:to>
    <xdr:pic>
      <xdr:nvPicPr>
        <xdr:cNvPr id="118786" name="Picture 486"/>
        <xdr:cNvPicPr>
          <a:picLocks noChangeAspect="1" noChangeArrowheads="1"/>
        </xdr:cNvPicPr>
      </xdr:nvPicPr>
      <xdr:blipFill>
        <a:blip xmlns:r="http://schemas.openxmlformats.org/officeDocument/2006/relationships" r:embed="rId136" cstate="print"/>
        <a:srcRect/>
        <a:stretch>
          <a:fillRect/>
        </a:stretch>
      </xdr:blipFill>
      <xdr:spPr bwMode="auto">
        <a:xfrm>
          <a:off x="247650" y="71399400"/>
          <a:ext cx="542925" cy="609600"/>
        </a:xfrm>
        <a:prstGeom prst="rect">
          <a:avLst/>
        </a:prstGeom>
        <a:noFill/>
        <a:ln w="1">
          <a:noFill/>
          <a:miter lim="800000"/>
          <a:headEnd/>
          <a:tailEnd/>
        </a:ln>
      </xdr:spPr>
    </xdr:pic>
    <xdr:clientData/>
  </xdr:twoCellAnchor>
  <xdr:twoCellAnchor editAs="oneCell">
    <xdr:from>
      <xdr:col>1</xdr:col>
      <xdr:colOff>0</xdr:colOff>
      <xdr:row>123</xdr:row>
      <xdr:rowOff>9525</xdr:rowOff>
    </xdr:from>
    <xdr:to>
      <xdr:col>2</xdr:col>
      <xdr:colOff>0</xdr:colOff>
      <xdr:row>124</xdr:row>
      <xdr:rowOff>9525</xdr:rowOff>
    </xdr:to>
    <xdr:pic>
      <xdr:nvPicPr>
        <xdr:cNvPr id="118787" name="Picture 487"/>
        <xdr:cNvPicPr>
          <a:picLocks noChangeAspect="1" noChangeArrowheads="1"/>
        </xdr:cNvPicPr>
      </xdr:nvPicPr>
      <xdr:blipFill>
        <a:blip xmlns:r="http://schemas.openxmlformats.org/officeDocument/2006/relationships" r:embed="rId137" cstate="print"/>
        <a:srcRect/>
        <a:stretch>
          <a:fillRect/>
        </a:stretch>
      </xdr:blipFill>
      <xdr:spPr bwMode="auto">
        <a:xfrm>
          <a:off x="247650" y="72009000"/>
          <a:ext cx="542925" cy="609600"/>
        </a:xfrm>
        <a:prstGeom prst="rect">
          <a:avLst/>
        </a:prstGeom>
        <a:noFill/>
        <a:ln w="1">
          <a:noFill/>
          <a:miter lim="800000"/>
          <a:headEnd/>
          <a:tailEnd/>
        </a:ln>
      </xdr:spPr>
    </xdr:pic>
    <xdr:clientData/>
  </xdr:twoCellAnchor>
  <xdr:twoCellAnchor editAs="oneCell">
    <xdr:from>
      <xdr:col>1</xdr:col>
      <xdr:colOff>0</xdr:colOff>
      <xdr:row>124</xdr:row>
      <xdr:rowOff>0</xdr:rowOff>
    </xdr:from>
    <xdr:to>
      <xdr:col>2</xdr:col>
      <xdr:colOff>0</xdr:colOff>
      <xdr:row>125</xdr:row>
      <xdr:rowOff>0</xdr:rowOff>
    </xdr:to>
    <xdr:pic>
      <xdr:nvPicPr>
        <xdr:cNvPr id="118788" name="Picture 488"/>
        <xdr:cNvPicPr>
          <a:picLocks noChangeAspect="1" noChangeArrowheads="1"/>
        </xdr:cNvPicPr>
      </xdr:nvPicPr>
      <xdr:blipFill>
        <a:blip xmlns:r="http://schemas.openxmlformats.org/officeDocument/2006/relationships" r:embed="rId138" cstate="print"/>
        <a:srcRect/>
        <a:stretch>
          <a:fillRect/>
        </a:stretch>
      </xdr:blipFill>
      <xdr:spPr bwMode="auto">
        <a:xfrm>
          <a:off x="209550" y="72390000"/>
          <a:ext cx="542925" cy="609600"/>
        </a:xfrm>
        <a:prstGeom prst="rect">
          <a:avLst/>
        </a:prstGeom>
        <a:noFill/>
        <a:ln w="1">
          <a:noFill/>
          <a:miter lim="800000"/>
          <a:headEnd/>
          <a:tailEnd/>
        </a:ln>
      </xdr:spPr>
    </xdr:pic>
    <xdr:clientData/>
  </xdr:twoCellAnchor>
  <xdr:twoCellAnchor editAs="oneCell">
    <xdr:from>
      <xdr:col>1</xdr:col>
      <xdr:colOff>0</xdr:colOff>
      <xdr:row>137</xdr:row>
      <xdr:rowOff>9525</xdr:rowOff>
    </xdr:from>
    <xdr:to>
      <xdr:col>2</xdr:col>
      <xdr:colOff>0</xdr:colOff>
      <xdr:row>138</xdr:row>
      <xdr:rowOff>9525</xdr:rowOff>
    </xdr:to>
    <xdr:pic>
      <xdr:nvPicPr>
        <xdr:cNvPr id="118789" name="Picture 489"/>
        <xdr:cNvPicPr>
          <a:picLocks noChangeAspect="1" noChangeArrowheads="1"/>
        </xdr:cNvPicPr>
      </xdr:nvPicPr>
      <xdr:blipFill>
        <a:blip xmlns:r="http://schemas.openxmlformats.org/officeDocument/2006/relationships" r:embed="rId139" cstate="print"/>
        <a:srcRect/>
        <a:stretch>
          <a:fillRect/>
        </a:stretch>
      </xdr:blipFill>
      <xdr:spPr bwMode="auto">
        <a:xfrm>
          <a:off x="247650" y="80543400"/>
          <a:ext cx="542925" cy="609600"/>
        </a:xfrm>
        <a:prstGeom prst="rect">
          <a:avLst/>
        </a:prstGeom>
        <a:noFill/>
        <a:ln w="1">
          <a:noFill/>
          <a:miter lim="800000"/>
          <a:headEnd/>
          <a:tailEnd/>
        </a:ln>
      </xdr:spPr>
    </xdr:pic>
    <xdr:clientData/>
  </xdr:twoCellAnchor>
  <xdr:twoCellAnchor editAs="oneCell">
    <xdr:from>
      <xdr:col>1</xdr:col>
      <xdr:colOff>0</xdr:colOff>
      <xdr:row>139</xdr:row>
      <xdr:rowOff>9525</xdr:rowOff>
    </xdr:from>
    <xdr:to>
      <xdr:col>2</xdr:col>
      <xdr:colOff>0</xdr:colOff>
      <xdr:row>140</xdr:row>
      <xdr:rowOff>9525</xdr:rowOff>
    </xdr:to>
    <xdr:pic>
      <xdr:nvPicPr>
        <xdr:cNvPr id="118790" name="Picture 490"/>
        <xdr:cNvPicPr>
          <a:picLocks noChangeAspect="1" noChangeArrowheads="1"/>
        </xdr:cNvPicPr>
      </xdr:nvPicPr>
      <xdr:blipFill>
        <a:blip xmlns:r="http://schemas.openxmlformats.org/officeDocument/2006/relationships" r:embed="rId140" cstate="print"/>
        <a:srcRect/>
        <a:stretch>
          <a:fillRect/>
        </a:stretch>
      </xdr:blipFill>
      <xdr:spPr bwMode="auto">
        <a:xfrm>
          <a:off x="247650" y="81762600"/>
          <a:ext cx="542925" cy="609600"/>
        </a:xfrm>
        <a:prstGeom prst="rect">
          <a:avLst/>
        </a:prstGeom>
        <a:noFill/>
        <a:ln w="1">
          <a:noFill/>
          <a:miter lim="800000"/>
          <a:headEnd/>
          <a:tailEnd/>
        </a:ln>
      </xdr:spPr>
    </xdr:pic>
    <xdr:clientData/>
  </xdr:twoCellAnchor>
  <xdr:twoCellAnchor editAs="oneCell">
    <xdr:from>
      <xdr:col>1</xdr:col>
      <xdr:colOff>0</xdr:colOff>
      <xdr:row>143</xdr:row>
      <xdr:rowOff>19050</xdr:rowOff>
    </xdr:from>
    <xdr:to>
      <xdr:col>2</xdr:col>
      <xdr:colOff>0</xdr:colOff>
      <xdr:row>144</xdr:row>
      <xdr:rowOff>19050</xdr:rowOff>
    </xdr:to>
    <xdr:pic>
      <xdr:nvPicPr>
        <xdr:cNvPr id="118791" name="Picture 491"/>
        <xdr:cNvPicPr>
          <a:picLocks noChangeAspect="1" noChangeArrowheads="1"/>
        </xdr:cNvPicPr>
      </xdr:nvPicPr>
      <xdr:blipFill>
        <a:blip xmlns:r="http://schemas.openxmlformats.org/officeDocument/2006/relationships" r:embed="rId141" cstate="print"/>
        <a:srcRect/>
        <a:stretch>
          <a:fillRect/>
        </a:stretch>
      </xdr:blipFill>
      <xdr:spPr bwMode="auto">
        <a:xfrm>
          <a:off x="247650" y="84353400"/>
          <a:ext cx="542925" cy="609600"/>
        </a:xfrm>
        <a:prstGeom prst="rect">
          <a:avLst/>
        </a:prstGeom>
        <a:noFill/>
        <a:ln w="1">
          <a:noFill/>
          <a:miter lim="800000"/>
          <a:headEnd/>
          <a:tailEnd/>
        </a:ln>
      </xdr:spPr>
    </xdr:pic>
    <xdr:clientData/>
  </xdr:twoCellAnchor>
  <xdr:twoCellAnchor editAs="oneCell">
    <xdr:from>
      <xdr:col>1</xdr:col>
      <xdr:colOff>0</xdr:colOff>
      <xdr:row>148</xdr:row>
      <xdr:rowOff>9525</xdr:rowOff>
    </xdr:from>
    <xdr:to>
      <xdr:col>2</xdr:col>
      <xdr:colOff>0</xdr:colOff>
      <xdr:row>148</xdr:row>
      <xdr:rowOff>619125</xdr:rowOff>
    </xdr:to>
    <xdr:pic>
      <xdr:nvPicPr>
        <xdr:cNvPr id="118792" name="Picture 492"/>
        <xdr:cNvPicPr>
          <a:picLocks noChangeAspect="1" noChangeArrowheads="1"/>
        </xdr:cNvPicPr>
      </xdr:nvPicPr>
      <xdr:blipFill>
        <a:blip xmlns:r="http://schemas.openxmlformats.org/officeDocument/2006/relationships" r:embed="rId142" cstate="print"/>
        <a:srcRect/>
        <a:stretch>
          <a:fillRect/>
        </a:stretch>
      </xdr:blipFill>
      <xdr:spPr bwMode="auto">
        <a:xfrm>
          <a:off x="247650" y="87249000"/>
          <a:ext cx="542925" cy="609600"/>
        </a:xfrm>
        <a:prstGeom prst="rect">
          <a:avLst/>
        </a:prstGeom>
        <a:noFill/>
        <a:ln w="1">
          <a:noFill/>
          <a:miter lim="800000"/>
          <a:headEnd/>
          <a:tailEnd/>
        </a:ln>
      </xdr:spPr>
    </xdr:pic>
    <xdr:clientData/>
  </xdr:twoCellAnchor>
  <xdr:twoCellAnchor editAs="oneCell">
    <xdr:from>
      <xdr:col>1</xdr:col>
      <xdr:colOff>0</xdr:colOff>
      <xdr:row>159</xdr:row>
      <xdr:rowOff>9525</xdr:rowOff>
    </xdr:from>
    <xdr:to>
      <xdr:col>2</xdr:col>
      <xdr:colOff>0</xdr:colOff>
      <xdr:row>160</xdr:row>
      <xdr:rowOff>9525</xdr:rowOff>
    </xdr:to>
    <xdr:pic>
      <xdr:nvPicPr>
        <xdr:cNvPr id="118793" name="Picture 493"/>
        <xdr:cNvPicPr>
          <a:picLocks noChangeAspect="1" noChangeArrowheads="1"/>
        </xdr:cNvPicPr>
      </xdr:nvPicPr>
      <xdr:blipFill>
        <a:blip xmlns:r="http://schemas.openxmlformats.org/officeDocument/2006/relationships" r:embed="rId143" cstate="print"/>
        <a:srcRect/>
        <a:stretch>
          <a:fillRect/>
        </a:stretch>
      </xdr:blipFill>
      <xdr:spPr bwMode="auto">
        <a:xfrm>
          <a:off x="247650" y="94078425"/>
          <a:ext cx="542925" cy="609600"/>
        </a:xfrm>
        <a:prstGeom prst="rect">
          <a:avLst/>
        </a:prstGeom>
        <a:noFill/>
        <a:ln w="1">
          <a:noFill/>
          <a:miter lim="800000"/>
          <a:headEnd/>
          <a:tailEnd/>
        </a:ln>
      </xdr:spPr>
    </xdr:pic>
    <xdr:clientData/>
  </xdr:twoCellAnchor>
  <xdr:twoCellAnchor editAs="oneCell">
    <xdr:from>
      <xdr:col>1</xdr:col>
      <xdr:colOff>0</xdr:colOff>
      <xdr:row>161</xdr:row>
      <xdr:rowOff>19050</xdr:rowOff>
    </xdr:from>
    <xdr:to>
      <xdr:col>2</xdr:col>
      <xdr:colOff>9525</xdr:colOff>
      <xdr:row>161</xdr:row>
      <xdr:rowOff>628650</xdr:rowOff>
    </xdr:to>
    <xdr:pic>
      <xdr:nvPicPr>
        <xdr:cNvPr id="175" name="Picture 324"/>
        <xdr:cNvPicPr>
          <a:picLocks noChangeAspect="1" noChangeArrowheads="1"/>
        </xdr:cNvPicPr>
      </xdr:nvPicPr>
      <xdr:blipFill>
        <a:blip xmlns:r="http://schemas.openxmlformats.org/officeDocument/2006/relationships" r:embed="rId144" cstate="print"/>
        <a:srcRect/>
        <a:stretch>
          <a:fillRect/>
        </a:stretch>
      </xdr:blipFill>
      <xdr:spPr bwMode="auto">
        <a:xfrm>
          <a:off x="247650" y="95497650"/>
          <a:ext cx="552450" cy="609600"/>
        </a:xfrm>
        <a:prstGeom prst="rect">
          <a:avLst/>
        </a:prstGeom>
        <a:noFill/>
        <a:ln w="9525">
          <a:noFill/>
          <a:miter lim="800000"/>
          <a:headEnd/>
          <a:tailEnd/>
        </a:ln>
      </xdr:spPr>
    </xdr:pic>
    <xdr:clientData/>
  </xdr:twoCellAnchor>
  <xdr:twoCellAnchor editAs="oneCell">
    <xdr:from>
      <xdr:col>1</xdr:col>
      <xdr:colOff>0</xdr:colOff>
      <xdr:row>162</xdr:row>
      <xdr:rowOff>0</xdr:rowOff>
    </xdr:from>
    <xdr:to>
      <xdr:col>2</xdr:col>
      <xdr:colOff>9525</xdr:colOff>
      <xdr:row>162</xdr:row>
      <xdr:rowOff>609600</xdr:rowOff>
    </xdr:to>
    <xdr:pic>
      <xdr:nvPicPr>
        <xdr:cNvPr id="176" name="Picture 316"/>
        <xdr:cNvPicPr>
          <a:picLocks noChangeAspect="1" noChangeArrowheads="1"/>
        </xdr:cNvPicPr>
      </xdr:nvPicPr>
      <xdr:blipFill>
        <a:blip xmlns:r="http://schemas.openxmlformats.org/officeDocument/2006/relationships" r:embed="rId145" cstate="print"/>
        <a:srcRect/>
        <a:stretch>
          <a:fillRect/>
        </a:stretch>
      </xdr:blipFill>
      <xdr:spPr bwMode="auto">
        <a:xfrm>
          <a:off x="247650" y="95992950"/>
          <a:ext cx="552450" cy="609600"/>
        </a:xfrm>
        <a:prstGeom prst="rect">
          <a:avLst/>
        </a:prstGeom>
        <a:noFill/>
        <a:ln w="9525">
          <a:noFill/>
          <a:miter lim="800000"/>
          <a:headEnd/>
          <a:tailEnd/>
        </a:ln>
      </xdr:spPr>
    </xdr:pic>
    <xdr:clientData/>
  </xdr:twoCellAnchor>
  <xdr:twoCellAnchor editAs="oneCell">
    <xdr:from>
      <xdr:col>1</xdr:col>
      <xdr:colOff>0</xdr:colOff>
      <xdr:row>163</xdr:row>
      <xdr:rowOff>0</xdr:rowOff>
    </xdr:from>
    <xdr:to>
      <xdr:col>2</xdr:col>
      <xdr:colOff>9525</xdr:colOff>
      <xdr:row>163</xdr:row>
      <xdr:rowOff>609600</xdr:rowOff>
    </xdr:to>
    <xdr:pic>
      <xdr:nvPicPr>
        <xdr:cNvPr id="177" name="Picture 322"/>
        <xdr:cNvPicPr>
          <a:picLocks noChangeAspect="1" noChangeArrowheads="1"/>
        </xdr:cNvPicPr>
      </xdr:nvPicPr>
      <xdr:blipFill>
        <a:blip xmlns:r="http://schemas.openxmlformats.org/officeDocument/2006/relationships" r:embed="rId146" cstate="print"/>
        <a:srcRect/>
        <a:stretch>
          <a:fillRect/>
        </a:stretch>
      </xdr:blipFill>
      <xdr:spPr bwMode="auto">
        <a:xfrm>
          <a:off x="247650" y="96650175"/>
          <a:ext cx="552450" cy="609600"/>
        </a:xfrm>
        <a:prstGeom prst="rect">
          <a:avLst/>
        </a:prstGeom>
        <a:noFill/>
        <a:ln w="9525">
          <a:noFill/>
          <a:miter lim="800000"/>
          <a:headEnd/>
          <a:tailEnd/>
        </a:ln>
      </xdr:spPr>
    </xdr:pic>
    <xdr:clientData/>
  </xdr:twoCellAnchor>
  <xdr:twoCellAnchor editAs="oneCell">
    <xdr:from>
      <xdr:col>1</xdr:col>
      <xdr:colOff>0</xdr:colOff>
      <xdr:row>164</xdr:row>
      <xdr:rowOff>0</xdr:rowOff>
    </xdr:from>
    <xdr:to>
      <xdr:col>2</xdr:col>
      <xdr:colOff>9525</xdr:colOff>
      <xdr:row>164</xdr:row>
      <xdr:rowOff>609600</xdr:rowOff>
    </xdr:to>
    <xdr:pic>
      <xdr:nvPicPr>
        <xdr:cNvPr id="179" name="Picture 31"/>
        <xdr:cNvPicPr>
          <a:picLocks noChangeAspect="1" noChangeArrowheads="1"/>
        </xdr:cNvPicPr>
      </xdr:nvPicPr>
      <xdr:blipFill>
        <a:blip xmlns:r="http://schemas.openxmlformats.org/officeDocument/2006/relationships" r:embed="rId147" cstate="print"/>
        <a:srcRect/>
        <a:stretch>
          <a:fillRect/>
        </a:stretch>
      </xdr:blipFill>
      <xdr:spPr bwMode="auto">
        <a:xfrm>
          <a:off x="247650" y="97307400"/>
          <a:ext cx="552450" cy="609600"/>
        </a:xfrm>
        <a:prstGeom prst="rect">
          <a:avLst/>
        </a:prstGeom>
        <a:noFill/>
        <a:ln w="9525">
          <a:noFill/>
          <a:miter lim="800000"/>
          <a:headEnd/>
          <a:tailEnd/>
        </a:ln>
      </xdr:spPr>
    </xdr:pic>
    <xdr:clientData/>
  </xdr:twoCellAnchor>
  <xdr:twoCellAnchor editAs="oneCell">
    <xdr:from>
      <xdr:col>1</xdr:col>
      <xdr:colOff>0</xdr:colOff>
      <xdr:row>165</xdr:row>
      <xdr:rowOff>0</xdr:rowOff>
    </xdr:from>
    <xdr:to>
      <xdr:col>2</xdr:col>
      <xdr:colOff>9525</xdr:colOff>
      <xdr:row>165</xdr:row>
      <xdr:rowOff>609600</xdr:rowOff>
    </xdr:to>
    <xdr:pic>
      <xdr:nvPicPr>
        <xdr:cNvPr id="182" name="Picture 55"/>
        <xdr:cNvPicPr>
          <a:picLocks noChangeAspect="1" noChangeArrowheads="1"/>
        </xdr:cNvPicPr>
      </xdr:nvPicPr>
      <xdr:blipFill>
        <a:blip xmlns:r="http://schemas.openxmlformats.org/officeDocument/2006/relationships" r:embed="rId148" cstate="print"/>
        <a:srcRect/>
        <a:stretch>
          <a:fillRect/>
        </a:stretch>
      </xdr:blipFill>
      <xdr:spPr bwMode="auto">
        <a:xfrm>
          <a:off x="247650" y="97964625"/>
          <a:ext cx="552450" cy="609600"/>
        </a:xfrm>
        <a:prstGeom prst="rect">
          <a:avLst/>
        </a:prstGeom>
        <a:noFill/>
        <a:ln w="9525">
          <a:noFill/>
          <a:miter lim="800000"/>
          <a:headEnd/>
          <a:tailEnd/>
        </a:ln>
      </xdr:spPr>
    </xdr:pic>
    <xdr:clientData/>
  </xdr:twoCellAnchor>
  <xdr:twoCellAnchor editAs="oneCell">
    <xdr:from>
      <xdr:col>1</xdr:col>
      <xdr:colOff>0</xdr:colOff>
      <xdr:row>166</xdr:row>
      <xdr:rowOff>0</xdr:rowOff>
    </xdr:from>
    <xdr:to>
      <xdr:col>2</xdr:col>
      <xdr:colOff>9525</xdr:colOff>
      <xdr:row>167</xdr:row>
      <xdr:rowOff>0</xdr:rowOff>
    </xdr:to>
    <xdr:pic>
      <xdr:nvPicPr>
        <xdr:cNvPr id="185" name="Picture 326"/>
        <xdr:cNvPicPr>
          <a:picLocks noChangeAspect="1" noChangeArrowheads="1"/>
        </xdr:cNvPicPr>
      </xdr:nvPicPr>
      <xdr:blipFill>
        <a:blip xmlns:r="http://schemas.openxmlformats.org/officeDocument/2006/relationships" r:embed="rId149" cstate="print"/>
        <a:srcRect/>
        <a:stretch>
          <a:fillRect/>
        </a:stretch>
      </xdr:blipFill>
      <xdr:spPr bwMode="auto">
        <a:xfrm>
          <a:off x="247650" y="98612325"/>
          <a:ext cx="552450" cy="609600"/>
        </a:xfrm>
        <a:prstGeom prst="rect">
          <a:avLst/>
        </a:prstGeom>
        <a:noFill/>
        <a:ln w="9525">
          <a:noFill/>
          <a:miter lim="800000"/>
          <a:headEnd/>
          <a:tailEnd/>
        </a:ln>
      </xdr:spPr>
    </xdr:pic>
    <xdr:clientData/>
  </xdr:twoCellAnchor>
  <xdr:twoCellAnchor editAs="oneCell">
    <xdr:from>
      <xdr:col>1</xdr:col>
      <xdr:colOff>0</xdr:colOff>
      <xdr:row>167</xdr:row>
      <xdr:rowOff>0</xdr:rowOff>
    </xdr:from>
    <xdr:to>
      <xdr:col>2</xdr:col>
      <xdr:colOff>9525</xdr:colOff>
      <xdr:row>168</xdr:row>
      <xdr:rowOff>0</xdr:rowOff>
    </xdr:to>
    <xdr:pic>
      <xdr:nvPicPr>
        <xdr:cNvPr id="188" name="Picture 328"/>
        <xdr:cNvPicPr>
          <a:picLocks noChangeAspect="1" noChangeArrowheads="1"/>
        </xdr:cNvPicPr>
      </xdr:nvPicPr>
      <xdr:blipFill>
        <a:blip xmlns:r="http://schemas.openxmlformats.org/officeDocument/2006/relationships" r:embed="rId150" cstate="print"/>
        <a:srcRect/>
        <a:stretch>
          <a:fillRect/>
        </a:stretch>
      </xdr:blipFill>
      <xdr:spPr bwMode="auto">
        <a:xfrm>
          <a:off x="247650" y="99221925"/>
          <a:ext cx="552450" cy="609600"/>
        </a:xfrm>
        <a:prstGeom prst="rect">
          <a:avLst/>
        </a:prstGeom>
        <a:noFill/>
        <a:ln w="9525">
          <a:noFill/>
          <a:miter lim="800000"/>
          <a:headEnd/>
          <a:tailEnd/>
        </a:ln>
      </xdr:spPr>
    </xdr:pic>
    <xdr:clientData/>
  </xdr:twoCellAnchor>
  <xdr:twoCellAnchor editAs="oneCell">
    <xdr:from>
      <xdr:col>1</xdr:col>
      <xdr:colOff>0</xdr:colOff>
      <xdr:row>168</xdr:row>
      <xdr:rowOff>647700</xdr:rowOff>
    </xdr:from>
    <xdr:to>
      <xdr:col>2</xdr:col>
      <xdr:colOff>9525</xdr:colOff>
      <xdr:row>169</xdr:row>
      <xdr:rowOff>600075</xdr:rowOff>
    </xdr:to>
    <xdr:pic>
      <xdr:nvPicPr>
        <xdr:cNvPr id="190" name="Picture 330"/>
        <xdr:cNvPicPr>
          <a:picLocks noChangeAspect="1" noChangeArrowheads="1"/>
        </xdr:cNvPicPr>
      </xdr:nvPicPr>
      <xdr:blipFill>
        <a:blip xmlns:r="http://schemas.openxmlformats.org/officeDocument/2006/relationships" r:embed="rId151" cstate="print"/>
        <a:srcRect/>
        <a:stretch>
          <a:fillRect/>
        </a:stretch>
      </xdr:blipFill>
      <xdr:spPr bwMode="auto">
        <a:xfrm>
          <a:off x="247650" y="100622100"/>
          <a:ext cx="552450" cy="609600"/>
        </a:xfrm>
        <a:prstGeom prst="rect">
          <a:avLst/>
        </a:prstGeom>
        <a:noFill/>
        <a:ln w="9525">
          <a:noFill/>
          <a:miter lim="800000"/>
          <a:headEnd/>
          <a:tailEnd/>
        </a:ln>
      </xdr:spPr>
    </xdr:pic>
    <xdr:clientData/>
  </xdr:twoCellAnchor>
  <xdr:twoCellAnchor editAs="oneCell">
    <xdr:from>
      <xdr:col>1</xdr:col>
      <xdr:colOff>0</xdr:colOff>
      <xdr:row>168</xdr:row>
      <xdr:rowOff>0</xdr:rowOff>
    </xdr:from>
    <xdr:to>
      <xdr:col>2</xdr:col>
      <xdr:colOff>9525</xdr:colOff>
      <xdr:row>168</xdr:row>
      <xdr:rowOff>609600</xdr:rowOff>
    </xdr:to>
    <xdr:pic>
      <xdr:nvPicPr>
        <xdr:cNvPr id="191" name="Picture 19"/>
        <xdr:cNvPicPr>
          <a:picLocks noChangeAspect="1" noChangeArrowheads="1"/>
        </xdr:cNvPicPr>
      </xdr:nvPicPr>
      <xdr:blipFill>
        <a:blip xmlns:r="http://schemas.openxmlformats.org/officeDocument/2006/relationships" r:embed="rId152" cstate="print"/>
        <a:srcRect/>
        <a:stretch>
          <a:fillRect/>
        </a:stretch>
      </xdr:blipFill>
      <xdr:spPr bwMode="auto">
        <a:xfrm>
          <a:off x="247650" y="99831525"/>
          <a:ext cx="552450" cy="609600"/>
        </a:xfrm>
        <a:prstGeom prst="rect">
          <a:avLst/>
        </a:prstGeom>
        <a:noFill/>
        <a:ln w="9525">
          <a:noFill/>
          <a:miter lim="800000"/>
          <a:headEnd/>
          <a:tailEnd/>
        </a:ln>
      </xdr:spPr>
    </xdr:pic>
    <xdr:clientData/>
  </xdr:twoCellAnchor>
  <xdr:twoCellAnchor editAs="oneCell">
    <xdr:from>
      <xdr:col>1</xdr:col>
      <xdr:colOff>9525</xdr:colOff>
      <xdr:row>9</xdr:row>
      <xdr:rowOff>28575</xdr:rowOff>
    </xdr:from>
    <xdr:to>
      <xdr:col>2</xdr:col>
      <xdr:colOff>9525</xdr:colOff>
      <xdr:row>10</xdr:row>
      <xdr:rowOff>28575</xdr:rowOff>
    </xdr:to>
    <xdr:pic>
      <xdr:nvPicPr>
        <xdr:cNvPr id="165" name="Picture 467"/>
        <xdr:cNvPicPr>
          <a:picLocks noChangeAspect="1" noChangeArrowheads="1"/>
        </xdr:cNvPicPr>
      </xdr:nvPicPr>
      <xdr:blipFill>
        <a:blip xmlns:r="http://schemas.openxmlformats.org/officeDocument/2006/relationships" r:embed="rId153" cstate="print"/>
        <a:srcRect/>
        <a:stretch>
          <a:fillRect/>
        </a:stretch>
      </xdr:blipFill>
      <xdr:spPr bwMode="auto">
        <a:xfrm>
          <a:off x="257175" y="2143125"/>
          <a:ext cx="542925" cy="609600"/>
        </a:xfrm>
        <a:prstGeom prst="rect">
          <a:avLst/>
        </a:prstGeom>
        <a:noFill/>
        <a:ln w="1">
          <a:noFill/>
          <a:miter lim="800000"/>
          <a:headEnd/>
          <a:tailEnd/>
        </a:ln>
      </xdr:spPr>
    </xdr:pic>
    <xdr:clientData/>
  </xdr:twoCellAnchor>
  <xdr:twoCellAnchor editAs="oneCell">
    <xdr:from>
      <xdr:col>1</xdr:col>
      <xdr:colOff>9525</xdr:colOff>
      <xdr:row>15</xdr:row>
      <xdr:rowOff>9525</xdr:rowOff>
    </xdr:from>
    <xdr:to>
      <xdr:col>2</xdr:col>
      <xdr:colOff>9525</xdr:colOff>
      <xdr:row>16</xdr:row>
      <xdr:rowOff>9525</xdr:rowOff>
    </xdr:to>
    <xdr:pic>
      <xdr:nvPicPr>
        <xdr:cNvPr id="110576" name="Picture 468"/>
        <xdr:cNvPicPr>
          <a:picLocks noChangeAspect="1" noChangeArrowheads="1"/>
        </xdr:cNvPicPr>
      </xdr:nvPicPr>
      <xdr:blipFill>
        <a:blip xmlns:r="http://schemas.openxmlformats.org/officeDocument/2006/relationships" r:embed="rId154" cstate="print"/>
        <a:srcRect/>
        <a:stretch>
          <a:fillRect/>
        </a:stretch>
      </xdr:blipFill>
      <xdr:spPr bwMode="auto">
        <a:xfrm>
          <a:off x="257175" y="6038850"/>
          <a:ext cx="542925" cy="609600"/>
        </a:xfrm>
        <a:prstGeom prst="rect">
          <a:avLst/>
        </a:prstGeom>
        <a:noFill/>
        <a:ln w="1">
          <a:noFill/>
          <a:miter lim="800000"/>
          <a:headEnd/>
          <a:tailEnd/>
        </a:ln>
      </xdr:spPr>
    </xdr:pic>
    <xdr:clientData/>
  </xdr:twoCellAnchor>
  <xdr:twoCellAnchor editAs="oneCell">
    <xdr:from>
      <xdr:col>1</xdr:col>
      <xdr:colOff>0</xdr:colOff>
      <xdr:row>23</xdr:row>
      <xdr:rowOff>19050</xdr:rowOff>
    </xdr:from>
    <xdr:to>
      <xdr:col>2</xdr:col>
      <xdr:colOff>9525</xdr:colOff>
      <xdr:row>24</xdr:row>
      <xdr:rowOff>19050</xdr:rowOff>
    </xdr:to>
    <xdr:pic>
      <xdr:nvPicPr>
        <xdr:cNvPr id="110473" name="Picture 73"/>
        <xdr:cNvPicPr>
          <a:picLocks noChangeAspect="1" noChangeArrowheads="1"/>
        </xdr:cNvPicPr>
      </xdr:nvPicPr>
      <xdr:blipFill>
        <a:blip xmlns:r="http://schemas.openxmlformats.org/officeDocument/2006/relationships" r:embed="rId155" cstate="print"/>
        <a:srcRect/>
        <a:stretch>
          <a:fillRect/>
        </a:stretch>
      </xdr:blipFill>
      <xdr:spPr bwMode="auto">
        <a:xfrm>
          <a:off x="247650" y="10963275"/>
          <a:ext cx="552450" cy="609600"/>
        </a:xfrm>
        <a:prstGeom prst="rect">
          <a:avLst/>
        </a:prstGeom>
        <a:noFill/>
        <a:ln w="9525">
          <a:noFill/>
          <a:miter lim="800000"/>
          <a:headEnd/>
          <a:tailEnd/>
        </a:ln>
      </xdr:spPr>
    </xdr:pic>
    <xdr:clientData/>
  </xdr:twoCellAnchor>
  <xdr:twoCellAnchor editAs="oneCell">
    <xdr:from>
      <xdr:col>1</xdr:col>
      <xdr:colOff>0</xdr:colOff>
      <xdr:row>29</xdr:row>
      <xdr:rowOff>600075</xdr:rowOff>
    </xdr:from>
    <xdr:to>
      <xdr:col>2</xdr:col>
      <xdr:colOff>0</xdr:colOff>
      <xdr:row>30</xdr:row>
      <xdr:rowOff>600075</xdr:rowOff>
    </xdr:to>
    <xdr:pic>
      <xdr:nvPicPr>
        <xdr:cNvPr id="110578" name="Picture 470"/>
        <xdr:cNvPicPr>
          <a:picLocks noChangeAspect="1" noChangeArrowheads="1"/>
        </xdr:cNvPicPr>
      </xdr:nvPicPr>
      <xdr:blipFill>
        <a:blip xmlns:r="http://schemas.openxmlformats.org/officeDocument/2006/relationships" r:embed="rId156" cstate="print"/>
        <a:srcRect/>
        <a:stretch>
          <a:fillRect/>
        </a:stretch>
      </xdr:blipFill>
      <xdr:spPr bwMode="auto">
        <a:xfrm>
          <a:off x="247650" y="15201900"/>
          <a:ext cx="542925" cy="609600"/>
        </a:xfrm>
        <a:prstGeom prst="rect">
          <a:avLst/>
        </a:prstGeom>
        <a:noFill/>
        <a:ln w="1">
          <a:noFill/>
          <a:miter lim="800000"/>
          <a:headEnd/>
          <a:tailEnd/>
        </a:ln>
      </xdr:spPr>
    </xdr:pic>
    <xdr:clientData/>
  </xdr:twoCellAnchor>
  <xdr:twoCellAnchor editAs="oneCell">
    <xdr:from>
      <xdr:col>1</xdr:col>
      <xdr:colOff>0</xdr:colOff>
      <xdr:row>31</xdr:row>
      <xdr:rowOff>19050</xdr:rowOff>
    </xdr:from>
    <xdr:to>
      <xdr:col>2</xdr:col>
      <xdr:colOff>9525</xdr:colOff>
      <xdr:row>32</xdr:row>
      <xdr:rowOff>19050</xdr:rowOff>
    </xdr:to>
    <xdr:pic>
      <xdr:nvPicPr>
        <xdr:cNvPr id="110479" name="Picture 85"/>
        <xdr:cNvPicPr>
          <a:picLocks noChangeAspect="1" noChangeArrowheads="1"/>
        </xdr:cNvPicPr>
      </xdr:nvPicPr>
      <xdr:blipFill>
        <a:blip xmlns:r="http://schemas.openxmlformats.org/officeDocument/2006/relationships" r:embed="rId157" cstate="print"/>
        <a:srcRect/>
        <a:stretch>
          <a:fillRect/>
        </a:stretch>
      </xdr:blipFill>
      <xdr:spPr bwMode="auto">
        <a:xfrm>
          <a:off x="247650" y="15840075"/>
          <a:ext cx="552450" cy="609600"/>
        </a:xfrm>
        <a:prstGeom prst="rect">
          <a:avLst/>
        </a:prstGeom>
        <a:noFill/>
        <a:ln w="9525">
          <a:noFill/>
          <a:miter lim="800000"/>
          <a:headEnd/>
          <a:tailEnd/>
        </a:ln>
      </xdr:spPr>
    </xdr:pic>
    <xdr:clientData/>
  </xdr:twoCellAnchor>
  <xdr:twoCellAnchor editAs="oneCell">
    <xdr:from>
      <xdr:col>1</xdr:col>
      <xdr:colOff>0</xdr:colOff>
      <xdr:row>55</xdr:row>
      <xdr:rowOff>19050</xdr:rowOff>
    </xdr:from>
    <xdr:to>
      <xdr:col>2</xdr:col>
      <xdr:colOff>9525</xdr:colOff>
      <xdr:row>56</xdr:row>
      <xdr:rowOff>19050</xdr:rowOff>
    </xdr:to>
    <xdr:pic>
      <xdr:nvPicPr>
        <xdr:cNvPr id="110498" name="Picture 180"/>
        <xdr:cNvPicPr>
          <a:picLocks noChangeAspect="1" noChangeArrowheads="1"/>
        </xdr:cNvPicPr>
      </xdr:nvPicPr>
      <xdr:blipFill>
        <a:blip xmlns:r="http://schemas.openxmlformats.org/officeDocument/2006/relationships" r:embed="rId158" cstate="print"/>
        <a:srcRect/>
        <a:stretch>
          <a:fillRect/>
        </a:stretch>
      </xdr:blipFill>
      <xdr:spPr bwMode="auto">
        <a:xfrm>
          <a:off x="247650" y="30565725"/>
          <a:ext cx="552450" cy="609600"/>
        </a:xfrm>
        <a:prstGeom prst="rect">
          <a:avLst/>
        </a:prstGeom>
        <a:noFill/>
        <a:ln w="9525">
          <a:noFill/>
          <a:miter lim="800000"/>
          <a:headEnd/>
          <a:tailEnd/>
        </a:ln>
      </xdr:spPr>
    </xdr:pic>
    <xdr:clientData/>
  </xdr:twoCellAnchor>
  <xdr:twoCellAnchor editAs="oneCell">
    <xdr:from>
      <xdr:col>1</xdr:col>
      <xdr:colOff>0</xdr:colOff>
      <xdr:row>103</xdr:row>
      <xdr:rowOff>19050</xdr:rowOff>
    </xdr:from>
    <xdr:to>
      <xdr:col>2</xdr:col>
      <xdr:colOff>9525</xdr:colOff>
      <xdr:row>104</xdr:row>
      <xdr:rowOff>19050</xdr:rowOff>
    </xdr:to>
    <xdr:pic>
      <xdr:nvPicPr>
        <xdr:cNvPr id="110540" name="Picture 264"/>
        <xdr:cNvPicPr>
          <a:picLocks noChangeAspect="1" noChangeArrowheads="1"/>
        </xdr:cNvPicPr>
      </xdr:nvPicPr>
      <xdr:blipFill>
        <a:blip xmlns:r="http://schemas.openxmlformats.org/officeDocument/2006/relationships" r:embed="rId159" cstate="print"/>
        <a:srcRect/>
        <a:stretch>
          <a:fillRect/>
        </a:stretch>
      </xdr:blipFill>
      <xdr:spPr bwMode="auto">
        <a:xfrm>
          <a:off x="247650" y="59921775"/>
          <a:ext cx="552450" cy="609600"/>
        </a:xfrm>
        <a:prstGeom prst="rect">
          <a:avLst/>
        </a:prstGeom>
        <a:noFill/>
        <a:ln w="9525">
          <a:noFill/>
          <a:miter lim="800000"/>
          <a:headEnd/>
          <a:tailEnd/>
        </a:ln>
      </xdr:spPr>
    </xdr:pic>
    <xdr:clientData/>
  </xdr:twoCellAnchor>
  <xdr:twoCellAnchor editAs="oneCell">
    <xdr:from>
      <xdr:col>1</xdr:col>
      <xdr:colOff>0</xdr:colOff>
      <xdr:row>111</xdr:row>
      <xdr:rowOff>9525</xdr:rowOff>
    </xdr:from>
    <xdr:to>
      <xdr:col>2</xdr:col>
      <xdr:colOff>9525</xdr:colOff>
      <xdr:row>112</xdr:row>
      <xdr:rowOff>9525</xdr:rowOff>
    </xdr:to>
    <xdr:pic>
      <xdr:nvPicPr>
        <xdr:cNvPr id="110547" name="Picture 278"/>
        <xdr:cNvPicPr>
          <a:picLocks noChangeAspect="1" noChangeArrowheads="1"/>
        </xdr:cNvPicPr>
      </xdr:nvPicPr>
      <xdr:blipFill>
        <a:blip xmlns:r="http://schemas.openxmlformats.org/officeDocument/2006/relationships" r:embed="rId160" cstate="print"/>
        <a:srcRect/>
        <a:stretch>
          <a:fillRect/>
        </a:stretch>
      </xdr:blipFill>
      <xdr:spPr bwMode="auto">
        <a:xfrm>
          <a:off x="247650" y="64646175"/>
          <a:ext cx="552450" cy="609600"/>
        </a:xfrm>
        <a:prstGeom prst="rect">
          <a:avLst/>
        </a:prstGeom>
        <a:noFill/>
        <a:ln w="9525">
          <a:noFill/>
          <a:miter lim="800000"/>
          <a:headEnd/>
          <a:tailEnd/>
        </a:ln>
      </xdr:spPr>
    </xdr:pic>
    <xdr:clientData/>
  </xdr:twoCellAnchor>
  <xdr:twoCellAnchor editAs="oneCell">
    <xdr:from>
      <xdr:col>1</xdr:col>
      <xdr:colOff>0</xdr:colOff>
      <xdr:row>127</xdr:row>
      <xdr:rowOff>19050</xdr:rowOff>
    </xdr:from>
    <xdr:to>
      <xdr:col>2</xdr:col>
      <xdr:colOff>9525</xdr:colOff>
      <xdr:row>128</xdr:row>
      <xdr:rowOff>19050</xdr:rowOff>
    </xdr:to>
    <xdr:pic>
      <xdr:nvPicPr>
        <xdr:cNvPr id="110557" name="Picture 298"/>
        <xdr:cNvPicPr>
          <a:picLocks noChangeAspect="1" noChangeArrowheads="1"/>
        </xdr:cNvPicPr>
      </xdr:nvPicPr>
      <xdr:blipFill>
        <a:blip xmlns:r="http://schemas.openxmlformats.org/officeDocument/2006/relationships" r:embed="rId161" cstate="print"/>
        <a:srcRect/>
        <a:stretch>
          <a:fillRect/>
        </a:stretch>
      </xdr:blipFill>
      <xdr:spPr bwMode="auto">
        <a:xfrm>
          <a:off x="247650" y="74599800"/>
          <a:ext cx="552450" cy="609600"/>
        </a:xfrm>
        <a:prstGeom prst="rect">
          <a:avLst/>
        </a:prstGeom>
        <a:noFill/>
        <a:ln w="9525">
          <a:noFill/>
          <a:miter lim="800000"/>
          <a:headEnd/>
          <a:tailEnd/>
        </a:ln>
      </xdr:spPr>
    </xdr:pic>
    <xdr:clientData/>
  </xdr:twoCellAnchor>
  <xdr:twoCellAnchor editAs="oneCell">
    <xdr:from>
      <xdr:col>1</xdr:col>
      <xdr:colOff>0</xdr:colOff>
      <xdr:row>135</xdr:row>
      <xdr:rowOff>19050</xdr:rowOff>
    </xdr:from>
    <xdr:to>
      <xdr:col>2</xdr:col>
      <xdr:colOff>9525</xdr:colOff>
      <xdr:row>136</xdr:row>
      <xdr:rowOff>19050</xdr:rowOff>
    </xdr:to>
    <xdr:pic>
      <xdr:nvPicPr>
        <xdr:cNvPr id="110439" name="Picture 5"/>
        <xdr:cNvPicPr>
          <a:picLocks noChangeAspect="1" noChangeArrowheads="1"/>
        </xdr:cNvPicPr>
      </xdr:nvPicPr>
      <xdr:blipFill>
        <a:blip xmlns:r="http://schemas.openxmlformats.org/officeDocument/2006/relationships" r:embed="rId162" cstate="print"/>
        <a:srcRect/>
        <a:stretch>
          <a:fillRect/>
        </a:stretch>
      </xdr:blipFill>
      <xdr:spPr bwMode="auto">
        <a:xfrm>
          <a:off x="247650" y="79476600"/>
          <a:ext cx="552450" cy="609600"/>
        </a:xfrm>
        <a:prstGeom prst="rect">
          <a:avLst/>
        </a:prstGeom>
        <a:noFill/>
        <a:ln w="9525">
          <a:noFill/>
          <a:miter lim="800000"/>
          <a:headEnd/>
          <a:tailEnd/>
        </a:ln>
      </xdr:spPr>
    </xdr:pic>
    <xdr:clientData/>
  </xdr:twoCellAnchor>
  <xdr:twoCellAnchor editAs="oneCell">
    <xdr:from>
      <xdr:col>1</xdr:col>
      <xdr:colOff>0</xdr:colOff>
      <xdr:row>151</xdr:row>
      <xdr:rowOff>19050</xdr:rowOff>
    </xdr:from>
    <xdr:to>
      <xdr:col>2</xdr:col>
      <xdr:colOff>9525</xdr:colOff>
      <xdr:row>152</xdr:row>
      <xdr:rowOff>19050</xdr:rowOff>
    </xdr:to>
    <xdr:pic>
      <xdr:nvPicPr>
        <xdr:cNvPr id="110444" name="Picture 15"/>
        <xdr:cNvPicPr>
          <a:picLocks noChangeAspect="1" noChangeArrowheads="1"/>
        </xdr:cNvPicPr>
      </xdr:nvPicPr>
      <xdr:blipFill>
        <a:blip xmlns:r="http://schemas.openxmlformats.org/officeDocument/2006/relationships" r:embed="rId163" cstate="print"/>
        <a:srcRect/>
        <a:stretch>
          <a:fillRect/>
        </a:stretch>
      </xdr:blipFill>
      <xdr:spPr bwMode="auto">
        <a:xfrm>
          <a:off x="247650" y="89268300"/>
          <a:ext cx="552450" cy="60960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9</xdr:row>
      <xdr:rowOff>9525</xdr:rowOff>
    </xdr:from>
    <xdr:to>
      <xdr:col>1</xdr:col>
      <xdr:colOff>543816</xdr:colOff>
      <xdr:row>10</xdr:row>
      <xdr:rowOff>9525</xdr:rowOff>
    </xdr:to>
    <xdr:pic>
      <xdr:nvPicPr>
        <xdr:cNvPr id="82" name="Рисунок 81" descr="Маг стрела.bmp"/>
        <xdr:cNvPicPr>
          <a:picLocks noChangeAspect="1"/>
        </xdr:cNvPicPr>
      </xdr:nvPicPr>
      <xdr:blipFill>
        <a:blip xmlns:r="http://schemas.openxmlformats.org/officeDocument/2006/relationships" r:embed="rId1" cstate="print"/>
        <a:stretch>
          <a:fillRect/>
        </a:stretch>
      </xdr:blipFill>
      <xdr:spPr>
        <a:xfrm>
          <a:off x="247650" y="1524000"/>
          <a:ext cx="543816" cy="600075"/>
        </a:xfrm>
        <a:prstGeom prst="rect">
          <a:avLst/>
        </a:prstGeom>
      </xdr:spPr>
    </xdr:pic>
    <xdr:clientData/>
  </xdr:twoCellAnchor>
  <xdr:twoCellAnchor editAs="oneCell">
    <xdr:from>
      <xdr:col>1</xdr:col>
      <xdr:colOff>0</xdr:colOff>
      <xdr:row>10</xdr:row>
      <xdr:rowOff>9525</xdr:rowOff>
    </xdr:from>
    <xdr:to>
      <xdr:col>1</xdr:col>
      <xdr:colOff>543816</xdr:colOff>
      <xdr:row>11</xdr:row>
      <xdr:rowOff>9525</xdr:rowOff>
    </xdr:to>
    <xdr:pic>
      <xdr:nvPicPr>
        <xdr:cNvPr id="83" name="Рисунок 82" descr="Видения.bmp"/>
        <xdr:cNvPicPr>
          <a:picLocks noChangeAspect="1"/>
        </xdr:cNvPicPr>
      </xdr:nvPicPr>
      <xdr:blipFill>
        <a:blip xmlns:r="http://schemas.openxmlformats.org/officeDocument/2006/relationships" r:embed="rId2" cstate="print"/>
        <a:stretch>
          <a:fillRect/>
        </a:stretch>
      </xdr:blipFill>
      <xdr:spPr>
        <a:xfrm>
          <a:off x="247650" y="2124075"/>
          <a:ext cx="543816" cy="600075"/>
        </a:xfrm>
        <a:prstGeom prst="rect">
          <a:avLst/>
        </a:prstGeom>
      </xdr:spPr>
    </xdr:pic>
    <xdr:clientData/>
  </xdr:twoCellAnchor>
  <xdr:twoCellAnchor editAs="oneCell">
    <xdr:from>
      <xdr:col>1</xdr:col>
      <xdr:colOff>0</xdr:colOff>
      <xdr:row>23</xdr:row>
      <xdr:rowOff>19050</xdr:rowOff>
    </xdr:from>
    <xdr:to>
      <xdr:col>1</xdr:col>
      <xdr:colOff>552448</xdr:colOff>
      <xdr:row>23</xdr:row>
      <xdr:rowOff>628650</xdr:rowOff>
    </xdr:to>
    <xdr:pic>
      <xdr:nvPicPr>
        <xdr:cNvPr id="119" name="Рисунок 118" descr="Стена.bmp"/>
        <xdr:cNvPicPr>
          <a:picLocks noChangeAspect="1"/>
        </xdr:cNvPicPr>
      </xdr:nvPicPr>
      <xdr:blipFill>
        <a:blip xmlns:r="http://schemas.openxmlformats.org/officeDocument/2006/relationships" r:embed="rId3" cstate="print"/>
        <a:stretch>
          <a:fillRect/>
        </a:stretch>
      </xdr:blipFill>
      <xdr:spPr>
        <a:xfrm>
          <a:off x="247650" y="6448425"/>
          <a:ext cx="552448" cy="609600"/>
        </a:xfrm>
        <a:prstGeom prst="rect">
          <a:avLst/>
        </a:prstGeom>
      </xdr:spPr>
    </xdr:pic>
    <xdr:clientData/>
  </xdr:twoCellAnchor>
  <xdr:twoCellAnchor editAs="oneCell">
    <xdr:from>
      <xdr:col>1</xdr:col>
      <xdr:colOff>0</xdr:colOff>
      <xdr:row>20</xdr:row>
      <xdr:rowOff>485775</xdr:rowOff>
    </xdr:from>
    <xdr:to>
      <xdr:col>1</xdr:col>
      <xdr:colOff>552448</xdr:colOff>
      <xdr:row>21</xdr:row>
      <xdr:rowOff>600075</xdr:rowOff>
    </xdr:to>
    <xdr:pic>
      <xdr:nvPicPr>
        <xdr:cNvPr id="120" name="Рисунок 119" descr="Слепь.bmp"/>
        <xdr:cNvPicPr>
          <a:picLocks noChangeAspect="1"/>
        </xdr:cNvPicPr>
      </xdr:nvPicPr>
      <xdr:blipFill>
        <a:blip xmlns:r="http://schemas.openxmlformats.org/officeDocument/2006/relationships" r:embed="rId4" cstate="print"/>
        <a:stretch>
          <a:fillRect/>
        </a:stretch>
      </xdr:blipFill>
      <xdr:spPr>
        <a:xfrm>
          <a:off x="247650" y="5810250"/>
          <a:ext cx="552448" cy="609600"/>
        </a:xfrm>
        <a:prstGeom prst="rect">
          <a:avLst/>
        </a:prstGeom>
      </xdr:spPr>
    </xdr:pic>
    <xdr:clientData/>
  </xdr:twoCellAnchor>
  <xdr:twoCellAnchor editAs="oneCell">
    <xdr:from>
      <xdr:col>1</xdr:col>
      <xdr:colOff>0</xdr:colOff>
      <xdr:row>38</xdr:row>
      <xdr:rowOff>19050</xdr:rowOff>
    </xdr:from>
    <xdr:to>
      <xdr:col>1</xdr:col>
      <xdr:colOff>552448</xdr:colOff>
      <xdr:row>38</xdr:row>
      <xdr:rowOff>628650</xdr:rowOff>
    </xdr:to>
    <xdr:pic>
      <xdr:nvPicPr>
        <xdr:cNvPr id="121" name="Рисунок 120" descr="Элем огня.bmp"/>
        <xdr:cNvPicPr>
          <a:picLocks noChangeAspect="1"/>
        </xdr:cNvPicPr>
      </xdr:nvPicPr>
      <xdr:blipFill>
        <a:blip xmlns:r="http://schemas.openxmlformats.org/officeDocument/2006/relationships" r:embed="rId5" cstate="print"/>
        <a:stretch>
          <a:fillRect/>
        </a:stretch>
      </xdr:blipFill>
      <xdr:spPr>
        <a:xfrm>
          <a:off x="247650" y="17678400"/>
          <a:ext cx="552448" cy="609600"/>
        </a:xfrm>
        <a:prstGeom prst="rect">
          <a:avLst/>
        </a:prstGeom>
      </xdr:spPr>
    </xdr:pic>
    <xdr:clientData/>
  </xdr:twoCellAnchor>
  <xdr:twoCellAnchor editAs="oneCell">
    <xdr:from>
      <xdr:col>1</xdr:col>
      <xdr:colOff>0</xdr:colOff>
      <xdr:row>18</xdr:row>
      <xdr:rowOff>9525</xdr:rowOff>
    </xdr:from>
    <xdr:to>
      <xdr:col>1</xdr:col>
      <xdr:colOff>552448</xdr:colOff>
      <xdr:row>19</xdr:row>
      <xdr:rowOff>9525</xdr:rowOff>
    </xdr:to>
    <xdr:pic>
      <xdr:nvPicPr>
        <xdr:cNvPr id="122" name="Рисунок 121" descr="Прокл.bmp"/>
        <xdr:cNvPicPr>
          <a:picLocks noChangeAspect="1"/>
        </xdr:cNvPicPr>
      </xdr:nvPicPr>
      <xdr:blipFill>
        <a:blip xmlns:r="http://schemas.openxmlformats.org/officeDocument/2006/relationships" r:embed="rId6" cstate="print"/>
        <a:stretch>
          <a:fillRect/>
        </a:stretch>
      </xdr:blipFill>
      <xdr:spPr>
        <a:xfrm>
          <a:off x="254000" y="4057650"/>
          <a:ext cx="552448" cy="603250"/>
        </a:xfrm>
        <a:prstGeom prst="rect">
          <a:avLst/>
        </a:prstGeom>
      </xdr:spPr>
    </xdr:pic>
    <xdr:clientData/>
  </xdr:twoCellAnchor>
  <xdr:twoCellAnchor editAs="oneCell">
    <xdr:from>
      <xdr:col>1</xdr:col>
      <xdr:colOff>0</xdr:colOff>
      <xdr:row>35</xdr:row>
      <xdr:rowOff>9525</xdr:rowOff>
    </xdr:from>
    <xdr:to>
      <xdr:col>1</xdr:col>
      <xdr:colOff>552448</xdr:colOff>
      <xdr:row>36</xdr:row>
      <xdr:rowOff>9525</xdr:rowOff>
    </xdr:to>
    <xdr:pic>
      <xdr:nvPicPr>
        <xdr:cNvPr id="123" name="Рисунок 122" descr="Палач.bmp"/>
        <xdr:cNvPicPr>
          <a:picLocks noChangeAspect="1"/>
        </xdr:cNvPicPr>
      </xdr:nvPicPr>
      <xdr:blipFill>
        <a:blip xmlns:r="http://schemas.openxmlformats.org/officeDocument/2006/relationships" r:embed="rId7" cstate="print"/>
        <a:stretch>
          <a:fillRect/>
        </a:stretch>
      </xdr:blipFill>
      <xdr:spPr>
        <a:xfrm>
          <a:off x="247650" y="15744825"/>
          <a:ext cx="552448" cy="609600"/>
        </a:xfrm>
        <a:prstGeom prst="rect">
          <a:avLst/>
        </a:prstGeom>
      </xdr:spPr>
    </xdr:pic>
    <xdr:clientData/>
  </xdr:twoCellAnchor>
  <xdr:twoCellAnchor editAs="oneCell">
    <xdr:from>
      <xdr:col>1</xdr:col>
      <xdr:colOff>0</xdr:colOff>
      <xdr:row>31</xdr:row>
      <xdr:rowOff>9525</xdr:rowOff>
    </xdr:from>
    <xdr:to>
      <xdr:col>1</xdr:col>
      <xdr:colOff>552448</xdr:colOff>
      <xdr:row>31</xdr:row>
      <xdr:rowOff>619125</xdr:rowOff>
    </xdr:to>
    <xdr:pic>
      <xdr:nvPicPr>
        <xdr:cNvPr id="124" name="Рисунок 123" descr="Огн щит.bmp"/>
        <xdr:cNvPicPr>
          <a:picLocks noChangeAspect="1"/>
        </xdr:cNvPicPr>
      </xdr:nvPicPr>
      <xdr:blipFill>
        <a:blip xmlns:r="http://schemas.openxmlformats.org/officeDocument/2006/relationships" r:embed="rId8" cstate="print"/>
        <a:stretch>
          <a:fillRect/>
        </a:stretch>
      </xdr:blipFill>
      <xdr:spPr>
        <a:xfrm>
          <a:off x="247650" y="12715875"/>
          <a:ext cx="552448" cy="609600"/>
        </a:xfrm>
        <a:prstGeom prst="rect">
          <a:avLst/>
        </a:prstGeom>
      </xdr:spPr>
    </xdr:pic>
    <xdr:clientData/>
  </xdr:twoCellAnchor>
  <xdr:twoCellAnchor editAs="oneCell">
    <xdr:from>
      <xdr:col>1</xdr:col>
      <xdr:colOff>0</xdr:colOff>
      <xdr:row>25</xdr:row>
      <xdr:rowOff>9525</xdr:rowOff>
    </xdr:from>
    <xdr:to>
      <xdr:col>1</xdr:col>
      <xdr:colOff>552448</xdr:colOff>
      <xdr:row>26</xdr:row>
      <xdr:rowOff>9525</xdr:rowOff>
    </xdr:to>
    <xdr:pic>
      <xdr:nvPicPr>
        <xdr:cNvPr id="125" name="Рисунок 124" descr="Огн шар.bmp"/>
        <xdr:cNvPicPr>
          <a:picLocks noChangeAspect="1"/>
        </xdr:cNvPicPr>
      </xdr:nvPicPr>
      <xdr:blipFill>
        <a:blip xmlns:r="http://schemas.openxmlformats.org/officeDocument/2006/relationships" r:embed="rId9" cstate="print"/>
        <a:stretch>
          <a:fillRect/>
        </a:stretch>
      </xdr:blipFill>
      <xdr:spPr>
        <a:xfrm>
          <a:off x="247650" y="7915275"/>
          <a:ext cx="552448" cy="609600"/>
        </a:xfrm>
        <a:prstGeom prst="rect">
          <a:avLst/>
        </a:prstGeom>
      </xdr:spPr>
    </xdr:pic>
    <xdr:clientData/>
  </xdr:twoCellAnchor>
  <xdr:twoCellAnchor editAs="oneCell">
    <xdr:from>
      <xdr:col>1</xdr:col>
      <xdr:colOff>0</xdr:colOff>
      <xdr:row>27</xdr:row>
      <xdr:rowOff>0</xdr:rowOff>
    </xdr:from>
    <xdr:to>
      <xdr:col>1</xdr:col>
      <xdr:colOff>552448</xdr:colOff>
      <xdr:row>28</xdr:row>
      <xdr:rowOff>0</xdr:rowOff>
    </xdr:to>
    <xdr:pic>
      <xdr:nvPicPr>
        <xdr:cNvPr id="126" name="Рисунок 125" descr="Неудача.bmp"/>
        <xdr:cNvPicPr>
          <a:picLocks noChangeAspect="1"/>
        </xdr:cNvPicPr>
      </xdr:nvPicPr>
      <xdr:blipFill>
        <a:blip xmlns:r="http://schemas.openxmlformats.org/officeDocument/2006/relationships" r:embed="rId10" cstate="print"/>
        <a:stretch>
          <a:fillRect/>
        </a:stretch>
      </xdr:blipFill>
      <xdr:spPr>
        <a:xfrm>
          <a:off x="247650" y="10001250"/>
          <a:ext cx="552448" cy="609600"/>
        </a:xfrm>
        <a:prstGeom prst="rect">
          <a:avLst/>
        </a:prstGeom>
      </xdr:spPr>
    </xdr:pic>
    <xdr:clientData/>
  </xdr:twoCellAnchor>
  <xdr:twoCellAnchor editAs="oneCell">
    <xdr:from>
      <xdr:col>1</xdr:col>
      <xdr:colOff>0</xdr:colOff>
      <xdr:row>26</xdr:row>
      <xdr:rowOff>9525</xdr:rowOff>
    </xdr:from>
    <xdr:to>
      <xdr:col>1</xdr:col>
      <xdr:colOff>552448</xdr:colOff>
      <xdr:row>26</xdr:row>
      <xdr:rowOff>619125</xdr:rowOff>
    </xdr:to>
    <xdr:pic>
      <xdr:nvPicPr>
        <xdr:cNvPr id="127" name="Рисунок 126" descr="Мины.bmp"/>
        <xdr:cNvPicPr>
          <a:picLocks noChangeAspect="1"/>
        </xdr:cNvPicPr>
      </xdr:nvPicPr>
      <xdr:blipFill>
        <a:blip xmlns:r="http://schemas.openxmlformats.org/officeDocument/2006/relationships" r:embed="rId11" cstate="print"/>
        <a:stretch>
          <a:fillRect/>
        </a:stretch>
      </xdr:blipFill>
      <xdr:spPr>
        <a:xfrm>
          <a:off x="247650" y="8524875"/>
          <a:ext cx="552448" cy="609600"/>
        </a:xfrm>
        <a:prstGeom prst="rect">
          <a:avLst/>
        </a:prstGeom>
      </xdr:spPr>
    </xdr:pic>
    <xdr:clientData/>
  </xdr:twoCellAnchor>
  <xdr:twoCellAnchor editAs="oneCell">
    <xdr:from>
      <xdr:col>1</xdr:col>
      <xdr:colOff>0</xdr:colOff>
      <xdr:row>34</xdr:row>
      <xdr:rowOff>9525</xdr:rowOff>
    </xdr:from>
    <xdr:to>
      <xdr:col>1</xdr:col>
      <xdr:colOff>552448</xdr:colOff>
      <xdr:row>35</xdr:row>
      <xdr:rowOff>9525</xdr:rowOff>
    </xdr:to>
    <xdr:pic>
      <xdr:nvPicPr>
        <xdr:cNvPr id="128" name="Рисунок 127" descr="Инферно.bmp"/>
        <xdr:cNvPicPr>
          <a:picLocks noChangeAspect="1"/>
        </xdr:cNvPicPr>
      </xdr:nvPicPr>
      <xdr:blipFill>
        <a:blip xmlns:r="http://schemas.openxmlformats.org/officeDocument/2006/relationships" r:embed="rId12" cstate="print"/>
        <a:stretch>
          <a:fillRect/>
        </a:stretch>
      </xdr:blipFill>
      <xdr:spPr>
        <a:xfrm>
          <a:off x="247650" y="15135225"/>
          <a:ext cx="552448" cy="609600"/>
        </a:xfrm>
        <a:prstGeom prst="rect">
          <a:avLst/>
        </a:prstGeom>
      </xdr:spPr>
    </xdr:pic>
    <xdr:clientData/>
  </xdr:twoCellAnchor>
  <xdr:twoCellAnchor editAs="oneCell">
    <xdr:from>
      <xdr:col>1</xdr:col>
      <xdr:colOff>0</xdr:colOff>
      <xdr:row>19</xdr:row>
      <xdr:rowOff>9525</xdr:rowOff>
    </xdr:from>
    <xdr:to>
      <xdr:col>1</xdr:col>
      <xdr:colOff>552448</xdr:colOff>
      <xdr:row>20</xdr:row>
      <xdr:rowOff>161925</xdr:rowOff>
    </xdr:to>
    <xdr:pic>
      <xdr:nvPicPr>
        <xdr:cNvPr id="129" name="Рисунок 128" descr="Защ от огня.bmp"/>
        <xdr:cNvPicPr>
          <a:picLocks noChangeAspect="1"/>
        </xdr:cNvPicPr>
      </xdr:nvPicPr>
      <xdr:blipFill>
        <a:blip xmlns:r="http://schemas.openxmlformats.org/officeDocument/2006/relationships" r:embed="rId13" cstate="print"/>
        <a:stretch>
          <a:fillRect/>
        </a:stretch>
      </xdr:blipFill>
      <xdr:spPr>
        <a:xfrm>
          <a:off x="254000" y="4660900"/>
          <a:ext cx="552448" cy="612775"/>
        </a:xfrm>
        <a:prstGeom prst="rect">
          <a:avLst/>
        </a:prstGeom>
      </xdr:spPr>
    </xdr:pic>
    <xdr:clientData/>
  </xdr:twoCellAnchor>
  <xdr:twoCellAnchor editAs="oneCell">
    <xdr:from>
      <xdr:col>1</xdr:col>
      <xdr:colOff>0</xdr:colOff>
      <xdr:row>36</xdr:row>
      <xdr:rowOff>9525</xdr:rowOff>
    </xdr:from>
    <xdr:to>
      <xdr:col>1</xdr:col>
      <xdr:colOff>552448</xdr:colOff>
      <xdr:row>36</xdr:row>
      <xdr:rowOff>619125</xdr:rowOff>
    </xdr:to>
    <xdr:pic>
      <xdr:nvPicPr>
        <xdr:cNvPr id="130" name="Рисунок 129" descr="Жертва.bmp"/>
        <xdr:cNvPicPr>
          <a:picLocks noChangeAspect="1"/>
        </xdr:cNvPicPr>
      </xdr:nvPicPr>
      <xdr:blipFill>
        <a:blip xmlns:r="http://schemas.openxmlformats.org/officeDocument/2006/relationships" r:embed="rId14" cstate="print"/>
        <a:stretch>
          <a:fillRect/>
        </a:stretch>
      </xdr:blipFill>
      <xdr:spPr>
        <a:xfrm>
          <a:off x="247650" y="16354425"/>
          <a:ext cx="552448" cy="609600"/>
        </a:xfrm>
        <a:prstGeom prst="rect">
          <a:avLst/>
        </a:prstGeom>
      </xdr:spPr>
    </xdr:pic>
    <xdr:clientData/>
  </xdr:twoCellAnchor>
  <xdr:twoCellAnchor editAs="oneCell">
    <xdr:from>
      <xdr:col>1</xdr:col>
      <xdr:colOff>0</xdr:colOff>
      <xdr:row>17</xdr:row>
      <xdr:rowOff>9525</xdr:rowOff>
    </xdr:from>
    <xdr:to>
      <xdr:col>1</xdr:col>
      <xdr:colOff>552448</xdr:colOff>
      <xdr:row>18</xdr:row>
      <xdr:rowOff>9525</xdr:rowOff>
    </xdr:to>
    <xdr:pic>
      <xdr:nvPicPr>
        <xdr:cNvPr id="131" name="Рисунок 130" descr="Жажда.bmp"/>
        <xdr:cNvPicPr>
          <a:picLocks noChangeAspect="1"/>
        </xdr:cNvPicPr>
      </xdr:nvPicPr>
      <xdr:blipFill>
        <a:blip xmlns:r="http://schemas.openxmlformats.org/officeDocument/2006/relationships" r:embed="rId15" cstate="print"/>
        <a:stretch>
          <a:fillRect/>
        </a:stretch>
      </xdr:blipFill>
      <xdr:spPr>
        <a:xfrm>
          <a:off x="247650" y="3657600"/>
          <a:ext cx="552448" cy="609600"/>
        </a:xfrm>
        <a:prstGeom prst="rect">
          <a:avLst/>
        </a:prstGeom>
      </xdr:spPr>
    </xdr:pic>
    <xdr:clientData/>
  </xdr:twoCellAnchor>
  <xdr:twoCellAnchor editAs="oneCell">
    <xdr:from>
      <xdr:col>1</xdr:col>
      <xdr:colOff>0</xdr:colOff>
      <xdr:row>33</xdr:row>
      <xdr:rowOff>9525</xdr:rowOff>
    </xdr:from>
    <xdr:to>
      <xdr:col>1</xdr:col>
      <xdr:colOff>552448</xdr:colOff>
      <xdr:row>34</xdr:row>
      <xdr:rowOff>9525</xdr:rowOff>
    </xdr:to>
    <xdr:pic>
      <xdr:nvPicPr>
        <xdr:cNvPr id="132" name="Рисунок 131" descr="Бешен.bmp"/>
        <xdr:cNvPicPr>
          <a:picLocks noChangeAspect="1"/>
        </xdr:cNvPicPr>
      </xdr:nvPicPr>
      <xdr:blipFill>
        <a:blip xmlns:r="http://schemas.openxmlformats.org/officeDocument/2006/relationships" r:embed="rId16" cstate="print"/>
        <a:stretch>
          <a:fillRect/>
        </a:stretch>
      </xdr:blipFill>
      <xdr:spPr>
        <a:xfrm>
          <a:off x="247650" y="14525625"/>
          <a:ext cx="552448" cy="609600"/>
        </a:xfrm>
        <a:prstGeom prst="rect">
          <a:avLst/>
        </a:prstGeom>
      </xdr:spPr>
    </xdr:pic>
    <xdr:clientData/>
  </xdr:twoCellAnchor>
  <xdr:twoCellAnchor editAs="oneCell">
    <xdr:from>
      <xdr:col>1</xdr:col>
      <xdr:colOff>0</xdr:colOff>
      <xdr:row>29</xdr:row>
      <xdr:rowOff>19050</xdr:rowOff>
    </xdr:from>
    <xdr:to>
      <xdr:col>1</xdr:col>
      <xdr:colOff>552448</xdr:colOff>
      <xdr:row>30</xdr:row>
      <xdr:rowOff>133350</xdr:rowOff>
    </xdr:to>
    <xdr:pic>
      <xdr:nvPicPr>
        <xdr:cNvPr id="133" name="Рисунок 132" descr="Берсерк.bmp"/>
        <xdr:cNvPicPr>
          <a:picLocks noChangeAspect="1"/>
        </xdr:cNvPicPr>
      </xdr:nvPicPr>
      <xdr:blipFill>
        <a:blip xmlns:r="http://schemas.openxmlformats.org/officeDocument/2006/relationships" r:embed="rId17" cstate="print"/>
        <a:stretch>
          <a:fillRect/>
        </a:stretch>
      </xdr:blipFill>
      <xdr:spPr>
        <a:xfrm>
          <a:off x="247650" y="11239500"/>
          <a:ext cx="552448" cy="609600"/>
        </a:xfrm>
        <a:prstGeom prst="rect">
          <a:avLst/>
        </a:prstGeom>
      </xdr:spPr>
    </xdr:pic>
    <xdr:clientData/>
  </xdr:twoCellAnchor>
  <xdr:twoCellAnchor editAs="oneCell">
    <xdr:from>
      <xdr:col>1</xdr:col>
      <xdr:colOff>0</xdr:colOff>
      <xdr:row>27</xdr:row>
      <xdr:rowOff>600075</xdr:rowOff>
    </xdr:from>
    <xdr:to>
      <xdr:col>1</xdr:col>
      <xdr:colOff>552448</xdr:colOff>
      <xdr:row>28</xdr:row>
      <xdr:rowOff>600075</xdr:rowOff>
    </xdr:to>
    <xdr:pic>
      <xdr:nvPicPr>
        <xdr:cNvPr id="134" name="Рисунок 133" descr="Армагед.bmp"/>
        <xdr:cNvPicPr>
          <a:picLocks noChangeAspect="1"/>
        </xdr:cNvPicPr>
      </xdr:nvPicPr>
      <xdr:blipFill>
        <a:blip xmlns:r="http://schemas.openxmlformats.org/officeDocument/2006/relationships" r:embed="rId18" cstate="print"/>
        <a:stretch>
          <a:fillRect/>
        </a:stretch>
      </xdr:blipFill>
      <xdr:spPr>
        <a:xfrm>
          <a:off x="247650" y="10601325"/>
          <a:ext cx="552448" cy="609600"/>
        </a:xfrm>
        <a:prstGeom prst="rect">
          <a:avLst/>
        </a:prstGeom>
      </xdr:spPr>
    </xdr:pic>
    <xdr:clientData/>
  </xdr:twoCellAnchor>
  <xdr:twoCellAnchor editAs="oneCell">
    <xdr:from>
      <xdr:col>1</xdr:col>
      <xdr:colOff>0</xdr:colOff>
      <xdr:row>64</xdr:row>
      <xdr:rowOff>0</xdr:rowOff>
    </xdr:from>
    <xdr:to>
      <xdr:col>1</xdr:col>
      <xdr:colOff>552448</xdr:colOff>
      <xdr:row>65</xdr:row>
      <xdr:rowOff>9525</xdr:rowOff>
    </xdr:to>
    <xdr:pic>
      <xdr:nvPicPr>
        <xdr:cNvPr id="152" name="Рисунок 151" descr="Элем воды.bmp"/>
        <xdr:cNvPicPr>
          <a:picLocks noChangeAspect="1"/>
        </xdr:cNvPicPr>
      </xdr:nvPicPr>
      <xdr:blipFill>
        <a:blip xmlns:r="http://schemas.openxmlformats.org/officeDocument/2006/relationships" r:embed="rId19" cstate="print"/>
        <a:stretch>
          <a:fillRect/>
        </a:stretch>
      </xdr:blipFill>
      <xdr:spPr>
        <a:xfrm>
          <a:off x="247650" y="32299275"/>
          <a:ext cx="552448" cy="609600"/>
        </a:xfrm>
        <a:prstGeom prst="rect">
          <a:avLst/>
        </a:prstGeom>
      </xdr:spPr>
    </xdr:pic>
    <xdr:clientData/>
  </xdr:twoCellAnchor>
  <xdr:twoCellAnchor editAs="oneCell">
    <xdr:from>
      <xdr:col>1</xdr:col>
      <xdr:colOff>0</xdr:colOff>
      <xdr:row>63</xdr:row>
      <xdr:rowOff>0</xdr:rowOff>
    </xdr:from>
    <xdr:to>
      <xdr:col>1</xdr:col>
      <xdr:colOff>552448</xdr:colOff>
      <xdr:row>64</xdr:row>
      <xdr:rowOff>0</xdr:rowOff>
    </xdr:to>
    <xdr:pic>
      <xdr:nvPicPr>
        <xdr:cNvPr id="153" name="Рисунок 152" descr="Хождение.bmp"/>
        <xdr:cNvPicPr>
          <a:picLocks noChangeAspect="1"/>
        </xdr:cNvPicPr>
      </xdr:nvPicPr>
      <xdr:blipFill>
        <a:blip xmlns:r="http://schemas.openxmlformats.org/officeDocument/2006/relationships" r:embed="rId20" cstate="print"/>
        <a:stretch>
          <a:fillRect/>
        </a:stretch>
      </xdr:blipFill>
      <xdr:spPr>
        <a:xfrm>
          <a:off x="247650" y="31689675"/>
          <a:ext cx="552448" cy="609600"/>
        </a:xfrm>
        <a:prstGeom prst="rect">
          <a:avLst/>
        </a:prstGeom>
      </xdr:spPr>
    </xdr:pic>
    <xdr:clientData/>
  </xdr:twoCellAnchor>
  <xdr:twoCellAnchor editAs="oneCell">
    <xdr:from>
      <xdr:col>1</xdr:col>
      <xdr:colOff>0</xdr:colOff>
      <xdr:row>53</xdr:row>
      <xdr:rowOff>9525</xdr:rowOff>
    </xdr:from>
    <xdr:to>
      <xdr:col>1</xdr:col>
      <xdr:colOff>552448</xdr:colOff>
      <xdr:row>53</xdr:row>
      <xdr:rowOff>619125</xdr:rowOff>
    </xdr:to>
    <xdr:pic>
      <xdr:nvPicPr>
        <xdr:cNvPr id="154" name="Рисунок 153" descr="Устранение.bmp"/>
        <xdr:cNvPicPr>
          <a:picLocks noChangeAspect="1"/>
        </xdr:cNvPicPr>
      </xdr:nvPicPr>
      <xdr:blipFill>
        <a:blip xmlns:r="http://schemas.openxmlformats.org/officeDocument/2006/relationships" r:embed="rId21" cstate="print"/>
        <a:stretch>
          <a:fillRect/>
        </a:stretch>
      </xdr:blipFill>
      <xdr:spPr>
        <a:xfrm>
          <a:off x="247650" y="24374475"/>
          <a:ext cx="552448" cy="609600"/>
        </a:xfrm>
        <a:prstGeom prst="rect">
          <a:avLst/>
        </a:prstGeom>
      </xdr:spPr>
    </xdr:pic>
    <xdr:clientData/>
  </xdr:twoCellAnchor>
  <xdr:twoCellAnchor editAs="oneCell">
    <xdr:from>
      <xdr:col>1</xdr:col>
      <xdr:colOff>0</xdr:colOff>
      <xdr:row>59</xdr:row>
      <xdr:rowOff>9525</xdr:rowOff>
    </xdr:from>
    <xdr:to>
      <xdr:col>1</xdr:col>
      <xdr:colOff>552448</xdr:colOff>
      <xdr:row>59</xdr:row>
      <xdr:rowOff>619125</xdr:rowOff>
    </xdr:to>
    <xdr:pic>
      <xdr:nvPicPr>
        <xdr:cNvPr id="155" name="Рисунок 154" descr="Телепорт.bmp"/>
        <xdr:cNvPicPr>
          <a:picLocks noChangeAspect="1"/>
        </xdr:cNvPicPr>
      </xdr:nvPicPr>
      <xdr:blipFill>
        <a:blip xmlns:r="http://schemas.openxmlformats.org/officeDocument/2006/relationships" r:embed="rId22" cstate="print"/>
        <a:stretch>
          <a:fillRect/>
        </a:stretch>
      </xdr:blipFill>
      <xdr:spPr>
        <a:xfrm>
          <a:off x="247650" y="28946475"/>
          <a:ext cx="552448" cy="609600"/>
        </a:xfrm>
        <a:prstGeom prst="rect">
          <a:avLst/>
        </a:prstGeom>
      </xdr:spPr>
    </xdr:pic>
    <xdr:clientData/>
  </xdr:twoCellAnchor>
  <xdr:twoCellAnchor editAs="oneCell">
    <xdr:from>
      <xdr:col>1</xdr:col>
      <xdr:colOff>0</xdr:colOff>
      <xdr:row>47</xdr:row>
      <xdr:rowOff>9525</xdr:rowOff>
    </xdr:from>
    <xdr:to>
      <xdr:col>1</xdr:col>
      <xdr:colOff>552448</xdr:colOff>
      <xdr:row>47</xdr:row>
      <xdr:rowOff>619125</xdr:rowOff>
    </xdr:to>
    <xdr:pic>
      <xdr:nvPicPr>
        <xdr:cNvPr id="156" name="Рисунок 155" descr="Снятие.bmp"/>
        <xdr:cNvPicPr>
          <a:picLocks noChangeAspect="1"/>
        </xdr:cNvPicPr>
      </xdr:nvPicPr>
      <xdr:blipFill>
        <a:blip xmlns:r="http://schemas.openxmlformats.org/officeDocument/2006/relationships" r:embed="rId23" cstate="print"/>
        <a:stretch>
          <a:fillRect/>
        </a:stretch>
      </xdr:blipFill>
      <xdr:spPr>
        <a:xfrm>
          <a:off x="247650" y="20688300"/>
          <a:ext cx="552448" cy="609600"/>
        </a:xfrm>
        <a:prstGeom prst="rect">
          <a:avLst/>
        </a:prstGeom>
      </xdr:spPr>
    </xdr:pic>
    <xdr:clientData/>
  </xdr:twoCellAnchor>
  <xdr:twoCellAnchor editAs="oneCell">
    <xdr:from>
      <xdr:col>1</xdr:col>
      <xdr:colOff>0</xdr:colOff>
      <xdr:row>55</xdr:row>
      <xdr:rowOff>9525</xdr:rowOff>
    </xdr:from>
    <xdr:to>
      <xdr:col>1</xdr:col>
      <xdr:colOff>552448</xdr:colOff>
      <xdr:row>56</xdr:row>
      <xdr:rowOff>9525</xdr:rowOff>
    </xdr:to>
    <xdr:pic>
      <xdr:nvPicPr>
        <xdr:cNvPr id="157" name="Рисунок 156" descr="Слабость.bmp"/>
        <xdr:cNvPicPr>
          <a:picLocks noChangeAspect="1"/>
        </xdr:cNvPicPr>
      </xdr:nvPicPr>
      <xdr:blipFill>
        <a:blip xmlns:r="http://schemas.openxmlformats.org/officeDocument/2006/relationships" r:embed="rId24" cstate="print"/>
        <a:stretch>
          <a:fillRect/>
        </a:stretch>
      </xdr:blipFill>
      <xdr:spPr>
        <a:xfrm>
          <a:off x="247650" y="26298525"/>
          <a:ext cx="552448" cy="609600"/>
        </a:xfrm>
        <a:prstGeom prst="rect">
          <a:avLst/>
        </a:prstGeom>
      </xdr:spPr>
    </xdr:pic>
    <xdr:clientData/>
  </xdr:twoCellAnchor>
  <xdr:twoCellAnchor editAs="oneCell">
    <xdr:from>
      <xdr:col>1</xdr:col>
      <xdr:colOff>0</xdr:colOff>
      <xdr:row>58</xdr:row>
      <xdr:rowOff>9525</xdr:rowOff>
    </xdr:from>
    <xdr:to>
      <xdr:col>1</xdr:col>
      <xdr:colOff>552448</xdr:colOff>
      <xdr:row>59</xdr:row>
      <xdr:rowOff>9525</xdr:rowOff>
    </xdr:to>
    <xdr:pic>
      <xdr:nvPicPr>
        <xdr:cNvPr id="158" name="Рисунок 157" descr="Радость.bmp"/>
        <xdr:cNvPicPr>
          <a:picLocks noChangeAspect="1"/>
        </xdr:cNvPicPr>
      </xdr:nvPicPr>
      <xdr:blipFill>
        <a:blip xmlns:r="http://schemas.openxmlformats.org/officeDocument/2006/relationships" r:embed="rId25" cstate="print"/>
        <a:stretch>
          <a:fillRect/>
        </a:stretch>
      </xdr:blipFill>
      <xdr:spPr>
        <a:xfrm>
          <a:off x="247650" y="28336875"/>
          <a:ext cx="552448" cy="609600"/>
        </a:xfrm>
        <a:prstGeom prst="rect">
          <a:avLst/>
        </a:prstGeom>
      </xdr:spPr>
    </xdr:pic>
    <xdr:clientData/>
  </xdr:twoCellAnchor>
  <xdr:twoCellAnchor editAs="oneCell">
    <xdr:from>
      <xdr:col>1</xdr:col>
      <xdr:colOff>0</xdr:colOff>
      <xdr:row>62</xdr:row>
      <xdr:rowOff>9525</xdr:rowOff>
    </xdr:from>
    <xdr:to>
      <xdr:col>1</xdr:col>
      <xdr:colOff>552448</xdr:colOff>
      <xdr:row>63</xdr:row>
      <xdr:rowOff>0</xdr:rowOff>
    </xdr:to>
    <xdr:pic>
      <xdr:nvPicPr>
        <xdr:cNvPr id="159" name="Рисунок 158" descr="Молитва.bmp"/>
        <xdr:cNvPicPr>
          <a:picLocks noChangeAspect="1"/>
        </xdr:cNvPicPr>
      </xdr:nvPicPr>
      <xdr:blipFill>
        <a:blip xmlns:r="http://schemas.openxmlformats.org/officeDocument/2006/relationships" r:embed="rId26" cstate="print"/>
        <a:stretch>
          <a:fillRect/>
        </a:stretch>
      </xdr:blipFill>
      <xdr:spPr>
        <a:xfrm>
          <a:off x="247650" y="31080075"/>
          <a:ext cx="552448" cy="609600"/>
        </a:xfrm>
        <a:prstGeom prst="rect">
          <a:avLst/>
        </a:prstGeom>
      </xdr:spPr>
    </xdr:pic>
    <xdr:clientData/>
  </xdr:twoCellAnchor>
  <xdr:twoCellAnchor editAs="oneCell">
    <xdr:from>
      <xdr:col>1</xdr:col>
      <xdr:colOff>0</xdr:colOff>
      <xdr:row>46</xdr:row>
      <xdr:rowOff>9525</xdr:rowOff>
    </xdr:from>
    <xdr:to>
      <xdr:col>1</xdr:col>
      <xdr:colOff>552448</xdr:colOff>
      <xdr:row>46</xdr:row>
      <xdr:rowOff>619125</xdr:rowOff>
    </xdr:to>
    <xdr:pic>
      <xdr:nvPicPr>
        <xdr:cNvPr id="160" name="Рисунок 159" descr="Лечение.bmp"/>
        <xdr:cNvPicPr>
          <a:picLocks noChangeAspect="1"/>
        </xdr:cNvPicPr>
      </xdr:nvPicPr>
      <xdr:blipFill>
        <a:blip xmlns:r="http://schemas.openxmlformats.org/officeDocument/2006/relationships" r:embed="rId27" cstate="print"/>
        <a:stretch>
          <a:fillRect/>
        </a:stretch>
      </xdr:blipFill>
      <xdr:spPr>
        <a:xfrm>
          <a:off x="247650" y="19869150"/>
          <a:ext cx="552448" cy="609600"/>
        </a:xfrm>
        <a:prstGeom prst="rect">
          <a:avLst/>
        </a:prstGeom>
      </xdr:spPr>
    </xdr:pic>
    <xdr:clientData/>
  </xdr:twoCellAnchor>
  <xdr:twoCellAnchor editAs="oneCell">
    <xdr:from>
      <xdr:col>1</xdr:col>
      <xdr:colOff>0</xdr:colOff>
      <xdr:row>52</xdr:row>
      <xdr:rowOff>19050</xdr:rowOff>
    </xdr:from>
    <xdr:to>
      <xdr:col>1</xdr:col>
      <xdr:colOff>552448</xdr:colOff>
      <xdr:row>53</xdr:row>
      <xdr:rowOff>19050</xdr:rowOff>
    </xdr:to>
    <xdr:pic>
      <xdr:nvPicPr>
        <xdr:cNvPr id="161" name="Рисунок 160" descr="Лед стрела.bmp"/>
        <xdr:cNvPicPr>
          <a:picLocks noChangeAspect="1"/>
        </xdr:cNvPicPr>
      </xdr:nvPicPr>
      <xdr:blipFill>
        <a:blip xmlns:r="http://schemas.openxmlformats.org/officeDocument/2006/relationships" r:embed="rId28" cstate="print"/>
        <a:stretch>
          <a:fillRect/>
        </a:stretch>
      </xdr:blipFill>
      <xdr:spPr>
        <a:xfrm>
          <a:off x="247650" y="23774400"/>
          <a:ext cx="552448" cy="609600"/>
        </a:xfrm>
        <a:prstGeom prst="rect">
          <a:avLst/>
        </a:prstGeom>
      </xdr:spPr>
    </xdr:pic>
    <xdr:clientData/>
  </xdr:twoCellAnchor>
  <xdr:twoCellAnchor editAs="oneCell">
    <xdr:from>
      <xdr:col>1</xdr:col>
      <xdr:colOff>0</xdr:colOff>
      <xdr:row>57</xdr:row>
      <xdr:rowOff>9525</xdr:rowOff>
    </xdr:from>
    <xdr:to>
      <xdr:col>1</xdr:col>
      <xdr:colOff>552448</xdr:colOff>
      <xdr:row>58</xdr:row>
      <xdr:rowOff>9525</xdr:rowOff>
    </xdr:to>
    <xdr:pic>
      <xdr:nvPicPr>
        <xdr:cNvPr id="162" name="Рисунок 161" descr="Колльцо.bmp"/>
        <xdr:cNvPicPr>
          <a:picLocks noChangeAspect="1"/>
        </xdr:cNvPicPr>
      </xdr:nvPicPr>
      <xdr:blipFill>
        <a:blip xmlns:r="http://schemas.openxmlformats.org/officeDocument/2006/relationships" r:embed="rId29" cstate="print"/>
        <a:stretch>
          <a:fillRect/>
        </a:stretch>
      </xdr:blipFill>
      <xdr:spPr>
        <a:xfrm>
          <a:off x="247650" y="27727275"/>
          <a:ext cx="552448" cy="609600"/>
        </a:xfrm>
        <a:prstGeom prst="rect">
          <a:avLst/>
        </a:prstGeom>
      </xdr:spPr>
    </xdr:pic>
    <xdr:clientData/>
  </xdr:twoCellAnchor>
  <xdr:twoCellAnchor editAs="oneCell">
    <xdr:from>
      <xdr:col>1</xdr:col>
      <xdr:colOff>0</xdr:colOff>
      <xdr:row>61</xdr:row>
      <xdr:rowOff>19050</xdr:rowOff>
    </xdr:from>
    <xdr:to>
      <xdr:col>1</xdr:col>
      <xdr:colOff>552448</xdr:colOff>
      <xdr:row>61</xdr:row>
      <xdr:rowOff>628650</xdr:rowOff>
    </xdr:to>
    <xdr:pic>
      <xdr:nvPicPr>
        <xdr:cNvPr id="163" name="Рисунок 162" descr="Клон.bmp"/>
        <xdr:cNvPicPr>
          <a:picLocks noChangeAspect="1"/>
        </xdr:cNvPicPr>
      </xdr:nvPicPr>
      <xdr:blipFill>
        <a:blip xmlns:r="http://schemas.openxmlformats.org/officeDocument/2006/relationships" r:embed="rId30" cstate="print"/>
        <a:stretch>
          <a:fillRect/>
        </a:stretch>
      </xdr:blipFill>
      <xdr:spPr>
        <a:xfrm>
          <a:off x="247650" y="30270450"/>
          <a:ext cx="552448" cy="609600"/>
        </a:xfrm>
        <a:prstGeom prst="rect">
          <a:avLst/>
        </a:prstGeom>
      </xdr:spPr>
    </xdr:pic>
    <xdr:clientData/>
  </xdr:twoCellAnchor>
  <xdr:twoCellAnchor editAs="oneCell">
    <xdr:from>
      <xdr:col>1</xdr:col>
      <xdr:colOff>0</xdr:colOff>
      <xdr:row>48</xdr:row>
      <xdr:rowOff>9525</xdr:rowOff>
    </xdr:from>
    <xdr:to>
      <xdr:col>1</xdr:col>
      <xdr:colOff>552448</xdr:colOff>
      <xdr:row>49</xdr:row>
      <xdr:rowOff>123825</xdr:rowOff>
    </xdr:to>
    <xdr:pic>
      <xdr:nvPicPr>
        <xdr:cNvPr id="164" name="Рисунок 163" descr="Защ от воды.bmp"/>
        <xdr:cNvPicPr>
          <a:picLocks noChangeAspect="1"/>
        </xdr:cNvPicPr>
      </xdr:nvPicPr>
      <xdr:blipFill>
        <a:blip xmlns:r="http://schemas.openxmlformats.org/officeDocument/2006/relationships" r:embed="rId31" cstate="print"/>
        <a:stretch>
          <a:fillRect/>
        </a:stretch>
      </xdr:blipFill>
      <xdr:spPr>
        <a:xfrm>
          <a:off x="247650" y="21840825"/>
          <a:ext cx="552448" cy="609600"/>
        </a:xfrm>
        <a:prstGeom prst="rect">
          <a:avLst/>
        </a:prstGeom>
      </xdr:spPr>
    </xdr:pic>
    <xdr:clientData/>
  </xdr:twoCellAnchor>
  <xdr:twoCellAnchor editAs="oneCell">
    <xdr:from>
      <xdr:col>1</xdr:col>
      <xdr:colOff>0</xdr:colOff>
      <xdr:row>54</xdr:row>
      <xdr:rowOff>9525</xdr:rowOff>
    </xdr:from>
    <xdr:to>
      <xdr:col>1</xdr:col>
      <xdr:colOff>552448</xdr:colOff>
      <xdr:row>55</xdr:row>
      <xdr:rowOff>9525</xdr:rowOff>
    </xdr:to>
    <xdr:pic>
      <xdr:nvPicPr>
        <xdr:cNvPr id="165" name="Рисунок 164" descr="Затопить.bmp"/>
        <xdr:cNvPicPr>
          <a:picLocks noChangeAspect="1"/>
        </xdr:cNvPicPr>
      </xdr:nvPicPr>
      <xdr:blipFill>
        <a:blip xmlns:r="http://schemas.openxmlformats.org/officeDocument/2006/relationships" r:embed="rId32" cstate="print"/>
        <a:stretch>
          <a:fillRect/>
        </a:stretch>
      </xdr:blipFill>
      <xdr:spPr>
        <a:xfrm>
          <a:off x="247650" y="25688925"/>
          <a:ext cx="552448" cy="609600"/>
        </a:xfrm>
        <a:prstGeom prst="rect">
          <a:avLst/>
        </a:prstGeom>
      </xdr:spPr>
    </xdr:pic>
    <xdr:clientData/>
  </xdr:twoCellAnchor>
  <xdr:twoCellAnchor editAs="oneCell">
    <xdr:from>
      <xdr:col>1</xdr:col>
      <xdr:colOff>0</xdr:colOff>
      <xdr:row>56</xdr:row>
      <xdr:rowOff>9525</xdr:rowOff>
    </xdr:from>
    <xdr:to>
      <xdr:col>1</xdr:col>
      <xdr:colOff>552448</xdr:colOff>
      <xdr:row>56</xdr:row>
      <xdr:rowOff>619125</xdr:rowOff>
    </xdr:to>
    <xdr:pic>
      <xdr:nvPicPr>
        <xdr:cNvPr id="166" name="Рисунок 165" descr="Забывч.bmp"/>
        <xdr:cNvPicPr>
          <a:picLocks noChangeAspect="1"/>
        </xdr:cNvPicPr>
      </xdr:nvPicPr>
      <xdr:blipFill>
        <a:blip xmlns:r="http://schemas.openxmlformats.org/officeDocument/2006/relationships" r:embed="rId33" cstate="print"/>
        <a:stretch>
          <a:fillRect/>
        </a:stretch>
      </xdr:blipFill>
      <xdr:spPr>
        <a:xfrm>
          <a:off x="247650" y="26908125"/>
          <a:ext cx="552448" cy="609600"/>
        </a:xfrm>
        <a:prstGeom prst="rect">
          <a:avLst/>
        </a:prstGeom>
      </xdr:spPr>
    </xdr:pic>
    <xdr:clientData/>
  </xdr:twoCellAnchor>
  <xdr:twoCellAnchor editAs="oneCell">
    <xdr:from>
      <xdr:col>1</xdr:col>
      <xdr:colOff>0</xdr:colOff>
      <xdr:row>50</xdr:row>
      <xdr:rowOff>9525</xdr:rowOff>
    </xdr:from>
    <xdr:to>
      <xdr:col>1</xdr:col>
      <xdr:colOff>552448</xdr:colOff>
      <xdr:row>51</xdr:row>
      <xdr:rowOff>9525</xdr:rowOff>
    </xdr:to>
    <xdr:pic>
      <xdr:nvPicPr>
        <xdr:cNvPr id="167" name="Рисунок 166" descr="Вызвать.bmp"/>
        <xdr:cNvPicPr>
          <a:picLocks noChangeAspect="1"/>
        </xdr:cNvPicPr>
      </xdr:nvPicPr>
      <xdr:blipFill>
        <a:blip xmlns:r="http://schemas.openxmlformats.org/officeDocument/2006/relationships" r:embed="rId34" cstate="print"/>
        <a:stretch>
          <a:fillRect/>
        </a:stretch>
      </xdr:blipFill>
      <xdr:spPr>
        <a:xfrm>
          <a:off x="247650" y="22831425"/>
          <a:ext cx="552448" cy="609600"/>
        </a:xfrm>
        <a:prstGeom prst="rect">
          <a:avLst/>
        </a:prstGeom>
      </xdr:spPr>
    </xdr:pic>
    <xdr:clientData/>
  </xdr:twoCellAnchor>
  <xdr:twoCellAnchor editAs="oneCell">
    <xdr:from>
      <xdr:col>1</xdr:col>
      <xdr:colOff>0</xdr:colOff>
      <xdr:row>45</xdr:row>
      <xdr:rowOff>9525</xdr:rowOff>
    </xdr:from>
    <xdr:to>
      <xdr:col>1</xdr:col>
      <xdr:colOff>552448</xdr:colOff>
      <xdr:row>46</xdr:row>
      <xdr:rowOff>9525</xdr:rowOff>
    </xdr:to>
    <xdr:pic>
      <xdr:nvPicPr>
        <xdr:cNvPr id="168" name="Рисунок 167" descr="Благо.bmp"/>
        <xdr:cNvPicPr>
          <a:picLocks noChangeAspect="1"/>
        </xdr:cNvPicPr>
      </xdr:nvPicPr>
      <xdr:blipFill>
        <a:blip xmlns:r="http://schemas.openxmlformats.org/officeDocument/2006/relationships" r:embed="rId35" cstate="print"/>
        <a:stretch>
          <a:fillRect/>
        </a:stretch>
      </xdr:blipFill>
      <xdr:spPr>
        <a:xfrm>
          <a:off x="247650" y="19259550"/>
          <a:ext cx="552448" cy="609600"/>
        </a:xfrm>
        <a:prstGeom prst="rect">
          <a:avLst/>
        </a:prstGeom>
      </xdr:spPr>
    </xdr:pic>
    <xdr:clientData/>
  </xdr:twoCellAnchor>
  <xdr:twoCellAnchor editAs="oneCell">
    <xdr:from>
      <xdr:col>1</xdr:col>
      <xdr:colOff>0</xdr:colOff>
      <xdr:row>92</xdr:row>
      <xdr:rowOff>9525</xdr:rowOff>
    </xdr:from>
    <xdr:to>
      <xdr:col>1</xdr:col>
      <xdr:colOff>552448</xdr:colOff>
      <xdr:row>93</xdr:row>
      <xdr:rowOff>19050</xdr:rowOff>
    </xdr:to>
    <xdr:pic>
      <xdr:nvPicPr>
        <xdr:cNvPr id="186" name="Рисунок 185" descr="Элем земли.bmp"/>
        <xdr:cNvPicPr>
          <a:picLocks noChangeAspect="1"/>
        </xdr:cNvPicPr>
      </xdr:nvPicPr>
      <xdr:blipFill>
        <a:blip xmlns:r="http://schemas.openxmlformats.org/officeDocument/2006/relationships" r:embed="rId36" cstate="print"/>
        <a:stretch>
          <a:fillRect/>
        </a:stretch>
      </xdr:blipFill>
      <xdr:spPr>
        <a:xfrm>
          <a:off x="247650" y="46310550"/>
          <a:ext cx="552448" cy="609600"/>
        </a:xfrm>
        <a:prstGeom prst="rect">
          <a:avLst/>
        </a:prstGeom>
      </xdr:spPr>
    </xdr:pic>
    <xdr:clientData/>
  </xdr:twoCellAnchor>
  <xdr:twoCellAnchor editAs="oneCell">
    <xdr:from>
      <xdr:col>1</xdr:col>
      <xdr:colOff>0</xdr:colOff>
      <xdr:row>71</xdr:row>
      <xdr:rowOff>9525</xdr:rowOff>
    </xdr:from>
    <xdr:to>
      <xdr:col>1</xdr:col>
      <xdr:colOff>552448</xdr:colOff>
      <xdr:row>72</xdr:row>
      <xdr:rowOff>9525</xdr:rowOff>
    </xdr:to>
    <xdr:pic>
      <xdr:nvPicPr>
        <xdr:cNvPr id="187" name="Рисунок 186" descr="Щит.bmp"/>
        <xdr:cNvPicPr>
          <a:picLocks noChangeAspect="1"/>
        </xdr:cNvPicPr>
      </xdr:nvPicPr>
      <xdr:blipFill>
        <a:blip xmlns:r="http://schemas.openxmlformats.org/officeDocument/2006/relationships" r:embed="rId37" cstate="print"/>
        <a:stretch>
          <a:fillRect/>
        </a:stretch>
      </xdr:blipFill>
      <xdr:spPr>
        <a:xfrm>
          <a:off x="247650" y="33842325"/>
          <a:ext cx="552448" cy="609600"/>
        </a:xfrm>
        <a:prstGeom prst="rect">
          <a:avLst/>
        </a:prstGeom>
      </xdr:spPr>
    </xdr:pic>
    <xdr:clientData/>
  </xdr:twoCellAnchor>
  <xdr:twoCellAnchor editAs="oneCell">
    <xdr:from>
      <xdr:col>1</xdr:col>
      <xdr:colOff>0</xdr:colOff>
      <xdr:row>83</xdr:row>
      <xdr:rowOff>9525</xdr:rowOff>
    </xdr:from>
    <xdr:to>
      <xdr:col>1</xdr:col>
      <xdr:colOff>552448</xdr:colOff>
      <xdr:row>84</xdr:row>
      <xdr:rowOff>123825</xdr:rowOff>
    </xdr:to>
    <xdr:pic>
      <xdr:nvPicPr>
        <xdr:cNvPr id="188" name="Рисунок 187" descr="Силовое.bmp"/>
        <xdr:cNvPicPr>
          <a:picLocks noChangeAspect="1"/>
        </xdr:cNvPicPr>
      </xdr:nvPicPr>
      <xdr:blipFill>
        <a:blip xmlns:r="http://schemas.openxmlformats.org/officeDocument/2006/relationships" r:embed="rId38" cstate="print"/>
        <a:stretch>
          <a:fillRect/>
        </a:stretch>
      </xdr:blipFill>
      <xdr:spPr>
        <a:xfrm>
          <a:off x="247650" y="41395650"/>
          <a:ext cx="552448" cy="609600"/>
        </a:xfrm>
        <a:prstGeom prst="rect">
          <a:avLst/>
        </a:prstGeom>
      </xdr:spPr>
    </xdr:pic>
    <xdr:clientData/>
  </xdr:twoCellAnchor>
  <xdr:twoCellAnchor editAs="oneCell">
    <xdr:from>
      <xdr:col>1</xdr:col>
      <xdr:colOff>0</xdr:colOff>
      <xdr:row>73</xdr:row>
      <xdr:rowOff>600075</xdr:rowOff>
    </xdr:from>
    <xdr:to>
      <xdr:col>1</xdr:col>
      <xdr:colOff>552448</xdr:colOff>
      <xdr:row>74</xdr:row>
      <xdr:rowOff>600075</xdr:rowOff>
    </xdr:to>
    <xdr:pic>
      <xdr:nvPicPr>
        <xdr:cNvPr id="189" name="Рисунок 188" descr="Просмотр з.bmp"/>
        <xdr:cNvPicPr>
          <a:picLocks noChangeAspect="1"/>
        </xdr:cNvPicPr>
      </xdr:nvPicPr>
      <xdr:blipFill>
        <a:blip xmlns:r="http://schemas.openxmlformats.org/officeDocument/2006/relationships" r:embed="rId39" cstate="print"/>
        <a:stretch>
          <a:fillRect/>
        </a:stretch>
      </xdr:blipFill>
      <xdr:spPr>
        <a:xfrm>
          <a:off x="247650" y="35652075"/>
          <a:ext cx="552448" cy="609600"/>
        </a:xfrm>
        <a:prstGeom prst="rect">
          <a:avLst/>
        </a:prstGeom>
      </xdr:spPr>
    </xdr:pic>
    <xdr:clientData/>
  </xdr:twoCellAnchor>
  <xdr:twoCellAnchor editAs="oneCell">
    <xdr:from>
      <xdr:col>1</xdr:col>
      <xdr:colOff>0</xdr:colOff>
      <xdr:row>80</xdr:row>
      <xdr:rowOff>9525</xdr:rowOff>
    </xdr:from>
    <xdr:to>
      <xdr:col>1</xdr:col>
      <xdr:colOff>552448</xdr:colOff>
      <xdr:row>80</xdr:row>
      <xdr:rowOff>619125</xdr:rowOff>
    </xdr:to>
    <xdr:pic>
      <xdr:nvPicPr>
        <xdr:cNvPr id="191" name="Рисунок 190" descr="Оживление.bmp"/>
        <xdr:cNvPicPr>
          <a:picLocks noChangeAspect="1"/>
        </xdr:cNvPicPr>
      </xdr:nvPicPr>
      <xdr:blipFill>
        <a:blip xmlns:r="http://schemas.openxmlformats.org/officeDocument/2006/relationships" r:embed="rId40" cstate="print"/>
        <a:stretch>
          <a:fillRect/>
        </a:stretch>
      </xdr:blipFill>
      <xdr:spPr>
        <a:xfrm>
          <a:off x="247650" y="39519225"/>
          <a:ext cx="552448" cy="609600"/>
        </a:xfrm>
        <a:prstGeom prst="rect">
          <a:avLst/>
        </a:prstGeom>
      </xdr:spPr>
    </xdr:pic>
    <xdr:clientData/>
  </xdr:twoCellAnchor>
  <xdr:twoCellAnchor editAs="oneCell">
    <xdr:from>
      <xdr:col>1</xdr:col>
      <xdr:colOff>0</xdr:colOff>
      <xdr:row>85</xdr:row>
      <xdr:rowOff>19050</xdr:rowOff>
    </xdr:from>
    <xdr:to>
      <xdr:col>1</xdr:col>
      <xdr:colOff>552448</xdr:colOff>
      <xdr:row>86</xdr:row>
      <xdr:rowOff>19050</xdr:rowOff>
    </xdr:to>
    <xdr:pic>
      <xdr:nvPicPr>
        <xdr:cNvPr id="192" name="Рисунок 191" descr="Метеоритка.bmp"/>
        <xdr:cNvPicPr>
          <a:picLocks noChangeAspect="1"/>
        </xdr:cNvPicPr>
      </xdr:nvPicPr>
      <xdr:blipFill>
        <a:blip xmlns:r="http://schemas.openxmlformats.org/officeDocument/2006/relationships" r:embed="rId41" cstate="print"/>
        <a:stretch>
          <a:fillRect/>
        </a:stretch>
      </xdr:blipFill>
      <xdr:spPr>
        <a:xfrm>
          <a:off x="247650" y="42395775"/>
          <a:ext cx="552448" cy="609600"/>
        </a:xfrm>
        <a:prstGeom prst="rect">
          <a:avLst/>
        </a:prstGeom>
      </xdr:spPr>
    </xdr:pic>
    <xdr:clientData/>
  </xdr:twoCellAnchor>
  <xdr:twoCellAnchor editAs="oneCell">
    <xdr:from>
      <xdr:col>1</xdr:col>
      <xdr:colOff>0</xdr:colOff>
      <xdr:row>72</xdr:row>
      <xdr:rowOff>9525</xdr:rowOff>
    </xdr:from>
    <xdr:to>
      <xdr:col>1</xdr:col>
      <xdr:colOff>552448</xdr:colOff>
      <xdr:row>73</xdr:row>
      <xdr:rowOff>9525</xdr:rowOff>
    </xdr:to>
    <xdr:pic>
      <xdr:nvPicPr>
        <xdr:cNvPr id="193" name="Рисунок 192" descr="Медлитель.bmp"/>
        <xdr:cNvPicPr>
          <a:picLocks noChangeAspect="1"/>
        </xdr:cNvPicPr>
      </xdr:nvPicPr>
      <xdr:blipFill>
        <a:blip xmlns:r="http://schemas.openxmlformats.org/officeDocument/2006/relationships" r:embed="rId42" cstate="print"/>
        <a:stretch>
          <a:fillRect/>
        </a:stretch>
      </xdr:blipFill>
      <xdr:spPr>
        <a:xfrm>
          <a:off x="247650" y="34451925"/>
          <a:ext cx="552448" cy="609600"/>
        </a:xfrm>
        <a:prstGeom prst="rect">
          <a:avLst/>
        </a:prstGeom>
      </xdr:spPr>
    </xdr:pic>
    <xdr:clientData/>
  </xdr:twoCellAnchor>
  <xdr:twoCellAnchor editAs="oneCell">
    <xdr:from>
      <xdr:col>1</xdr:col>
      <xdr:colOff>0</xdr:colOff>
      <xdr:row>73</xdr:row>
      <xdr:rowOff>0</xdr:rowOff>
    </xdr:from>
    <xdr:to>
      <xdr:col>1</xdr:col>
      <xdr:colOff>552448</xdr:colOff>
      <xdr:row>74</xdr:row>
      <xdr:rowOff>0</xdr:rowOff>
    </xdr:to>
    <xdr:pic>
      <xdr:nvPicPr>
        <xdr:cNvPr id="194" name="Рисунок 193" descr="Каменная.bmp"/>
        <xdr:cNvPicPr>
          <a:picLocks noChangeAspect="1"/>
        </xdr:cNvPicPr>
      </xdr:nvPicPr>
      <xdr:blipFill>
        <a:blip xmlns:r="http://schemas.openxmlformats.org/officeDocument/2006/relationships" r:embed="rId43" cstate="print"/>
        <a:stretch>
          <a:fillRect/>
        </a:stretch>
      </xdr:blipFill>
      <xdr:spPr>
        <a:xfrm>
          <a:off x="247650" y="35052000"/>
          <a:ext cx="552448" cy="609600"/>
        </a:xfrm>
        <a:prstGeom prst="rect">
          <a:avLst/>
        </a:prstGeom>
      </xdr:spPr>
    </xdr:pic>
    <xdr:clientData/>
  </xdr:twoCellAnchor>
  <xdr:twoCellAnchor editAs="oneCell">
    <xdr:from>
      <xdr:col>1</xdr:col>
      <xdr:colOff>0</xdr:colOff>
      <xdr:row>76</xdr:row>
      <xdr:rowOff>9525</xdr:rowOff>
    </xdr:from>
    <xdr:to>
      <xdr:col>1</xdr:col>
      <xdr:colOff>552448</xdr:colOff>
      <xdr:row>76</xdr:row>
      <xdr:rowOff>619125</xdr:rowOff>
    </xdr:to>
    <xdr:pic>
      <xdr:nvPicPr>
        <xdr:cNvPr id="195" name="Рисунок 194" descr="Зыбучие.bmp"/>
        <xdr:cNvPicPr>
          <a:picLocks noChangeAspect="1"/>
        </xdr:cNvPicPr>
      </xdr:nvPicPr>
      <xdr:blipFill>
        <a:blip xmlns:r="http://schemas.openxmlformats.org/officeDocument/2006/relationships" r:embed="rId44" cstate="print"/>
        <a:stretch>
          <a:fillRect/>
        </a:stretch>
      </xdr:blipFill>
      <xdr:spPr>
        <a:xfrm>
          <a:off x="247650" y="36890325"/>
          <a:ext cx="552448" cy="609600"/>
        </a:xfrm>
        <a:prstGeom prst="rect">
          <a:avLst/>
        </a:prstGeom>
      </xdr:spPr>
    </xdr:pic>
    <xdr:clientData/>
  </xdr:twoCellAnchor>
  <xdr:twoCellAnchor editAs="oneCell">
    <xdr:from>
      <xdr:col>1</xdr:col>
      <xdr:colOff>0</xdr:colOff>
      <xdr:row>82</xdr:row>
      <xdr:rowOff>9525</xdr:rowOff>
    </xdr:from>
    <xdr:to>
      <xdr:col>1</xdr:col>
      <xdr:colOff>552448</xdr:colOff>
      <xdr:row>83</xdr:row>
      <xdr:rowOff>9525</xdr:rowOff>
    </xdr:to>
    <xdr:pic>
      <xdr:nvPicPr>
        <xdr:cNvPr id="196" name="Рисунок 195" descr="Землетряс.bmp"/>
        <xdr:cNvPicPr>
          <a:picLocks noChangeAspect="1"/>
        </xdr:cNvPicPr>
      </xdr:nvPicPr>
      <xdr:blipFill>
        <a:blip xmlns:r="http://schemas.openxmlformats.org/officeDocument/2006/relationships" r:embed="rId45" cstate="print"/>
        <a:stretch>
          <a:fillRect/>
        </a:stretch>
      </xdr:blipFill>
      <xdr:spPr>
        <a:xfrm>
          <a:off x="247650" y="40786050"/>
          <a:ext cx="552448" cy="609600"/>
        </a:xfrm>
        <a:prstGeom prst="rect">
          <a:avLst/>
        </a:prstGeom>
      </xdr:spPr>
    </xdr:pic>
    <xdr:clientData/>
  </xdr:twoCellAnchor>
  <xdr:twoCellAnchor editAs="oneCell">
    <xdr:from>
      <xdr:col>1</xdr:col>
      <xdr:colOff>0</xdr:colOff>
      <xdr:row>78</xdr:row>
      <xdr:rowOff>9525</xdr:rowOff>
    </xdr:from>
    <xdr:to>
      <xdr:col>1</xdr:col>
      <xdr:colOff>552448</xdr:colOff>
      <xdr:row>79</xdr:row>
      <xdr:rowOff>123825</xdr:rowOff>
    </xdr:to>
    <xdr:pic>
      <xdr:nvPicPr>
        <xdr:cNvPr id="197" name="Рисунок 196" descr="Защ от земли.bmp"/>
        <xdr:cNvPicPr>
          <a:picLocks noChangeAspect="1"/>
        </xdr:cNvPicPr>
      </xdr:nvPicPr>
      <xdr:blipFill>
        <a:blip xmlns:r="http://schemas.openxmlformats.org/officeDocument/2006/relationships" r:embed="rId46" cstate="print"/>
        <a:stretch>
          <a:fillRect/>
        </a:stretch>
      </xdr:blipFill>
      <xdr:spPr>
        <a:xfrm>
          <a:off x="247650" y="38528625"/>
          <a:ext cx="552448" cy="609600"/>
        </a:xfrm>
        <a:prstGeom prst="rect">
          <a:avLst/>
        </a:prstGeom>
      </xdr:spPr>
    </xdr:pic>
    <xdr:clientData/>
  </xdr:twoCellAnchor>
  <xdr:twoCellAnchor editAs="oneCell">
    <xdr:from>
      <xdr:col>1</xdr:col>
      <xdr:colOff>0</xdr:colOff>
      <xdr:row>90</xdr:row>
      <xdr:rowOff>9525</xdr:rowOff>
    </xdr:from>
    <xdr:to>
      <xdr:col>1</xdr:col>
      <xdr:colOff>552448</xdr:colOff>
      <xdr:row>91</xdr:row>
      <xdr:rowOff>9525</xdr:rowOff>
    </xdr:to>
    <xdr:pic>
      <xdr:nvPicPr>
        <xdr:cNvPr id="198" name="Рисунок 197" descr="Гор портал.bmp"/>
        <xdr:cNvPicPr>
          <a:picLocks noChangeAspect="1"/>
        </xdr:cNvPicPr>
      </xdr:nvPicPr>
      <xdr:blipFill>
        <a:blip xmlns:r="http://schemas.openxmlformats.org/officeDocument/2006/relationships" r:embed="rId47" cstate="print"/>
        <a:stretch>
          <a:fillRect/>
        </a:stretch>
      </xdr:blipFill>
      <xdr:spPr>
        <a:xfrm>
          <a:off x="247650" y="45091350"/>
          <a:ext cx="552448" cy="609600"/>
        </a:xfrm>
        <a:prstGeom prst="rect">
          <a:avLst/>
        </a:prstGeom>
      </xdr:spPr>
    </xdr:pic>
    <xdr:clientData/>
  </xdr:twoCellAnchor>
  <xdr:twoCellAnchor editAs="oneCell">
    <xdr:from>
      <xdr:col>1</xdr:col>
      <xdr:colOff>0</xdr:colOff>
      <xdr:row>86</xdr:row>
      <xdr:rowOff>9525</xdr:rowOff>
    </xdr:from>
    <xdr:to>
      <xdr:col>1</xdr:col>
      <xdr:colOff>552448</xdr:colOff>
      <xdr:row>86</xdr:row>
      <xdr:rowOff>619125</xdr:rowOff>
    </xdr:to>
    <xdr:pic>
      <xdr:nvPicPr>
        <xdr:cNvPr id="199" name="Рисунок 198" descr="Воскрешение.bmp"/>
        <xdr:cNvPicPr>
          <a:picLocks noChangeAspect="1"/>
        </xdr:cNvPicPr>
      </xdr:nvPicPr>
      <xdr:blipFill>
        <a:blip xmlns:r="http://schemas.openxmlformats.org/officeDocument/2006/relationships" r:embed="rId48" cstate="print"/>
        <a:stretch>
          <a:fillRect/>
        </a:stretch>
      </xdr:blipFill>
      <xdr:spPr>
        <a:xfrm>
          <a:off x="247650" y="42995850"/>
          <a:ext cx="552448" cy="609600"/>
        </a:xfrm>
        <a:prstGeom prst="rect">
          <a:avLst/>
        </a:prstGeom>
      </xdr:spPr>
    </xdr:pic>
    <xdr:clientData/>
  </xdr:twoCellAnchor>
  <xdr:twoCellAnchor editAs="oneCell">
    <xdr:from>
      <xdr:col>1</xdr:col>
      <xdr:colOff>0</xdr:colOff>
      <xdr:row>75</xdr:row>
      <xdr:rowOff>19050</xdr:rowOff>
    </xdr:from>
    <xdr:to>
      <xdr:col>1</xdr:col>
      <xdr:colOff>552448</xdr:colOff>
      <xdr:row>76</xdr:row>
      <xdr:rowOff>19050</xdr:rowOff>
    </xdr:to>
    <xdr:pic>
      <xdr:nvPicPr>
        <xdr:cNvPr id="200" name="Рисунок 199" descr="Волна.bmp"/>
        <xdr:cNvPicPr>
          <a:picLocks noChangeAspect="1"/>
        </xdr:cNvPicPr>
      </xdr:nvPicPr>
      <xdr:blipFill>
        <a:blip xmlns:r="http://schemas.openxmlformats.org/officeDocument/2006/relationships" r:embed="rId49" cstate="print"/>
        <a:stretch>
          <a:fillRect/>
        </a:stretch>
      </xdr:blipFill>
      <xdr:spPr>
        <a:xfrm>
          <a:off x="247650" y="36290250"/>
          <a:ext cx="552448" cy="609600"/>
        </a:xfrm>
        <a:prstGeom prst="rect">
          <a:avLst/>
        </a:prstGeom>
      </xdr:spPr>
    </xdr:pic>
    <xdr:clientData/>
  </xdr:twoCellAnchor>
  <xdr:twoCellAnchor editAs="oneCell">
    <xdr:from>
      <xdr:col>1</xdr:col>
      <xdr:colOff>0</xdr:colOff>
      <xdr:row>91</xdr:row>
      <xdr:rowOff>9525</xdr:rowOff>
    </xdr:from>
    <xdr:to>
      <xdr:col>1</xdr:col>
      <xdr:colOff>552448</xdr:colOff>
      <xdr:row>92</xdr:row>
      <xdr:rowOff>9525</xdr:rowOff>
    </xdr:to>
    <xdr:pic>
      <xdr:nvPicPr>
        <xdr:cNvPr id="201" name="Рисунок 200" descr="Взрыв.bmp"/>
        <xdr:cNvPicPr>
          <a:picLocks noChangeAspect="1"/>
        </xdr:cNvPicPr>
      </xdr:nvPicPr>
      <xdr:blipFill>
        <a:blip xmlns:r="http://schemas.openxmlformats.org/officeDocument/2006/relationships" r:embed="rId50" cstate="print"/>
        <a:stretch>
          <a:fillRect/>
        </a:stretch>
      </xdr:blipFill>
      <xdr:spPr>
        <a:xfrm>
          <a:off x="247650" y="45700950"/>
          <a:ext cx="552448" cy="609600"/>
        </a:xfrm>
        <a:prstGeom prst="rect">
          <a:avLst/>
        </a:prstGeom>
      </xdr:spPr>
    </xdr:pic>
    <xdr:clientData/>
  </xdr:twoCellAnchor>
  <xdr:twoCellAnchor editAs="oneCell">
    <xdr:from>
      <xdr:col>1</xdr:col>
      <xdr:colOff>0</xdr:colOff>
      <xdr:row>81</xdr:row>
      <xdr:rowOff>9525</xdr:rowOff>
    </xdr:from>
    <xdr:to>
      <xdr:col>1</xdr:col>
      <xdr:colOff>552448</xdr:colOff>
      <xdr:row>81</xdr:row>
      <xdr:rowOff>619125</xdr:rowOff>
    </xdr:to>
    <xdr:pic>
      <xdr:nvPicPr>
        <xdr:cNvPr id="202" name="Рисунок 201" descr="Антимаг.bmp"/>
        <xdr:cNvPicPr>
          <a:picLocks noChangeAspect="1"/>
        </xdr:cNvPicPr>
      </xdr:nvPicPr>
      <xdr:blipFill>
        <a:blip xmlns:r="http://schemas.openxmlformats.org/officeDocument/2006/relationships" r:embed="rId51" cstate="print"/>
        <a:stretch>
          <a:fillRect/>
        </a:stretch>
      </xdr:blipFill>
      <xdr:spPr>
        <a:xfrm>
          <a:off x="247650" y="40176450"/>
          <a:ext cx="552448" cy="609600"/>
        </a:xfrm>
        <a:prstGeom prst="rect">
          <a:avLst/>
        </a:prstGeom>
      </xdr:spPr>
    </xdr:pic>
    <xdr:clientData/>
  </xdr:twoCellAnchor>
  <xdr:twoCellAnchor editAs="oneCell">
    <xdr:from>
      <xdr:col>1</xdr:col>
      <xdr:colOff>0</xdr:colOff>
      <xdr:row>118</xdr:row>
      <xdr:rowOff>9525</xdr:rowOff>
    </xdr:from>
    <xdr:to>
      <xdr:col>1</xdr:col>
      <xdr:colOff>552448</xdr:colOff>
      <xdr:row>119</xdr:row>
      <xdr:rowOff>0</xdr:rowOff>
    </xdr:to>
    <xdr:pic>
      <xdr:nvPicPr>
        <xdr:cNvPr id="221" name="Рисунок 220" descr="Элем воздуха.bmp"/>
        <xdr:cNvPicPr>
          <a:picLocks noChangeAspect="1"/>
        </xdr:cNvPicPr>
      </xdr:nvPicPr>
      <xdr:blipFill>
        <a:blip xmlns:r="http://schemas.openxmlformats.org/officeDocument/2006/relationships" r:embed="rId52" cstate="print"/>
        <a:stretch>
          <a:fillRect/>
        </a:stretch>
      </xdr:blipFill>
      <xdr:spPr>
        <a:xfrm>
          <a:off x="247650" y="60331350"/>
          <a:ext cx="552448" cy="609600"/>
        </a:xfrm>
        <a:prstGeom prst="rect">
          <a:avLst/>
        </a:prstGeom>
      </xdr:spPr>
    </xdr:pic>
    <xdr:clientData/>
  </xdr:twoCellAnchor>
  <xdr:twoCellAnchor editAs="oneCell">
    <xdr:from>
      <xdr:col>1</xdr:col>
      <xdr:colOff>0</xdr:colOff>
      <xdr:row>113</xdr:row>
      <xdr:rowOff>9525</xdr:rowOff>
    </xdr:from>
    <xdr:to>
      <xdr:col>1</xdr:col>
      <xdr:colOff>552448</xdr:colOff>
      <xdr:row>113</xdr:row>
      <xdr:rowOff>619125</xdr:rowOff>
    </xdr:to>
    <xdr:pic>
      <xdr:nvPicPr>
        <xdr:cNvPr id="222" name="Рисунок 221" descr="Цепная.bmp"/>
        <xdr:cNvPicPr>
          <a:picLocks noChangeAspect="1"/>
        </xdr:cNvPicPr>
      </xdr:nvPicPr>
      <xdr:blipFill>
        <a:blip xmlns:r="http://schemas.openxmlformats.org/officeDocument/2006/relationships" r:embed="rId53" cstate="print"/>
        <a:stretch>
          <a:fillRect/>
        </a:stretch>
      </xdr:blipFill>
      <xdr:spPr>
        <a:xfrm>
          <a:off x="247650" y="56597550"/>
          <a:ext cx="552448" cy="609600"/>
        </a:xfrm>
        <a:prstGeom prst="rect">
          <a:avLst/>
        </a:prstGeom>
      </xdr:spPr>
    </xdr:pic>
    <xdr:clientData/>
  </xdr:twoCellAnchor>
  <xdr:twoCellAnchor editAs="oneCell">
    <xdr:from>
      <xdr:col>1</xdr:col>
      <xdr:colOff>0</xdr:colOff>
      <xdr:row>98</xdr:row>
      <xdr:rowOff>323850</xdr:rowOff>
    </xdr:from>
    <xdr:to>
      <xdr:col>1</xdr:col>
      <xdr:colOff>552448</xdr:colOff>
      <xdr:row>99</xdr:row>
      <xdr:rowOff>600075</xdr:rowOff>
    </xdr:to>
    <xdr:pic>
      <xdr:nvPicPr>
        <xdr:cNvPr id="223" name="Рисунок 222" descr="Ускорение.bmp"/>
        <xdr:cNvPicPr>
          <a:picLocks noChangeAspect="1"/>
        </xdr:cNvPicPr>
      </xdr:nvPicPr>
      <xdr:blipFill>
        <a:blip xmlns:r="http://schemas.openxmlformats.org/officeDocument/2006/relationships" r:embed="rId54" cstate="print"/>
        <a:stretch>
          <a:fillRect/>
        </a:stretch>
      </xdr:blipFill>
      <xdr:spPr>
        <a:xfrm>
          <a:off x="247650" y="47825025"/>
          <a:ext cx="552448" cy="609600"/>
        </a:xfrm>
        <a:prstGeom prst="rect">
          <a:avLst/>
        </a:prstGeom>
      </xdr:spPr>
    </xdr:pic>
    <xdr:clientData/>
  </xdr:twoCellAnchor>
  <xdr:twoCellAnchor editAs="oneCell">
    <xdr:from>
      <xdr:col>1</xdr:col>
      <xdr:colOff>0</xdr:colOff>
      <xdr:row>110</xdr:row>
      <xdr:rowOff>19050</xdr:rowOff>
    </xdr:from>
    <xdr:to>
      <xdr:col>1</xdr:col>
      <xdr:colOff>552448</xdr:colOff>
      <xdr:row>111</xdr:row>
      <xdr:rowOff>19050</xdr:rowOff>
    </xdr:to>
    <xdr:pic>
      <xdr:nvPicPr>
        <xdr:cNvPr id="224" name="Рисунок 223" descr="Уничтожить.bmp"/>
        <xdr:cNvPicPr>
          <a:picLocks noChangeAspect="1"/>
        </xdr:cNvPicPr>
      </xdr:nvPicPr>
      <xdr:blipFill>
        <a:blip xmlns:r="http://schemas.openxmlformats.org/officeDocument/2006/relationships" r:embed="rId55" cstate="print"/>
        <a:stretch>
          <a:fillRect/>
        </a:stretch>
      </xdr:blipFill>
      <xdr:spPr>
        <a:xfrm>
          <a:off x="247650" y="54844950"/>
          <a:ext cx="552448" cy="609600"/>
        </a:xfrm>
        <a:prstGeom prst="rect">
          <a:avLst/>
        </a:prstGeom>
      </xdr:spPr>
    </xdr:pic>
    <xdr:clientData/>
  </xdr:twoCellAnchor>
  <xdr:twoCellAnchor editAs="oneCell">
    <xdr:from>
      <xdr:col>1</xdr:col>
      <xdr:colOff>0</xdr:colOff>
      <xdr:row>103</xdr:row>
      <xdr:rowOff>9525</xdr:rowOff>
    </xdr:from>
    <xdr:to>
      <xdr:col>1</xdr:col>
      <xdr:colOff>552448</xdr:colOff>
      <xdr:row>104</xdr:row>
      <xdr:rowOff>9525</xdr:rowOff>
    </xdr:to>
    <xdr:pic>
      <xdr:nvPicPr>
        <xdr:cNvPr id="225" name="Рисунок 224" descr="Удача.bmp"/>
        <xdr:cNvPicPr>
          <a:picLocks noChangeAspect="1"/>
        </xdr:cNvPicPr>
      </xdr:nvPicPr>
      <xdr:blipFill>
        <a:blip xmlns:r="http://schemas.openxmlformats.org/officeDocument/2006/relationships" r:embed="rId56" cstate="print"/>
        <a:stretch>
          <a:fillRect/>
        </a:stretch>
      </xdr:blipFill>
      <xdr:spPr>
        <a:xfrm>
          <a:off x="247650" y="50701575"/>
          <a:ext cx="552448" cy="609600"/>
        </a:xfrm>
        <a:prstGeom prst="rect">
          <a:avLst/>
        </a:prstGeom>
      </xdr:spPr>
    </xdr:pic>
    <xdr:clientData/>
  </xdr:twoCellAnchor>
  <xdr:twoCellAnchor editAs="oneCell">
    <xdr:from>
      <xdr:col>1</xdr:col>
      <xdr:colOff>0</xdr:colOff>
      <xdr:row>104</xdr:row>
      <xdr:rowOff>9525</xdr:rowOff>
    </xdr:from>
    <xdr:to>
      <xdr:col>1</xdr:col>
      <xdr:colOff>552448</xdr:colOff>
      <xdr:row>105</xdr:row>
      <xdr:rowOff>9525</xdr:rowOff>
    </xdr:to>
    <xdr:pic>
      <xdr:nvPicPr>
        <xdr:cNvPr id="226" name="Рисунок 225" descr="Удар.bmp"/>
        <xdr:cNvPicPr>
          <a:picLocks noChangeAspect="1"/>
        </xdr:cNvPicPr>
      </xdr:nvPicPr>
      <xdr:blipFill>
        <a:blip xmlns:r="http://schemas.openxmlformats.org/officeDocument/2006/relationships" r:embed="rId57" cstate="print"/>
        <a:stretch>
          <a:fillRect/>
        </a:stretch>
      </xdr:blipFill>
      <xdr:spPr>
        <a:xfrm>
          <a:off x="247650" y="51311175"/>
          <a:ext cx="552448" cy="609600"/>
        </a:xfrm>
        <a:prstGeom prst="rect">
          <a:avLst/>
        </a:prstGeom>
      </xdr:spPr>
    </xdr:pic>
    <xdr:clientData/>
  </xdr:twoCellAnchor>
  <xdr:twoCellAnchor editAs="oneCell">
    <xdr:from>
      <xdr:col>1</xdr:col>
      <xdr:colOff>0</xdr:colOff>
      <xdr:row>105</xdr:row>
      <xdr:rowOff>9525</xdr:rowOff>
    </xdr:from>
    <xdr:to>
      <xdr:col>1</xdr:col>
      <xdr:colOff>552448</xdr:colOff>
      <xdr:row>106</xdr:row>
      <xdr:rowOff>9525</xdr:rowOff>
    </xdr:to>
    <xdr:pic>
      <xdr:nvPicPr>
        <xdr:cNvPr id="227" name="Рисунок 226" descr="Точность.bmp"/>
        <xdr:cNvPicPr>
          <a:picLocks noChangeAspect="1"/>
        </xdr:cNvPicPr>
      </xdr:nvPicPr>
      <xdr:blipFill>
        <a:blip xmlns:r="http://schemas.openxmlformats.org/officeDocument/2006/relationships" r:embed="rId58" cstate="print"/>
        <a:stretch>
          <a:fillRect/>
        </a:stretch>
      </xdr:blipFill>
      <xdr:spPr>
        <a:xfrm>
          <a:off x="247650" y="51920775"/>
          <a:ext cx="552448" cy="609600"/>
        </a:xfrm>
        <a:prstGeom prst="rect">
          <a:avLst/>
        </a:prstGeom>
      </xdr:spPr>
    </xdr:pic>
    <xdr:clientData/>
  </xdr:twoCellAnchor>
  <xdr:twoCellAnchor editAs="oneCell">
    <xdr:from>
      <xdr:col>1</xdr:col>
      <xdr:colOff>0</xdr:colOff>
      <xdr:row>102</xdr:row>
      <xdr:rowOff>9525</xdr:rowOff>
    </xdr:from>
    <xdr:to>
      <xdr:col>1</xdr:col>
      <xdr:colOff>552448</xdr:colOff>
      <xdr:row>102</xdr:row>
      <xdr:rowOff>619125</xdr:rowOff>
    </xdr:to>
    <xdr:pic>
      <xdr:nvPicPr>
        <xdr:cNvPr id="228" name="Рисунок 227" descr="Разрушающий.bmp"/>
        <xdr:cNvPicPr>
          <a:picLocks noChangeAspect="1"/>
        </xdr:cNvPicPr>
      </xdr:nvPicPr>
      <xdr:blipFill>
        <a:blip xmlns:r="http://schemas.openxmlformats.org/officeDocument/2006/relationships" r:embed="rId59" cstate="print"/>
        <a:stretch>
          <a:fillRect/>
        </a:stretch>
      </xdr:blipFill>
      <xdr:spPr>
        <a:xfrm>
          <a:off x="247650" y="49882425"/>
          <a:ext cx="552448" cy="609600"/>
        </a:xfrm>
        <a:prstGeom prst="rect">
          <a:avLst/>
        </a:prstGeom>
      </xdr:spPr>
    </xdr:pic>
    <xdr:clientData/>
  </xdr:twoCellAnchor>
  <xdr:twoCellAnchor editAs="oneCell">
    <xdr:from>
      <xdr:col>1</xdr:col>
      <xdr:colOff>0</xdr:colOff>
      <xdr:row>100</xdr:row>
      <xdr:rowOff>19050</xdr:rowOff>
    </xdr:from>
    <xdr:to>
      <xdr:col>1</xdr:col>
      <xdr:colOff>552448</xdr:colOff>
      <xdr:row>101</xdr:row>
      <xdr:rowOff>19050</xdr:rowOff>
    </xdr:to>
    <xdr:pic>
      <xdr:nvPicPr>
        <xdr:cNvPr id="229" name="Рисунок 228" descr="Просмотр в.bmp"/>
        <xdr:cNvPicPr>
          <a:picLocks noChangeAspect="1"/>
        </xdr:cNvPicPr>
      </xdr:nvPicPr>
      <xdr:blipFill>
        <a:blip xmlns:r="http://schemas.openxmlformats.org/officeDocument/2006/relationships" r:embed="rId60" cstate="print"/>
        <a:stretch>
          <a:fillRect/>
        </a:stretch>
      </xdr:blipFill>
      <xdr:spPr>
        <a:xfrm>
          <a:off x="247650" y="48463200"/>
          <a:ext cx="552448" cy="609600"/>
        </a:xfrm>
        <a:prstGeom prst="rect">
          <a:avLst/>
        </a:prstGeom>
      </xdr:spPr>
    </xdr:pic>
    <xdr:clientData/>
  </xdr:twoCellAnchor>
  <xdr:twoCellAnchor editAs="oneCell">
    <xdr:from>
      <xdr:col>1</xdr:col>
      <xdr:colOff>0</xdr:colOff>
      <xdr:row>117</xdr:row>
      <xdr:rowOff>9525</xdr:rowOff>
    </xdr:from>
    <xdr:to>
      <xdr:col>1</xdr:col>
      <xdr:colOff>552448</xdr:colOff>
      <xdr:row>117</xdr:row>
      <xdr:rowOff>619125</xdr:rowOff>
    </xdr:to>
    <xdr:pic>
      <xdr:nvPicPr>
        <xdr:cNvPr id="230" name="Рисунок 229" descr="Полёт.bmp"/>
        <xdr:cNvPicPr>
          <a:picLocks noChangeAspect="1"/>
        </xdr:cNvPicPr>
      </xdr:nvPicPr>
      <xdr:blipFill>
        <a:blip xmlns:r="http://schemas.openxmlformats.org/officeDocument/2006/relationships" r:embed="rId61" cstate="print"/>
        <a:stretch>
          <a:fillRect/>
        </a:stretch>
      </xdr:blipFill>
      <xdr:spPr>
        <a:xfrm>
          <a:off x="247650" y="59512200"/>
          <a:ext cx="552448" cy="609600"/>
        </a:xfrm>
        <a:prstGeom prst="rect">
          <a:avLst/>
        </a:prstGeom>
      </xdr:spPr>
    </xdr:pic>
    <xdr:clientData/>
  </xdr:twoCellAnchor>
  <xdr:twoCellAnchor editAs="oneCell">
    <xdr:from>
      <xdr:col>1</xdr:col>
      <xdr:colOff>0</xdr:colOff>
      <xdr:row>101</xdr:row>
      <xdr:rowOff>9525</xdr:rowOff>
    </xdr:from>
    <xdr:to>
      <xdr:col>1</xdr:col>
      <xdr:colOff>552448</xdr:colOff>
      <xdr:row>101</xdr:row>
      <xdr:rowOff>619125</xdr:rowOff>
    </xdr:to>
    <xdr:pic>
      <xdr:nvPicPr>
        <xdr:cNvPr id="231" name="Рисунок 230" descr="Маски.bmp"/>
        <xdr:cNvPicPr>
          <a:picLocks noChangeAspect="1"/>
        </xdr:cNvPicPr>
      </xdr:nvPicPr>
      <xdr:blipFill>
        <a:blip xmlns:r="http://schemas.openxmlformats.org/officeDocument/2006/relationships" r:embed="rId62" cstate="print"/>
        <a:stretch>
          <a:fillRect/>
        </a:stretch>
      </xdr:blipFill>
      <xdr:spPr>
        <a:xfrm>
          <a:off x="247650" y="49063275"/>
          <a:ext cx="552448" cy="609600"/>
        </a:xfrm>
        <a:prstGeom prst="rect">
          <a:avLst/>
        </a:prstGeom>
      </xdr:spPr>
    </xdr:pic>
    <xdr:clientData/>
  </xdr:twoCellAnchor>
  <xdr:twoCellAnchor editAs="oneCell">
    <xdr:from>
      <xdr:col>1</xdr:col>
      <xdr:colOff>0</xdr:colOff>
      <xdr:row>114</xdr:row>
      <xdr:rowOff>9525</xdr:rowOff>
    </xdr:from>
    <xdr:to>
      <xdr:col>1</xdr:col>
      <xdr:colOff>552448</xdr:colOff>
      <xdr:row>115</xdr:row>
      <xdr:rowOff>9525</xdr:rowOff>
    </xdr:to>
    <xdr:pic>
      <xdr:nvPicPr>
        <xdr:cNvPr id="232" name="Рисунок 231" descr="Контр.bmp"/>
        <xdr:cNvPicPr>
          <a:picLocks noChangeAspect="1"/>
        </xdr:cNvPicPr>
      </xdr:nvPicPr>
      <xdr:blipFill>
        <a:blip xmlns:r="http://schemas.openxmlformats.org/officeDocument/2006/relationships" r:embed="rId63" cstate="print"/>
        <a:stretch>
          <a:fillRect/>
        </a:stretch>
      </xdr:blipFill>
      <xdr:spPr>
        <a:xfrm>
          <a:off x="247650" y="57588150"/>
          <a:ext cx="552448" cy="609600"/>
        </a:xfrm>
        <a:prstGeom prst="rect">
          <a:avLst/>
        </a:prstGeom>
      </xdr:spPr>
    </xdr:pic>
    <xdr:clientData/>
  </xdr:twoCellAnchor>
  <xdr:twoCellAnchor editAs="oneCell">
    <xdr:from>
      <xdr:col>1</xdr:col>
      <xdr:colOff>0</xdr:colOff>
      <xdr:row>106</xdr:row>
      <xdr:rowOff>9525</xdr:rowOff>
    </xdr:from>
    <xdr:to>
      <xdr:col>1</xdr:col>
      <xdr:colOff>552448</xdr:colOff>
      <xdr:row>107</xdr:row>
      <xdr:rowOff>123825</xdr:rowOff>
    </xdr:to>
    <xdr:pic>
      <xdr:nvPicPr>
        <xdr:cNvPr id="233" name="Рисунок 232" descr="Защ от воздуха.bmp"/>
        <xdr:cNvPicPr>
          <a:picLocks noChangeAspect="1"/>
        </xdr:cNvPicPr>
      </xdr:nvPicPr>
      <xdr:blipFill>
        <a:blip xmlns:r="http://schemas.openxmlformats.org/officeDocument/2006/relationships" r:embed="rId64" cstate="print"/>
        <a:stretch>
          <a:fillRect/>
        </a:stretch>
      </xdr:blipFill>
      <xdr:spPr>
        <a:xfrm>
          <a:off x="247650" y="52530375"/>
          <a:ext cx="552448" cy="609600"/>
        </a:xfrm>
        <a:prstGeom prst="rect">
          <a:avLst/>
        </a:prstGeom>
      </xdr:spPr>
    </xdr:pic>
    <xdr:clientData/>
  </xdr:twoCellAnchor>
  <xdr:twoCellAnchor editAs="oneCell">
    <xdr:from>
      <xdr:col>1</xdr:col>
      <xdr:colOff>0</xdr:colOff>
      <xdr:row>115</xdr:row>
      <xdr:rowOff>9525</xdr:rowOff>
    </xdr:from>
    <xdr:to>
      <xdr:col>1</xdr:col>
      <xdr:colOff>552448</xdr:colOff>
      <xdr:row>115</xdr:row>
      <xdr:rowOff>619125</xdr:rowOff>
    </xdr:to>
    <xdr:pic>
      <xdr:nvPicPr>
        <xdr:cNvPr id="234" name="Рисунок 233" descr="Дверь.bmp"/>
        <xdr:cNvPicPr>
          <a:picLocks noChangeAspect="1"/>
        </xdr:cNvPicPr>
      </xdr:nvPicPr>
      <xdr:blipFill>
        <a:blip xmlns:r="http://schemas.openxmlformats.org/officeDocument/2006/relationships" r:embed="rId65" cstate="print"/>
        <a:stretch>
          <a:fillRect/>
        </a:stretch>
      </xdr:blipFill>
      <xdr:spPr>
        <a:xfrm>
          <a:off x="247650" y="58197750"/>
          <a:ext cx="552448" cy="609600"/>
        </a:xfrm>
        <a:prstGeom prst="rect">
          <a:avLst/>
        </a:prstGeom>
      </xdr:spPr>
    </xdr:pic>
    <xdr:clientData/>
  </xdr:twoCellAnchor>
  <xdr:twoCellAnchor editAs="oneCell">
    <xdr:from>
      <xdr:col>0</xdr:col>
      <xdr:colOff>7320</xdr:colOff>
      <xdr:row>121</xdr:row>
      <xdr:rowOff>816947</xdr:rowOff>
    </xdr:from>
    <xdr:to>
      <xdr:col>2</xdr:col>
      <xdr:colOff>240328</xdr:colOff>
      <xdr:row>123</xdr:row>
      <xdr:rowOff>192703</xdr:rowOff>
    </xdr:to>
    <xdr:pic>
      <xdr:nvPicPr>
        <xdr:cNvPr id="235" name="Рисунок 234" descr="Гром.bmp"/>
        <xdr:cNvPicPr>
          <a:picLocks noChangeAspect="1"/>
        </xdr:cNvPicPr>
      </xdr:nvPicPr>
      <xdr:blipFill>
        <a:blip xmlns:r="http://schemas.openxmlformats.org/officeDocument/2006/relationships" r:embed="rId66" cstate="print"/>
        <a:srcRect l="-43503" t="-30049" r="-43503" b="-30049"/>
        <a:stretch>
          <a:fillRect/>
        </a:stretch>
      </xdr:blipFill>
      <xdr:spPr>
        <a:xfrm>
          <a:off x="7320" y="64053422"/>
          <a:ext cx="1033108" cy="975956"/>
        </a:xfrm>
        <a:prstGeom prst="rect">
          <a:avLst/>
        </a:prstGeom>
      </xdr:spPr>
    </xdr:pic>
    <xdr:clientData/>
  </xdr:twoCellAnchor>
  <xdr:twoCellAnchor editAs="oneCell">
    <xdr:from>
      <xdr:col>1</xdr:col>
      <xdr:colOff>0</xdr:colOff>
      <xdr:row>111</xdr:row>
      <xdr:rowOff>9525</xdr:rowOff>
    </xdr:from>
    <xdr:to>
      <xdr:col>1</xdr:col>
      <xdr:colOff>552448</xdr:colOff>
      <xdr:row>112</xdr:row>
      <xdr:rowOff>123825</xdr:rowOff>
    </xdr:to>
    <xdr:pic>
      <xdr:nvPicPr>
        <xdr:cNvPr id="236" name="Рисунок 235" descr="Гипноз.bmp"/>
        <xdr:cNvPicPr>
          <a:picLocks noChangeAspect="1"/>
        </xdr:cNvPicPr>
      </xdr:nvPicPr>
      <xdr:blipFill>
        <a:blip xmlns:r="http://schemas.openxmlformats.org/officeDocument/2006/relationships" r:embed="rId67" cstate="print"/>
        <a:stretch>
          <a:fillRect/>
        </a:stretch>
      </xdr:blipFill>
      <xdr:spPr>
        <a:xfrm>
          <a:off x="247650" y="55445025"/>
          <a:ext cx="552448" cy="609600"/>
        </a:xfrm>
        <a:prstGeom prst="rect">
          <a:avLst/>
        </a:prstGeom>
      </xdr:spPr>
    </xdr:pic>
    <xdr:clientData/>
  </xdr:twoCellAnchor>
  <xdr:twoCellAnchor editAs="oneCell">
    <xdr:from>
      <xdr:col>1</xdr:col>
      <xdr:colOff>0</xdr:colOff>
      <xdr:row>120</xdr:row>
      <xdr:rowOff>19050</xdr:rowOff>
    </xdr:from>
    <xdr:to>
      <xdr:col>1</xdr:col>
      <xdr:colOff>552448</xdr:colOff>
      <xdr:row>120</xdr:row>
      <xdr:rowOff>628650</xdr:rowOff>
    </xdr:to>
    <xdr:pic>
      <xdr:nvPicPr>
        <xdr:cNvPr id="237" name="Рисунок 236" descr="Волшебное.bmp"/>
        <xdr:cNvPicPr>
          <a:picLocks noChangeAspect="1"/>
        </xdr:cNvPicPr>
      </xdr:nvPicPr>
      <xdr:blipFill>
        <a:blip xmlns:r="http://schemas.openxmlformats.org/officeDocument/2006/relationships" r:embed="rId68" cstate="print"/>
        <a:stretch>
          <a:fillRect/>
        </a:stretch>
      </xdr:blipFill>
      <xdr:spPr>
        <a:xfrm>
          <a:off x="247650" y="61121925"/>
          <a:ext cx="552448" cy="609600"/>
        </a:xfrm>
        <a:prstGeom prst="rect">
          <a:avLst/>
        </a:prstGeom>
      </xdr:spPr>
    </xdr:pic>
    <xdr:clientData/>
  </xdr:twoCellAnchor>
  <xdr:twoCellAnchor editAs="oneCell">
    <xdr:from>
      <xdr:col>1</xdr:col>
      <xdr:colOff>0</xdr:colOff>
      <xdr:row>108</xdr:row>
      <xdr:rowOff>9525</xdr:rowOff>
    </xdr:from>
    <xdr:to>
      <xdr:col>1</xdr:col>
      <xdr:colOff>552448</xdr:colOff>
      <xdr:row>108</xdr:row>
      <xdr:rowOff>619125</xdr:rowOff>
    </xdr:to>
    <xdr:pic>
      <xdr:nvPicPr>
        <xdr:cNvPr id="238" name="Рисунок 237" descr="Возд щит.bmp"/>
        <xdr:cNvPicPr>
          <a:picLocks noChangeAspect="1"/>
        </xdr:cNvPicPr>
      </xdr:nvPicPr>
      <xdr:blipFill>
        <a:blip xmlns:r="http://schemas.openxmlformats.org/officeDocument/2006/relationships" r:embed="rId69" cstate="print"/>
        <a:stretch>
          <a:fillRect/>
        </a:stretch>
      </xdr:blipFill>
      <xdr:spPr>
        <a:xfrm>
          <a:off x="247650" y="53520975"/>
          <a:ext cx="552448" cy="609600"/>
        </a:xfrm>
        <a:prstGeom prst="rect">
          <a:avLst/>
        </a:prstGeom>
      </xdr:spPr>
    </xdr:pic>
    <xdr:clientData/>
  </xdr:twoCellAnchor>
  <xdr:twoCellAnchor editAs="oneCell">
    <xdr:from>
      <xdr:col>1</xdr:col>
      <xdr:colOff>0</xdr:colOff>
      <xdr:row>87</xdr:row>
      <xdr:rowOff>0</xdr:rowOff>
    </xdr:from>
    <xdr:to>
      <xdr:col>1</xdr:col>
      <xdr:colOff>552448</xdr:colOff>
      <xdr:row>88</xdr:row>
      <xdr:rowOff>0</xdr:rowOff>
    </xdr:to>
    <xdr:pic>
      <xdr:nvPicPr>
        <xdr:cNvPr id="74" name="Рисунок 73" descr="Печаль.bmp"/>
        <xdr:cNvPicPr>
          <a:picLocks noChangeAspect="1"/>
        </xdr:cNvPicPr>
      </xdr:nvPicPr>
      <xdr:blipFill>
        <a:blip xmlns:r="http://schemas.openxmlformats.org/officeDocument/2006/relationships" r:embed="rId70" cstate="print"/>
        <a:stretch>
          <a:fillRect/>
        </a:stretch>
      </xdr:blipFill>
      <xdr:spPr>
        <a:xfrm>
          <a:off x="247650" y="45453300"/>
          <a:ext cx="552448" cy="609600"/>
        </a:xfrm>
        <a:prstGeom prst="rect">
          <a:avLst/>
        </a:prstGeom>
      </xdr:spPr>
    </xdr:pic>
    <xdr:clientData/>
  </xdr:twoCellAnchor>
  <xdr:twoCellAnchor editAs="oneCell">
    <xdr:from>
      <xdr:col>1</xdr:col>
      <xdr:colOff>0</xdr:colOff>
      <xdr:row>88</xdr:row>
      <xdr:rowOff>0</xdr:rowOff>
    </xdr:from>
    <xdr:to>
      <xdr:col>1</xdr:col>
      <xdr:colOff>552449</xdr:colOff>
      <xdr:row>89</xdr:row>
      <xdr:rowOff>276225</xdr:rowOff>
    </xdr:to>
    <xdr:pic>
      <xdr:nvPicPr>
        <xdr:cNvPr id="75" name="Picture 2"/>
        <xdr:cNvPicPr>
          <a:picLocks noChangeAspect="1" noChangeArrowheads="1"/>
        </xdr:cNvPicPr>
      </xdr:nvPicPr>
      <xdr:blipFill>
        <a:blip xmlns:r="http://schemas.openxmlformats.org/officeDocument/2006/relationships" r:embed="rId71" cstate="print"/>
        <a:srcRect/>
        <a:stretch>
          <a:fillRect/>
        </a:stretch>
      </xdr:blipFill>
      <xdr:spPr bwMode="auto">
        <a:xfrm>
          <a:off x="247650" y="46062900"/>
          <a:ext cx="552449" cy="600075"/>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35</xdr:row>
      <xdr:rowOff>9525</xdr:rowOff>
    </xdr:from>
    <xdr:to>
      <xdr:col>4</xdr:col>
      <xdr:colOff>1447800</xdr:colOff>
      <xdr:row>62</xdr:row>
      <xdr:rowOff>142875</xdr:rowOff>
    </xdr:to>
    <xdr:pic>
      <xdr:nvPicPr>
        <xdr:cNvPr id="2" name="Рисунок 1" descr="clone1.jpg"/>
        <xdr:cNvPicPr>
          <a:picLocks noChangeAspect="1"/>
        </xdr:cNvPicPr>
      </xdr:nvPicPr>
      <xdr:blipFill>
        <a:blip xmlns:r="http://schemas.openxmlformats.org/officeDocument/2006/relationships" r:embed="rId1" cstate="print"/>
        <a:stretch>
          <a:fillRect/>
        </a:stretch>
      </xdr:blipFill>
      <xdr:spPr>
        <a:xfrm>
          <a:off x="257175" y="8134350"/>
          <a:ext cx="4705350" cy="4505325"/>
        </a:xfrm>
        <a:prstGeom prst="rect">
          <a:avLst/>
        </a:prstGeom>
      </xdr:spPr>
    </xdr:pic>
    <xdr:clientData/>
  </xdr:twoCellAnchor>
  <xdr:twoCellAnchor editAs="oneCell">
    <xdr:from>
      <xdr:col>1</xdr:col>
      <xdr:colOff>9525</xdr:colOff>
      <xdr:row>64</xdr:row>
      <xdr:rowOff>9526</xdr:rowOff>
    </xdr:from>
    <xdr:to>
      <xdr:col>4</xdr:col>
      <xdr:colOff>1447800</xdr:colOff>
      <xdr:row>91</xdr:row>
      <xdr:rowOff>114301</xdr:rowOff>
    </xdr:to>
    <xdr:pic>
      <xdr:nvPicPr>
        <xdr:cNvPr id="3" name="Рисунок 2" descr="clone2.jpg"/>
        <xdr:cNvPicPr>
          <a:picLocks noChangeAspect="1"/>
        </xdr:cNvPicPr>
      </xdr:nvPicPr>
      <xdr:blipFill>
        <a:blip xmlns:r="http://schemas.openxmlformats.org/officeDocument/2006/relationships" r:embed="rId2" cstate="print"/>
        <a:stretch>
          <a:fillRect/>
        </a:stretch>
      </xdr:blipFill>
      <xdr:spPr>
        <a:xfrm>
          <a:off x="257175" y="12830176"/>
          <a:ext cx="4705350" cy="44767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5</xdr:row>
      <xdr:rowOff>19050</xdr:rowOff>
    </xdr:from>
    <xdr:to>
      <xdr:col>7</xdr:col>
      <xdr:colOff>895350</xdr:colOff>
      <xdr:row>6</xdr:row>
      <xdr:rowOff>457200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972050" y="619125"/>
          <a:ext cx="3257550" cy="2743200"/>
        </a:xfrm>
        <a:prstGeom prst="rect">
          <a:avLst/>
        </a:prstGeom>
        <a:noFill/>
        <a:ln w="1">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xdr:col>
      <xdr:colOff>552450</xdr:colOff>
      <xdr:row>10</xdr:row>
      <xdr:rowOff>123825</xdr:rowOff>
    </xdr:to>
    <xdr:pic>
      <xdr:nvPicPr>
        <xdr:cNvPr id="5" name="Picture 13" descr="spell"/>
        <xdr:cNvPicPr>
          <a:picLocks noChangeAspect="1" noChangeArrowheads="1"/>
        </xdr:cNvPicPr>
      </xdr:nvPicPr>
      <xdr:blipFill>
        <a:blip xmlns:r="http://schemas.openxmlformats.org/officeDocument/2006/relationships" r:embed="rId1" cstate="print"/>
        <a:srcRect/>
        <a:stretch>
          <a:fillRect/>
        </a:stretch>
      </xdr:blipFill>
      <xdr:spPr bwMode="auto">
        <a:xfrm>
          <a:off x="247650" y="1400175"/>
          <a:ext cx="552450" cy="60960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95250</xdr:colOff>
      <xdr:row>4</xdr:row>
      <xdr:rowOff>9525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twoCellAnchor editAs="oneCell">
    <xdr:from>
      <xdr:col>1</xdr:col>
      <xdr:colOff>0</xdr:colOff>
      <xdr:row>4</xdr:row>
      <xdr:rowOff>0</xdr:rowOff>
    </xdr:from>
    <xdr:to>
      <xdr:col>1</xdr:col>
      <xdr:colOff>95250</xdr:colOff>
      <xdr:row>4</xdr:row>
      <xdr:rowOff>9525</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twoCellAnchor editAs="oneCell">
    <xdr:from>
      <xdr:col>1</xdr:col>
      <xdr:colOff>0</xdr:colOff>
      <xdr:row>4</xdr:row>
      <xdr:rowOff>0</xdr:rowOff>
    </xdr:from>
    <xdr:to>
      <xdr:col>1</xdr:col>
      <xdr:colOff>95250</xdr:colOff>
      <xdr:row>4</xdr:row>
      <xdr:rowOff>9525</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twoCellAnchor editAs="oneCell">
    <xdr:from>
      <xdr:col>1</xdr:col>
      <xdr:colOff>0</xdr:colOff>
      <xdr:row>4</xdr:row>
      <xdr:rowOff>0</xdr:rowOff>
    </xdr:from>
    <xdr:to>
      <xdr:col>1</xdr:col>
      <xdr:colOff>95250</xdr:colOff>
      <xdr:row>4</xdr:row>
      <xdr:rowOff>9525</xdr:rowOff>
    </xdr:to>
    <xdr:pic>
      <xdr:nvPicPr>
        <xdr:cNvPr id="5"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3</xdr:col>
      <xdr:colOff>95250</xdr:colOff>
      <xdr:row>4</xdr:row>
      <xdr:rowOff>9525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028700" y="762000"/>
          <a:ext cx="95250" cy="9525"/>
        </a:xfrm>
        <a:prstGeom prst="rect">
          <a:avLst/>
        </a:prstGeom>
        <a:noFill/>
        <a:ln w="9525">
          <a:noFill/>
          <a:miter lim="800000"/>
          <a:headEnd/>
          <a:tailEnd/>
        </a:ln>
      </xdr:spPr>
    </xdr:pic>
    <xdr:clientData/>
  </xdr:twoCellAnchor>
  <xdr:twoCellAnchor editAs="oneCell">
    <xdr:from>
      <xdr:col>3</xdr:col>
      <xdr:colOff>0</xdr:colOff>
      <xdr:row>4</xdr:row>
      <xdr:rowOff>0</xdr:rowOff>
    </xdr:from>
    <xdr:to>
      <xdr:col>3</xdr:col>
      <xdr:colOff>95250</xdr:colOff>
      <xdr:row>4</xdr:row>
      <xdr:rowOff>9525</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028700" y="762000"/>
          <a:ext cx="95250" cy="9525"/>
        </a:xfrm>
        <a:prstGeom prst="rect">
          <a:avLst/>
        </a:prstGeom>
        <a:noFill/>
        <a:ln w="9525">
          <a:noFill/>
          <a:miter lim="800000"/>
          <a:headEnd/>
          <a:tailEnd/>
        </a:ln>
      </xdr:spPr>
    </xdr:pic>
    <xdr:clientData/>
  </xdr:twoCellAnchor>
  <xdr:twoCellAnchor editAs="oneCell">
    <xdr:from>
      <xdr:col>3</xdr:col>
      <xdr:colOff>0</xdr:colOff>
      <xdr:row>4</xdr:row>
      <xdr:rowOff>0</xdr:rowOff>
    </xdr:from>
    <xdr:to>
      <xdr:col>3</xdr:col>
      <xdr:colOff>95250</xdr:colOff>
      <xdr:row>4</xdr:row>
      <xdr:rowOff>9525</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028700" y="762000"/>
          <a:ext cx="95250" cy="9525"/>
        </a:xfrm>
        <a:prstGeom prst="rect">
          <a:avLst/>
        </a:prstGeom>
        <a:noFill/>
        <a:ln w="9525">
          <a:noFill/>
          <a:miter lim="800000"/>
          <a:headEnd/>
          <a:tailEnd/>
        </a:ln>
      </xdr:spPr>
    </xdr:pic>
    <xdr:clientData/>
  </xdr:twoCellAnchor>
  <xdr:twoCellAnchor editAs="oneCell">
    <xdr:from>
      <xdr:col>3</xdr:col>
      <xdr:colOff>0</xdr:colOff>
      <xdr:row>4</xdr:row>
      <xdr:rowOff>0</xdr:rowOff>
    </xdr:from>
    <xdr:to>
      <xdr:col>3</xdr:col>
      <xdr:colOff>95250</xdr:colOff>
      <xdr:row>4</xdr:row>
      <xdr:rowOff>9525</xdr:rowOff>
    </xdr:to>
    <xdr:pic>
      <xdr:nvPicPr>
        <xdr:cNvPr id="5"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028700" y="762000"/>
          <a:ext cx="95250" cy="9525"/>
        </a:xfrm>
        <a:prstGeom prst="rect">
          <a:avLst/>
        </a:prstGeom>
        <a:noFill/>
        <a:ln w="9525">
          <a:noFill/>
          <a:miter lim="800000"/>
          <a:headEnd/>
          <a:tailEnd/>
        </a:ln>
      </xdr:spPr>
    </xdr:pic>
    <xdr:clientData/>
  </xdr:twoCellAnchor>
  <xdr:twoCellAnchor editAs="oneCell">
    <xdr:from>
      <xdr:col>3</xdr:col>
      <xdr:colOff>0</xdr:colOff>
      <xdr:row>5</xdr:row>
      <xdr:rowOff>0</xdr:rowOff>
    </xdr:from>
    <xdr:to>
      <xdr:col>3</xdr:col>
      <xdr:colOff>95250</xdr:colOff>
      <xdr:row>5</xdr:row>
      <xdr:rowOff>9525</xdr:rowOff>
    </xdr:to>
    <xdr:pic>
      <xdr:nvPicPr>
        <xdr:cNvPr id="4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028700" y="438150"/>
          <a:ext cx="95250" cy="9525"/>
        </a:xfrm>
        <a:prstGeom prst="rect">
          <a:avLst/>
        </a:prstGeom>
        <a:noFill/>
        <a:ln w="9525">
          <a:noFill/>
          <a:miter lim="800000"/>
          <a:headEnd/>
          <a:tailEnd/>
        </a:ln>
      </xdr:spPr>
    </xdr:pic>
    <xdr:clientData/>
  </xdr:twoCellAnchor>
  <xdr:twoCellAnchor editAs="oneCell">
    <xdr:from>
      <xdr:col>3</xdr:col>
      <xdr:colOff>0</xdr:colOff>
      <xdr:row>5</xdr:row>
      <xdr:rowOff>0</xdr:rowOff>
    </xdr:from>
    <xdr:to>
      <xdr:col>3</xdr:col>
      <xdr:colOff>95250</xdr:colOff>
      <xdr:row>5</xdr:row>
      <xdr:rowOff>9525</xdr:rowOff>
    </xdr:to>
    <xdr:pic>
      <xdr:nvPicPr>
        <xdr:cNvPr id="4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028700" y="438150"/>
          <a:ext cx="95250" cy="9525"/>
        </a:xfrm>
        <a:prstGeom prst="rect">
          <a:avLst/>
        </a:prstGeom>
        <a:noFill/>
        <a:ln w="9525">
          <a:noFill/>
          <a:miter lim="800000"/>
          <a:headEnd/>
          <a:tailEnd/>
        </a:ln>
      </xdr:spPr>
    </xdr:pic>
    <xdr:clientData/>
  </xdr:twoCellAnchor>
  <xdr:twoCellAnchor editAs="oneCell">
    <xdr:from>
      <xdr:col>3</xdr:col>
      <xdr:colOff>0</xdr:colOff>
      <xdr:row>5</xdr:row>
      <xdr:rowOff>0</xdr:rowOff>
    </xdr:from>
    <xdr:to>
      <xdr:col>3</xdr:col>
      <xdr:colOff>95250</xdr:colOff>
      <xdr:row>5</xdr:row>
      <xdr:rowOff>9525</xdr:rowOff>
    </xdr:to>
    <xdr:pic>
      <xdr:nvPicPr>
        <xdr:cNvPr id="49"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028700" y="438150"/>
          <a:ext cx="95250" cy="9525"/>
        </a:xfrm>
        <a:prstGeom prst="rect">
          <a:avLst/>
        </a:prstGeom>
        <a:noFill/>
        <a:ln w="9525">
          <a:noFill/>
          <a:miter lim="800000"/>
          <a:headEnd/>
          <a:tailEnd/>
        </a:ln>
      </xdr:spPr>
    </xdr:pic>
    <xdr:clientData/>
  </xdr:twoCellAnchor>
  <xdr:twoCellAnchor editAs="oneCell">
    <xdr:from>
      <xdr:col>3</xdr:col>
      <xdr:colOff>0</xdr:colOff>
      <xdr:row>5</xdr:row>
      <xdr:rowOff>0</xdr:rowOff>
    </xdr:from>
    <xdr:to>
      <xdr:col>3</xdr:col>
      <xdr:colOff>95250</xdr:colOff>
      <xdr:row>5</xdr:row>
      <xdr:rowOff>9525</xdr:rowOff>
    </xdr:to>
    <xdr:pic>
      <xdr:nvPicPr>
        <xdr:cNvPr id="5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028700" y="438150"/>
          <a:ext cx="95250" cy="9525"/>
        </a:xfrm>
        <a:prstGeom prst="rect">
          <a:avLst/>
        </a:prstGeom>
        <a:noFill/>
        <a:ln w="9525">
          <a:noFill/>
          <a:miter lim="800000"/>
          <a:headEnd/>
          <a:tailEnd/>
        </a:ln>
      </xdr:spPr>
    </xdr:pic>
    <xdr:clientData/>
  </xdr:twoCellAnchor>
  <xdr:twoCellAnchor editAs="oneCell">
    <xdr:from>
      <xdr:col>2</xdr:col>
      <xdr:colOff>19050</xdr:colOff>
      <xdr:row>17</xdr:row>
      <xdr:rowOff>9525</xdr:rowOff>
    </xdr:from>
    <xdr:to>
      <xdr:col>2</xdr:col>
      <xdr:colOff>838200</xdr:colOff>
      <xdr:row>21</xdr:row>
      <xdr:rowOff>180975</xdr:rowOff>
    </xdr:to>
    <xdr:pic>
      <xdr:nvPicPr>
        <xdr:cNvPr id="5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314450" y="3000375"/>
          <a:ext cx="819150" cy="819150"/>
        </a:xfrm>
        <a:prstGeom prst="rect">
          <a:avLst/>
        </a:prstGeom>
        <a:noFill/>
      </xdr:spPr>
    </xdr:pic>
    <xdr:clientData/>
  </xdr:twoCellAnchor>
  <xdr:twoCellAnchor editAs="oneCell">
    <xdr:from>
      <xdr:col>2</xdr:col>
      <xdr:colOff>19050</xdr:colOff>
      <xdr:row>23</xdr:row>
      <xdr:rowOff>9525</xdr:rowOff>
    </xdr:from>
    <xdr:to>
      <xdr:col>2</xdr:col>
      <xdr:colOff>838200</xdr:colOff>
      <xdr:row>27</xdr:row>
      <xdr:rowOff>180975</xdr:rowOff>
    </xdr:to>
    <xdr:pic>
      <xdr:nvPicPr>
        <xdr:cNvPr id="55"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314450" y="4000500"/>
          <a:ext cx="819150" cy="819150"/>
        </a:xfrm>
        <a:prstGeom prst="rect">
          <a:avLst/>
        </a:prstGeom>
        <a:noFill/>
      </xdr:spPr>
    </xdr:pic>
    <xdr:clientData/>
  </xdr:twoCellAnchor>
  <xdr:twoCellAnchor editAs="oneCell">
    <xdr:from>
      <xdr:col>5</xdr:col>
      <xdr:colOff>19050</xdr:colOff>
      <xdr:row>17</xdr:row>
      <xdr:rowOff>9525</xdr:rowOff>
    </xdr:from>
    <xdr:to>
      <xdr:col>5</xdr:col>
      <xdr:colOff>1371600</xdr:colOff>
      <xdr:row>21</xdr:row>
      <xdr:rowOff>180975</xdr:rowOff>
    </xdr:to>
    <xdr:pic>
      <xdr:nvPicPr>
        <xdr:cNvPr id="58"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4724400" y="3000375"/>
          <a:ext cx="1352550" cy="819150"/>
        </a:xfrm>
        <a:prstGeom prst="rect">
          <a:avLst/>
        </a:prstGeom>
        <a:noFill/>
      </xdr:spPr>
    </xdr:pic>
    <xdr:clientData/>
  </xdr:twoCellAnchor>
  <xdr:twoCellAnchor editAs="oneCell">
    <xdr:from>
      <xdr:col>5</xdr:col>
      <xdr:colOff>19050</xdr:colOff>
      <xdr:row>23</xdr:row>
      <xdr:rowOff>9525</xdr:rowOff>
    </xdr:from>
    <xdr:to>
      <xdr:col>5</xdr:col>
      <xdr:colOff>1371600</xdr:colOff>
      <xdr:row>27</xdr:row>
      <xdr:rowOff>180975</xdr:rowOff>
    </xdr:to>
    <xdr:pic>
      <xdr:nvPicPr>
        <xdr:cNvPr id="60"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4724400" y="4000500"/>
          <a:ext cx="1352550" cy="819150"/>
        </a:xfrm>
        <a:prstGeom prst="rect">
          <a:avLst/>
        </a:prstGeom>
        <a:noFill/>
      </xdr:spPr>
    </xdr:pic>
    <xdr:clientData/>
  </xdr:twoCellAnchor>
  <xdr:twoCellAnchor editAs="oneCell">
    <xdr:from>
      <xdr:col>2</xdr:col>
      <xdr:colOff>0</xdr:colOff>
      <xdr:row>41</xdr:row>
      <xdr:rowOff>0</xdr:rowOff>
    </xdr:from>
    <xdr:to>
      <xdr:col>3</xdr:col>
      <xdr:colOff>504825</xdr:colOff>
      <xdr:row>49</xdr:row>
      <xdr:rowOff>0</xdr:rowOff>
    </xdr:to>
    <xdr:pic>
      <xdr:nvPicPr>
        <xdr:cNvPr id="6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295400" y="7315200"/>
          <a:ext cx="1352550" cy="1295400"/>
        </a:xfrm>
        <a:prstGeom prst="rect">
          <a:avLst/>
        </a:prstGeom>
        <a:noFill/>
      </xdr:spPr>
    </xdr:pic>
    <xdr:clientData/>
  </xdr:twoCellAnchor>
  <xdr:twoCellAnchor editAs="oneCell">
    <xdr:from>
      <xdr:col>4</xdr:col>
      <xdr:colOff>0</xdr:colOff>
      <xdr:row>41</xdr:row>
      <xdr:rowOff>0</xdr:rowOff>
    </xdr:from>
    <xdr:to>
      <xdr:col>6</xdr:col>
      <xdr:colOff>190500</xdr:colOff>
      <xdr:row>52</xdr:row>
      <xdr:rowOff>9525</xdr:rowOff>
    </xdr:to>
    <xdr:pic>
      <xdr:nvPicPr>
        <xdr:cNvPr id="16" name="Picture 12"/>
        <xdr:cNvPicPr>
          <a:picLocks noChangeAspect="1" noChangeArrowheads="1"/>
        </xdr:cNvPicPr>
      </xdr:nvPicPr>
      <xdr:blipFill>
        <a:blip xmlns:r="http://schemas.openxmlformats.org/officeDocument/2006/relationships" r:embed="rId7" cstate="print"/>
        <a:srcRect/>
        <a:stretch>
          <a:fillRect/>
        </a:stretch>
      </xdr:blipFill>
      <xdr:spPr bwMode="auto">
        <a:xfrm>
          <a:off x="4391025" y="7429500"/>
          <a:ext cx="1885950" cy="179070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11</xdr:row>
      <xdr:rowOff>0</xdr:rowOff>
    </xdr:from>
    <xdr:to>
      <xdr:col>3</xdr:col>
      <xdr:colOff>0</xdr:colOff>
      <xdr:row>12</xdr:row>
      <xdr:rowOff>0</xdr:rowOff>
    </xdr:to>
    <xdr:pic>
      <xdr:nvPicPr>
        <xdr:cNvPr id="111311" name="Picture 27" descr="1"/>
        <xdr:cNvPicPr>
          <a:picLocks noChangeAspect="1" noChangeArrowheads="1"/>
        </xdr:cNvPicPr>
      </xdr:nvPicPr>
      <xdr:blipFill>
        <a:blip xmlns:r="http://schemas.openxmlformats.org/officeDocument/2006/relationships" r:embed="rId1" r:link="rId2" cstate="print"/>
        <a:srcRect/>
        <a:stretch>
          <a:fillRect/>
        </a:stretch>
      </xdr:blipFill>
      <xdr:spPr bwMode="auto">
        <a:xfrm>
          <a:off x="1181100" y="1476375"/>
          <a:ext cx="514350" cy="504825"/>
        </a:xfrm>
        <a:prstGeom prst="rect">
          <a:avLst/>
        </a:prstGeom>
        <a:noFill/>
        <a:ln w="9525">
          <a:noFill/>
          <a:miter lim="800000"/>
          <a:headEnd/>
          <a:tailEnd/>
        </a:ln>
      </xdr:spPr>
    </xdr:pic>
    <xdr:clientData/>
  </xdr:twoCellAnchor>
  <xdr:twoCellAnchor>
    <xdr:from>
      <xdr:col>2</xdr:col>
      <xdr:colOff>0</xdr:colOff>
      <xdr:row>12</xdr:row>
      <xdr:rowOff>0</xdr:rowOff>
    </xdr:from>
    <xdr:to>
      <xdr:col>3</xdr:col>
      <xdr:colOff>0</xdr:colOff>
      <xdr:row>13</xdr:row>
      <xdr:rowOff>0</xdr:rowOff>
    </xdr:to>
    <xdr:pic>
      <xdr:nvPicPr>
        <xdr:cNvPr id="111312" name="Picture 28" descr="1u"/>
        <xdr:cNvPicPr>
          <a:picLocks noChangeAspect="1" noChangeArrowheads="1"/>
        </xdr:cNvPicPr>
      </xdr:nvPicPr>
      <xdr:blipFill>
        <a:blip xmlns:r="http://schemas.openxmlformats.org/officeDocument/2006/relationships" r:embed="rId3" r:link="rId4" cstate="print"/>
        <a:srcRect/>
        <a:stretch>
          <a:fillRect/>
        </a:stretch>
      </xdr:blipFill>
      <xdr:spPr bwMode="auto">
        <a:xfrm>
          <a:off x="1181100" y="1981200"/>
          <a:ext cx="514350" cy="504825"/>
        </a:xfrm>
        <a:prstGeom prst="rect">
          <a:avLst/>
        </a:prstGeom>
        <a:noFill/>
        <a:ln w="9525">
          <a:noFill/>
          <a:miter lim="800000"/>
          <a:headEnd/>
          <a:tailEnd/>
        </a:ln>
      </xdr:spPr>
    </xdr:pic>
    <xdr:clientData/>
  </xdr:twoCellAnchor>
  <xdr:twoCellAnchor>
    <xdr:from>
      <xdr:col>2</xdr:col>
      <xdr:colOff>0</xdr:colOff>
      <xdr:row>13</xdr:row>
      <xdr:rowOff>0</xdr:rowOff>
    </xdr:from>
    <xdr:to>
      <xdr:col>2</xdr:col>
      <xdr:colOff>533400</xdr:colOff>
      <xdr:row>14</xdr:row>
      <xdr:rowOff>0</xdr:rowOff>
    </xdr:to>
    <xdr:pic>
      <xdr:nvPicPr>
        <xdr:cNvPr id="111313" name="Picture 29" descr="2"/>
        <xdr:cNvPicPr>
          <a:picLocks noChangeAspect="1" noChangeArrowheads="1"/>
        </xdr:cNvPicPr>
      </xdr:nvPicPr>
      <xdr:blipFill>
        <a:blip xmlns:r="http://schemas.openxmlformats.org/officeDocument/2006/relationships" r:embed="rId5" r:link="rId6" cstate="print"/>
        <a:srcRect/>
        <a:stretch>
          <a:fillRect/>
        </a:stretch>
      </xdr:blipFill>
      <xdr:spPr bwMode="auto">
        <a:xfrm>
          <a:off x="1181100" y="2486025"/>
          <a:ext cx="514350" cy="504825"/>
        </a:xfrm>
        <a:prstGeom prst="rect">
          <a:avLst/>
        </a:prstGeom>
        <a:noFill/>
        <a:ln w="9525">
          <a:noFill/>
          <a:miter lim="800000"/>
          <a:headEnd/>
          <a:tailEnd/>
        </a:ln>
      </xdr:spPr>
    </xdr:pic>
    <xdr:clientData/>
  </xdr:twoCellAnchor>
  <xdr:twoCellAnchor>
    <xdr:from>
      <xdr:col>2</xdr:col>
      <xdr:colOff>0</xdr:colOff>
      <xdr:row>14</xdr:row>
      <xdr:rowOff>0</xdr:rowOff>
    </xdr:from>
    <xdr:to>
      <xdr:col>2</xdr:col>
      <xdr:colOff>514350</xdr:colOff>
      <xdr:row>14</xdr:row>
      <xdr:rowOff>495300</xdr:rowOff>
    </xdr:to>
    <xdr:pic>
      <xdr:nvPicPr>
        <xdr:cNvPr id="111314" name="Picture 30" descr="2u"/>
        <xdr:cNvPicPr>
          <a:picLocks noChangeAspect="1" noChangeArrowheads="1"/>
        </xdr:cNvPicPr>
      </xdr:nvPicPr>
      <xdr:blipFill>
        <a:blip xmlns:r="http://schemas.openxmlformats.org/officeDocument/2006/relationships" r:embed="rId7" r:link="rId8" cstate="print"/>
        <a:srcRect/>
        <a:stretch>
          <a:fillRect/>
        </a:stretch>
      </xdr:blipFill>
      <xdr:spPr bwMode="auto">
        <a:xfrm>
          <a:off x="1181100" y="2990850"/>
          <a:ext cx="514350" cy="485775"/>
        </a:xfrm>
        <a:prstGeom prst="rect">
          <a:avLst/>
        </a:prstGeom>
        <a:noFill/>
        <a:ln w="9525">
          <a:noFill/>
          <a:miter lim="800000"/>
          <a:headEnd/>
          <a:tailEnd/>
        </a:ln>
      </xdr:spPr>
    </xdr:pic>
    <xdr:clientData/>
  </xdr:twoCellAnchor>
  <xdr:twoCellAnchor>
    <xdr:from>
      <xdr:col>2</xdr:col>
      <xdr:colOff>0</xdr:colOff>
      <xdr:row>15</xdr:row>
      <xdr:rowOff>0</xdr:rowOff>
    </xdr:from>
    <xdr:to>
      <xdr:col>2</xdr:col>
      <xdr:colOff>514350</xdr:colOff>
      <xdr:row>15</xdr:row>
      <xdr:rowOff>514350</xdr:rowOff>
    </xdr:to>
    <xdr:pic>
      <xdr:nvPicPr>
        <xdr:cNvPr id="111315" name="Picture 31" descr="3"/>
        <xdr:cNvPicPr>
          <a:picLocks noChangeAspect="1" noChangeArrowheads="1"/>
        </xdr:cNvPicPr>
      </xdr:nvPicPr>
      <xdr:blipFill>
        <a:blip xmlns:r="http://schemas.openxmlformats.org/officeDocument/2006/relationships" r:embed="rId9" r:link="rId10" cstate="print"/>
        <a:srcRect/>
        <a:stretch>
          <a:fillRect/>
        </a:stretch>
      </xdr:blipFill>
      <xdr:spPr bwMode="auto">
        <a:xfrm>
          <a:off x="1181100" y="3476625"/>
          <a:ext cx="514350" cy="514350"/>
        </a:xfrm>
        <a:prstGeom prst="rect">
          <a:avLst/>
        </a:prstGeom>
        <a:noFill/>
        <a:ln w="9525">
          <a:noFill/>
          <a:miter lim="800000"/>
          <a:headEnd/>
          <a:tailEnd/>
        </a:ln>
      </xdr:spPr>
    </xdr:pic>
    <xdr:clientData/>
  </xdr:twoCellAnchor>
  <xdr:twoCellAnchor>
    <xdr:from>
      <xdr:col>2</xdr:col>
      <xdr:colOff>0</xdr:colOff>
      <xdr:row>16</xdr:row>
      <xdr:rowOff>0</xdr:rowOff>
    </xdr:from>
    <xdr:to>
      <xdr:col>2</xdr:col>
      <xdr:colOff>514350</xdr:colOff>
      <xdr:row>16</xdr:row>
      <xdr:rowOff>504825</xdr:rowOff>
    </xdr:to>
    <xdr:pic>
      <xdr:nvPicPr>
        <xdr:cNvPr id="111316" name="Picture 32" descr="3u"/>
        <xdr:cNvPicPr>
          <a:picLocks noChangeAspect="1" noChangeArrowheads="1"/>
        </xdr:cNvPicPr>
      </xdr:nvPicPr>
      <xdr:blipFill>
        <a:blip xmlns:r="http://schemas.openxmlformats.org/officeDocument/2006/relationships" r:embed="rId11" r:link="rId12" cstate="print"/>
        <a:srcRect/>
        <a:stretch>
          <a:fillRect/>
        </a:stretch>
      </xdr:blipFill>
      <xdr:spPr bwMode="auto">
        <a:xfrm>
          <a:off x="1181100" y="3990975"/>
          <a:ext cx="514350" cy="504825"/>
        </a:xfrm>
        <a:prstGeom prst="rect">
          <a:avLst/>
        </a:prstGeom>
        <a:noFill/>
        <a:ln w="9525">
          <a:noFill/>
          <a:miter lim="800000"/>
          <a:headEnd/>
          <a:tailEnd/>
        </a:ln>
      </xdr:spPr>
    </xdr:pic>
    <xdr:clientData/>
  </xdr:twoCellAnchor>
  <xdr:twoCellAnchor>
    <xdr:from>
      <xdr:col>2</xdr:col>
      <xdr:colOff>0</xdr:colOff>
      <xdr:row>17</xdr:row>
      <xdr:rowOff>0</xdr:rowOff>
    </xdr:from>
    <xdr:to>
      <xdr:col>2</xdr:col>
      <xdr:colOff>514350</xdr:colOff>
      <xdr:row>17</xdr:row>
      <xdr:rowOff>523875</xdr:rowOff>
    </xdr:to>
    <xdr:pic>
      <xdr:nvPicPr>
        <xdr:cNvPr id="111317" name="Picture 33" descr="4"/>
        <xdr:cNvPicPr>
          <a:picLocks noChangeAspect="1" noChangeArrowheads="1"/>
        </xdr:cNvPicPr>
      </xdr:nvPicPr>
      <xdr:blipFill>
        <a:blip xmlns:r="http://schemas.openxmlformats.org/officeDocument/2006/relationships" r:embed="rId13" r:link="rId14" cstate="print"/>
        <a:srcRect/>
        <a:stretch>
          <a:fillRect/>
        </a:stretch>
      </xdr:blipFill>
      <xdr:spPr bwMode="auto">
        <a:xfrm>
          <a:off x="1181100" y="4495800"/>
          <a:ext cx="514350" cy="514350"/>
        </a:xfrm>
        <a:prstGeom prst="rect">
          <a:avLst/>
        </a:prstGeom>
        <a:noFill/>
        <a:ln w="9525">
          <a:noFill/>
          <a:miter lim="800000"/>
          <a:headEnd/>
          <a:tailEnd/>
        </a:ln>
      </xdr:spPr>
    </xdr:pic>
    <xdr:clientData/>
  </xdr:twoCellAnchor>
  <xdr:twoCellAnchor>
    <xdr:from>
      <xdr:col>2</xdr:col>
      <xdr:colOff>0</xdr:colOff>
      <xdr:row>18</xdr:row>
      <xdr:rowOff>0</xdr:rowOff>
    </xdr:from>
    <xdr:to>
      <xdr:col>2</xdr:col>
      <xdr:colOff>514350</xdr:colOff>
      <xdr:row>18</xdr:row>
      <xdr:rowOff>533400</xdr:rowOff>
    </xdr:to>
    <xdr:pic>
      <xdr:nvPicPr>
        <xdr:cNvPr id="111318" name="Picture 34" descr="4u"/>
        <xdr:cNvPicPr>
          <a:picLocks noChangeAspect="1" noChangeArrowheads="1"/>
        </xdr:cNvPicPr>
      </xdr:nvPicPr>
      <xdr:blipFill>
        <a:blip xmlns:r="http://schemas.openxmlformats.org/officeDocument/2006/relationships" r:embed="rId15" r:link="rId16" cstate="print"/>
        <a:srcRect/>
        <a:stretch>
          <a:fillRect/>
        </a:stretch>
      </xdr:blipFill>
      <xdr:spPr bwMode="auto">
        <a:xfrm>
          <a:off x="1181100" y="5010150"/>
          <a:ext cx="514350" cy="523875"/>
        </a:xfrm>
        <a:prstGeom prst="rect">
          <a:avLst/>
        </a:prstGeom>
        <a:noFill/>
        <a:ln w="9525">
          <a:noFill/>
          <a:miter lim="800000"/>
          <a:headEnd/>
          <a:tailEnd/>
        </a:ln>
      </xdr:spPr>
    </xdr:pic>
    <xdr:clientData/>
  </xdr:twoCellAnchor>
  <xdr:twoCellAnchor>
    <xdr:from>
      <xdr:col>2</xdr:col>
      <xdr:colOff>0</xdr:colOff>
      <xdr:row>19</xdr:row>
      <xdr:rowOff>0</xdr:rowOff>
    </xdr:from>
    <xdr:to>
      <xdr:col>2</xdr:col>
      <xdr:colOff>514350</xdr:colOff>
      <xdr:row>19</xdr:row>
      <xdr:rowOff>514350</xdr:rowOff>
    </xdr:to>
    <xdr:pic>
      <xdr:nvPicPr>
        <xdr:cNvPr id="111319" name="Picture 35" descr="5"/>
        <xdr:cNvPicPr>
          <a:picLocks noChangeAspect="1" noChangeArrowheads="1"/>
        </xdr:cNvPicPr>
      </xdr:nvPicPr>
      <xdr:blipFill>
        <a:blip xmlns:r="http://schemas.openxmlformats.org/officeDocument/2006/relationships" r:embed="rId17" r:link="rId18" cstate="print"/>
        <a:srcRect/>
        <a:stretch>
          <a:fillRect/>
        </a:stretch>
      </xdr:blipFill>
      <xdr:spPr bwMode="auto">
        <a:xfrm>
          <a:off x="1181100" y="5534025"/>
          <a:ext cx="514350" cy="504825"/>
        </a:xfrm>
        <a:prstGeom prst="rect">
          <a:avLst/>
        </a:prstGeom>
        <a:noFill/>
        <a:ln w="9525">
          <a:noFill/>
          <a:miter lim="800000"/>
          <a:headEnd/>
          <a:tailEnd/>
        </a:ln>
      </xdr:spPr>
    </xdr:pic>
    <xdr:clientData/>
  </xdr:twoCellAnchor>
  <xdr:twoCellAnchor>
    <xdr:from>
      <xdr:col>2</xdr:col>
      <xdr:colOff>0</xdr:colOff>
      <xdr:row>20</xdr:row>
      <xdr:rowOff>0</xdr:rowOff>
    </xdr:from>
    <xdr:to>
      <xdr:col>3</xdr:col>
      <xdr:colOff>0</xdr:colOff>
      <xdr:row>20</xdr:row>
      <xdr:rowOff>542925</xdr:rowOff>
    </xdr:to>
    <xdr:pic>
      <xdr:nvPicPr>
        <xdr:cNvPr id="111320" name="Picture 36" descr="5u"/>
        <xdr:cNvPicPr>
          <a:picLocks noChangeAspect="1" noChangeArrowheads="1"/>
        </xdr:cNvPicPr>
      </xdr:nvPicPr>
      <xdr:blipFill>
        <a:blip xmlns:r="http://schemas.openxmlformats.org/officeDocument/2006/relationships" r:embed="rId19" r:link="rId20" cstate="print"/>
        <a:srcRect/>
        <a:stretch>
          <a:fillRect/>
        </a:stretch>
      </xdr:blipFill>
      <xdr:spPr bwMode="auto">
        <a:xfrm>
          <a:off x="1181100" y="6038850"/>
          <a:ext cx="514350" cy="533400"/>
        </a:xfrm>
        <a:prstGeom prst="rect">
          <a:avLst/>
        </a:prstGeom>
        <a:noFill/>
        <a:ln w="9525">
          <a:noFill/>
          <a:miter lim="800000"/>
          <a:headEnd/>
          <a:tailEnd/>
        </a:ln>
      </xdr:spPr>
    </xdr:pic>
    <xdr:clientData/>
  </xdr:twoCellAnchor>
  <xdr:twoCellAnchor>
    <xdr:from>
      <xdr:col>2</xdr:col>
      <xdr:colOff>0</xdr:colOff>
      <xdr:row>21</xdr:row>
      <xdr:rowOff>9525</xdr:rowOff>
    </xdr:from>
    <xdr:to>
      <xdr:col>3</xdr:col>
      <xdr:colOff>0</xdr:colOff>
      <xdr:row>22</xdr:row>
      <xdr:rowOff>9525</xdr:rowOff>
    </xdr:to>
    <xdr:pic>
      <xdr:nvPicPr>
        <xdr:cNvPr id="111321" name="Picture 37" descr="6"/>
        <xdr:cNvPicPr>
          <a:picLocks noChangeAspect="1" noChangeArrowheads="1"/>
        </xdr:cNvPicPr>
      </xdr:nvPicPr>
      <xdr:blipFill>
        <a:blip xmlns:r="http://schemas.openxmlformats.org/officeDocument/2006/relationships" r:embed="rId21" r:link="rId22" cstate="print"/>
        <a:srcRect/>
        <a:stretch>
          <a:fillRect/>
        </a:stretch>
      </xdr:blipFill>
      <xdr:spPr bwMode="auto">
        <a:xfrm>
          <a:off x="1438275" y="6562725"/>
          <a:ext cx="514350" cy="542925"/>
        </a:xfrm>
        <a:prstGeom prst="rect">
          <a:avLst/>
        </a:prstGeom>
        <a:noFill/>
        <a:ln w="9525">
          <a:noFill/>
          <a:miter lim="800000"/>
          <a:headEnd/>
          <a:tailEnd/>
        </a:ln>
      </xdr:spPr>
    </xdr:pic>
    <xdr:clientData/>
  </xdr:twoCellAnchor>
  <xdr:twoCellAnchor>
    <xdr:from>
      <xdr:col>2</xdr:col>
      <xdr:colOff>0</xdr:colOff>
      <xdr:row>22</xdr:row>
      <xdr:rowOff>0</xdr:rowOff>
    </xdr:from>
    <xdr:to>
      <xdr:col>3</xdr:col>
      <xdr:colOff>0</xdr:colOff>
      <xdr:row>22</xdr:row>
      <xdr:rowOff>552450</xdr:rowOff>
    </xdr:to>
    <xdr:pic>
      <xdr:nvPicPr>
        <xdr:cNvPr id="111322" name="Picture 38" descr="6u"/>
        <xdr:cNvPicPr>
          <a:picLocks noChangeAspect="1" noChangeArrowheads="1"/>
        </xdr:cNvPicPr>
      </xdr:nvPicPr>
      <xdr:blipFill>
        <a:blip xmlns:r="http://schemas.openxmlformats.org/officeDocument/2006/relationships" r:embed="rId23" r:link="rId24" cstate="print"/>
        <a:srcRect/>
        <a:stretch>
          <a:fillRect/>
        </a:stretch>
      </xdr:blipFill>
      <xdr:spPr bwMode="auto">
        <a:xfrm>
          <a:off x="1181100" y="7115175"/>
          <a:ext cx="514350" cy="552450"/>
        </a:xfrm>
        <a:prstGeom prst="rect">
          <a:avLst/>
        </a:prstGeom>
        <a:noFill/>
        <a:ln w="9525">
          <a:noFill/>
          <a:miter lim="800000"/>
          <a:headEnd/>
          <a:tailEnd/>
        </a:ln>
      </xdr:spPr>
    </xdr:pic>
    <xdr:clientData/>
  </xdr:twoCellAnchor>
  <xdr:twoCellAnchor>
    <xdr:from>
      <xdr:col>2</xdr:col>
      <xdr:colOff>0</xdr:colOff>
      <xdr:row>23</xdr:row>
      <xdr:rowOff>0</xdr:rowOff>
    </xdr:from>
    <xdr:to>
      <xdr:col>3</xdr:col>
      <xdr:colOff>0</xdr:colOff>
      <xdr:row>23</xdr:row>
      <xdr:rowOff>552450</xdr:rowOff>
    </xdr:to>
    <xdr:pic>
      <xdr:nvPicPr>
        <xdr:cNvPr id="111323" name="Picture 39" descr="7"/>
        <xdr:cNvPicPr>
          <a:picLocks noChangeAspect="1" noChangeArrowheads="1"/>
        </xdr:cNvPicPr>
      </xdr:nvPicPr>
      <xdr:blipFill>
        <a:blip xmlns:r="http://schemas.openxmlformats.org/officeDocument/2006/relationships" r:embed="rId25" r:link="rId26" cstate="print"/>
        <a:srcRect/>
        <a:stretch>
          <a:fillRect/>
        </a:stretch>
      </xdr:blipFill>
      <xdr:spPr bwMode="auto">
        <a:xfrm>
          <a:off x="1181100" y="7667625"/>
          <a:ext cx="514350" cy="542925"/>
        </a:xfrm>
        <a:prstGeom prst="rect">
          <a:avLst/>
        </a:prstGeom>
        <a:noFill/>
        <a:ln w="9525">
          <a:noFill/>
          <a:miter lim="800000"/>
          <a:headEnd/>
          <a:tailEnd/>
        </a:ln>
      </xdr:spPr>
    </xdr:pic>
    <xdr:clientData/>
  </xdr:twoCellAnchor>
  <xdr:twoCellAnchor>
    <xdr:from>
      <xdr:col>2</xdr:col>
      <xdr:colOff>0</xdr:colOff>
      <xdr:row>24</xdr:row>
      <xdr:rowOff>0</xdr:rowOff>
    </xdr:from>
    <xdr:to>
      <xdr:col>3</xdr:col>
      <xdr:colOff>0</xdr:colOff>
      <xdr:row>24</xdr:row>
      <xdr:rowOff>542925</xdr:rowOff>
    </xdr:to>
    <xdr:pic>
      <xdr:nvPicPr>
        <xdr:cNvPr id="111324" name="Picture 40" descr="7u"/>
        <xdr:cNvPicPr>
          <a:picLocks noChangeAspect="1" noChangeArrowheads="1"/>
        </xdr:cNvPicPr>
      </xdr:nvPicPr>
      <xdr:blipFill>
        <a:blip xmlns:r="http://schemas.openxmlformats.org/officeDocument/2006/relationships" r:embed="rId27" r:link="rId28" cstate="print"/>
        <a:srcRect/>
        <a:stretch>
          <a:fillRect/>
        </a:stretch>
      </xdr:blipFill>
      <xdr:spPr bwMode="auto">
        <a:xfrm>
          <a:off x="1181100" y="8210550"/>
          <a:ext cx="514350" cy="533400"/>
        </a:xfrm>
        <a:prstGeom prst="rect">
          <a:avLst/>
        </a:prstGeom>
        <a:noFill/>
        <a:ln w="9525">
          <a:noFill/>
          <a:miter lim="800000"/>
          <a:headEnd/>
          <a:tailEnd/>
        </a:ln>
      </xdr:spPr>
    </xdr:pic>
    <xdr:clientData/>
  </xdr:twoCellAnchor>
  <xdr:twoCellAnchor>
    <xdr:from>
      <xdr:col>2</xdr:col>
      <xdr:colOff>0</xdr:colOff>
      <xdr:row>25</xdr:row>
      <xdr:rowOff>0</xdr:rowOff>
    </xdr:from>
    <xdr:to>
      <xdr:col>3</xdr:col>
      <xdr:colOff>0</xdr:colOff>
      <xdr:row>25</xdr:row>
      <xdr:rowOff>485775</xdr:rowOff>
    </xdr:to>
    <xdr:pic>
      <xdr:nvPicPr>
        <xdr:cNvPr id="111325" name="Picture 41" descr="1"/>
        <xdr:cNvPicPr>
          <a:picLocks noChangeAspect="1" noChangeArrowheads="1"/>
        </xdr:cNvPicPr>
      </xdr:nvPicPr>
      <xdr:blipFill>
        <a:blip xmlns:r="http://schemas.openxmlformats.org/officeDocument/2006/relationships" r:embed="rId29" r:link="rId30" cstate="print"/>
        <a:srcRect/>
        <a:stretch>
          <a:fillRect/>
        </a:stretch>
      </xdr:blipFill>
      <xdr:spPr bwMode="auto">
        <a:xfrm>
          <a:off x="1181100" y="8743950"/>
          <a:ext cx="514350" cy="476250"/>
        </a:xfrm>
        <a:prstGeom prst="rect">
          <a:avLst/>
        </a:prstGeom>
        <a:noFill/>
        <a:ln w="9525">
          <a:noFill/>
          <a:miter lim="800000"/>
          <a:headEnd/>
          <a:tailEnd/>
        </a:ln>
      </xdr:spPr>
    </xdr:pic>
    <xdr:clientData/>
  </xdr:twoCellAnchor>
  <xdr:twoCellAnchor>
    <xdr:from>
      <xdr:col>2</xdr:col>
      <xdr:colOff>0</xdr:colOff>
      <xdr:row>26</xdr:row>
      <xdr:rowOff>0</xdr:rowOff>
    </xdr:from>
    <xdr:to>
      <xdr:col>3</xdr:col>
      <xdr:colOff>0</xdr:colOff>
      <xdr:row>26</xdr:row>
      <xdr:rowOff>495300</xdr:rowOff>
    </xdr:to>
    <xdr:pic>
      <xdr:nvPicPr>
        <xdr:cNvPr id="111326" name="Picture 42" descr="1u"/>
        <xdr:cNvPicPr>
          <a:picLocks noChangeAspect="1" noChangeArrowheads="1"/>
        </xdr:cNvPicPr>
      </xdr:nvPicPr>
      <xdr:blipFill>
        <a:blip xmlns:r="http://schemas.openxmlformats.org/officeDocument/2006/relationships" r:embed="rId31" r:link="rId32" cstate="print"/>
        <a:srcRect/>
        <a:stretch>
          <a:fillRect/>
        </a:stretch>
      </xdr:blipFill>
      <xdr:spPr bwMode="auto">
        <a:xfrm>
          <a:off x="1181100" y="9220200"/>
          <a:ext cx="514350" cy="485775"/>
        </a:xfrm>
        <a:prstGeom prst="rect">
          <a:avLst/>
        </a:prstGeom>
        <a:noFill/>
        <a:ln w="9525">
          <a:noFill/>
          <a:miter lim="800000"/>
          <a:headEnd/>
          <a:tailEnd/>
        </a:ln>
      </xdr:spPr>
    </xdr:pic>
    <xdr:clientData/>
  </xdr:twoCellAnchor>
  <xdr:twoCellAnchor>
    <xdr:from>
      <xdr:col>2</xdr:col>
      <xdr:colOff>0</xdr:colOff>
      <xdr:row>27</xdr:row>
      <xdr:rowOff>0</xdr:rowOff>
    </xdr:from>
    <xdr:to>
      <xdr:col>3</xdr:col>
      <xdr:colOff>0</xdr:colOff>
      <xdr:row>27</xdr:row>
      <xdr:rowOff>476250</xdr:rowOff>
    </xdr:to>
    <xdr:pic>
      <xdr:nvPicPr>
        <xdr:cNvPr id="111327" name="Picture 43" descr="2"/>
        <xdr:cNvPicPr>
          <a:picLocks noChangeAspect="1" noChangeArrowheads="1"/>
        </xdr:cNvPicPr>
      </xdr:nvPicPr>
      <xdr:blipFill>
        <a:blip xmlns:r="http://schemas.openxmlformats.org/officeDocument/2006/relationships" r:embed="rId33" r:link="rId34" cstate="print"/>
        <a:srcRect/>
        <a:stretch>
          <a:fillRect/>
        </a:stretch>
      </xdr:blipFill>
      <xdr:spPr bwMode="auto">
        <a:xfrm>
          <a:off x="1181100" y="9705975"/>
          <a:ext cx="514350" cy="466725"/>
        </a:xfrm>
        <a:prstGeom prst="rect">
          <a:avLst/>
        </a:prstGeom>
        <a:noFill/>
        <a:ln w="9525" algn="ctr">
          <a:noFill/>
          <a:miter lim="800000"/>
          <a:headEnd/>
          <a:tailEnd/>
        </a:ln>
      </xdr:spPr>
    </xdr:pic>
    <xdr:clientData/>
  </xdr:twoCellAnchor>
  <xdr:twoCellAnchor>
    <xdr:from>
      <xdr:col>2</xdr:col>
      <xdr:colOff>0</xdr:colOff>
      <xdr:row>28</xdr:row>
      <xdr:rowOff>0</xdr:rowOff>
    </xdr:from>
    <xdr:to>
      <xdr:col>3</xdr:col>
      <xdr:colOff>0</xdr:colOff>
      <xdr:row>28</xdr:row>
      <xdr:rowOff>485775</xdr:rowOff>
    </xdr:to>
    <xdr:pic>
      <xdr:nvPicPr>
        <xdr:cNvPr id="111328" name="Picture 44" descr="2u"/>
        <xdr:cNvPicPr>
          <a:picLocks noChangeAspect="1" noChangeArrowheads="1"/>
        </xdr:cNvPicPr>
      </xdr:nvPicPr>
      <xdr:blipFill>
        <a:blip xmlns:r="http://schemas.openxmlformats.org/officeDocument/2006/relationships" r:embed="rId35" r:link="rId36" cstate="print"/>
        <a:srcRect/>
        <a:stretch>
          <a:fillRect/>
        </a:stretch>
      </xdr:blipFill>
      <xdr:spPr bwMode="auto">
        <a:xfrm>
          <a:off x="1181100" y="10172700"/>
          <a:ext cx="514350" cy="485775"/>
        </a:xfrm>
        <a:prstGeom prst="rect">
          <a:avLst/>
        </a:prstGeom>
        <a:noFill/>
        <a:ln w="9525">
          <a:noFill/>
          <a:miter lim="800000"/>
          <a:headEnd/>
          <a:tailEnd/>
        </a:ln>
      </xdr:spPr>
    </xdr:pic>
    <xdr:clientData/>
  </xdr:twoCellAnchor>
  <xdr:twoCellAnchor>
    <xdr:from>
      <xdr:col>2</xdr:col>
      <xdr:colOff>0</xdr:colOff>
      <xdr:row>29</xdr:row>
      <xdr:rowOff>0</xdr:rowOff>
    </xdr:from>
    <xdr:to>
      <xdr:col>3</xdr:col>
      <xdr:colOff>0</xdr:colOff>
      <xdr:row>29</xdr:row>
      <xdr:rowOff>476250</xdr:rowOff>
    </xdr:to>
    <xdr:pic>
      <xdr:nvPicPr>
        <xdr:cNvPr id="111329" name="Picture 45" descr="3"/>
        <xdr:cNvPicPr>
          <a:picLocks noChangeAspect="1" noChangeArrowheads="1"/>
        </xdr:cNvPicPr>
      </xdr:nvPicPr>
      <xdr:blipFill>
        <a:blip xmlns:r="http://schemas.openxmlformats.org/officeDocument/2006/relationships" r:embed="rId37" r:link="rId38" cstate="print"/>
        <a:srcRect/>
        <a:stretch>
          <a:fillRect/>
        </a:stretch>
      </xdr:blipFill>
      <xdr:spPr bwMode="auto">
        <a:xfrm>
          <a:off x="1181100" y="10658475"/>
          <a:ext cx="514350" cy="476250"/>
        </a:xfrm>
        <a:prstGeom prst="rect">
          <a:avLst/>
        </a:prstGeom>
        <a:noFill/>
        <a:ln w="9525">
          <a:noFill/>
          <a:miter lim="800000"/>
          <a:headEnd/>
          <a:tailEnd/>
        </a:ln>
      </xdr:spPr>
    </xdr:pic>
    <xdr:clientData/>
  </xdr:twoCellAnchor>
  <xdr:twoCellAnchor>
    <xdr:from>
      <xdr:col>2</xdr:col>
      <xdr:colOff>0</xdr:colOff>
      <xdr:row>30</xdr:row>
      <xdr:rowOff>0</xdr:rowOff>
    </xdr:from>
    <xdr:to>
      <xdr:col>3</xdr:col>
      <xdr:colOff>0</xdr:colOff>
      <xdr:row>30</xdr:row>
      <xdr:rowOff>495300</xdr:rowOff>
    </xdr:to>
    <xdr:pic>
      <xdr:nvPicPr>
        <xdr:cNvPr id="111330" name="Picture 46" descr="3u"/>
        <xdr:cNvPicPr>
          <a:picLocks noChangeAspect="1" noChangeArrowheads="1"/>
        </xdr:cNvPicPr>
      </xdr:nvPicPr>
      <xdr:blipFill>
        <a:blip xmlns:r="http://schemas.openxmlformats.org/officeDocument/2006/relationships" r:embed="rId39" r:link="rId40" cstate="print"/>
        <a:srcRect/>
        <a:stretch>
          <a:fillRect/>
        </a:stretch>
      </xdr:blipFill>
      <xdr:spPr bwMode="auto">
        <a:xfrm>
          <a:off x="1181100" y="11134725"/>
          <a:ext cx="514350" cy="495300"/>
        </a:xfrm>
        <a:prstGeom prst="rect">
          <a:avLst/>
        </a:prstGeom>
        <a:noFill/>
        <a:ln w="9525">
          <a:noFill/>
          <a:miter lim="800000"/>
          <a:headEnd/>
          <a:tailEnd/>
        </a:ln>
      </xdr:spPr>
    </xdr:pic>
    <xdr:clientData/>
  </xdr:twoCellAnchor>
  <xdr:twoCellAnchor>
    <xdr:from>
      <xdr:col>2</xdr:col>
      <xdr:colOff>0</xdr:colOff>
      <xdr:row>31</xdr:row>
      <xdr:rowOff>0</xdr:rowOff>
    </xdr:from>
    <xdr:to>
      <xdr:col>3</xdr:col>
      <xdr:colOff>0</xdr:colOff>
      <xdr:row>31</xdr:row>
      <xdr:rowOff>476250</xdr:rowOff>
    </xdr:to>
    <xdr:pic>
      <xdr:nvPicPr>
        <xdr:cNvPr id="111331" name="Picture 47" descr="4"/>
        <xdr:cNvPicPr>
          <a:picLocks noChangeAspect="1" noChangeArrowheads="1"/>
        </xdr:cNvPicPr>
      </xdr:nvPicPr>
      <xdr:blipFill>
        <a:blip xmlns:r="http://schemas.openxmlformats.org/officeDocument/2006/relationships" r:embed="rId41" r:link="rId42" cstate="print"/>
        <a:srcRect/>
        <a:stretch>
          <a:fillRect/>
        </a:stretch>
      </xdr:blipFill>
      <xdr:spPr bwMode="auto">
        <a:xfrm>
          <a:off x="1181100" y="11630025"/>
          <a:ext cx="514350" cy="466725"/>
        </a:xfrm>
        <a:prstGeom prst="rect">
          <a:avLst/>
        </a:prstGeom>
        <a:noFill/>
        <a:ln w="9525">
          <a:noFill/>
          <a:miter lim="800000"/>
          <a:headEnd/>
          <a:tailEnd/>
        </a:ln>
      </xdr:spPr>
    </xdr:pic>
    <xdr:clientData/>
  </xdr:twoCellAnchor>
  <xdr:twoCellAnchor>
    <xdr:from>
      <xdr:col>2</xdr:col>
      <xdr:colOff>0</xdr:colOff>
      <xdr:row>32</xdr:row>
      <xdr:rowOff>0</xdr:rowOff>
    </xdr:from>
    <xdr:to>
      <xdr:col>3</xdr:col>
      <xdr:colOff>0</xdr:colOff>
      <xdr:row>32</xdr:row>
      <xdr:rowOff>485775</xdr:rowOff>
    </xdr:to>
    <xdr:pic>
      <xdr:nvPicPr>
        <xdr:cNvPr id="111332" name="Picture 48" descr="4u"/>
        <xdr:cNvPicPr>
          <a:picLocks noChangeAspect="1" noChangeArrowheads="1"/>
        </xdr:cNvPicPr>
      </xdr:nvPicPr>
      <xdr:blipFill>
        <a:blip xmlns:r="http://schemas.openxmlformats.org/officeDocument/2006/relationships" r:embed="rId43" r:link="rId44" cstate="print"/>
        <a:srcRect/>
        <a:stretch>
          <a:fillRect/>
        </a:stretch>
      </xdr:blipFill>
      <xdr:spPr bwMode="auto">
        <a:xfrm>
          <a:off x="1181100" y="12096750"/>
          <a:ext cx="514350" cy="476250"/>
        </a:xfrm>
        <a:prstGeom prst="rect">
          <a:avLst/>
        </a:prstGeom>
        <a:noFill/>
        <a:ln w="9525">
          <a:noFill/>
          <a:miter lim="800000"/>
          <a:headEnd/>
          <a:tailEnd/>
        </a:ln>
      </xdr:spPr>
    </xdr:pic>
    <xdr:clientData/>
  </xdr:twoCellAnchor>
  <xdr:twoCellAnchor>
    <xdr:from>
      <xdr:col>2</xdr:col>
      <xdr:colOff>0</xdr:colOff>
      <xdr:row>33</xdr:row>
      <xdr:rowOff>0</xdr:rowOff>
    </xdr:from>
    <xdr:to>
      <xdr:col>3</xdr:col>
      <xdr:colOff>0</xdr:colOff>
      <xdr:row>33</xdr:row>
      <xdr:rowOff>466725</xdr:rowOff>
    </xdr:to>
    <xdr:pic>
      <xdr:nvPicPr>
        <xdr:cNvPr id="111333" name="Picture 49" descr="5"/>
        <xdr:cNvPicPr>
          <a:picLocks noChangeAspect="1" noChangeArrowheads="1"/>
        </xdr:cNvPicPr>
      </xdr:nvPicPr>
      <xdr:blipFill>
        <a:blip xmlns:r="http://schemas.openxmlformats.org/officeDocument/2006/relationships" r:embed="rId45" r:link="rId46" cstate="print"/>
        <a:srcRect/>
        <a:stretch>
          <a:fillRect/>
        </a:stretch>
      </xdr:blipFill>
      <xdr:spPr bwMode="auto">
        <a:xfrm>
          <a:off x="1181100" y="12573000"/>
          <a:ext cx="514350" cy="466725"/>
        </a:xfrm>
        <a:prstGeom prst="rect">
          <a:avLst/>
        </a:prstGeom>
        <a:noFill/>
        <a:ln w="9525">
          <a:noFill/>
          <a:miter lim="800000"/>
          <a:headEnd/>
          <a:tailEnd/>
        </a:ln>
      </xdr:spPr>
    </xdr:pic>
    <xdr:clientData/>
  </xdr:twoCellAnchor>
  <xdr:twoCellAnchor>
    <xdr:from>
      <xdr:col>2</xdr:col>
      <xdr:colOff>0</xdr:colOff>
      <xdr:row>34</xdr:row>
      <xdr:rowOff>9525</xdr:rowOff>
    </xdr:from>
    <xdr:to>
      <xdr:col>3</xdr:col>
      <xdr:colOff>0</xdr:colOff>
      <xdr:row>35</xdr:row>
      <xdr:rowOff>9525</xdr:rowOff>
    </xdr:to>
    <xdr:pic>
      <xdr:nvPicPr>
        <xdr:cNvPr id="111334" name="Picture 50" descr="5u"/>
        <xdr:cNvPicPr>
          <a:picLocks noChangeAspect="1" noChangeArrowheads="1"/>
        </xdr:cNvPicPr>
      </xdr:nvPicPr>
      <xdr:blipFill>
        <a:blip xmlns:r="http://schemas.openxmlformats.org/officeDocument/2006/relationships" r:embed="rId47" r:link="rId48" cstate="print"/>
        <a:srcRect/>
        <a:stretch>
          <a:fillRect/>
        </a:stretch>
      </xdr:blipFill>
      <xdr:spPr bwMode="auto">
        <a:xfrm>
          <a:off x="1438275" y="13030200"/>
          <a:ext cx="514350" cy="485775"/>
        </a:xfrm>
        <a:prstGeom prst="rect">
          <a:avLst/>
        </a:prstGeom>
        <a:noFill/>
        <a:ln w="9525">
          <a:noFill/>
          <a:miter lim="800000"/>
          <a:headEnd/>
          <a:tailEnd/>
        </a:ln>
      </xdr:spPr>
    </xdr:pic>
    <xdr:clientData/>
  </xdr:twoCellAnchor>
  <xdr:twoCellAnchor>
    <xdr:from>
      <xdr:col>2</xdr:col>
      <xdr:colOff>0</xdr:colOff>
      <xdr:row>35</xdr:row>
      <xdr:rowOff>0</xdr:rowOff>
    </xdr:from>
    <xdr:to>
      <xdr:col>3</xdr:col>
      <xdr:colOff>0</xdr:colOff>
      <xdr:row>35</xdr:row>
      <xdr:rowOff>495300</xdr:rowOff>
    </xdr:to>
    <xdr:pic>
      <xdr:nvPicPr>
        <xdr:cNvPr id="111335" name="Picture 51" descr="6"/>
        <xdr:cNvPicPr>
          <a:picLocks noChangeAspect="1" noChangeArrowheads="1"/>
        </xdr:cNvPicPr>
      </xdr:nvPicPr>
      <xdr:blipFill>
        <a:blip xmlns:r="http://schemas.openxmlformats.org/officeDocument/2006/relationships" r:embed="rId49" r:link="rId50" cstate="print"/>
        <a:srcRect/>
        <a:stretch>
          <a:fillRect/>
        </a:stretch>
      </xdr:blipFill>
      <xdr:spPr bwMode="auto">
        <a:xfrm>
          <a:off x="1181100" y="13525500"/>
          <a:ext cx="514350" cy="495300"/>
        </a:xfrm>
        <a:prstGeom prst="rect">
          <a:avLst/>
        </a:prstGeom>
        <a:noFill/>
        <a:ln w="9525">
          <a:noFill/>
          <a:miter lim="800000"/>
          <a:headEnd/>
          <a:tailEnd/>
        </a:ln>
      </xdr:spPr>
    </xdr:pic>
    <xdr:clientData/>
  </xdr:twoCellAnchor>
  <xdr:twoCellAnchor>
    <xdr:from>
      <xdr:col>2</xdr:col>
      <xdr:colOff>0</xdr:colOff>
      <xdr:row>36</xdr:row>
      <xdr:rowOff>0</xdr:rowOff>
    </xdr:from>
    <xdr:to>
      <xdr:col>3</xdr:col>
      <xdr:colOff>0</xdr:colOff>
      <xdr:row>36</xdr:row>
      <xdr:rowOff>495300</xdr:rowOff>
    </xdr:to>
    <xdr:pic>
      <xdr:nvPicPr>
        <xdr:cNvPr id="111336" name="Picture 52" descr="6u"/>
        <xdr:cNvPicPr>
          <a:picLocks noChangeAspect="1" noChangeArrowheads="1"/>
        </xdr:cNvPicPr>
      </xdr:nvPicPr>
      <xdr:blipFill>
        <a:blip xmlns:r="http://schemas.openxmlformats.org/officeDocument/2006/relationships" r:embed="rId51" r:link="rId52" cstate="print"/>
        <a:srcRect/>
        <a:stretch>
          <a:fillRect/>
        </a:stretch>
      </xdr:blipFill>
      <xdr:spPr bwMode="auto">
        <a:xfrm>
          <a:off x="1181100" y="14020800"/>
          <a:ext cx="514350" cy="495300"/>
        </a:xfrm>
        <a:prstGeom prst="rect">
          <a:avLst/>
        </a:prstGeom>
        <a:noFill/>
        <a:ln w="9525">
          <a:noFill/>
          <a:miter lim="800000"/>
          <a:headEnd/>
          <a:tailEnd/>
        </a:ln>
      </xdr:spPr>
    </xdr:pic>
    <xdr:clientData/>
  </xdr:twoCellAnchor>
  <xdr:twoCellAnchor>
    <xdr:from>
      <xdr:col>2</xdr:col>
      <xdr:colOff>0</xdr:colOff>
      <xdr:row>37</xdr:row>
      <xdr:rowOff>0</xdr:rowOff>
    </xdr:from>
    <xdr:to>
      <xdr:col>3</xdr:col>
      <xdr:colOff>0</xdr:colOff>
      <xdr:row>37</xdr:row>
      <xdr:rowOff>485775</xdr:rowOff>
    </xdr:to>
    <xdr:pic>
      <xdr:nvPicPr>
        <xdr:cNvPr id="111337" name="Picture 53" descr="7"/>
        <xdr:cNvPicPr>
          <a:picLocks noChangeAspect="1" noChangeArrowheads="1"/>
        </xdr:cNvPicPr>
      </xdr:nvPicPr>
      <xdr:blipFill>
        <a:blip xmlns:r="http://schemas.openxmlformats.org/officeDocument/2006/relationships" r:embed="rId53" r:link="rId54" cstate="print"/>
        <a:srcRect/>
        <a:stretch>
          <a:fillRect/>
        </a:stretch>
      </xdr:blipFill>
      <xdr:spPr bwMode="auto">
        <a:xfrm>
          <a:off x="1181100" y="14516100"/>
          <a:ext cx="514350" cy="485775"/>
        </a:xfrm>
        <a:prstGeom prst="rect">
          <a:avLst/>
        </a:prstGeom>
        <a:noFill/>
        <a:ln w="9525">
          <a:noFill/>
          <a:miter lim="800000"/>
          <a:headEnd/>
          <a:tailEnd/>
        </a:ln>
      </xdr:spPr>
    </xdr:pic>
    <xdr:clientData/>
  </xdr:twoCellAnchor>
  <xdr:twoCellAnchor>
    <xdr:from>
      <xdr:col>2</xdr:col>
      <xdr:colOff>0</xdr:colOff>
      <xdr:row>38</xdr:row>
      <xdr:rowOff>0</xdr:rowOff>
    </xdr:from>
    <xdr:to>
      <xdr:col>3</xdr:col>
      <xdr:colOff>0</xdr:colOff>
      <xdr:row>38</xdr:row>
      <xdr:rowOff>495300</xdr:rowOff>
    </xdr:to>
    <xdr:pic>
      <xdr:nvPicPr>
        <xdr:cNvPr id="111338" name="Picture 54" descr="7u"/>
        <xdr:cNvPicPr>
          <a:picLocks noChangeAspect="1" noChangeArrowheads="1"/>
        </xdr:cNvPicPr>
      </xdr:nvPicPr>
      <xdr:blipFill>
        <a:blip xmlns:r="http://schemas.openxmlformats.org/officeDocument/2006/relationships" r:embed="rId55" r:link="rId56" cstate="print"/>
        <a:srcRect/>
        <a:stretch>
          <a:fillRect/>
        </a:stretch>
      </xdr:blipFill>
      <xdr:spPr bwMode="auto">
        <a:xfrm>
          <a:off x="1181100" y="15001875"/>
          <a:ext cx="514350" cy="495300"/>
        </a:xfrm>
        <a:prstGeom prst="rect">
          <a:avLst/>
        </a:prstGeom>
        <a:noFill/>
        <a:ln w="9525">
          <a:noFill/>
          <a:miter lim="800000"/>
          <a:headEnd/>
          <a:tailEnd/>
        </a:ln>
      </xdr:spPr>
    </xdr:pic>
    <xdr:clientData/>
  </xdr:twoCellAnchor>
  <xdr:twoCellAnchor>
    <xdr:from>
      <xdr:col>2</xdr:col>
      <xdr:colOff>0</xdr:colOff>
      <xdr:row>39</xdr:row>
      <xdr:rowOff>0</xdr:rowOff>
    </xdr:from>
    <xdr:to>
      <xdr:col>3</xdr:col>
      <xdr:colOff>0</xdr:colOff>
      <xdr:row>39</xdr:row>
      <xdr:rowOff>485775</xdr:rowOff>
    </xdr:to>
    <xdr:pic>
      <xdr:nvPicPr>
        <xdr:cNvPr id="111339" name="Picture 55" descr="1"/>
        <xdr:cNvPicPr>
          <a:picLocks noChangeAspect="1" noChangeArrowheads="1"/>
        </xdr:cNvPicPr>
      </xdr:nvPicPr>
      <xdr:blipFill>
        <a:blip xmlns:r="http://schemas.openxmlformats.org/officeDocument/2006/relationships" r:embed="rId57" r:link="rId58" cstate="print"/>
        <a:srcRect/>
        <a:stretch>
          <a:fillRect/>
        </a:stretch>
      </xdr:blipFill>
      <xdr:spPr bwMode="auto">
        <a:xfrm>
          <a:off x="1181100" y="15497175"/>
          <a:ext cx="514350" cy="476250"/>
        </a:xfrm>
        <a:prstGeom prst="rect">
          <a:avLst/>
        </a:prstGeom>
        <a:noFill/>
        <a:ln w="9525" algn="ctr">
          <a:noFill/>
          <a:miter lim="800000"/>
          <a:headEnd/>
          <a:tailEnd/>
        </a:ln>
      </xdr:spPr>
    </xdr:pic>
    <xdr:clientData/>
  </xdr:twoCellAnchor>
  <xdr:twoCellAnchor>
    <xdr:from>
      <xdr:col>2</xdr:col>
      <xdr:colOff>0</xdr:colOff>
      <xdr:row>40</xdr:row>
      <xdr:rowOff>0</xdr:rowOff>
    </xdr:from>
    <xdr:to>
      <xdr:col>3</xdr:col>
      <xdr:colOff>0</xdr:colOff>
      <xdr:row>40</xdr:row>
      <xdr:rowOff>485775</xdr:rowOff>
    </xdr:to>
    <xdr:pic>
      <xdr:nvPicPr>
        <xdr:cNvPr id="111340" name="Picture 56" descr="1u"/>
        <xdr:cNvPicPr>
          <a:picLocks noChangeAspect="1" noChangeArrowheads="1"/>
        </xdr:cNvPicPr>
      </xdr:nvPicPr>
      <xdr:blipFill>
        <a:blip xmlns:r="http://schemas.openxmlformats.org/officeDocument/2006/relationships" r:embed="rId59" r:link="rId60" cstate="print"/>
        <a:srcRect/>
        <a:stretch>
          <a:fillRect/>
        </a:stretch>
      </xdr:blipFill>
      <xdr:spPr bwMode="auto">
        <a:xfrm>
          <a:off x="1181100" y="15973425"/>
          <a:ext cx="514350" cy="485775"/>
        </a:xfrm>
        <a:prstGeom prst="rect">
          <a:avLst/>
        </a:prstGeom>
        <a:noFill/>
        <a:ln w="9525">
          <a:noFill/>
          <a:miter lim="800000"/>
          <a:headEnd/>
          <a:tailEnd/>
        </a:ln>
      </xdr:spPr>
    </xdr:pic>
    <xdr:clientData/>
  </xdr:twoCellAnchor>
  <xdr:twoCellAnchor>
    <xdr:from>
      <xdr:col>2</xdr:col>
      <xdr:colOff>0</xdr:colOff>
      <xdr:row>41</xdr:row>
      <xdr:rowOff>0</xdr:rowOff>
    </xdr:from>
    <xdr:to>
      <xdr:col>3</xdr:col>
      <xdr:colOff>0</xdr:colOff>
      <xdr:row>41</xdr:row>
      <xdr:rowOff>485775</xdr:rowOff>
    </xdr:to>
    <xdr:pic>
      <xdr:nvPicPr>
        <xdr:cNvPr id="111341" name="Picture 57" descr="2"/>
        <xdr:cNvPicPr>
          <a:picLocks noChangeAspect="1" noChangeArrowheads="1"/>
        </xdr:cNvPicPr>
      </xdr:nvPicPr>
      <xdr:blipFill>
        <a:blip xmlns:r="http://schemas.openxmlformats.org/officeDocument/2006/relationships" r:embed="rId61" r:link="rId62" cstate="print"/>
        <a:srcRect/>
        <a:stretch>
          <a:fillRect/>
        </a:stretch>
      </xdr:blipFill>
      <xdr:spPr bwMode="auto">
        <a:xfrm>
          <a:off x="1181100" y="16459200"/>
          <a:ext cx="514350" cy="485775"/>
        </a:xfrm>
        <a:prstGeom prst="rect">
          <a:avLst/>
        </a:prstGeom>
        <a:noFill/>
        <a:ln w="9525">
          <a:noFill/>
          <a:miter lim="800000"/>
          <a:headEnd/>
          <a:tailEnd/>
        </a:ln>
      </xdr:spPr>
    </xdr:pic>
    <xdr:clientData/>
  </xdr:twoCellAnchor>
  <xdr:twoCellAnchor>
    <xdr:from>
      <xdr:col>2</xdr:col>
      <xdr:colOff>0</xdr:colOff>
      <xdr:row>42</xdr:row>
      <xdr:rowOff>0</xdr:rowOff>
    </xdr:from>
    <xdr:to>
      <xdr:col>3</xdr:col>
      <xdr:colOff>0</xdr:colOff>
      <xdr:row>43</xdr:row>
      <xdr:rowOff>9525</xdr:rowOff>
    </xdr:to>
    <xdr:pic>
      <xdr:nvPicPr>
        <xdr:cNvPr id="111342" name="Picture 58" descr="2u"/>
        <xdr:cNvPicPr>
          <a:picLocks noChangeAspect="1" noChangeArrowheads="1"/>
        </xdr:cNvPicPr>
      </xdr:nvPicPr>
      <xdr:blipFill>
        <a:blip xmlns:r="http://schemas.openxmlformats.org/officeDocument/2006/relationships" r:embed="rId63" r:link="rId64" cstate="print"/>
        <a:srcRect/>
        <a:stretch>
          <a:fillRect/>
        </a:stretch>
      </xdr:blipFill>
      <xdr:spPr bwMode="auto">
        <a:xfrm>
          <a:off x="1181100" y="16944975"/>
          <a:ext cx="514350" cy="495300"/>
        </a:xfrm>
        <a:prstGeom prst="rect">
          <a:avLst/>
        </a:prstGeom>
        <a:noFill/>
        <a:ln w="9525">
          <a:noFill/>
          <a:miter lim="800000"/>
          <a:headEnd/>
          <a:tailEnd/>
        </a:ln>
      </xdr:spPr>
    </xdr:pic>
    <xdr:clientData/>
  </xdr:twoCellAnchor>
  <xdr:twoCellAnchor>
    <xdr:from>
      <xdr:col>2</xdr:col>
      <xdr:colOff>0</xdr:colOff>
      <xdr:row>43</xdr:row>
      <xdr:rowOff>0</xdr:rowOff>
    </xdr:from>
    <xdr:to>
      <xdr:col>3</xdr:col>
      <xdr:colOff>0</xdr:colOff>
      <xdr:row>43</xdr:row>
      <xdr:rowOff>485775</xdr:rowOff>
    </xdr:to>
    <xdr:pic>
      <xdr:nvPicPr>
        <xdr:cNvPr id="111343" name="Picture 59" descr="3"/>
        <xdr:cNvPicPr>
          <a:picLocks noChangeAspect="1" noChangeArrowheads="1"/>
        </xdr:cNvPicPr>
      </xdr:nvPicPr>
      <xdr:blipFill>
        <a:blip xmlns:r="http://schemas.openxmlformats.org/officeDocument/2006/relationships" r:embed="rId65" r:link="rId66" cstate="print"/>
        <a:srcRect/>
        <a:stretch>
          <a:fillRect/>
        </a:stretch>
      </xdr:blipFill>
      <xdr:spPr bwMode="auto">
        <a:xfrm>
          <a:off x="1181100" y="17430750"/>
          <a:ext cx="514350" cy="485775"/>
        </a:xfrm>
        <a:prstGeom prst="rect">
          <a:avLst/>
        </a:prstGeom>
        <a:noFill/>
        <a:ln w="9525">
          <a:noFill/>
          <a:miter lim="800000"/>
          <a:headEnd/>
          <a:tailEnd/>
        </a:ln>
      </xdr:spPr>
    </xdr:pic>
    <xdr:clientData/>
  </xdr:twoCellAnchor>
  <xdr:twoCellAnchor>
    <xdr:from>
      <xdr:col>2</xdr:col>
      <xdr:colOff>0</xdr:colOff>
      <xdr:row>44</xdr:row>
      <xdr:rowOff>0</xdr:rowOff>
    </xdr:from>
    <xdr:to>
      <xdr:col>3</xdr:col>
      <xdr:colOff>0</xdr:colOff>
      <xdr:row>44</xdr:row>
      <xdr:rowOff>504825</xdr:rowOff>
    </xdr:to>
    <xdr:pic>
      <xdr:nvPicPr>
        <xdr:cNvPr id="111344" name="Picture 60" descr="3u"/>
        <xdr:cNvPicPr>
          <a:picLocks noChangeAspect="1" noChangeArrowheads="1"/>
        </xdr:cNvPicPr>
      </xdr:nvPicPr>
      <xdr:blipFill>
        <a:blip xmlns:r="http://schemas.openxmlformats.org/officeDocument/2006/relationships" r:embed="rId67" r:link="rId68" cstate="print"/>
        <a:srcRect/>
        <a:stretch>
          <a:fillRect/>
        </a:stretch>
      </xdr:blipFill>
      <xdr:spPr bwMode="auto">
        <a:xfrm>
          <a:off x="1181100" y="17916525"/>
          <a:ext cx="514350" cy="504825"/>
        </a:xfrm>
        <a:prstGeom prst="rect">
          <a:avLst/>
        </a:prstGeom>
        <a:noFill/>
        <a:ln w="9525">
          <a:noFill/>
          <a:miter lim="800000"/>
          <a:headEnd/>
          <a:tailEnd/>
        </a:ln>
      </xdr:spPr>
    </xdr:pic>
    <xdr:clientData/>
  </xdr:twoCellAnchor>
  <xdr:twoCellAnchor>
    <xdr:from>
      <xdr:col>2</xdr:col>
      <xdr:colOff>0</xdr:colOff>
      <xdr:row>45</xdr:row>
      <xdr:rowOff>0</xdr:rowOff>
    </xdr:from>
    <xdr:to>
      <xdr:col>3</xdr:col>
      <xdr:colOff>0</xdr:colOff>
      <xdr:row>45</xdr:row>
      <xdr:rowOff>476250</xdr:rowOff>
    </xdr:to>
    <xdr:pic>
      <xdr:nvPicPr>
        <xdr:cNvPr id="111345" name="Picture 61" descr="4"/>
        <xdr:cNvPicPr>
          <a:picLocks noChangeAspect="1" noChangeArrowheads="1"/>
        </xdr:cNvPicPr>
      </xdr:nvPicPr>
      <xdr:blipFill>
        <a:blip xmlns:r="http://schemas.openxmlformats.org/officeDocument/2006/relationships" r:embed="rId69" r:link="rId70" cstate="print"/>
        <a:srcRect/>
        <a:stretch>
          <a:fillRect/>
        </a:stretch>
      </xdr:blipFill>
      <xdr:spPr bwMode="auto">
        <a:xfrm>
          <a:off x="1181100" y="18421350"/>
          <a:ext cx="514350" cy="476250"/>
        </a:xfrm>
        <a:prstGeom prst="rect">
          <a:avLst/>
        </a:prstGeom>
        <a:noFill/>
        <a:ln w="9525">
          <a:noFill/>
          <a:miter lim="800000"/>
          <a:headEnd/>
          <a:tailEnd/>
        </a:ln>
      </xdr:spPr>
    </xdr:pic>
    <xdr:clientData/>
  </xdr:twoCellAnchor>
  <xdr:twoCellAnchor>
    <xdr:from>
      <xdr:col>2</xdr:col>
      <xdr:colOff>0</xdr:colOff>
      <xdr:row>46</xdr:row>
      <xdr:rowOff>0</xdr:rowOff>
    </xdr:from>
    <xdr:to>
      <xdr:col>3</xdr:col>
      <xdr:colOff>0</xdr:colOff>
      <xdr:row>46</xdr:row>
      <xdr:rowOff>485775</xdr:rowOff>
    </xdr:to>
    <xdr:pic>
      <xdr:nvPicPr>
        <xdr:cNvPr id="111346" name="Picture 62" descr="4u"/>
        <xdr:cNvPicPr>
          <a:picLocks noChangeAspect="1" noChangeArrowheads="1"/>
        </xdr:cNvPicPr>
      </xdr:nvPicPr>
      <xdr:blipFill>
        <a:blip xmlns:r="http://schemas.openxmlformats.org/officeDocument/2006/relationships" r:embed="rId71" r:link="rId72" cstate="print"/>
        <a:srcRect/>
        <a:stretch>
          <a:fillRect/>
        </a:stretch>
      </xdr:blipFill>
      <xdr:spPr bwMode="auto">
        <a:xfrm>
          <a:off x="1181100" y="18897600"/>
          <a:ext cx="514350" cy="485775"/>
        </a:xfrm>
        <a:prstGeom prst="rect">
          <a:avLst/>
        </a:prstGeom>
        <a:noFill/>
        <a:ln w="9525">
          <a:noFill/>
          <a:miter lim="800000"/>
          <a:headEnd/>
          <a:tailEnd/>
        </a:ln>
      </xdr:spPr>
    </xdr:pic>
    <xdr:clientData/>
  </xdr:twoCellAnchor>
  <xdr:twoCellAnchor>
    <xdr:from>
      <xdr:col>2</xdr:col>
      <xdr:colOff>0</xdr:colOff>
      <xdr:row>47</xdr:row>
      <xdr:rowOff>0</xdr:rowOff>
    </xdr:from>
    <xdr:to>
      <xdr:col>3</xdr:col>
      <xdr:colOff>0</xdr:colOff>
      <xdr:row>47</xdr:row>
      <xdr:rowOff>476250</xdr:rowOff>
    </xdr:to>
    <xdr:pic>
      <xdr:nvPicPr>
        <xdr:cNvPr id="111347" name="Picture 63" descr="5"/>
        <xdr:cNvPicPr>
          <a:picLocks noChangeAspect="1" noChangeArrowheads="1"/>
        </xdr:cNvPicPr>
      </xdr:nvPicPr>
      <xdr:blipFill>
        <a:blip xmlns:r="http://schemas.openxmlformats.org/officeDocument/2006/relationships" r:embed="rId73" r:link="rId74" cstate="print"/>
        <a:srcRect/>
        <a:stretch>
          <a:fillRect/>
        </a:stretch>
      </xdr:blipFill>
      <xdr:spPr bwMode="auto">
        <a:xfrm>
          <a:off x="1181100" y="19383375"/>
          <a:ext cx="514350" cy="476250"/>
        </a:xfrm>
        <a:prstGeom prst="rect">
          <a:avLst/>
        </a:prstGeom>
        <a:noFill/>
        <a:ln w="9525">
          <a:noFill/>
          <a:miter lim="800000"/>
          <a:headEnd/>
          <a:tailEnd/>
        </a:ln>
      </xdr:spPr>
    </xdr:pic>
    <xdr:clientData/>
  </xdr:twoCellAnchor>
  <xdr:twoCellAnchor>
    <xdr:from>
      <xdr:col>2</xdr:col>
      <xdr:colOff>0</xdr:colOff>
      <xdr:row>48</xdr:row>
      <xdr:rowOff>9525</xdr:rowOff>
    </xdr:from>
    <xdr:to>
      <xdr:col>3</xdr:col>
      <xdr:colOff>0</xdr:colOff>
      <xdr:row>49</xdr:row>
      <xdr:rowOff>9525</xdr:rowOff>
    </xdr:to>
    <xdr:pic>
      <xdr:nvPicPr>
        <xdr:cNvPr id="111348" name="Picture 64" descr="5u"/>
        <xdr:cNvPicPr>
          <a:picLocks noChangeAspect="1" noChangeArrowheads="1"/>
        </xdr:cNvPicPr>
      </xdr:nvPicPr>
      <xdr:blipFill>
        <a:blip xmlns:r="http://schemas.openxmlformats.org/officeDocument/2006/relationships" r:embed="rId75" r:link="rId76" cstate="print"/>
        <a:srcRect/>
        <a:stretch>
          <a:fillRect/>
        </a:stretch>
      </xdr:blipFill>
      <xdr:spPr bwMode="auto">
        <a:xfrm>
          <a:off x="1438275" y="19850100"/>
          <a:ext cx="514350" cy="495300"/>
        </a:xfrm>
        <a:prstGeom prst="rect">
          <a:avLst/>
        </a:prstGeom>
        <a:noFill/>
        <a:ln w="9525">
          <a:noFill/>
          <a:miter lim="800000"/>
          <a:headEnd/>
          <a:tailEnd/>
        </a:ln>
      </xdr:spPr>
    </xdr:pic>
    <xdr:clientData/>
  </xdr:twoCellAnchor>
  <xdr:twoCellAnchor>
    <xdr:from>
      <xdr:col>2</xdr:col>
      <xdr:colOff>0</xdr:colOff>
      <xdr:row>49</xdr:row>
      <xdr:rowOff>0</xdr:rowOff>
    </xdr:from>
    <xdr:to>
      <xdr:col>3</xdr:col>
      <xdr:colOff>0</xdr:colOff>
      <xdr:row>49</xdr:row>
      <xdr:rowOff>485775</xdr:rowOff>
    </xdr:to>
    <xdr:pic>
      <xdr:nvPicPr>
        <xdr:cNvPr id="111349" name="Picture 65" descr="6"/>
        <xdr:cNvPicPr>
          <a:picLocks noChangeAspect="1" noChangeArrowheads="1"/>
        </xdr:cNvPicPr>
      </xdr:nvPicPr>
      <xdr:blipFill>
        <a:blip xmlns:r="http://schemas.openxmlformats.org/officeDocument/2006/relationships" r:embed="rId77" r:link="rId78" cstate="print"/>
        <a:srcRect/>
        <a:stretch>
          <a:fillRect/>
        </a:stretch>
      </xdr:blipFill>
      <xdr:spPr bwMode="auto">
        <a:xfrm>
          <a:off x="1181100" y="20354925"/>
          <a:ext cx="514350" cy="485775"/>
        </a:xfrm>
        <a:prstGeom prst="rect">
          <a:avLst/>
        </a:prstGeom>
        <a:noFill/>
        <a:ln w="9525">
          <a:noFill/>
          <a:miter lim="800000"/>
          <a:headEnd/>
          <a:tailEnd/>
        </a:ln>
      </xdr:spPr>
    </xdr:pic>
    <xdr:clientData/>
  </xdr:twoCellAnchor>
  <xdr:twoCellAnchor>
    <xdr:from>
      <xdr:col>2</xdr:col>
      <xdr:colOff>0</xdr:colOff>
      <xdr:row>50</xdr:row>
      <xdr:rowOff>0</xdr:rowOff>
    </xdr:from>
    <xdr:to>
      <xdr:col>3</xdr:col>
      <xdr:colOff>0</xdr:colOff>
      <xdr:row>50</xdr:row>
      <xdr:rowOff>476250</xdr:rowOff>
    </xdr:to>
    <xdr:pic>
      <xdr:nvPicPr>
        <xdr:cNvPr id="111350" name="Picture 66" descr="6u"/>
        <xdr:cNvPicPr>
          <a:picLocks noChangeAspect="1" noChangeArrowheads="1"/>
        </xdr:cNvPicPr>
      </xdr:nvPicPr>
      <xdr:blipFill>
        <a:blip xmlns:r="http://schemas.openxmlformats.org/officeDocument/2006/relationships" r:embed="rId79" r:link="rId80" cstate="print"/>
        <a:srcRect/>
        <a:stretch>
          <a:fillRect/>
        </a:stretch>
      </xdr:blipFill>
      <xdr:spPr bwMode="auto">
        <a:xfrm>
          <a:off x="1181100" y="20840700"/>
          <a:ext cx="514350" cy="476250"/>
        </a:xfrm>
        <a:prstGeom prst="rect">
          <a:avLst/>
        </a:prstGeom>
        <a:noFill/>
        <a:ln w="9525">
          <a:noFill/>
          <a:miter lim="800000"/>
          <a:headEnd/>
          <a:tailEnd/>
        </a:ln>
      </xdr:spPr>
    </xdr:pic>
    <xdr:clientData/>
  </xdr:twoCellAnchor>
  <xdr:twoCellAnchor>
    <xdr:from>
      <xdr:col>2</xdr:col>
      <xdr:colOff>0</xdr:colOff>
      <xdr:row>51</xdr:row>
      <xdr:rowOff>0</xdr:rowOff>
    </xdr:from>
    <xdr:to>
      <xdr:col>3</xdr:col>
      <xdr:colOff>0</xdr:colOff>
      <xdr:row>51</xdr:row>
      <xdr:rowOff>476250</xdr:rowOff>
    </xdr:to>
    <xdr:pic>
      <xdr:nvPicPr>
        <xdr:cNvPr id="111351" name="Picture 67" descr="7"/>
        <xdr:cNvPicPr>
          <a:picLocks noChangeAspect="1" noChangeArrowheads="1"/>
        </xdr:cNvPicPr>
      </xdr:nvPicPr>
      <xdr:blipFill>
        <a:blip xmlns:r="http://schemas.openxmlformats.org/officeDocument/2006/relationships" r:embed="rId81" r:link="rId82" cstate="print"/>
        <a:srcRect/>
        <a:stretch>
          <a:fillRect/>
        </a:stretch>
      </xdr:blipFill>
      <xdr:spPr bwMode="auto">
        <a:xfrm>
          <a:off x="1181100" y="21316950"/>
          <a:ext cx="514350" cy="476250"/>
        </a:xfrm>
        <a:prstGeom prst="rect">
          <a:avLst/>
        </a:prstGeom>
        <a:noFill/>
        <a:ln w="9525">
          <a:noFill/>
          <a:miter lim="800000"/>
          <a:headEnd/>
          <a:tailEnd/>
        </a:ln>
      </xdr:spPr>
    </xdr:pic>
    <xdr:clientData/>
  </xdr:twoCellAnchor>
  <xdr:twoCellAnchor>
    <xdr:from>
      <xdr:col>2</xdr:col>
      <xdr:colOff>0</xdr:colOff>
      <xdr:row>52</xdr:row>
      <xdr:rowOff>0</xdr:rowOff>
    </xdr:from>
    <xdr:to>
      <xdr:col>3</xdr:col>
      <xdr:colOff>0</xdr:colOff>
      <xdr:row>52</xdr:row>
      <xdr:rowOff>485775</xdr:rowOff>
    </xdr:to>
    <xdr:pic>
      <xdr:nvPicPr>
        <xdr:cNvPr id="111352" name="Picture 68" descr="7u"/>
        <xdr:cNvPicPr>
          <a:picLocks noChangeAspect="1" noChangeArrowheads="1"/>
        </xdr:cNvPicPr>
      </xdr:nvPicPr>
      <xdr:blipFill>
        <a:blip xmlns:r="http://schemas.openxmlformats.org/officeDocument/2006/relationships" r:embed="rId83" r:link="rId84" cstate="print"/>
        <a:srcRect/>
        <a:stretch>
          <a:fillRect/>
        </a:stretch>
      </xdr:blipFill>
      <xdr:spPr bwMode="auto">
        <a:xfrm>
          <a:off x="1181100" y="21793200"/>
          <a:ext cx="514350" cy="485775"/>
        </a:xfrm>
        <a:prstGeom prst="rect">
          <a:avLst/>
        </a:prstGeom>
        <a:noFill/>
        <a:ln w="9525">
          <a:noFill/>
          <a:miter lim="800000"/>
          <a:headEnd/>
          <a:tailEnd/>
        </a:ln>
      </xdr:spPr>
    </xdr:pic>
    <xdr:clientData/>
  </xdr:twoCellAnchor>
  <xdr:twoCellAnchor>
    <xdr:from>
      <xdr:col>2</xdr:col>
      <xdr:colOff>0</xdr:colOff>
      <xdr:row>53</xdr:row>
      <xdr:rowOff>0</xdr:rowOff>
    </xdr:from>
    <xdr:to>
      <xdr:col>3</xdr:col>
      <xdr:colOff>0</xdr:colOff>
      <xdr:row>54</xdr:row>
      <xdr:rowOff>0</xdr:rowOff>
    </xdr:to>
    <xdr:pic>
      <xdr:nvPicPr>
        <xdr:cNvPr id="111353" name="Picture 69" descr="1"/>
        <xdr:cNvPicPr>
          <a:picLocks noChangeAspect="1" noChangeArrowheads="1"/>
        </xdr:cNvPicPr>
      </xdr:nvPicPr>
      <xdr:blipFill>
        <a:blip xmlns:r="http://schemas.openxmlformats.org/officeDocument/2006/relationships" r:embed="rId85" r:link="rId86" cstate="print"/>
        <a:srcRect/>
        <a:stretch>
          <a:fillRect/>
        </a:stretch>
      </xdr:blipFill>
      <xdr:spPr bwMode="auto">
        <a:xfrm>
          <a:off x="1438275" y="22393275"/>
          <a:ext cx="514350" cy="485775"/>
        </a:xfrm>
        <a:prstGeom prst="rect">
          <a:avLst/>
        </a:prstGeom>
        <a:noFill/>
        <a:ln w="9525">
          <a:noFill/>
          <a:miter lim="800000"/>
          <a:headEnd/>
          <a:tailEnd/>
        </a:ln>
      </xdr:spPr>
    </xdr:pic>
    <xdr:clientData/>
  </xdr:twoCellAnchor>
  <xdr:twoCellAnchor>
    <xdr:from>
      <xdr:col>2</xdr:col>
      <xdr:colOff>0</xdr:colOff>
      <xdr:row>54</xdr:row>
      <xdr:rowOff>0</xdr:rowOff>
    </xdr:from>
    <xdr:to>
      <xdr:col>3</xdr:col>
      <xdr:colOff>0</xdr:colOff>
      <xdr:row>54</xdr:row>
      <xdr:rowOff>504825</xdr:rowOff>
    </xdr:to>
    <xdr:pic>
      <xdr:nvPicPr>
        <xdr:cNvPr id="111354" name="Picture 70" descr="1u"/>
        <xdr:cNvPicPr>
          <a:picLocks noChangeAspect="1" noChangeArrowheads="1"/>
        </xdr:cNvPicPr>
      </xdr:nvPicPr>
      <xdr:blipFill>
        <a:blip xmlns:r="http://schemas.openxmlformats.org/officeDocument/2006/relationships" r:embed="rId87" r:link="rId88" cstate="print"/>
        <a:srcRect/>
        <a:stretch>
          <a:fillRect/>
        </a:stretch>
      </xdr:blipFill>
      <xdr:spPr bwMode="auto">
        <a:xfrm>
          <a:off x="1181100" y="23050500"/>
          <a:ext cx="514350" cy="504825"/>
        </a:xfrm>
        <a:prstGeom prst="rect">
          <a:avLst/>
        </a:prstGeom>
        <a:noFill/>
        <a:ln w="9525">
          <a:noFill/>
          <a:miter lim="800000"/>
          <a:headEnd/>
          <a:tailEnd/>
        </a:ln>
      </xdr:spPr>
    </xdr:pic>
    <xdr:clientData/>
  </xdr:twoCellAnchor>
  <xdr:twoCellAnchor>
    <xdr:from>
      <xdr:col>2</xdr:col>
      <xdr:colOff>0</xdr:colOff>
      <xdr:row>55</xdr:row>
      <xdr:rowOff>0</xdr:rowOff>
    </xdr:from>
    <xdr:to>
      <xdr:col>3</xdr:col>
      <xdr:colOff>0</xdr:colOff>
      <xdr:row>55</xdr:row>
      <xdr:rowOff>495300</xdr:rowOff>
    </xdr:to>
    <xdr:pic>
      <xdr:nvPicPr>
        <xdr:cNvPr id="111355" name="Picture 71" descr="2"/>
        <xdr:cNvPicPr>
          <a:picLocks noChangeAspect="1" noChangeArrowheads="1"/>
        </xdr:cNvPicPr>
      </xdr:nvPicPr>
      <xdr:blipFill>
        <a:blip xmlns:r="http://schemas.openxmlformats.org/officeDocument/2006/relationships" r:embed="rId89" r:link="rId90" cstate="print"/>
        <a:srcRect/>
        <a:stretch>
          <a:fillRect/>
        </a:stretch>
      </xdr:blipFill>
      <xdr:spPr bwMode="auto">
        <a:xfrm>
          <a:off x="1181100" y="23555325"/>
          <a:ext cx="514350" cy="495300"/>
        </a:xfrm>
        <a:prstGeom prst="rect">
          <a:avLst/>
        </a:prstGeom>
        <a:noFill/>
        <a:ln w="9525">
          <a:noFill/>
          <a:miter lim="800000"/>
          <a:headEnd/>
          <a:tailEnd/>
        </a:ln>
      </xdr:spPr>
    </xdr:pic>
    <xdr:clientData/>
  </xdr:twoCellAnchor>
  <xdr:twoCellAnchor>
    <xdr:from>
      <xdr:col>2</xdr:col>
      <xdr:colOff>0</xdr:colOff>
      <xdr:row>56</xdr:row>
      <xdr:rowOff>0</xdr:rowOff>
    </xdr:from>
    <xdr:to>
      <xdr:col>3</xdr:col>
      <xdr:colOff>0</xdr:colOff>
      <xdr:row>56</xdr:row>
      <xdr:rowOff>485775</xdr:rowOff>
    </xdr:to>
    <xdr:pic>
      <xdr:nvPicPr>
        <xdr:cNvPr id="111356" name="Picture 72" descr="2u"/>
        <xdr:cNvPicPr>
          <a:picLocks noChangeAspect="1" noChangeArrowheads="1"/>
        </xdr:cNvPicPr>
      </xdr:nvPicPr>
      <xdr:blipFill>
        <a:blip xmlns:r="http://schemas.openxmlformats.org/officeDocument/2006/relationships" r:embed="rId91" r:link="rId92" cstate="print"/>
        <a:srcRect/>
        <a:stretch>
          <a:fillRect/>
        </a:stretch>
      </xdr:blipFill>
      <xdr:spPr bwMode="auto">
        <a:xfrm>
          <a:off x="1181100" y="24050625"/>
          <a:ext cx="514350" cy="485775"/>
        </a:xfrm>
        <a:prstGeom prst="rect">
          <a:avLst/>
        </a:prstGeom>
        <a:noFill/>
        <a:ln w="9525">
          <a:noFill/>
          <a:miter lim="800000"/>
          <a:headEnd/>
          <a:tailEnd/>
        </a:ln>
      </xdr:spPr>
    </xdr:pic>
    <xdr:clientData/>
  </xdr:twoCellAnchor>
  <xdr:twoCellAnchor>
    <xdr:from>
      <xdr:col>2</xdr:col>
      <xdr:colOff>0</xdr:colOff>
      <xdr:row>57</xdr:row>
      <xdr:rowOff>0</xdr:rowOff>
    </xdr:from>
    <xdr:to>
      <xdr:col>3</xdr:col>
      <xdr:colOff>0</xdr:colOff>
      <xdr:row>57</xdr:row>
      <xdr:rowOff>495300</xdr:rowOff>
    </xdr:to>
    <xdr:pic>
      <xdr:nvPicPr>
        <xdr:cNvPr id="111357" name="Picture 73" descr="3"/>
        <xdr:cNvPicPr>
          <a:picLocks noChangeAspect="1" noChangeArrowheads="1"/>
        </xdr:cNvPicPr>
      </xdr:nvPicPr>
      <xdr:blipFill>
        <a:blip xmlns:r="http://schemas.openxmlformats.org/officeDocument/2006/relationships" r:embed="rId93" r:link="rId94" cstate="print"/>
        <a:srcRect/>
        <a:stretch>
          <a:fillRect/>
        </a:stretch>
      </xdr:blipFill>
      <xdr:spPr bwMode="auto">
        <a:xfrm>
          <a:off x="1181100" y="24536400"/>
          <a:ext cx="514350" cy="495300"/>
        </a:xfrm>
        <a:prstGeom prst="rect">
          <a:avLst/>
        </a:prstGeom>
        <a:noFill/>
        <a:ln w="9525">
          <a:noFill/>
          <a:miter lim="800000"/>
          <a:headEnd/>
          <a:tailEnd/>
        </a:ln>
      </xdr:spPr>
    </xdr:pic>
    <xdr:clientData/>
  </xdr:twoCellAnchor>
  <xdr:twoCellAnchor>
    <xdr:from>
      <xdr:col>2</xdr:col>
      <xdr:colOff>0</xdr:colOff>
      <xdr:row>58</xdr:row>
      <xdr:rowOff>0</xdr:rowOff>
    </xdr:from>
    <xdr:to>
      <xdr:col>3</xdr:col>
      <xdr:colOff>0</xdr:colOff>
      <xdr:row>58</xdr:row>
      <xdr:rowOff>495300</xdr:rowOff>
    </xdr:to>
    <xdr:pic>
      <xdr:nvPicPr>
        <xdr:cNvPr id="111358" name="Picture 74" descr="3u"/>
        <xdr:cNvPicPr>
          <a:picLocks noChangeAspect="1" noChangeArrowheads="1"/>
        </xdr:cNvPicPr>
      </xdr:nvPicPr>
      <xdr:blipFill>
        <a:blip xmlns:r="http://schemas.openxmlformats.org/officeDocument/2006/relationships" r:embed="rId95" r:link="rId96" cstate="print"/>
        <a:srcRect/>
        <a:stretch>
          <a:fillRect/>
        </a:stretch>
      </xdr:blipFill>
      <xdr:spPr bwMode="auto">
        <a:xfrm>
          <a:off x="1181100" y="25031700"/>
          <a:ext cx="514350" cy="495300"/>
        </a:xfrm>
        <a:prstGeom prst="rect">
          <a:avLst/>
        </a:prstGeom>
        <a:noFill/>
        <a:ln w="9525">
          <a:noFill/>
          <a:miter lim="800000"/>
          <a:headEnd/>
          <a:tailEnd/>
        </a:ln>
      </xdr:spPr>
    </xdr:pic>
    <xdr:clientData/>
  </xdr:twoCellAnchor>
  <xdr:twoCellAnchor>
    <xdr:from>
      <xdr:col>2</xdr:col>
      <xdr:colOff>0</xdr:colOff>
      <xdr:row>59</xdr:row>
      <xdr:rowOff>0</xdr:rowOff>
    </xdr:from>
    <xdr:to>
      <xdr:col>3</xdr:col>
      <xdr:colOff>0</xdr:colOff>
      <xdr:row>59</xdr:row>
      <xdr:rowOff>495300</xdr:rowOff>
    </xdr:to>
    <xdr:pic>
      <xdr:nvPicPr>
        <xdr:cNvPr id="111359" name="Picture 75" descr="4"/>
        <xdr:cNvPicPr>
          <a:picLocks noChangeAspect="1" noChangeArrowheads="1"/>
        </xdr:cNvPicPr>
      </xdr:nvPicPr>
      <xdr:blipFill>
        <a:blip xmlns:r="http://schemas.openxmlformats.org/officeDocument/2006/relationships" r:embed="rId97" r:link="rId98" cstate="print"/>
        <a:srcRect/>
        <a:stretch>
          <a:fillRect/>
        </a:stretch>
      </xdr:blipFill>
      <xdr:spPr bwMode="auto">
        <a:xfrm>
          <a:off x="1181100" y="25527000"/>
          <a:ext cx="514350" cy="495300"/>
        </a:xfrm>
        <a:prstGeom prst="rect">
          <a:avLst/>
        </a:prstGeom>
        <a:noFill/>
        <a:ln w="9525">
          <a:noFill/>
          <a:miter lim="800000"/>
          <a:headEnd/>
          <a:tailEnd/>
        </a:ln>
      </xdr:spPr>
    </xdr:pic>
    <xdr:clientData/>
  </xdr:twoCellAnchor>
  <xdr:twoCellAnchor>
    <xdr:from>
      <xdr:col>2</xdr:col>
      <xdr:colOff>0</xdr:colOff>
      <xdr:row>60</xdr:row>
      <xdr:rowOff>0</xdr:rowOff>
    </xdr:from>
    <xdr:to>
      <xdr:col>3</xdr:col>
      <xdr:colOff>0</xdr:colOff>
      <xdr:row>60</xdr:row>
      <xdr:rowOff>485775</xdr:rowOff>
    </xdr:to>
    <xdr:pic>
      <xdr:nvPicPr>
        <xdr:cNvPr id="111360" name="Picture 76" descr="4u"/>
        <xdr:cNvPicPr>
          <a:picLocks noChangeAspect="1" noChangeArrowheads="1"/>
        </xdr:cNvPicPr>
      </xdr:nvPicPr>
      <xdr:blipFill>
        <a:blip xmlns:r="http://schemas.openxmlformats.org/officeDocument/2006/relationships" r:embed="rId99" r:link="rId100" cstate="print"/>
        <a:srcRect/>
        <a:stretch>
          <a:fillRect/>
        </a:stretch>
      </xdr:blipFill>
      <xdr:spPr bwMode="auto">
        <a:xfrm>
          <a:off x="1181100" y="26022300"/>
          <a:ext cx="514350" cy="485775"/>
        </a:xfrm>
        <a:prstGeom prst="rect">
          <a:avLst/>
        </a:prstGeom>
        <a:noFill/>
        <a:ln w="9525">
          <a:noFill/>
          <a:miter lim="800000"/>
          <a:headEnd/>
          <a:tailEnd/>
        </a:ln>
      </xdr:spPr>
    </xdr:pic>
    <xdr:clientData/>
  </xdr:twoCellAnchor>
  <xdr:twoCellAnchor>
    <xdr:from>
      <xdr:col>2</xdr:col>
      <xdr:colOff>0</xdr:colOff>
      <xdr:row>61</xdr:row>
      <xdr:rowOff>9525</xdr:rowOff>
    </xdr:from>
    <xdr:to>
      <xdr:col>3</xdr:col>
      <xdr:colOff>0</xdr:colOff>
      <xdr:row>62</xdr:row>
      <xdr:rowOff>9525</xdr:rowOff>
    </xdr:to>
    <xdr:pic>
      <xdr:nvPicPr>
        <xdr:cNvPr id="111361" name="Picture 77" descr="5"/>
        <xdr:cNvPicPr>
          <a:picLocks noChangeAspect="1" noChangeArrowheads="1"/>
        </xdr:cNvPicPr>
      </xdr:nvPicPr>
      <xdr:blipFill>
        <a:blip xmlns:r="http://schemas.openxmlformats.org/officeDocument/2006/relationships" r:embed="rId101" r:link="rId102" cstate="print"/>
        <a:srcRect/>
        <a:stretch>
          <a:fillRect/>
        </a:stretch>
      </xdr:blipFill>
      <xdr:spPr bwMode="auto">
        <a:xfrm>
          <a:off x="1438275" y="26346150"/>
          <a:ext cx="514350" cy="495300"/>
        </a:xfrm>
        <a:prstGeom prst="rect">
          <a:avLst/>
        </a:prstGeom>
        <a:noFill/>
        <a:ln w="9525">
          <a:noFill/>
          <a:miter lim="800000"/>
          <a:headEnd/>
          <a:tailEnd/>
        </a:ln>
      </xdr:spPr>
    </xdr:pic>
    <xdr:clientData/>
  </xdr:twoCellAnchor>
  <xdr:twoCellAnchor>
    <xdr:from>
      <xdr:col>2</xdr:col>
      <xdr:colOff>0</xdr:colOff>
      <xdr:row>62</xdr:row>
      <xdr:rowOff>0</xdr:rowOff>
    </xdr:from>
    <xdr:to>
      <xdr:col>3</xdr:col>
      <xdr:colOff>0</xdr:colOff>
      <xdr:row>62</xdr:row>
      <xdr:rowOff>495300</xdr:rowOff>
    </xdr:to>
    <xdr:pic>
      <xdr:nvPicPr>
        <xdr:cNvPr id="111362" name="Picture 78" descr="5u"/>
        <xdr:cNvPicPr>
          <a:picLocks noChangeAspect="1" noChangeArrowheads="1"/>
        </xdr:cNvPicPr>
      </xdr:nvPicPr>
      <xdr:blipFill>
        <a:blip xmlns:r="http://schemas.openxmlformats.org/officeDocument/2006/relationships" r:embed="rId103" r:link="rId104" cstate="print"/>
        <a:srcRect/>
        <a:stretch>
          <a:fillRect/>
        </a:stretch>
      </xdr:blipFill>
      <xdr:spPr bwMode="auto">
        <a:xfrm>
          <a:off x="1181100" y="27003375"/>
          <a:ext cx="514350" cy="495300"/>
        </a:xfrm>
        <a:prstGeom prst="rect">
          <a:avLst/>
        </a:prstGeom>
        <a:noFill/>
        <a:ln w="9525">
          <a:noFill/>
          <a:miter lim="800000"/>
          <a:headEnd/>
          <a:tailEnd/>
        </a:ln>
      </xdr:spPr>
    </xdr:pic>
    <xdr:clientData/>
  </xdr:twoCellAnchor>
  <xdr:twoCellAnchor>
    <xdr:from>
      <xdr:col>2</xdr:col>
      <xdr:colOff>0</xdr:colOff>
      <xdr:row>63</xdr:row>
      <xdr:rowOff>0</xdr:rowOff>
    </xdr:from>
    <xdr:to>
      <xdr:col>3</xdr:col>
      <xdr:colOff>0</xdr:colOff>
      <xdr:row>63</xdr:row>
      <xdr:rowOff>495300</xdr:rowOff>
    </xdr:to>
    <xdr:pic>
      <xdr:nvPicPr>
        <xdr:cNvPr id="111363" name="Picture 79" descr="6"/>
        <xdr:cNvPicPr>
          <a:picLocks noChangeAspect="1" noChangeArrowheads="1"/>
        </xdr:cNvPicPr>
      </xdr:nvPicPr>
      <xdr:blipFill>
        <a:blip xmlns:r="http://schemas.openxmlformats.org/officeDocument/2006/relationships" r:embed="rId105" r:link="rId106" cstate="print"/>
        <a:srcRect/>
        <a:stretch>
          <a:fillRect/>
        </a:stretch>
      </xdr:blipFill>
      <xdr:spPr bwMode="auto">
        <a:xfrm>
          <a:off x="1181100" y="27498675"/>
          <a:ext cx="514350" cy="495300"/>
        </a:xfrm>
        <a:prstGeom prst="rect">
          <a:avLst/>
        </a:prstGeom>
        <a:noFill/>
        <a:ln w="9525">
          <a:noFill/>
          <a:miter lim="800000"/>
          <a:headEnd/>
          <a:tailEnd/>
        </a:ln>
      </xdr:spPr>
    </xdr:pic>
    <xdr:clientData/>
  </xdr:twoCellAnchor>
  <xdr:twoCellAnchor>
    <xdr:from>
      <xdr:col>2</xdr:col>
      <xdr:colOff>0</xdr:colOff>
      <xdr:row>64</xdr:row>
      <xdr:rowOff>0</xdr:rowOff>
    </xdr:from>
    <xdr:to>
      <xdr:col>3</xdr:col>
      <xdr:colOff>0</xdr:colOff>
      <xdr:row>64</xdr:row>
      <xdr:rowOff>476250</xdr:rowOff>
    </xdr:to>
    <xdr:pic>
      <xdr:nvPicPr>
        <xdr:cNvPr id="111364" name="Picture 80" descr="6u"/>
        <xdr:cNvPicPr>
          <a:picLocks noChangeAspect="1" noChangeArrowheads="1"/>
        </xdr:cNvPicPr>
      </xdr:nvPicPr>
      <xdr:blipFill>
        <a:blip xmlns:r="http://schemas.openxmlformats.org/officeDocument/2006/relationships" r:embed="rId107" r:link="rId108" cstate="print"/>
        <a:srcRect/>
        <a:stretch>
          <a:fillRect/>
        </a:stretch>
      </xdr:blipFill>
      <xdr:spPr bwMode="auto">
        <a:xfrm>
          <a:off x="1181100" y="27993975"/>
          <a:ext cx="514350" cy="476250"/>
        </a:xfrm>
        <a:prstGeom prst="rect">
          <a:avLst/>
        </a:prstGeom>
        <a:noFill/>
        <a:ln w="9525">
          <a:noFill/>
          <a:miter lim="800000"/>
          <a:headEnd/>
          <a:tailEnd/>
        </a:ln>
      </xdr:spPr>
    </xdr:pic>
    <xdr:clientData/>
  </xdr:twoCellAnchor>
  <xdr:twoCellAnchor>
    <xdr:from>
      <xdr:col>2</xdr:col>
      <xdr:colOff>0</xdr:colOff>
      <xdr:row>65</xdr:row>
      <xdr:rowOff>0</xdr:rowOff>
    </xdr:from>
    <xdr:to>
      <xdr:col>3</xdr:col>
      <xdr:colOff>0</xdr:colOff>
      <xdr:row>65</xdr:row>
      <xdr:rowOff>466725</xdr:rowOff>
    </xdr:to>
    <xdr:pic>
      <xdr:nvPicPr>
        <xdr:cNvPr id="111365" name="Picture 81" descr="7"/>
        <xdr:cNvPicPr>
          <a:picLocks noChangeAspect="1" noChangeArrowheads="1"/>
        </xdr:cNvPicPr>
      </xdr:nvPicPr>
      <xdr:blipFill>
        <a:blip xmlns:r="http://schemas.openxmlformats.org/officeDocument/2006/relationships" r:embed="rId109" r:link="rId110" cstate="print"/>
        <a:srcRect/>
        <a:stretch>
          <a:fillRect/>
        </a:stretch>
      </xdr:blipFill>
      <xdr:spPr bwMode="auto">
        <a:xfrm>
          <a:off x="1181100" y="28470225"/>
          <a:ext cx="514350" cy="466725"/>
        </a:xfrm>
        <a:prstGeom prst="rect">
          <a:avLst/>
        </a:prstGeom>
        <a:noFill/>
        <a:ln w="9525">
          <a:noFill/>
          <a:miter lim="800000"/>
          <a:headEnd/>
          <a:tailEnd/>
        </a:ln>
      </xdr:spPr>
    </xdr:pic>
    <xdr:clientData/>
  </xdr:twoCellAnchor>
  <xdr:twoCellAnchor>
    <xdr:from>
      <xdr:col>2</xdr:col>
      <xdr:colOff>0</xdr:colOff>
      <xdr:row>66</xdr:row>
      <xdr:rowOff>0</xdr:rowOff>
    </xdr:from>
    <xdr:to>
      <xdr:col>3</xdr:col>
      <xdr:colOff>0</xdr:colOff>
      <xdr:row>66</xdr:row>
      <xdr:rowOff>485775</xdr:rowOff>
    </xdr:to>
    <xdr:pic>
      <xdr:nvPicPr>
        <xdr:cNvPr id="111366" name="Picture 82" descr="7u"/>
        <xdr:cNvPicPr>
          <a:picLocks noChangeAspect="1" noChangeArrowheads="1"/>
        </xdr:cNvPicPr>
      </xdr:nvPicPr>
      <xdr:blipFill>
        <a:blip xmlns:r="http://schemas.openxmlformats.org/officeDocument/2006/relationships" r:embed="rId111" r:link="rId112" cstate="print"/>
        <a:srcRect/>
        <a:stretch>
          <a:fillRect/>
        </a:stretch>
      </xdr:blipFill>
      <xdr:spPr bwMode="auto">
        <a:xfrm>
          <a:off x="1181100" y="28936950"/>
          <a:ext cx="514350" cy="485775"/>
        </a:xfrm>
        <a:prstGeom prst="rect">
          <a:avLst/>
        </a:prstGeom>
        <a:noFill/>
        <a:ln w="9525">
          <a:noFill/>
          <a:miter lim="800000"/>
          <a:headEnd/>
          <a:tailEnd/>
        </a:ln>
      </xdr:spPr>
    </xdr:pic>
    <xdr:clientData/>
  </xdr:twoCellAnchor>
  <xdr:twoCellAnchor>
    <xdr:from>
      <xdr:col>2</xdr:col>
      <xdr:colOff>0</xdr:colOff>
      <xdr:row>67</xdr:row>
      <xdr:rowOff>0</xdr:rowOff>
    </xdr:from>
    <xdr:to>
      <xdr:col>3</xdr:col>
      <xdr:colOff>0</xdr:colOff>
      <xdr:row>67</xdr:row>
      <xdr:rowOff>495300</xdr:rowOff>
    </xdr:to>
    <xdr:pic>
      <xdr:nvPicPr>
        <xdr:cNvPr id="111367" name="Picture 83" descr="1"/>
        <xdr:cNvPicPr>
          <a:picLocks noChangeAspect="1" noChangeArrowheads="1"/>
        </xdr:cNvPicPr>
      </xdr:nvPicPr>
      <xdr:blipFill>
        <a:blip xmlns:r="http://schemas.openxmlformats.org/officeDocument/2006/relationships" r:embed="rId113" r:link="rId114" cstate="print"/>
        <a:srcRect/>
        <a:stretch>
          <a:fillRect/>
        </a:stretch>
      </xdr:blipFill>
      <xdr:spPr bwMode="auto">
        <a:xfrm>
          <a:off x="1181100" y="29422725"/>
          <a:ext cx="514350" cy="495300"/>
        </a:xfrm>
        <a:prstGeom prst="rect">
          <a:avLst/>
        </a:prstGeom>
        <a:noFill/>
        <a:ln w="9525">
          <a:noFill/>
          <a:miter lim="800000"/>
          <a:headEnd/>
          <a:tailEnd/>
        </a:ln>
      </xdr:spPr>
    </xdr:pic>
    <xdr:clientData/>
  </xdr:twoCellAnchor>
  <xdr:twoCellAnchor>
    <xdr:from>
      <xdr:col>2</xdr:col>
      <xdr:colOff>0</xdr:colOff>
      <xdr:row>68</xdr:row>
      <xdr:rowOff>0</xdr:rowOff>
    </xdr:from>
    <xdr:to>
      <xdr:col>3</xdr:col>
      <xdr:colOff>0</xdr:colOff>
      <xdr:row>68</xdr:row>
      <xdr:rowOff>485775</xdr:rowOff>
    </xdr:to>
    <xdr:pic>
      <xdr:nvPicPr>
        <xdr:cNvPr id="111368" name="Picture 84" descr="1u"/>
        <xdr:cNvPicPr>
          <a:picLocks noChangeAspect="1" noChangeArrowheads="1"/>
        </xdr:cNvPicPr>
      </xdr:nvPicPr>
      <xdr:blipFill>
        <a:blip xmlns:r="http://schemas.openxmlformats.org/officeDocument/2006/relationships" r:embed="rId115" r:link="rId116" cstate="print"/>
        <a:srcRect/>
        <a:stretch>
          <a:fillRect/>
        </a:stretch>
      </xdr:blipFill>
      <xdr:spPr bwMode="auto">
        <a:xfrm>
          <a:off x="1181100" y="29918025"/>
          <a:ext cx="514350" cy="485775"/>
        </a:xfrm>
        <a:prstGeom prst="rect">
          <a:avLst/>
        </a:prstGeom>
        <a:noFill/>
        <a:ln w="9525">
          <a:noFill/>
          <a:miter lim="800000"/>
          <a:headEnd/>
          <a:tailEnd/>
        </a:ln>
      </xdr:spPr>
    </xdr:pic>
    <xdr:clientData/>
  </xdr:twoCellAnchor>
  <xdr:twoCellAnchor>
    <xdr:from>
      <xdr:col>2</xdr:col>
      <xdr:colOff>0</xdr:colOff>
      <xdr:row>69</xdr:row>
      <xdr:rowOff>0</xdr:rowOff>
    </xdr:from>
    <xdr:to>
      <xdr:col>3</xdr:col>
      <xdr:colOff>0</xdr:colOff>
      <xdr:row>69</xdr:row>
      <xdr:rowOff>504825</xdr:rowOff>
    </xdr:to>
    <xdr:pic>
      <xdr:nvPicPr>
        <xdr:cNvPr id="111369" name="Picture 85" descr="2"/>
        <xdr:cNvPicPr>
          <a:picLocks noChangeAspect="1" noChangeArrowheads="1"/>
        </xdr:cNvPicPr>
      </xdr:nvPicPr>
      <xdr:blipFill>
        <a:blip xmlns:r="http://schemas.openxmlformats.org/officeDocument/2006/relationships" r:embed="rId117" r:link="rId118" cstate="print"/>
        <a:srcRect/>
        <a:stretch>
          <a:fillRect/>
        </a:stretch>
      </xdr:blipFill>
      <xdr:spPr bwMode="auto">
        <a:xfrm>
          <a:off x="1181100" y="30403800"/>
          <a:ext cx="514350" cy="504825"/>
        </a:xfrm>
        <a:prstGeom prst="rect">
          <a:avLst/>
        </a:prstGeom>
        <a:noFill/>
        <a:ln w="9525">
          <a:noFill/>
          <a:miter lim="800000"/>
          <a:headEnd/>
          <a:tailEnd/>
        </a:ln>
      </xdr:spPr>
    </xdr:pic>
    <xdr:clientData/>
  </xdr:twoCellAnchor>
  <xdr:twoCellAnchor>
    <xdr:from>
      <xdr:col>2</xdr:col>
      <xdr:colOff>0</xdr:colOff>
      <xdr:row>70</xdr:row>
      <xdr:rowOff>0</xdr:rowOff>
    </xdr:from>
    <xdr:to>
      <xdr:col>3</xdr:col>
      <xdr:colOff>0</xdr:colOff>
      <xdr:row>71</xdr:row>
      <xdr:rowOff>0</xdr:rowOff>
    </xdr:to>
    <xdr:pic>
      <xdr:nvPicPr>
        <xdr:cNvPr id="111370" name="Picture 86" descr="2u"/>
        <xdr:cNvPicPr>
          <a:picLocks noChangeAspect="1" noChangeArrowheads="1"/>
        </xdr:cNvPicPr>
      </xdr:nvPicPr>
      <xdr:blipFill>
        <a:blip xmlns:r="http://schemas.openxmlformats.org/officeDocument/2006/relationships" r:embed="rId119" r:link="rId120" cstate="print"/>
        <a:srcRect/>
        <a:stretch>
          <a:fillRect/>
        </a:stretch>
      </xdr:blipFill>
      <xdr:spPr bwMode="auto">
        <a:xfrm>
          <a:off x="1181100" y="30908625"/>
          <a:ext cx="514350" cy="485775"/>
        </a:xfrm>
        <a:prstGeom prst="rect">
          <a:avLst/>
        </a:prstGeom>
        <a:noFill/>
        <a:ln w="9525">
          <a:noFill/>
          <a:miter lim="800000"/>
          <a:headEnd/>
          <a:tailEnd/>
        </a:ln>
      </xdr:spPr>
    </xdr:pic>
    <xdr:clientData/>
  </xdr:twoCellAnchor>
  <xdr:twoCellAnchor>
    <xdr:from>
      <xdr:col>2</xdr:col>
      <xdr:colOff>0</xdr:colOff>
      <xdr:row>71</xdr:row>
      <xdr:rowOff>0</xdr:rowOff>
    </xdr:from>
    <xdr:to>
      <xdr:col>3</xdr:col>
      <xdr:colOff>0</xdr:colOff>
      <xdr:row>71</xdr:row>
      <xdr:rowOff>485775</xdr:rowOff>
    </xdr:to>
    <xdr:pic>
      <xdr:nvPicPr>
        <xdr:cNvPr id="111371" name="Picture 87" descr="3"/>
        <xdr:cNvPicPr>
          <a:picLocks noChangeAspect="1" noChangeArrowheads="1"/>
        </xdr:cNvPicPr>
      </xdr:nvPicPr>
      <xdr:blipFill>
        <a:blip xmlns:r="http://schemas.openxmlformats.org/officeDocument/2006/relationships" r:embed="rId121" r:link="rId122" cstate="print"/>
        <a:srcRect/>
        <a:stretch>
          <a:fillRect/>
        </a:stretch>
      </xdr:blipFill>
      <xdr:spPr bwMode="auto">
        <a:xfrm>
          <a:off x="1181100" y="31394400"/>
          <a:ext cx="514350" cy="485775"/>
        </a:xfrm>
        <a:prstGeom prst="rect">
          <a:avLst/>
        </a:prstGeom>
        <a:noFill/>
        <a:ln w="9525">
          <a:noFill/>
          <a:miter lim="800000"/>
          <a:headEnd/>
          <a:tailEnd/>
        </a:ln>
      </xdr:spPr>
    </xdr:pic>
    <xdr:clientData/>
  </xdr:twoCellAnchor>
  <xdr:twoCellAnchor>
    <xdr:from>
      <xdr:col>2</xdr:col>
      <xdr:colOff>0</xdr:colOff>
      <xdr:row>72</xdr:row>
      <xdr:rowOff>0</xdr:rowOff>
    </xdr:from>
    <xdr:to>
      <xdr:col>3</xdr:col>
      <xdr:colOff>0</xdr:colOff>
      <xdr:row>72</xdr:row>
      <xdr:rowOff>485775</xdr:rowOff>
    </xdr:to>
    <xdr:pic>
      <xdr:nvPicPr>
        <xdr:cNvPr id="111372" name="Picture 88" descr="3u"/>
        <xdr:cNvPicPr>
          <a:picLocks noChangeAspect="1" noChangeArrowheads="1"/>
        </xdr:cNvPicPr>
      </xdr:nvPicPr>
      <xdr:blipFill>
        <a:blip xmlns:r="http://schemas.openxmlformats.org/officeDocument/2006/relationships" r:embed="rId123" r:link="rId124" cstate="print"/>
        <a:srcRect/>
        <a:stretch>
          <a:fillRect/>
        </a:stretch>
      </xdr:blipFill>
      <xdr:spPr bwMode="auto">
        <a:xfrm>
          <a:off x="1181100" y="31880175"/>
          <a:ext cx="514350" cy="485775"/>
        </a:xfrm>
        <a:prstGeom prst="rect">
          <a:avLst/>
        </a:prstGeom>
        <a:noFill/>
        <a:ln w="9525">
          <a:noFill/>
          <a:miter lim="800000"/>
          <a:headEnd/>
          <a:tailEnd/>
        </a:ln>
      </xdr:spPr>
    </xdr:pic>
    <xdr:clientData/>
  </xdr:twoCellAnchor>
  <xdr:twoCellAnchor>
    <xdr:from>
      <xdr:col>2</xdr:col>
      <xdr:colOff>0</xdr:colOff>
      <xdr:row>73</xdr:row>
      <xdr:rowOff>0</xdr:rowOff>
    </xdr:from>
    <xdr:to>
      <xdr:col>3</xdr:col>
      <xdr:colOff>0</xdr:colOff>
      <xdr:row>73</xdr:row>
      <xdr:rowOff>495300</xdr:rowOff>
    </xdr:to>
    <xdr:pic>
      <xdr:nvPicPr>
        <xdr:cNvPr id="111373" name="Picture 89" descr="4"/>
        <xdr:cNvPicPr>
          <a:picLocks noChangeAspect="1" noChangeArrowheads="1"/>
        </xdr:cNvPicPr>
      </xdr:nvPicPr>
      <xdr:blipFill>
        <a:blip xmlns:r="http://schemas.openxmlformats.org/officeDocument/2006/relationships" r:embed="rId125" r:link="rId126" cstate="print"/>
        <a:srcRect/>
        <a:stretch>
          <a:fillRect/>
        </a:stretch>
      </xdr:blipFill>
      <xdr:spPr bwMode="auto">
        <a:xfrm>
          <a:off x="1181100" y="32365950"/>
          <a:ext cx="514350" cy="495300"/>
        </a:xfrm>
        <a:prstGeom prst="rect">
          <a:avLst/>
        </a:prstGeom>
        <a:noFill/>
        <a:ln w="9525">
          <a:noFill/>
          <a:miter lim="800000"/>
          <a:headEnd/>
          <a:tailEnd/>
        </a:ln>
      </xdr:spPr>
    </xdr:pic>
    <xdr:clientData/>
  </xdr:twoCellAnchor>
  <xdr:twoCellAnchor>
    <xdr:from>
      <xdr:col>2</xdr:col>
      <xdr:colOff>0</xdr:colOff>
      <xdr:row>74</xdr:row>
      <xdr:rowOff>0</xdr:rowOff>
    </xdr:from>
    <xdr:to>
      <xdr:col>3</xdr:col>
      <xdr:colOff>0</xdr:colOff>
      <xdr:row>74</xdr:row>
      <xdr:rowOff>485775</xdr:rowOff>
    </xdr:to>
    <xdr:pic>
      <xdr:nvPicPr>
        <xdr:cNvPr id="111374" name="Picture 90" descr="4u"/>
        <xdr:cNvPicPr>
          <a:picLocks noChangeAspect="1" noChangeArrowheads="1"/>
        </xdr:cNvPicPr>
      </xdr:nvPicPr>
      <xdr:blipFill>
        <a:blip xmlns:r="http://schemas.openxmlformats.org/officeDocument/2006/relationships" r:embed="rId127" r:link="rId128" cstate="print"/>
        <a:srcRect/>
        <a:stretch>
          <a:fillRect/>
        </a:stretch>
      </xdr:blipFill>
      <xdr:spPr bwMode="auto">
        <a:xfrm>
          <a:off x="1181100" y="32861250"/>
          <a:ext cx="514350" cy="485775"/>
        </a:xfrm>
        <a:prstGeom prst="rect">
          <a:avLst/>
        </a:prstGeom>
        <a:noFill/>
        <a:ln w="9525">
          <a:noFill/>
          <a:miter lim="800000"/>
          <a:headEnd/>
          <a:tailEnd/>
        </a:ln>
      </xdr:spPr>
    </xdr:pic>
    <xdr:clientData/>
  </xdr:twoCellAnchor>
  <xdr:twoCellAnchor>
    <xdr:from>
      <xdr:col>2</xdr:col>
      <xdr:colOff>0</xdr:colOff>
      <xdr:row>75</xdr:row>
      <xdr:rowOff>9525</xdr:rowOff>
    </xdr:from>
    <xdr:to>
      <xdr:col>3</xdr:col>
      <xdr:colOff>0</xdr:colOff>
      <xdr:row>76</xdr:row>
      <xdr:rowOff>9525</xdr:rowOff>
    </xdr:to>
    <xdr:pic>
      <xdr:nvPicPr>
        <xdr:cNvPr id="111375" name="Picture 91" descr="5"/>
        <xdr:cNvPicPr>
          <a:picLocks noChangeAspect="1" noChangeArrowheads="1"/>
        </xdr:cNvPicPr>
      </xdr:nvPicPr>
      <xdr:blipFill>
        <a:blip xmlns:r="http://schemas.openxmlformats.org/officeDocument/2006/relationships" r:embed="rId129" r:link="rId130" cstate="print"/>
        <a:srcRect/>
        <a:stretch>
          <a:fillRect/>
        </a:stretch>
      </xdr:blipFill>
      <xdr:spPr bwMode="auto">
        <a:xfrm>
          <a:off x="1438275" y="33185100"/>
          <a:ext cx="514350" cy="495300"/>
        </a:xfrm>
        <a:prstGeom prst="rect">
          <a:avLst/>
        </a:prstGeom>
        <a:noFill/>
        <a:ln w="9525">
          <a:noFill/>
          <a:miter lim="800000"/>
          <a:headEnd/>
          <a:tailEnd/>
        </a:ln>
      </xdr:spPr>
    </xdr:pic>
    <xdr:clientData/>
  </xdr:twoCellAnchor>
  <xdr:twoCellAnchor>
    <xdr:from>
      <xdr:col>2</xdr:col>
      <xdr:colOff>0</xdr:colOff>
      <xdr:row>76</xdr:row>
      <xdr:rowOff>0</xdr:rowOff>
    </xdr:from>
    <xdr:to>
      <xdr:col>3</xdr:col>
      <xdr:colOff>0</xdr:colOff>
      <xdr:row>76</xdr:row>
      <xdr:rowOff>504825</xdr:rowOff>
    </xdr:to>
    <xdr:pic>
      <xdr:nvPicPr>
        <xdr:cNvPr id="111376" name="Picture 92" descr="5u"/>
        <xdr:cNvPicPr>
          <a:picLocks noChangeAspect="1" noChangeArrowheads="1"/>
        </xdr:cNvPicPr>
      </xdr:nvPicPr>
      <xdr:blipFill>
        <a:blip xmlns:r="http://schemas.openxmlformats.org/officeDocument/2006/relationships" r:embed="rId131" r:link="rId132" cstate="print"/>
        <a:srcRect/>
        <a:stretch>
          <a:fillRect/>
        </a:stretch>
      </xdr:blipFill>
      <xdr:spPr bwMode="auto">
        <a:xfrm>
          <a:off x="1181100" y="33842325"/>
          <a:ext cx="514350" cy="504825"/>
        </a:xfrm>
        <a:prstGeom prst="rect">
          <a:avLst/>
        </a:prstGeom>
        <a:noFill/>
        <a:ln w="9525">
          <a:noFill/>
          <a:miter lim="800000"/>
          <a:headEnd/>
          <a:tailEnd/>
        </a:ln>
      </xdr:spPr>
    </xdr:pic>
    <xdr:clientData/>
  </xdr:twoCellAnchor>
  <xdr:twoCellAnchor>
    <xdr:from>
      <xdr:col>2</xdr:col>
      <xdr:colOff>0</xdr:colOff>
      <xdr:row>77</xdr:row>
      <xdr:rowOff>0</xdr:rowOff>
    </xdr:from>
    <xdr:to>
      <xdr:col>3</xdr:col>
      <xdr:colOff>0</xdr:colOff>
      <xdr:row>77</xdr:row>
      <xdr:rowOff>495300</xdr:rowOff>
    </xdr:to>
    <xdr:pic>
      <xdr:nvPicPr>
        <xdr:cNvPr id="111377" name="Picture 93" descr="6"/>
        <xdr:cNvPicPr>
          <a:picLocks noChangeAspect="1" noChangeArrowheads="1"/>
        </xdr:cNvPicPr>
      </xdr:nvPicPr>
      <xdr:blipFill>
        <a:blip xmlns:r="http://schemas.openxmlformats.org/officeDocument/2006/relationships" r:embed="rId133" r:link="rId134" cstate="print"/>
        <a:srcRect/>
        <a:stretch>
          <a:fillRect/>
        </a:stretch>
      </xdr:blipFill>
      <xdr:spPr bwMode="auto">
        <a:xfrm>
          <a:off x="1181100" y="34347150"/>
          <a:ext cx="514350" cy="495300"/>
        </a:xfrm>
        <a:prstGeom prst="rect">
          <a:avLst/>
        </a:prstGeom>
        <a:noFill/>
        <a:ln w="9525">
          <a:noFill/>
          <a:miter lim="800000"/>
          <a:headEnd/>
          <a:tailEnd/>
        </a:ln>
      </xdr:spPr>
    </xdr:pic>
    <xdr:clientData/>
  </xdr:twoCellAnchor>
  <xdr:twoCellAnchor>
    <xdr:from>
      <xdr:col>2</xdr:col>
      <xdr:colOff>0</xdr:colOff>
      <xdr:row>78</xdr:row>
      <xdr:rowOff>0</xdr:rowOff>
    </xdr:from>
    <xdr:to>
      <xdr:col>3</xdr:col>
      <xdr:colOff>0</xdr:colOff>
      <xdr:row>78</xdr:row>
      <xdr:rowOff>495300</xdr:rowOff>
    </xdr:to>
    <xdr:pic>
      <xdr:nvPicPr>
        <xdr:cNvPr id="111378" name="Picture 94" descr="6u"/>
        <xdr:cNvPicPr>
          <a:picLocks noChangeAspect="1" noChangeArrowheads="1"/>
        </xdr:cNvPicPr>
      </xdr:nvPicPr>
      <xdr:blipFill>
        <a:blip xmlns:r="http://schemas.openxmlformats.org/officeDocument/2006/relationships" r:embed="rId135" r:link="rId136" cstate="print"/>
        <a:srcRect/>
        <a:stretch>
          <a:fillRect/>
        </a:stretch>
      </xdr:blipFill>
      <xdr:spPr bwMode="auto">
        <a:xfrm>
          <a:off x="1181100" y="34842450"/>
          <a:ext cx="514350" cy="495300"/>
        </a:xfrm>
        <a:prstGeom prst="rect">
          <a:avLst/>
        </a:prstGeom>
        <a:noFill/>
        <a:ln w="9525">
          <a:noFill/>
          <a:miter lim="800000"/>
          <a:headEnd/>
          <a:tailEnd/>
        </a:ln>
      </xdr:spPr>
    </xdr:pic>
    <xdr:clientData/>
  </xdr:twoCellAnchor>
  <xdr:twoCellAnchor>
    <xdr:from>
      <xdr:col>2</xdr:col>
      <xdr:colOff>0</xdr:colOff>
      <xdr:row>79</xdr:row>
      <xdr:rowOff>0</xdr:rowOff>
    </xdr:from>
    <xdr:to>
      <xdr:col>3</xdr:col>
      <xdr:colOff>0</xdr:colOff>
      <xdr:row>79</xdr:row>
      <xdr:rowOff>495300</xdr:rowOff>
    </xdr:to>
    <xdr:pic>
      <xdr:nvPicPr>
        <xdr:cNvPr id="111379" name="Picture 95" descr="7"/>
        <xdr:cNvPicPr>
          <a:picLocks noChangeAspect="1" noChangeArrowheads="1"/>
        </xdr:cNvPicPr>
      </xdr:nvPicPr>
      <xdr:blipFill>
        <a:blip xmlns:r="http://schemas.openxmlformats.org/officeDocument/2006/relationships" r:embed="rId137" r:link="rId138" cstate="print"/>
        <a:srcRect/>
        <a:stretch>
          <a:fillRect/>
        </a:stretch>
      </xdr:blipFill>
      <xdr:spPr bwMode="auto">
        <a:xfrm>
          <a:off x="1181100" y="35337750"/>
          <a:ext cx="514350" cy="495300"/>
        </a:xfrm>
        <a:prstGeom prst="rect">
          <a:avLst/>
        </a:prstGeom>
        <a:noFill/>
        <a:ln w="9525">
          <a:noFill/>
          <a:miter lim="800000"/>
          <a:headEnd/>
          <a:tailEnd/>
        </a:ln>
      </xdr:spPr>
    </xdr:pic>
    <xdr:clientData/>
  </xdr:twoCellAnchor>
  <xdr:twoCellAnchor>
    <xdr:from>
      <xdr:col>2</xdr:col>
      <xdr:colOff>0</xdr:colOff>
      <xdr:row>80</xdr:row>
      <xdr:rowOff>0</xdr:rowOff>
    </xdr:from>
    <xdr:to>
      <xdr:col>3</xdr:col>
      <xdr:colOff>0</xdr:colOff>
      <xdr:row>80</xdr:row>
      <xdr:rowOff>495300</xdr:rowOff>
    </xdr:to>
    <xdr:pic>
      <xdr:nvPicPr>
        <xdr:cNvPr id="111380" name="Picture 96" descr="7u"/>
        <xdr:cNvPicPr>
          <a:picLocks noChangeAspect="1" noChangeArrowheads="1"/>
        </xdr:cNvPicPr>
      </xdr:nvPicPr>
      <xdr:blipFill>
        <a:blip xmlns:r="http://schemas.openxmlformats.org/officeDocument/2006/relationships" r:embed="rId139" r:link="rId140" cstate="print"/>
        <a:srcRect/>
        <a:stretch>
          <a:fillRect/>
        </a:stretch>
      </xdr:blipFill>
      <xdr:spPr bwMode="auto">
        <a:xfrm>
          <a:off x="1181100" y="35833050"/>
          <a:ext cx="514350" cy="495300"/>
        </a:xfrm>
        <a:prstGeom prst="rect">
          <a:avLst/>
        </a:prstGeom>
        <a:noFill/>
        <a:ln w="9525">
          <a:noFill/>
          <a:miter lim="800000"/>
          <a:headEnd/>
          <a:tailEnd/>
        </a:ln>
      </xdr:spPr>
    </xdr:pic>
    <xdr:clientData/>
  </xdr:twoCellAnchor>
  <xdr:twoCellAnchor>
    <xdr:from>
      <xdr:col>2</xdr:col>
      <xdr:colOff>0</xdr:colOff>
      <xdr:row>81</xdr:row>
      <xdr:rowOff>0</xdr:rowOff>
    </xdr:from>
    <xdr:to>
      <xdr:col>3</xdr:col>
      <xdr:colOff>0</xdr:colOff>
      <xdr:row>81</xdr:row>
      <xdr:rowOff>504825</xdr:rowOff>
    </xdr:to>
    <xdr:pic>
      <xdr:nvPicPr>
        <xdr:cNvPr id="111381" name="Picture 97" descr="1"/>
        <xdr:cNvPicPr>
          <a:picLocks noChangeAspect="1" noChangeArrowheads="1"/>
        </xdr:cNvPicPr>
      </xdr:nvPicPr>
      <xdr:blipFill>
        <a:blip xmlns:r="http://schemas.openxmlformats.org/officeDocument/2006/relationships" r:embed="rId141" r:link="rId142" cstate="print"/>
        <a:srcRect/>
        <a:stretch>
          <a:fillRect/>
        </a:stretch>
      </xdr:blipFill>
      <xdr:spPr bwMode="auto">
        <a:xfrm>
          <a:off x="1181100" y="36328350"/>
          <a:ext cx="514350" cy="504825"/>
        </a:xfrm>
        <a:prstGeom prst="rect">
          <a:avLst/>
        </a:prstGeom>
        <a:noFill/>
        <a:ln w="9525">
          <a:noFill/>
          <a:miter lim="800000"/>
          <a:headEnd/>
          <a:tailEnd/>
        </a:ln>
      </xdr:spPr>
    </xdr:pic>
    <xdr:clientData/>
  </xdr:twoCellAnchor>
  <xdr:twoCellAnchor>
    <xdr:from>
      <xdr:col>2</xdr:col>
      <xdr:colOff>0</xdr:colOff>
      <xdr:row>82</xdr:row>
      <xdr:rowOff>0</xdr:rowOff>
    </xdr:from>
    <xdr:to>
      <xdr:col>3</xdr:col>
      <xdr:colOff>0</xdr:colOff>
      <xdr:row>82</xdr:row>
      <xdr:rowOff>495300</xdr:rowOff>
    </xdr:to>
    <xdr:pic>
      <xdr:nvPicPr>
        <xdr:cNvPr id="111382" name="Picture 98" descr="1u"/>
        <xdr:cNvPicPr>
          <a:picLocks noChangeAspect="1" noChangeArrowheads="1"/>
        </xdr:cNvPicPr>
      </xdr:nvPicPr>
      <xdr:blipFill>
        <a:blip xmlns:r="http://schemas.openxmlformats.org/officeDocument/2006/relationships" r:embed="rId143" r:link="rId144" cstate="print"/>
        <a:srcRect/>
        <a:stretch>
          <a:fillRect/>
        </a:stretch>
      </xdr:blipFill>
      <xdr:spPr bwMode="auto">
        <a:xfrm>
          <a:off x="1181100" y="36833175"/>
          <a:ext cx="514350" cy="495300"/>
        </a:xfrm>
        <a:prstGeom prst="rect">
          <a:avLst/>
        </a:prstGeom>
        <a:noFill/>
        <a:ln w="9525">
          <a:noFill/>
          <a:miter lim="800000"/>
          <a:headEnd/>
          <a:tailEnd/>
        </a:ln>
      </xdr:spPr>
    </xdr:pic>
    <xdr:clientData/>
  </xdr:twoCellAnchor>
  <xdr:twoCellAnchor>
    <xdr:from>
      <xdr:col>2</xdr:col>
      <xdr:colOff>0</xdr:colOff>
      <xdr:row>83</xdr:row>
      <xdr:rowOff>0</xdr:rowOff>
    </xdr:from>
    <xdr:to>
      <xdr:col>3</xdr:col>
      <xdr:colOff>0</xdr:colOff>
      <xdr:row>83</xdr:row>
      <xdr:rowOff>485775</xdr:rowOff>
    </xdr:to>
    <xdr:pic>
      <xdr:nvPicPr>
        <xdr:cNvPr id="111383" name="Picture 99" descr="2"/>
        <xdr:cNvPicPr>
          <a:picLocks noChangeAspect="1" noChangeArrowheads="1"/>
        </xdr:cNvPicPr>
      </xdr:nvPicPr>
      <xdr:blipFill>
        <a:blip xmlns:r="http://schemas.openxmlformats.org/officeDocument/2006/relationships" r:embed="rId145" r:link="rId146" cstate="print"/>
        <a:srcRect/>
        <a:stretch>
          <a:fillRect/>
        </a:stretch>
      </xdr:blipFill>
      <xdr:spPr bwMode="auto">
        <a:xfrm>
          <a:off x="1181100" y="37328475"/>
          <a:ext cx="514350" cy="485775"/>
        </a:xfrm>
        <a:prstGeom prst="rect">
          <a:avLst/>
        </a:prstGeom>
        <a:noFill/>
        <a:ln w="9525">
          <a:noFill/>
          <a:miter lim="800000"/>
          <a:headEnd/>
          <a:tailEnd/>
        </a:ln>
      </xdr:spPr>
    </xdr:pic>
    <xdr:clientData/>
  </xdr:twoCellAnchor>
  <xdr:twoCellAnchor>
    <xdr:from>
      <xdr:col>2</xdr:col>
      <xdr:colOff>0</xdr:colOff>
      <xdr:row>84</xdr:row>
      <xdr:rowOff>0</xdr:rowOff>
    </xdr:from>
    <xdr:to>
      <xdr:col>3</xdr:col>
      <xdr:colOff>0</xdr:colOff>
      <xdr:row>84</xdr:row>
      <xdr:rowOff>485775</xdr:rowOff>
    </xdr:to>
    <xdr:pic>
      <xdr:nvPicPr>
        <xdr:cNvPr id="111384" name="Picture 100" descr="2u"/>
        <xdr:cNvPicPr>
          <a:picLocks noChangeAspect="1" noChangeArrowheads="1"/>
        </xdr:cNvPicPr>
      </xdr:nvPicPr>
      <xdr:blipFill>
        <a:blip xmlns:r="http://schemas.openxmlformats.org/officeDocument/2006/relationships" r:embed="rId147" r:link="rId148" cstate="print"/>
        <a:srcRect/>
        <a:stretch>
          <a:fillRect/>
        </a:stretch>
      </xdr:blipFill>
      <xdr:spPr bwMode="auto">
        <a:xfrm>
          <a:off x="1181100" y="37814250"/>
          <a:ext cx="514350" cy="485775"/>
        </a:xfrm>
        <a:prstGeom prst="rect">
          <a:avLst/>
        </a:prstGeom>
        <a:noFill/>
        <a:ln w="9525">
          <a:noFill/>
          <a:miter lim="800000"/>
          <a:headEnd/>
          <a:tailEnd/>
        </a:ln>
      </xdr:spPr>
    </xdr:pic>
    <xdr:clientData/>
  </xdr:twoCellAnchor>
  <xdr:twoCellAnchor>
    <xdr:from>
      <xdr:col>2</xdr:col>
      <xdr:colOff>0</xdr:colOff>
      <xdr:row>85</xdr:row>
      <xdr:rowOff>0</xdr:rowOff>
    </xdr:from>
    <xdr:to>
      <xdr:col>3</xdr:col>
      <xdr:colOff>0</xdr:colOff>
      <xdr:row>85</xdr:row>
      <xdr:rowOff>504825</xdr:rowOff>
    </xdr:to>
    <xdr:pic>
      <xdr:nvPicPr>
        <xdr:cNvPr id="111385" name="Picture 101" descr="3"/>
        <xdr:cNvPicPr>
          <a:picLocks noChangeAspect="1" noChangeArrowheads="1"/>
        </xdr:cNvPicPr>
      </xdr:nvPicPr>
      <xdr:blipFill>
        <a:blip xmlns:r="http://schemas.openxmlformats.org/officeDocument/2006/relationships" r:embed="rId149" r:link="rId150" cstate="print"/>
        <a:srcRect/>
        <a:stretch>
          <a:fillRect/>
        </a:stretch>
      </xdr:blipFill>
      <xdr:spPr bwMode="auto">
        <a:xfrm>
          <a:off x="1181100" y="38300025"/>
          <a:ext cx="514350" cy="504825"/>
        </a:xfrm>
        <a:prstGeom prst="rect">
          <a:avLst/>
        </a:prstGeom>
        <a:noFill/>
        <a:ln w="9525">
          <a:noFill/>
          <a:miter lim="800000"/>
          <a:headEnd/>
          <a:tailEnd/>
        </a:ln>
      </xdr:spPr>
    </xdr:pic>
    <xdr:clientData/>
  </xdr:twoCellAnchor>
  <xdr:twoCellAnchor>
    <xdr:from>
      <xdr:col>2</xdr:col>
      <xdr:colOff>0</xdr:colOff>
      <xdr:row>86</xdr:row>
      <xdr:rowOff>0</xdr:rowOff>
    </xdr:from>
    <xdr:to>
      <xdr:col>3</xdr:col>
      <xdr:colOff>0</xdr:colOff>
      <xdr:row>86</xdr:row>
      <xdr:rowOff>495300</xdr:rowOff>
    </xdr:to>
    <xdr:pic>
      <xdr:nvPicPr>
        <xdr:cNvPr id="111386" name="Picture 102" descr="3u"/>
        <xdr:cNvPicPr>
          <a:picLocks noChangeAspect="1" noChangeArrowheads="1"/>
        </xdr:cNvPicPr>
      </xdr:nvPicPr>
      <xdr:blipFill>
        <a:blip xmlns:r="http://schemas.openxmlformats.org/officeDocument/2006/relationships" r:embed="rId151" r:link="rId152" cstate="print"/>
        <a:srcRect/>
        <a:stretch>
          <a:fillRect/>
        </a:stretch>
      </xdr:blipFill>
      <xdr:spPr bwMode="auto">
        <a:xfrm>
          <a:off x="1181100" y="38804850"/>
          <a:ext cx="514350" cy="495300"/>
        </a:xfrm>
        <a:prstGeom prst="rect">
          <a:avLst/>
        </a:prstGeom>
        <a:noFill/>
        <a:ln w="9525">
          <a:noFill/>
          <a:miter lim="800000"/>
          <a:headEnd/>
          <a:tailEnd/>
        </a:ln>
      </xdr:spPr>
    </xdr:pic>
    <xdr:clientData/>
  </xdr:twoCellAnchor>
  <xdr:twoCellAnchor>
    <xdr:from>
      <xdr:col>2</xdr:col>
      <xdr:colOff>0</xdr:colOff>
      <xdr:row>87</xdr:row>
      <xdr:rowOff>0</xdr:rowOff>
    </xdr:from>
    <xdr:to>
      <xdr:col>3</xdr:col>
      <xdr:colOff>0</xdr:colOff>
      <xdr:row>87</xdr:row>
      <xdr:rowOff>495300</xdr:rowOff>
    </xdr:to>
    <xdr:pic>
      <xdr:nvPicPr>
        <xdr:cNvPr id="111387" name="Picture 103" descr="4"/>
        <xdr:cNvPicPr>
          <a:picLocks noChangeAspect="1" noChangeArrowheads="1"/>
        </xdr:cNvPicPr>
      </xdr:nvPicPr>
      <xdr:blipFill>
        <a:blip xmlns:r="http://schemas.openxmlformats.org/officeDocument/2006/relationships" r:embed="rId153" r:link="rId154" cstate="print"/>
        <a:srcRect/>
        <a:stretch>
          <a:fillRect/>
        </a:stretch>
      </xdr:blipFill>
      <xdr:spPr bwMode="auto">
        <a:xfrm>
          <a:off x="1181100" y="39300150"/>
          <a:ext cx="514350" cy="495300"/>
        </a:xfrm>
        <a:prstGeom prst="rect">
          <a:avLst/>
        </a:prstGeom>
        <a:noFill/>
        <a:ln w="9525">
          <a:noFill/>
          <a:miter lim="800000"/>
          <a:headEnd/>
          <a:tailEnd/>
        </a:ln>
      </xdr:spPr>
    </xdr:pic>
    <xdr:clientData/>
  </xdr:twoCellAnchor>
  <xdr:twoCellAnchor>
    <xdr:from>
      <xdr:col>2</xdr:col>
      <xdr:colOff>0</xdr:colOff>
      <xdr:row>88</xdr:row>
      <xdr:rowOff>9525</xdr:rowOff>
    </xdr:from>
    <xdr:to>
      <xdr:col>3</xdr:col>
      <xdr:colOff>0</xdr:colOff>
      <xdr:row>89</xdr:row>
      <xdr:rowOff>9525</xdr:rowOff>
    </xdr:to>
    <xdr:pic>
      <xdr:nvPicPr>
        <xdr:cNvPr id="111388" name="Picture 104" descr="4u"/>
        <xdr:cNvPicPr>
          <a:picLocks noChangeAspect="1" noChangeArrowheads="1"/>
        </xdr:cNvPicPr>
      </xdr:nvPicPr>
      <xdr:blipFill>
        <a:blip xmlns:r="http://schemas.openxmlformats.org/officeDocument/2006/relationships" r:embed="rId155" r:link="rId156" cstate="print"/>
        <a:srcRect/>
        <a:stretch>
          <a:fillRect/>
        </a:stretch>
      </xdr:blipFill>
      <xdr:spPr bwMode="auto">
        <a:xfrm>
          <a:off x="1438275" y="39633525"/>
          <a:ext cx="514350" cy="485775"/>
        </a:xfrm>
        <a:prstGeom prst="rect">
          <a:avLst/>
        </a:prstGeom>
        <a:noFill/>
        <a:ln w="9525">
          <a:noFill/>
          <a:miter lim="800000"/>
          <a:headEnd/>
          <a:tailEnd/>
        </a:ln>
      </xdr:spPr>
    </xdr:pic>
    <xdr:clientData/>
  </xdr:twoCellAnchor>
  <xdr:twoCellAnchor>
    <xdr:from>
      <xdr:col>2</xdr:col>
      <xdr:colOff>0</xdr:colOff>
      <xdr:row>89</xdr:row>
      <xdr:rowOff>0</xdr:rowOff>
    </xdr:from>
    <xdr:to>
      <xdr:col>3</xdr:col>
      <xdr:colOff>0</xdr:colOff>
      <xdr:row>89</xdr:row>
      <xdr:rowOff>485775</xdr:rowOff>
    </xdr:to>
    <xdr:pic>
      <xdr:nvPicPr>
        <xdr:cNvPr id="111389" name="Picture 105" descr="5"/>
        <xdr:cNvPicPr>
          <a:picLocks noChangeAspect="1" noChangeArrowheads="1"/>
        </xdr:cNvPicPr>
      </xdr:nvPicPr>
      <xdr:blipFill>
        <a:blip xmlns:r="http://schemas.openxmlformats.org/officeDocument/2006/relationships" r:embed="rId157" r:link="rId158" cstate="print"/>
        <a:srcRect/>
        <a:stretch>
          <a:fillRect/>
        </a:stretch>
      </xdr:blipFill>
      <xdr:spPr bwMode="auto">
        <a:xfrm>
          <a:off x="1181100" y="40281225"/>
          <a:ext cx="514350" cy="485775"/>
        </a:xfrm>
        <a:prstGeom prst="rect">
          <a:avLst/>
        </a:prstGeom>
        <a:noFill/>
        <a:ln w="9525">
          <a:noFill/>
          <a:miter lim="800000"/>
          <a:headEnd/>
          <a:tailEnd/>
        </a:ln>
      </xdr:spPr>
    </xdr:pic>
    <xdr:clientData/>
  </xdr:twoCellAnchor>
  <xdr:twoCellAnchor>
    <xdr:from>
      <xdr:col>2</xdr:col>
      <xdr:colOff>0</xdr:colOff>
      <xdr:row>90</xdr:row>
      <xdr:rowOff>0</xdr:rowOff>
    </xdr:from>
    <xdr:to>
      <xdr:col>3</xdr:col>
      <xdr:colOff>0</xdr:colOff>
      <xdr:row>90</xdr:row>
      <xdr:rowOff>485775</xdr:rowOff>
    </xdr:to>
    <xdr:pic>
      <xdr:nvPicPr>
        <xdr:cNvPr id="111390" name="Picture 106" descr="5u"/>
        <xdr:cNvPicPr>
          <a:picLocks noChangeAspect="1" noChangeArrowheads="1"/>
        </xdr:cNvPicPr>
      </xdr:nvPicPr>
      <xdr:blipFill>
        <a:blip xmlns:r="http://schemas.openxmlformats.org/officeDocument/2006/relationships" r:embed="rId159" r:link="rId160" cstate="print"/>
        <a:srcRect/>
        <a:stretch>
          <a:fillRect/>
        </a:stretch>
      </xdr:blipFill>
      <xdr:spPr bwMode="auto">
        <a:xfrm>
          <a:off x="1181100" y="40767000"/>
          <a:ext cx="514350" cy="476250"/>
        </a:xfrm>
        <a:prstGeom prst="rect">
          <a:avLst/>
        </a:prstGeom>
        <a:noFill/>
        <a:ln w="9525">
          <a:noFill/>
          <a:miter lim="800000"/>
          <a:headEnd/>
          <a:tailEnd/>
        </a:ln>
      </xdr:spPr>
    </xdr:pic>
    <xdr:clientData/>
  </xdr:twoCellAnchor>
  <xdr:twoCellAnchor>
    <xdr:from>
      <xdr:col>2</xdr:col>
      <xdr:colOff>0</xdr:colOff>
      <xdr:row>91</xdr:row>
      <xdr:rowOff>0</xdr:rowOff>
    </xdr:from>
    <xdr:to>
      <xdr:col>3</xdr:col>
      <xdr:colOff>0</xdr:colOff>
      <xdr:row>91</xdr:row>
      <xdr:rowOff>504825</xdr:rowOff>
    </xdr:to>
    <xdr:pic>
      <xdr:nvPicPr>
        <xdr:cNvPr id="111391" name="Picture 107" descr="6"/>
        <xdr:cNvPicPr>
          <a:picLocks noChangeAspect="1" noChangeArrowheads="1"/>
        </xdr:cNvPicPr>
      </xdr:nvPicPr>
      <xdr:blipFill>
        <a:blip xmlns:r="http://schemas.openxmlformats.org/officeDocument/2006/relationships" r:embed="rId161" r:link="rId162" cstate="print"/>
        <a:srcRect/>
        <a:stretch>
          <a:fillRect/>
        </a:stretch>
      </xdr:blipFill>
      <xdr:spPr bwMode="auto">
        <a:xfrm>
          <a:off x="1181100" y="41243250"/>
          <a:ext cx="514350" cy="504825"/>
        </a:xfrm>
        <a:prstGeom prst="rect">
          <a:avLst/>
        </a:prstGeom>
        <a:noFill/>
        <a:ln w="9525">
          <a:noFill/>
          <a:miter lim="800000"/>
          <a:headEnd/>
          <a:tailEnd/>
        </a:ln>
      </xdr:spPr>
    </xdr:pic>
    <xdr:clientData/>
  </xdr:twoCellAnchor>
  <xdr:twoCellAnchor>
    <xdr:from>
      <xdr:col>2</xdr:col>
      <xdr:colOff>0</xdr:colOff>
      <xdr:row>92</xdr:row>
      <xdr:rowOff>0</xdr:rowOff>
    </xdr:from>
    <xdr:to>
      <xdr:col>3</xdr:col>
      <xdr:colOff>0</xdr:colOff>
      <xdr:row>92</xdr:row>
      <xdr:rowOff>476250</xdr:rowOff>
    </xdr:to>
    <xdr:pic>
      <xdr:nvPicPr>
        <xdr:cNvPr id="111392" name="Picture 108" descr="6u"/>
        <xdr:cNvPicPr>
          <a:picLocks noChangeAspect="1" noChangeArrowheads="1"/>
        </xdr:cNvPicPr>
      </xdr:nvPicPr>
      <xdr:blipFill>
        <a:blip xmlns:r="http://schemas.openxmlformats.org/officeDocument/2006/relationships" r:embed="rId163" r:link="rId164" cstate="print"/>
        <a:srcRect/>
        <a:stretch>
          <a:fillRect/>
        </a:stretch>
      </xdr:blipFill>
      <xdr:spPr bwMode="auto">
        <a:xfrm>
          <a:off x="1181100" y="41748075"/>
          <a:ext cx="514350" cy="476250"/>
        </a:xfrm>
        <a:prstGeom prst="rect">
          <a:avLst/>
        </a:prstGeom>
        <a:noFill/>
        <a:ln w="9525">
          <a:noFill/>
          <a:miter lim="800000"/>
          <a:headEnd/>
          <a:tailEnd/>
        </a:ln>
      </xdr:spPr>
    </xdr:pic>
    <xdr:clientData/>
  </xdr:twoCellAnchor>
  <xdr:twoCellAnchor>
    <xdr:from>
      <xdr:col>2</xdr:col>
      <xdr:colOff>0</xdr:colOff>
      <xdr:row>93</xdr:row>
      <xdr:rowOff>0</xdr:rowOff>
    </xdr:from>
    <xdr:to>
      <xdr:col>3</xdr:col>
      <xdr:colOff>0</xdr:colOff>
      <xdr:row>93</xdr:row>
      <xdr:rowOff>495300</xdr:rowOff>
    </xdr:to>
    <xdr:pic>
      <xdr:nvPicPr>
        <xdr:cNvPr id="111393" name="Picture 109" descr="7"/>
        <xdr:cNvPicPr>
          <a:picLocks noChangeAspect="1" noChangeArrowheads="1"/>
        </xdr:cNvPicPr>
      </xdr:nvPicPr>
      <xdr:blipFill>
        <a:blip xmlns:r="http://schemas.openxmlformats.org/officeDocument/2006/relationships" r:embed="rId165" r:link="rId166" cstate="print"/>
        <a:srcRect/>
        <a:stretch>
          <a:fillRect/>
        </a:stretch>
      </xdr:blipFill>
      <xdr:spPr bwMode="auto">
        <a:xfrm>
          <a:off x="1181100" y="42357675"/>
          <a:ext cx="514350" cy="495300"/>
        </a:xfrm>
        <a:prstGeom prst="rect">
          <a:avLst/>
        </a:prstGeom>
        <a:noFill/>
        <a:ln w="9525">
          <a:noFill/>
          <a:miter lim="800000"/>
          <a:headEnd/>
          <a:tailEnd/>
        </a:ln>
      </xdr:spPr>
    </xdr:pic>
    <xdr:clientData/>
  </xdr:twoCellAnchor>
  <xdr:twoCellAnchor>
    <xdr:from>
      <xdr:col>2</xdr:col>
      <xdr:colOff>0</xdr:colOff>
      <xdr:row>94</xdr:row>
      <xdr:rowOff>0</xdr:rowOff>
    </xdr:from>
    <xdr:to>
      <xdr:col>3</xdr:col>
      <xdr:colOff>0</xdr:colOff>
      <xdr:row>94</xdr:row>
      <xdr:rowOff>495300</xdr:rowOff>
    </xdr:to>
    <xdr:pic>
      <xdr:nvPicPr>
        <xdr:cNvPr id="111394" name="Picture 110" descr="7u"/>
        <xdr:cNvPicPr>
          <a:picLocks noChangeAspect="1" noChangeArrowheads="1"/>
        </xdr:cNvPicPr>
      </xdr:nvPicPr>
      <xdr:blipFill>
        <a:blip xmlns:r="http://schemas.openxmlformats.org/officeDocument/2006/relationships" r:embed="rId167" r:link="rId168" cstate="print"/>
        <a:srcRect/>
        <a:stretch>
          <a:fillRect/>
        </a:stretch>
      </xdr:blipFill>
      <xdr:spPr bwMode="auto">
        <a:xfrm>
          <a:off x="1181100" y="42852975"/>
          <a:ext cx="514350" cy="495300"/>
        </a:xfrm>
        <a:prstGeom prst="rect">
          <a:avLst/>
        </a:prstGeom>
        <a:noFill/>
        <a:ln w="9525">
          <a:noFill/>
          <a:miter lim="800000"/>
          <a:headEnd/>
          <a:tailEnd/>
        </a:ln>
      </xdr:spPr>
    </xdr:pic>
    <xdr:clientData/>
  </xdr:twoCellAnchor>
  <xdr:twoCellAnchor>
    <xdr:from>
      <xdr:col>2</xdr:col>
      <xdr:colOff>0</xdr:colOff>
      <xdr:row>95</xdr:row>
      <xdr:rowOff>0</xdr:rowOff>
    </xdr:from>
    <xdr:to>
      <xdr:col>3</xdr:col>
      <xdr:colOff>0</xdr:colOff>
      <xdr:row>95</xdr:row>
      <xdr:rowOff>504825</xdr:rowOff>
    </xdr:to>
    <xdr:pic>
      <xdr:nvPicPr>
        <xdr:cNvPr id="111395" name="Picture 111" descr="1"/>
        <xdr:cNvPicPr>
          <a:picLocks noChangeAspect="1" noChangeArrowheads="1"/>
        </xdr:cNvPicPr>
      </xdr:nvPicPr>
      <xdr:blipFill>
        <a:blip xmlns:r="http://schemas.openxmlformats.org/officeDocument/2006/relationships" r:embed="rId169" r:link="rId170" cstate="print"/>
        <a:srcRect/>
        <a:stretch>
          <a:fillRect/>
        </a:stretch>
      </xdr:blipFill>
      <xdr:spPr bwMode="auto">
        <a:xfrm>
          <a:off x="1181100" y="43348275"/>
          <a:ext cx="514350" cy="495300"/>
        </a:xfrm>
        <a:prstGeom prst="rect">
          <a:avLst/>
        </a:prstGeom>
        <a:noFill/>
        <a:ln w="9525">
          <a:noFill/>
          <a:miter lim="800000"/>
          <a:headEnd/>
          <a:tailEnd/>
        </a:ln>
      </xdr:spPr>
    </xdr:pic>
    <xdr:clientData/>
  </xdr:twoCellAnchor>
  <xdr:twoCellAnchor>
    <xdr:from>
      <xdr:col>2</xdr:col>
      <xdr:colOff>0</xdr:colOff>
      <xdr:row>96</xdr:row>
      <xdr:rowOff>0</xdr:rowOff>
    </xdr:from>
    <xdr:to>
      <xdr:col>3</xdr:col>
      <xdr:colOff>0</xdr:colOff>
      <xdr:row>96</xdr:row>
      <xdr:rowOff>485775</xdr:rowOff>
    </xdr:to>
    <xdr:pic>
      <xdr:nvPicPr>
        <xdr:cNvPr id="111396" name="Picture 112" descr="1u"/>
        <xdr:cNvPicPr>
          <a:picLocks noChangeAspect="1" noChangeArrowheads="1"/>
        </xdr:cNvPicPr>
      </xdr:nvPicPr>
      <xdr:blipFill>
        <a:blip xmlns:r="http://schemas.openxmlformats.org/officeDocument/2006/relationships" r:embed="rId171" r:link="rId172" cstate="print"/>
        <a:srcRect/>
        <a:stretch>
          <a:fillRect/>
        </a:stretch>
      </xdr:blipFill>
      <xdr:spPr bwMode="auto">
        <a:xfrm>
          <a:off x="1181100" y="43843575"/>
          <a:ext cx="514350" cy="485775"/>
        </a:xfrm>
        <a:prstGeom prst="rect">
          <a:avLst/>
        </a:prstGeom>
        <a:noFill/>
        <a:ln w="9525">
          <a:noFill/>
          <a:miter lim="800000"/>
          <a:headEnd/>
          <a:tailEnd/>
        </a:ln>
      </xdr:spPr>
    </xdr:pic>
    <xdr:clientData/>
  </xdr:twoCellAnchor>
  <xdr:twoCellAnchor>
    <xdr:from>
      <xdr:col>2</xdr:col>
      <xdr:colOff>0</xdr:colOff>
      <xdr:row>97</xdr:row>
      <xdr:rowOff>0</xdr:rowOff>
    </xdr:from>
    <xdr:to>
      <xdr:col>3</xdr:col>
      <xdr:colOff>0</xdr:colOff>
      <xdr:row>97</xdr:row>
      <xdr:rowOff>485775</xdr:rowOff>
    </xdr:to>
    <xdr:pic>
      <xdr:nvPicPr>
        <xdr:cNvPr id="111397" name="Picture 113" descr="2"/>
        <xdr:cNvPicPr>
          <a:picLocks noChangeAspect="1" noChangeArrowheads="1"/>
        </xdr:cNvPicPr>
      </xdr:nvPicPr>
      <xdr:blipFill>
        <a:blip xmlns:r="http://schemas.openxmlformats.org/officeDocument/2006/relationships" r:embed="rId173" r:link="rId174" cstate="print"/>
        <a:srcRect/>
        <a:stretch>
          <a:fillRect/>
        </a:stretch>
      </xdr:blipFill>
      <xdr:spPr bwMode="auto">
        <a:xfrm>
          <a:off x="1181100" y="44329350"/>
          <a:ext cx="514350" cy="485775"/>
        </a:xfrm>
        <a:prstGeom prst="rect">
          <a:avLst/>
        </a:prstGeom>
        <a:noFill/>
        <a:ln w="9525">
          <a:noFill/>
          <a:miter lim="800000"/>
          <a:headEnd/>
          <a:tailEnd/>
        </a:ln>
      </xdr:spPr>
    </xdr:pic>
    <xdr:clientData/>
  </xdr:twoCellAnchor>
  <xdr:twoCellAnchor>
    <xdr:from>
      <xdr:col>2</xdr:col>
      <xdr:colOff>0</xdr:colOff>
      <xdr:row>98</xdr:row>
      <xdr:rowOff>0</xdr:rowOff>
    </xdr:from>
    <xdr:to>
      <xdr:col>3</xdr:col>
      <xdr:colOff>0</xdr:colOff>
      <xdr:row>98</xdr:row>
      <xdr:rowOff>495300</xdr:rowOff>
    </xdr:to>
    <xdr:pic>
      <xdr:nvPicPr>
        <xdr:cNvPr id="111398" name="Picture 114" descr="2u"/>
        <xdr:cNvPicPr>
          <a:picLocks noChangeAspect="1" noChangeArrowheads="1"/>
        </xdr:cNvPicPr>
      </xdr:nvPicPr>
      <xdr:blipFill>
        <a:blip xmlns:r="http://schemas.openxmlformats.org/officeDocument/2006/relationships" r:embed="rId175" r:link="rId176" cstate="print"/>
        <a:srcRect/>
        <a:stretch>
          <a:fillRect/>
        </a:stretch>
      </xdr:blipFill>
      <xdr:spPr bwMode="auto">
        <a:xfrm>
          <a:off x="1181100" y="44815125"/>
          <a:ext cx="514350" cy="495300"/>
        </a:xfrm>
        <a:prstGeom prst="rect">
          <a:avLst/>
        </a:prstGeom>
        <a:noFill/>
        <a:ln w="9525">
          <a:noFill/>
          <a:miter lim="800000"/>
          <a:headEnd/>
          <a:tailEnd/>
        </a:ln>
      </xdr:spPr>
    </xdr:pic>
    <xdr:clientData/>
  </xdr:twoCellAnchor>
  <xdr:twoCellAnchor>
    <xdr:from>
      <xdr:col>2</xdr:col>
      <xdr:colOff>0</xdr:colOff>
      <xdr:row>99</xdr:row>
      <xdr:rowOff>0</xdr:rowOff>
    </xdr:from>
    <xdr:to>
      <xdr:col>3</xdr:col>
      <xdr:colOff>0</xdr:colOff>
      <xdr:row>99</xdr:row>
      <xdr:rowOff>485775</xdr:rowOff>
    </xdr:to>
    <xdr:pic>
      <xdr:nvPicPr>
        <xdr:cNvPr id="111399" name="Picture 115" descr="3"/>
        <xdr:cNvPicPr>
          <a:picLocks noChangeAspect="1" noChangeArrowheads="1"/>
        </xdr:cNvPicPr>
      </xdr:nvPicPr>
      <xdr:blipFill>
        <a:blip xmlns:r="http://schemas.openxmlformats.org/officeDocument/2006/relationships" r:embed="rId177" r:link="rId178" cstate="print"/>
        <a:srcRect/>
        <a:stretch>
          <a:fillRect/>
        </a:stretch>
      </xdr:blipFill>
      <xdr:spPr bwMode="auto">
        <a:xfrm>
          <a:off x="1181100" y="45310425"/>
          <a:ext cx="514350" cy="485775"/>
        </a:xfrm>
        <a:prstGeom prst="rect">
          <a:avLst/>
        </a:prstGeom>
        <a:noFill/>
        <a:ln w="9525">
          <a:noFill/>
          <a:miter lim="800000"/>
          <a:headEnd/>
          <a:tailEnd/>
        </a:ln>
      </xdr:spPr>
    </xdr:pic>
    <xdr:clientData/>
  </xdr:twoCellAnchor>
  <xdr:twoCellAnchor>
    <xdr:from>
      <xdr:col>2</xdr:col>
      <xdr:colOff>0</xdr:colOff>
      <xdr:row>100</xdr:row>
      <xdr:rowOff>0</xdr:rowOff>
    </xdr:from>
    <xdr:to>
      <xdr:col>3</xdr:col>
      <xdr:colOff>0</xdr:colOff>
      <xdr:row>100</xdr:row>
      <xdr:rowOff>485775</xdr:rowOff>
    </xdr:to>
    <xdr:pic>
      <xdr:nvPicPr>
        <xdr:cNvPr id="111400" name="Picture 116" descr="3u"/>
        <xdr:cNvPicPr>
          <a:picLocks noChangeAspect="1" noChangeArrowheads="1"/>
        </xdr:cNvPicPr>
      </xdr:nvPicPr>
      <xdr:blipFill>
        <a:blip xmlns:r="http://schemas.openxmlformats.org/officeDocument/2006/relationships" r:embed="rId179" r:link="rId180" cstate="print"/>
        <a:srcRect/>
        <a:stretch>
          <a:fillRect/>
        </a:stretch>
      </xdr:blipFill>
      <xdr:spPr bwMode="auto">
        <a:xfrm>
          <a:off x="1181100" y="45796200"/>
          <a:ext cx="514350" cy="476250"/>
        </a:xfrm>
        <a:prstGeom prst="rect">
          <a:avLst/>
        </a:prstGeom>
        <a:noFill/>
        <a:ln w="9525">
          <a:noFill/>
          <a:miter lim="800000"/>
          <a:headEnd/>
          <a:tailEnd/>
        </a:ln>
      </xdr:spPr>
    </xdr:pic>
    <xdr:clientData/>
  </xdr:twoCellAnchor>
  <xdr:twoCellAnchor>
    <xdr:from>
      <xdr:col>2</xdr:col>
      <xdr:colOff>0</xdr:colOff>
      <xdr:row>101</xdr:row>
      <xdr:rowOff>0</xdr:rowOff>
    </xdr:from>
    <xdr:to>
      <xdr:col>3</xdr:col>
      <xdr:colOff>0</xdr:colOff>
      <xdr:row>101</xdr:row>
      <xdr:rowOff>504825</xdr:rowOff>
    </xdr:to>
    <xdr:pic>
      <xdr:nvPicPr>
        <xdr:cNvPr id="111401" name="Picture 117" descr="4"/>
        <xdr:cNvPicPr>
          <a:picLocks noChangeAspect="1" noChangeArrowheads="1"/>
        </xdr:cNvPicPr>
      </xdr:nvPicPr>
      <xdr:blipFill>
        <a:blip xmlns:r="http://schemas.openxmlformats.org/officeDocument/2006/relationships" r:embed="rId181" r:link="rId182" cstate="print"/>
        <a:srcRect/>
        <a:stretch>
          <a:fillRect/>
        </a:stretch>
      </xdr:blipFill>
      <xdr:spPr bwMode="auto">
        <a:xfrm>
          <a:off x="1181100" y="46272450"/>
          <a:ext cx="514350" cy="504825"/>
        </a:xfrm>
        <a:prstGeom prst="rect">
          <a:avLst/>
        </a:prstGeom>
        <a:noFill/>
        <a:ln w="9525">
          <a:noFill/>
          <a:miter lim="800000"/>
          <a:headEnd/>
          <a:tailEnd/>
        </a:ln>
      </xdr:spPr>
    </xdr:pic>
    <xdr:clientData/>
  </xdr:twoCellAnchor>
  <xdr:twoCellAnchor>
    <xdr:from>
      <xdr:col>2</xdr:col>
      <xdr:colOff>0</xdr:colOff>
      <xdr:row>102</xdr:row>
      <xdr:rowOff>9525</xdr:rowOff>
    </xdr:from>
    <xdr:to>
      <xdr:col>3</xdr:col>
      <xdr:colOff>0</xdr:colOff>
      <xdr:row>103</xdr:row>
      <xdr:rowOff>9525</xdr:rowOff>
    </xdr:to>
    <xdr:pic>
      <xdr:nvPicPr>
        <xdr:cNvPr id="111402" name="Picture 118" descr="4u"/>
        <xdr:cNvPicPr>
          <a:picLocks noChangeAspect="1" noChangeArrowheads="1"/>
        </xdr:cNvPicPr>
      </xdr:nvPicPr>
      <xdr:blipFill>
        <a:blip xmlns:r="http://schemas.openxmlformats.org/officeDocument/2006/relationships" r:embed="rId183" r:link="rId184" cstate="print"/>
        <a:srcRect/>
        <a:stretch>
          <a:fillRect/>
        </a:stretch>
      </xdr:blipFill>
      <xdr:spPr bwMode="auto">
        <a:xfrm>
          <a:off x="1438275" y="46462950"/>
          <a:ext cx="514350" cy="485775"/>
        </a:xfrm>
        <a:prstGeom prst="rect">
          <a:avLst/>
        </a:prstGeom>
        <a:noFill/>
        <a:ln w="9525">
          <a:noFill/>
          <a:miter lim="800000"/>
          <a:headEnd/>
          <a:tailEnd/>
        </a:ln>
      </xdr:spPr>
    </xdr:pic>
    <xdr:clientData/>
  </xdr:twoCellAnchor>
  <xdr:twoCellAnchor>
    <xdr:from>
      <xdr:col>2</xdr:col>
      <xdr:colOff>0</xdr:colOff>
      <xdr:row>103</xdr:row>
      <xdr:rowOff>0</xdr:rowOff>
    </xdr:from>
    <xdr:to>
      <xdr:col>3</xdr:col>
      <xdr:colOff>0</xdr:colOff>
      <xdr:row>103</xdr:row>
      <xdr:rowOff>485775</xdr:rowOff>
    </xdr:to>
    <xdr:pic>
      <xdr:nvPicPr>
        <xdr:cNvPr id="111403" name="Picture 119" descr="5"/>
        <xdr:cNvPicPr>
          <a:picLocks noChangeAspect="1" noChangeArrowheads="1"/>
        </xdr:cNvPicPr>
      </xdr:nvPicPr>
      <xdr:blipFill>
        <a:blip xmlns:r="http://schemas.openxmlformats.org/officeDocument/2006/relationships" r:embed="rId185" r:link="rId186" cstate="print"/>
        <a:srcRect/>
        <a:stretch>
          <a:fillRect/>
        </a:stretch>
      </xdr:blipFill>
      <xdr:spPr bwMode="auto">
        <a:xfrm>
          <a:off x="1181100" y="47263050"/>
          <a:ext cx="514350" cy="485775"/>
        </a:xfrm>
        <a:prstGeom prst="rect">
          <a:avLst/>
        </a:prstGeom>
        <a:noFill/>
        <a:ln w="9525">
          <a:noFill/>
          <a:miter lim="800000"/>
          <a:headEnd/>
          <a:tailEnd/>
        </a:ln>
      </xdr:spPr>
    </xdr:pic>
    <xdr:clientData/>
  </xdr:twoCellAnchor>
  <xdr:twoCellAnchor>
    <xdr:from>
      <xdr:col>2</xdr:col>
      <xdr:colOff>0</xdr:colOff>
      <xdr:row>104</xdr:row>
      <xdr:rowOff>0</xdr:rowOff>
    </xdr:from>
    <xdr:to>
      <xdr:col>3</xdr:col>
      <xdr:colOff>0</xdr:colOff>
      <xdr:row>104</xdr:row>
      <xdr:rowOff>504825</xdr:rowOff>
    </xdr:to>
    <xdr:pic>
      <xdr:nvPicPr>
        <xdr:cNvPr id="111404" name="Picture 120" descr="5u"/>
        <xdr:cNvPicPr>
          <a:picLocks noChangeAspect="1" noChangeArrowheads="1"/>
        </xdr:cNvPicPr>
      </xdr:nvPicPr>
      <xdr:blipFill>
        <a:blip xmlns:r="http://schemas.openxmlformats.org/officeDocument/2006/relationships" r:embed="rId187" r:link="rId188" cstate="print"/>
        <a:srcRect/>
        <a:stretch>
          <a:fillRect/>
        </a:stretch>
      </xdr:blipFill>
      <xdr:spPr bwMode="auto">
        <a:xfrm>
          <a:off x="1181100" y="47748825"/>
          <a:ext cx="514350" cy="504825"/>
        </a:xfrm>
        <a:prstGeom prst="rect">
          <a:avLst/>
        </a:prstGeom>
        <a:noFill/>
        <a:ln w="9525">
          <a:noFill/>
          <a:miter lim="800000"/>
          <a:headEnd/>
          <a:tailEnd/>
        </a:ln>
      </xdr:spPr>
    </xdr:pic>
    <xdr:clientData/>
  </xdr:twoCellAnchor>
  <xdr:twoCellAnchor>
    <xdr:from>
      <xdr:col>2</xdr:col>
      <xdr:colOff>0</xdr:colOff>
      <xdr:row>105</xdr:row>
      <xdr:rowOff>0</xdr:rowOff>
    </xdr:from>
    <xdr:to>
      <xdr:col>3</xdr:col>
      <xdr:colOff>0</xdr:colOff>
      <xdr:row>105</xdr:row>
      <xdr:rowOff>485775</xdr:rowOff>
    </xdr:to>
    <xdr:pic>
      <xdr:nvPicPr>
        <xdr:cNvPr id="111405" name="Picture 121" descr="6"/>
        <xdr:cNvPicPr>
          <a:picLocks noChangeAspect="1" noChangeArrowheads="1"/>
        </xdr:cNvPicPr>
      </xdr:nvPicPr>
      <xdr:blipFill>
        <a:blip xmlns:r="http://schemas.openxmlformats.org/officeDocument/2006/relationships" r:embed="rId189" r:link="rId190" cstate="print"/>
        <a:srcRect/>
        <a:stretch>
          <a:fillRect/>
        </a:stretch>
      </xdr:blipFill>
      <xdr:spPr bwMode="auto">
        <a:xfrm>
          <a:off x="1181100" y="48253650"/>
          <a:ext cx="514350" cy="485775"/>
        </a:xfrm>
        <a:prstGeom prst="rect">
          <a:avLst/>
        </a:prstGeom>
        <a:noFill/>
        <a:ln w="9525">
          <a:noFill/>
          <a:miter lim="800000"/>
          <a:headEnd/>
          <a:tailEnd/>
        </a:ln>
      </xdr:spPr>
    </xdr:pic>
    <xdr:clientData/>
  </xdr:twoCellAnchor>
  <xdr:twoCellAnchor>
    <xdr:from>
      <xdr:col>2</xdr:col>
      <xdr:colOff>0</xdr:colOff>
      <xdr:row>106</xdr:row>
      <xdr:rowOff>0</xdr:rowOff>
    </xdr:from>
    <xdr:to>
      <xdr:col>3</xdr:col>
      <xdr:colOff>0</xdr:colOff>
      <xdr:row>106</xdr:row>
      <xdr:rowOff>495300</xdr:rowOff>
    </xdr:to>
    <xdr:pic>
      <xdr:nvPicPr>
        <xdr:cNvPr id="111406" name="Picture 122" descr="6u"/>
        <xdr:cNvPicPr>
          <a:picLocks noChangeAspect="1" noChangeArrowheads="1"/>
        </xdr:cNvPicPr>
      </xdr:nvPicPr>
      <xdr:blipFill>
        <a:blip xmlns:r="http://schemas.openxmlformats.org/officeDocument/2006/relationships" r:embed="rId191" r:link="rId192" cstate="print"/>
        <a:srcRect/>
        <a:stretch>
          <a:fillRect/>
        </a:stretch>
      </xdr:blipFill>
      <xdr:spPr bwMode="auto">
        <a:xfrm>
          <a:off x="1181100" y="48739425"/>
          <a:ext cx="514350" cy="495300"/>
        </a:xfrm>
        <a:prstGeom prst="rect">
          <a:avLst/>
        </a:prstGeom>
        <a:noFill/>
        <a:ln w="9525">
          <a:noFill/>
          <a:miter lim="800000"/>
          <a:headEnd/>
          <a:tailEnd/>
        </a:ln>
      </xdr:spPr>
    </xdr:pic>
    <xdr:clientData/>
  </xdr:twoCellAnchor>
  <xdr:twoCellAnchor>
    <xdr:from>
      <xdr:col>2</xdr:col>
      <xdr:colOff>0</xdr:colOff>
      <xdr:row>107</xdr:row>
      <xdr:rowOff>0</xdr:rowOff>
    </xdr:from>
    <xdr:to>
      <xdr:col>3</xdr:col>
      <xdr:colOff>0</xdr:colOff>
      <xdr:row>107</xdr:row>
      <xdr:rowOff>495300</xdr:rowOff>
    </xdr:to>
    <xdr:pic>
      <xdr:nvPicPr>
        <xdr:cNvPr id="111407" name="Picture 123" descr="7"/>
        <xdr:cNvPicPr>
          <a:picLocks noChangeAspect="1" noChangeArrowheads="1"/>
        </xdr:cNvPicPr>
      </xdr:nvPicPr>
      <xdr:blipFill>
        <a:blip xmlns:r="http://schemas.openxmlformats.org/officeDocument/2006/relationships" r:embed="rId193" r:link="rId194" cstate="print"/>
        <a:srcRect/>
        <a:stretch>
          <a:fillRect/>
        </a:stretch>
      </xdr:blipFill>
      <xdr:spPr bwMode="auto">
        <a:xfrm>
          <a:off x="1181100" y="49234725"/>
          <a:ext cx="514350" cy="495300"/>
        </a:xfrm>
        <a:prstGeom prst="rect">
          <a:avLst/>
        </a:prstGeom>
        <a:noFill/>
        <a:ln w="9525">
          <a:noFill/>
          <a:miter lim="800000"/>
          <a:headEnd/>
          <a:tailEnd/>
        </a:ln>
      </xdr:spPr>
    </xdr:pic>
    <xdr:clientData/>
  </xdr:twoCellAnchor>
  <xdr:twoCellAnchor>
    <xdr:from>
      <xdr:col>2</xdr:col>
      <xdr:colOff>0</xdr:colOff>
      <xdr:row>108</xdr:row>
      <xdr:rowOff>0</xdr:rowOff>
    </xdr:from>
    <xdr:to>
      <xdr:col>3</xdr:col>
      <xdr:colOff>0</xdr:colOff>
      <xdr:row>108</xdr:row>
      <xdr:rowOff>485775</xdr:rowOff>
    </xdr:to>
    <xdr:pic>
      <xdr:nvPicPr>
        <xdr:cNvPr id="111408" name="Picture 124" descr="7u"/>
        <xdr:cNvPicPr>
          <a:picLocks noChangeAspect="1" noChangeArrowheads="1"/>
        </xdr:cNvPicPr>
      </xdr:nvPicPr>
      <xdr:blipFill>
        <a:blip xmlns:r="http://schemas.openxmlformats.org/officeDocument/2006/relationships" r:embed="rId195" r:link="rId196" cstate="print"/>
        <a:srcRect/>
        <a:stretch>
          <a:fillRect/>
        </a:stretch>
      </xdr:blipFill>
      <xdr:spPr bwMode="auto">
        <a:xfrm>
          <a:off x="1181100" y="49730025"/>
          <a:ext cx="514350" cy="476250"/>
        </a:xfrm>
        <a:prstGeom prst="rect">
          <a:avLst/>
        </a:prstGeom>
        <a:noFill/>
        <a:ln w="9525">
          <a:noFill/>
          <a:miter lim="800000"/>
          <a:headEnd/>
          <a:tailEnd/>
        </a:ln>
      </xdr:spPr>
    </xdr:pic>
    <xdr:clientData/>
  </xdr:twoCellAnchor>
  <xdr:twoCellAnchor>
    <xdr:from>
      <xdr:col>2</xdr:col>
      <xdr:colOff>0</xdr:colOff>
      <xdr:row>109</xdr:row>
      <xdr:rowOff>0</xdr:rowOff>
    </xdr:from>
    <xdr:to>
      <xdr:col>3</xdr:col>
      <xdr:colOff>0</xdr:colOff>
      <xdr:row>109</xdr:row>
      <xdr:rowOff>485775</xdr:rowOff>
    </xdr:to>
    <xdr:pic>
      <xdr:nvPicPr>
        <xdr:cNvPr id="111409" name="Picture 125" descr="1"/>
        <xdr:cNvPicPr>
          <a:picLocks noChangeAspect="1" noChangeArrowheads="1"/>
        </xdr:cNvPicPr>
      </xdr:nvPicPr>
      <xdr:blipFill>
        <a:blip xmlns:r="http://schemas.openxmlformats.org/officeDocument/2006/relationships" r:embed="rId197" r:link="rId198" cstate="print"/>
        <a:srcRect/>
        <a:stretch>
          <a:fillRect/>
        </a:stretch>
      </xdr:blipFill>
      <xdr:spPr bwMode="auto">
        <a:xfrm>
          <a:off x="1181100" y="50206275"/>
          <a:ext cx="514350" cy="485775"/>
        </a:xfrm>
        <a:prstGeom prst="rect">
          <a:avLst/>
        </a:prstGeom>
        <a:noFill/>
        <a:ln w="9525">
          <a:noFill/>
          <a:miter lim="800000"/>
          <a:headEnd/>
          <a:tailEnd/>
        </a:ln>
      </xdr:spPr>
    </xdr:pic>
    <xdr:clientData/>
  </xdr:twoCellAnchor>
  <xdr:twoCellAnchor>
    <xdr:from>
      <xdr:col>2</xdr:col>
      <xdr:colOff>0</xdr:colOff>
      <xdr:row>110</xdr:row>
      <xdr:rowOff>0</xdr:rowOff>
    </xdr:from>
    <xdr:to>
      <xdr:col>3</xdr:col>
      <xdr:colOff>0</xdr:colOff>
      <xdr:row>110</xdr:row>
      <xdr:rowOff>485775</xdr:rowOff>
    </xdr:to>
    <xdr:pic>
      <xdr:nvPicPr>
        <xdr:cNvPr id="111410" name="Picture 126" descr="1u"/>
        <xdr:cNvPicPr>
          <a:picLocks noChangeAspect="1" noChangeArrowheads="1"/>
        </xdr:cNvPicPr>
      </xdr:nvPicPr>
      <xdr:blipFill>
        <a:blip xmlns:r="http://schemas.openxmlformats.org/officeDocument/2006/relationships" r:embed="rId199" r:link="rId200" cstate="print"/>
        <a:srcRect/>
        <a:stretch>
          <a:fillRect/>
        </a:stretch>
      </xdr:blipFill>
      <xdr:spPr bwMode="auto">
        <a:xfrm>
          <a:off x="1181100" y="50692050"/>
          <a:ext cx="514350" cy="485775"/>
        </a:xfrm>
        <a:prstGeom prst="rect">
          <a:avLst/>
        </a:prstGeom>
        <a:noFill/>
        <a:ln w="9525">
          <a:noFill/>
          <a:miter lim="800000"/>
          <a:headEnd/>
          <a:tailEnd/>
        </a:ln>
      </xdr:spPr>
    </xdr:pic>
    <xdr:clientData/>
  </xdr:twoCellAnchor>
  <xdr:twoCellAnchor>
    <xdr:from>
      <xdr:col>2</xdr:col>
      <xdr:colOff>0</xdr:colOff>
      <xdr:row>111</xdr:row>
      <xdr:rowOff>0</xdr:rowOff>
    </xdr:from>
    <xdr:to>
      <xdr:col>3</xdr:col>
      <xdr:colOff>0</xdr:colOff>
      <xdr:row>111</xdr:row>
      <xdr:rowOff>476250</xdr:rowOff>
    </xdr:to>
    <xdr:pic>
      <xdr:nvPicPr>
        <xdr:cNvPr id="111411" name="Picture 127" descr="2"/>
        <xdr:cNvPicPr>
          <a:picLocks noChangeAspect="1" noChangeArrowheads="1"/>
        </xdr:cNvPicPr>
      </xdr:nvPicPr>
      <xdr:blipFill>
        <a:blip xmlns:r="http://schemas.openxmlformats.org/officeDocument/2006/relationships" r:embed="rId201" r:link="rId202" cstate="print"/>
        <a:srcRect/>
        <a:stretch>
          <a:fillRect/>
        </a:stretch>
      </xdr:blipFill>
      <xdr:spPr bwMode="auto">
        <a:xfrm>
          <a:off x="1181100" y="51177825"/>
          <a:ext cx="514350" cy="466725"/>
        </a:xfrm>
        <a:prstGeom prst="rect">
          <a:avLst/>
        </a:prstGeom>
        <a:noFill/>
        <a:ln w="9525">
          <a:noFill/>
          <a:miter lim="800000"/>
          <a:headEnd/>
          <a:tailEnd/>
        </a:ln>
      </xdr:spPr>
    </xdr:pic>
    <xdr:clientData/>
  </xdr:twoCellAnchor>
  <xdr:twoCellAnchor>
    <xdr:from>
      <xdr:col>2</xdr:col>
      <xdr:colOff>0</xdr:colOff>
      <xdr:row>112</xdr:row>
      <xdr:rowOff>0</xdr:rowOff>
    </xdr:from>
    <xdr:to>
      <xdr:col>3</xdr:col>
      <xdr:colOff>0</xdr:colOff>
      <xdr:row>112</xdr:row>
      <xdr:rowOff>495300</xdr:rowOff>
    </xdr:to>
    <xdr:pic>
      <xdr:nvPicPr>
        <xdr:cNvPr id="111412" name="Picture 128" descr="2u"/>
        <xdr:cNvPicPr>
          <a:picLocks noChangeAspect="1" noChangeArrowheads="1"/>
        </xdr:cNvPicPr>
      </xdr:nvPicPr>
      <xdr:blipFill>
        <a:blip xmlns:r="http://schemas.openxmlformats.org/officeDocument/2006/relationships" r:embed="rId203" r:link="rId204" cstate="print"/>
        <a:srcRect/>
        <a:stretch>
          <a:fillRect/>
        </a:stretch>
      </xdr:blipFill>
      <xdr:spPr bwMode="auto">
        <a:xfrm>
          <a:off x="1181100" y="51644550"/>
          <a:ext cx="514350" cy="495300"/>
        </a:xfrm>
        <a:prstGeom prst="rect">
          <a:avLst/>
        </a:prstGeom>
        <a:noFill/>
        <a:ln w="9525">
          <a:noFill/>
          <a:miter lim="800000"/>
          <a:headEnd/>
          <a:tailEnd/>
        </a:ln>
      </xdr:spPr>
    </xdr:pic>
    <xdr:clientData/>
  </xdr:twoCellAnchor>
  <xdr:twoCellAnchor>
    <xdr:from>
      <xdr:col>2</xdr:col>
      <xdr:colOff>0</xdr:colOff>
      <xdr:row>113</xdr:row>
      <xdr:rowOff>0</xdr:rowOff>
    </xdr:from>
    <xdr:to>
      <xdr:col>3</xdr:col>
      <xdr:colOff>0</xdr:colOff>
      <xdr:row>113</xdr:row>
      <xdr:rowOff>485775</xdr:rowOff>
    </xdr:to>
    <xdr:pic>
      <xdr:nvPicPr>
        <xdr:cNvPr id="111413" name="Picture 129" descr="3"/>
        <xdr:cNvPicPr>
          <a:picLocks noChangeAspect="1" noChangeArrowheads="1"/>
        </xdr:cNvPicPr>
      </xdr:nvPicPr>
      <xdr:blipFill>
        <a:blip xmlns:r="http://schemas.openxmlformats.org/officeDocument/2006/relationships" r:embed="rId205" r:link="rId206" cstate="print"/>
        <a:srcRect/>
        <a:stretch>
          <a:fillRect/>
        </a:stretch>
      </xdr:blipFill>
      <xdr:spPr bwMode="auto">
        <a:xfrm>
          <a:off x="1181100" y="52139850"/>
          <a:ext cx="514350" cy="476250"/>
        </a:xfrm>
        <a:prstGeom prst="rect">
          <a:avLst/>
        </a:prstGeom>
        <a:noFill/>
        <a:ln w="9525">
          <a:noFill/>
          <a:miter lim="800000"/>
          <a:headEnd/>
          <a:tailEnd/>
        </a:ln>
      </xdr:spPr>
    </xdr:pic>
    <xdr:clientData/>
  </xdr:twoCellAnchor>
  <xdr:twoCellAnchor>
    <xdr:from>
      <xdr:col>2</xdr:col>
      <xdr:colOff>0</xdr:colOff>
      <xdr:row>114</xdr:row>
      <xdr:rowOff>0</xdr:rowOff>
    </xdr:from>
    <xdr:to>
      <xdr:col>3</xdr:col>
      <xdr:colOff>0</xdr:colOff>
      <xdr:row>114</xdr:row>
      <xdr:rowOff>495300</xdr:rowOff>
    </xdr:to>
    <xdr:pic>
      <xdr:nvPicPr>
        <xdr:cNvPr id="111414" name="Picture 130" descr="3u"/>
        <xdr:cNvPicPr>
          <a:picLocks noChangeAspect="1" noChangeArrowheads="1"/>
        </xdr:cNvPicPr>
      </xdr:nvPicPr>
      <xdr:blipFill>
        <a:blip xmlns:r="http://schemas.openxmlformats.org/officeDocument/2006/relationships" r:embed="rId207" r:link="rId208" cstate="print"/>
        <a:srcRect/>
        <a:stretch>
          <a:fillRect/>
        </a:stretch>
      </xdr:blipFill>
      <xdr:spPr bwMode="auto">
        <a:xfrm>
          <a:off x="1181100" y="52616100"/>
          <a:ext cx="514350" cy="495300"/>
        </a:xfrm>
        <a:prstGeom prst="rect">
          <a:avLst/>
        </a:prstGeom>
        <a:noFill/>
        <a:ln w="9525">
          <a:noFill/>
          <a:miter lim="800000"/>
          <a:headEnd/>
          <a:tailEnd/>
        </a:ln>
      </xdr:spPr>
    </xdr:pic>
    <xdr:clientData/>
  </xdr:twoCellAnchor>
  <xdr:twoCellAnchor>
    <xdr:from>
      <xdr:col>2</xdr:col>
      <xdr:colOff>0</xdr:colOff>
      <xdr:row>115</xdr:row>
      <xdr:rowOff>0</xdr:rowOff>
    </xdr:from>
    <xdr:to>
      <xdr:col>3</xdr:col>
      <xdr:colOff>0</xdr:colOff>
      <xdr:row>115</xdr:row>
      <xdr:rowOff>495300</xdr:rowOff>
    </xdr:to>
    <xdr:pic>
      <xdr:nvPicPr>
        <xdr:cNvPr id="111415" name="Picture 131" descr="4"/>
        <xdr:cNvPicPr>
          <a:picLocks noChangeAspect="1" noChangeArrowheads="1"/>
        </xdr:cNvPicPr>
      </xdr:nvPicPr>
      <xdr:blipFill>
        <a:blip xmlns:r="http://schemas.openxmlformats.org/officeDocument/2006/relationships" r:embed="rId209" r:link="rId210" cstate="print"/>
        <a:srcRect/>
        <a:stretch>
          <a:fillRect/>
        </a:stretch>
      </xdr:blipFill>
      <xdr:spPr bwMode="auto">
        <a:xfrm>
          <a:off x="1181100" y="53111400"/>
          <a:ext cx="514350" cy="495300"/>
        </a:xfrm>
        <a:prstGeom prst="rect">
          <a:avLst/>
        </a:prstGeom>
        <a:noFill/>
        <a:ln w="9525">
          <a:noFill/>
          <a:miter lim="800000"/>
          <a:headEnd/>
          <a:tailEnd/>
        </a:ln>
      </xdr:spPr>
    </xdr:pic>
    <xdr:clientData/>
  </xdr:twoCellAnchor>
  <xdr:twoCellAnchor>
    <xdr:from>
      <xdr:col>2</xdr:col>
      <xdr:colOff>0</xdr:colOff>
      <xdr:row>116</xdr:row>
      <xdr:rowOff>9525</xdr:rowOff>
    </xdr:from>
    <xdr:to>
      <xdr:col>3</xdr:col>
      <xdr:colOff>0</xdr:colOff>
      <xdr:row>117</xdr:row>
      <xdr:rowOff>9525</xdr:rowOff>
    </xdr:to>
    <xdr:pic>
      <xdr:nvPicPr>
        <xdr:cNvPr id="111416" name="Picture 132" descr="4u"/>
        <xdr:cNvPicPr>
          <a:picLocks noChangeAspect="1" noChangeArrowheads="1"/>
        </xdr:cNvPicPr>
      </xdr:nvPicPr>
      <xdr:blipFill>
        <a:blip xmlns:r="http://schemas.openxmlformats.org/officeDocument/2006/relationships" r:embed="rId211" r:link="rId212" cstate="print"/>
        <a:srcRect/>
        <a:stretch>
          <a:fillRect/>
        </a:stretch>
      </xdr:blipFill>
      <xdr:spPr bwMode="auto">
        <a:xfrm>
          <a:off x="1438275" y="53292375"/>
          <a:ext cx="514350" cy="485775"/>
        </a:xfrm>
        <a:prstGeom prst="rect">
          <a:avLst/>
        </a:prstGeom>
        <a:noFill/>
        <a:ln w="9525">
          <a:noFill/>
          <a:miter lim="800000"/>
          <a:headEnd/>
          <a:tailEnd/>
        </a:ln>
      </xdr:spPr>
    </xdr:pic>
    <xdr:clientData/>
  </xdr:twoCellAnchor>
  <xdr:twoCellAnchor>
    <xdr:from>
      <xdr:col>2</xdr:col>
      <xdr:colOff>0</xdr:colOff>
      <xdr:row>117</xdr:row>
      <xdr:rowOff>0</xdr:rowOff>
    </xdr:from>
    <xdr:to>
      <xdr:col>3</xdr:col>
      <xdr:colOff>0</xdr:colOff>
      <xdr:row>117</xdr:row>
      <xdr:rowOff>485775</xdr:rowOff>
    </xdr:to>
    <xdr:pic>
      <xdr:nvPicPr>
        <xdr:cNvPr id="111417" name="Picture 133" descr="5"/>
        <xdr:cNvPicPr>
          <a:picLocks noChangeAspect="1" noChangeArrowheads="1"/>
        </xdr:cNvPicPr>
      </xdr:nvPicPr>
      <xdr:blipFill>
        <a:blip xmlns:r="http://schemas.openxmlformats.org/officeDocument/2006/relationships" r:embed="rId213" r:link="rId214" cstate="print"/>
        <a:srcRect/>
        <a:stretch>
          <a:fillRect/>
        </a:stretch>
      </xdr:blipFill>
      <xdr:spPr bwMode="auto">
        <a:xfrm>
          <a:off x="1181100" y="54092475"/>
          <a:ext cx="514350" cy="476250"/>
        </a:xfrm>
        <a:prstGeom prst="rect">
          <a:avLst/>
        </a:prstGeom>
        <a:noFill/>
        <a:ln w="9525">
          <a:noFill/>
          <a:miter lim="800000"/>
          <a:headEnd/>
          <a:tailEnd/>
        </a:ln>
      </xdr:spPr>
    </xdr:pic>
    <xdr:clientData/>
  </xdr:twoCellAnchor>
  <xdr:twoCellAnchor>
    <xdr:from>
      <xdr:col>2</xdr:col>
      <xdr:colOff>0</xdr:colOff>
      <xdr:row>118</xdr:row>
      <xdr:rowOff>0</xdr:rowOff>
    </xdr:from>
    <xdr:to>
      <xdr:col>3</xdr:col>
      <xdr:colOff>0</xdr:colOff>
      <xdr:row>118</xdr:row>
      <xdr:rowOff>504825</xdr:rowOff>
    </xdr:to>
    <xdr:pic>
      <xdr:nvPicPr>
        <xdr:cNvPr id="111418" name="Picture 134" descr="5u"/>
        <xdr:cNvPicPr>
          <a:picLocks noChangeAspect="1" noChangeArrowheads="1"/>
        </xdr:cNvPicPr>
      </xdr:nvPicPr>
      <xdr:blipFill>
        <a:blip xmlns:r="http://schemas.openxmlformats.org/officeDocument/2006/relationships" r:embed="rId215" r:link="rId216" cstate="print"/>
        <a:srcRect/>
        <a:stretch>
          <a:fillRect/>
        </a:stretch>
      </xdr:blipFill>
      <xdr:spPr bwMode="auto">
        <a:xfrm>
          <a:off x="1181100" y="54568725"/>
          <a:ext cx="514350" cy="504825"/>
        </a:xfrm>
        <a:prstGeom prst="rect">
          <a:avLst/>
        </a:prstGeom>
        <a:noFill/>
        <a:ln w="9525">
          <a:noFill/>
          <a:miter lim="800000"/>
          <a:headEnd/>
          <a:tailEnd/>
        </a:ln>
      </xdr:spPr>
    </xdr:pic>
    <xdr:clientData/>
  </xdr:twoCellAnchor>
  <xdr:twoCellAnchor>
    <xdr:from>
      <xdr:col>2</xdr:col>
      <xdr:colOff>0</xdr:colOff>
      <xdr:row>119</xdr:row>
      <xdr:rowOff>0</xdr:rowOff>
    </xdr:from>
    <xdr:to>
      <xdr:col>3</xdr:col>
      <xdr:colOff>0</xdr:colOff>
      <xdr:row>119</xdr:row>
      <xdr:rowOff>485775</xdr:rowOff>
    </xdr:to>
    <xdr:pic>
      <xdr:nvPicPr>
        <xdr:cNvPr id="111419" name="Picture 135" descr="6"/>
        <xdr:cNvPicPr>
          <a:picLocks noChangeAspect="1" noChangeArrowheads="1"/>
        </xdr:cNvPicPr>
      </xdr:nvPicPr>
      <xdr:blipFill>
        <a:blip xmlns:r="http://schemas.openxmlformats.org/officeDocument/2006/relationships" r:embed="rId217" r:link="rId218" cstate="print"/>
        <a:srcRect/>
        <a:stretch>
          <a:fillRect/>
        </a:stretch>
      </xdr:blipFill>
      <xdr:spPr bwMode="auto">
        <a:xfrm>
          <a:off x="1181100" y="55073550"/>
          <a:ext cx="514350" cy="476250"/>
        </a:xfrm>
        <a:prstGeom prst="rect">
          <a:avLst/>
        </a:prstGeom>
        <a:noFill/>
        <a:ln w="9525">
          <a:noFill/>
          <a:miter lim="800000"/>
          <a:headEnd/>
          <a:tailEnd/>
        </a:ln>
      </xdr:spPr>
    </xdr:pic>
    <xdr:clientData/>
  </xdr:twoCellAnchor>
  <xdr:twoCellAnchor>
    <xdr:from>
      <xdr:col>2</xdr:col>
      <xdr:colOff>0</xdr:colOff>
      <xdr:row>120</xdr:row>
      <xdr:rowOff>0</xdr:rowOff>
    </xdr:from>
    <xdr:to>
      <xdr:col>3</xdr:col>
      <xdr:colOff>0</xdr:colOff>
      <xdr:row>120</xdr:row>
      <xdr:rowOff>495300</xdr:rowOff>
    </xdr:to>
    <xdr:pic>
      <xdr:nvPicPr>
        <xdr:cNvPr id="111420" name="Picture 136" descr="6u"/>
        <xdr:cNvPicPr>
          <a:picLocks noChangeAspect="1" noChangeArrowheads="1"/>
        </xdr:cNvPicPr>
      </xdr:nvPicPr>
      <xdr:blipFill>
        <a:blip xmlns:r="http://schemas.openxmlformats.org/officeDocument/2006/relationships" r:embed="rId219" r:link="rId220" cstate="print"/>
        <a:srcRect/>
        <a:stretch>
          <a:fillRect/>
        </a:stretch>
      </xdr:blipFill>
      <xdr:spPr bwMode="auto">
        <a:xfrm>
          <a:off x="1181100" y="55549800"/>
          <a:ext cx="514350" cy="485775"/>
        </a:xfrm>
        <a:prstGeom prst="rect">
          <a:avLst/>
        </a:prstGeom>
        <a:noFill/>
        <a:ln w="9525">
          <a:noFill/>
          <a:miter lim="800000"/>
          <a:headEnd/>
          <a:tailEnd/>
        </a:ln>
      </xdr:spPr>
    </xdr:pic>
    <xdr:clientData/>
  </xdr:twoCellAnchor>
  <xdr:twoCellAnchor>
    <xdr:from>
      <xdr:col>2</xdr:col>
      <xdr:colOff>0</xdr:colOff>
      <xdr:row>121</xdr:row>
      <xdr:rowOff>0</xdr:rowOff>
    </xdr:from>
    <xdr:to>
      <xdr:col>3</xdr:col>
      <xdr:colOff>0</xdr:colOff>
      <xdr:row>121</xdr:row>
      <xdr:rowOff>476250</xdr:rowOff>
    </xdr:to>
    <xdr:pic>
      <xdr:nvPicPr>
        <xdr:cNvPr id="111421" name="Picture 137" descr="7"/>
        <xdr:cNvPicPr>
          <a:picLocks noChangeAspect="1" noChangeArrowheads="1"/>
        </xdr:cNvPicPr>
      </xdr:nvPicPr>
      <xdr:blipFill>
        <a:blip xmlns:r="http://schemas.openxmlformats.org/officeDocument/2006/relationships" r:embed="rId221" r:link="rId222" cstate="print"/>
        <a:srcRect/>
        <a:stretch>
          <a:fillRect/>
        </a:stretch>
      </xdr:blipFill>
      <xdr:spPr bwMode="auto">
        <a:xfrm>
          <a:off x="1181100" y="56035575"/>
          <a:ext cx="514350" cy="466725"/>
        </a:xfrm>
        <a:prstGeom prst="rect">
          <a:avLst/>
        </a:prstGeom>
        <a:noFill/>
        <a:ln w="9525">
          <a:noFill/>
          <a:miter lim="800000"/>
          <a:headEnd/>
          <a:tailEnd/>
        </a:ln>
      </xdr:spPr>
    </xdr:pic>
    <xdr:clientData/>
  </xdr:twoCellAnchor>
  <xdr:twoCellAnchor>
    <xdr:from>
      <xdr:col>2</xdr:col>
      <xdr:colOff>0</xdr:colOff>
      <xdr:row>122</xdr:row>
      <xdr:rowOff>0</xdr:rowOff>
    </xdr:from>
    <xdr:to>
      <xdr:col>3</xdr:col>
      <xdr:colOff>0</xdr:colOff>
      <xdr:row>122</xdr:row>
      <xdr:rowOff>495300</xdr:rowOff>
    </xdr:to>
    <xdr:pic>
      <xdr:nvPicPr>
        <xdr:cNvPr id="111422" name="Picture 138" descr="7u"/>
        <xdr:cNvPicPr>
          <a:picLocks noChangeAspect="1" noChangeArrowheads="1"/>
        </xdr:cNvPicPr>
      </xdr:nvPicPr>
      <xdr:blipFill>
        <a:blip xmlns:r="http://schemas.openxmlformats.org/officeDocument/2006/relationships" r:embed="rId223" r:link="rId224" cstate="print"/>
        <a:srcRect/>
        <a:stretch>
          <a:fillRect/>
        </a:stretch>
      </xdr:blipFill>
      <xdr:spPr bwMode="auto">
        <a:xfrm>
          <a:off x="1181100" y="56502300"/>
          <a:ext cx="514350" cy="495300"/>
        </a:xfrm>
        <a:prstGeom prst="rect">
          <a:avLst/>
        </a:prstGeom>
        <a:noFill/>
        <a:ln w="9525">
          <a:noFill/>
          <a:miter lim="800000"/>
          <a:headEnd/>
          <a:tailEnd/>
        </a:ln>
      </xdr:spPr>
    </xdr:pic>
    <xdr:clientData/>
  </xdr:twoCellAnchor>
  <xdr:twoCellAnchor>
    <xdr:from>
      <xdr:col>2</xdr:col>
      <xdr:colOff>0</xdr:colOff>
      <xdr:row>123</xdr:row>
      <xdr:rowOff>0</xdr:rowOff>
    </xdr:from>
    <xdr:to>
      <xdr:col>3</xdr:col>
      <xdr:colOff>0</xdr:colOff>
      <xdr:row>123</xdr:row>
      <xdr:rowOff>504825</xdr:rowOff>
    </xdr:to>
    <xdr:pic>
      <xdr:nvPicPr>
        <xdr:cNvPr id="111423" name="Picture 139" descr="1"/>
        <xdr:cNvPicPr>
          <a:picLocks noChangeAspect="1" noChangeArrowheads="1"/>
        </xdr:cNvPicPr>
      </xdr:nvPicPr>
      <xdr:blipFill>
        <a:blip xmlns:r="http://schemas.openxmlformats.org/officeDocument/2006/relationships" r:embed="rId225" r:link="rId226" cstate="print"/>
        <a:srcRect/>
        <a:stretch>
          <a:fillRect/>
        </a:stretch>
      </xdr:blipFill>
      <xdr:spPr bwMode="auto">
        <a:xfrm>
          <a:off x="1181100" y="56997600"/>
          <a:ext cx="514350" cy="504825"/>
        </a:xfrm>
        <a:prstGeom prst="rect">
          <a:avLst/>
        </a:prstGeom>
        <a:noFill/>
        <a:ln w="9525">
          <a:noFill/>
          <a:miter lim="800000"/>
          <a:headEnd/>
          <a:tailEnd/>
        </a:ln>
      </xdr:spPr>
    </xdr:pic>
    <xdr:clientData/>
  </xdr:twoCellAnchor>
  <xdr:twoCellAnchor>
    <xdr:from>
      <xdr:col>2</xdr:col>
      <xdr:colOff>0</xdr:colOff>
      <xdr:row>124</xdr:row>
      <xdr:rowOff>0</xdr:rowOff>
    </xdr:from>
    <xdr:to>
      <xdr:col>3</xdr:col>
      <xdr:colOff>0</xdr:colOff>
      <xdr:row>124</xdr:row>
      <xdr:rowOff>495300</xdr:rowOff>
    </xdr:to>
    <xdr:pic>
      <xdr:nvPicPr>
        <xdr:cNvPr id="111424" name="Picture 140" descr="1u"/>
        <xdr:cNvPicPr>
          <a:picLocks noChangeAspect="1" noChangeArrowheads="1"/>
        </xdr:cNvPicPr>
      </xdr:nvPicPr>
      <xdr:blipFill>
        <a:blip xmlns:r="http://schemas.openxmlformats.org/officeDocument/2006/relationships" r:embed="rId227" r:link="rId228" cstate="print"/>
        <a:srcRect/>
        <a:stretch>
          <a:fillRect/>
        </a:stretch>
      </xdr:blipFill>
      <xdr:spPr bwMode="auto">
        <a:xfrm>
          <a:off x="1181100" y="57502425"/>
          <a:ext cx="514350" cy="495300"/>
        </a:xfrm>
        <a:prstGeom prst="rect">
          <a:avLst/>
        </a:prstGeom>
        <a:noFill/>
        <a:ln w="9525">
          <a:noFill/>
          <a:miter lim="800000"/>
          <a:headEnd/>
          <a:tailEnd/>
        </a:ln>
      </xdr:spPr>
    </xdr:pic>
    <xdr:clientData/>
  </xdr:twoCellAnchor>
  <xdr:twoCellAnchor>
    <xdr:from>
      <xdr:col>2</xdr:col>
      <xdr:colOff>0</xdr:colOff>
      <xdr:row>125</xdr:row>
      <xdr:rowOff>0</xdr:rowOff>
    </xdr:from>
    <xdr:to>
      <xdr:col>3</xdr:col>
      <xdr:colOff>0</xdr:colOff>
      <xdr:row>125</xdr:row>
      <xdr:rowOff>495300</xdr:rowOff>
    </xdr:to>
    <xdr:pic>
      <xdr:nvPicPr>
        <xdr:cNvPr id="111425" name="Picture 141" descr="2"/>
        <xdr:cNvPicPr>
          <a:picLocks noChangeAspect="1" noChangeArrowheads="1"/>
        </xdr:cNvPicPr>
      </xdr:nvPicPr>
      <xdr:blipFill>
        <a:blip xmlns:r="http://schemas.openxmlformats.org/officeDocument/2006/relationships" r:embed="rId229" r:link="rId230" cstate="print"/>
        <a:srcRect/>
        <a:stretch>
          <a:fillRect/>
        </a:stretch>
      </xdr:blipFill>
      <xdr:spPr bwMode="auto">
        <a:xfrm>
          <a:off x="1181100" y="57997725"/>
          <a:ext cx="514350" cy="495300"/>
        </a:xfrm>
        <a:prstGeom prst="rect">
          <a:avLst/>
        </a:prstGeom>
        <a:noFill/>
        <a:ln w="9525">
          <a:noFill/>
          <a:miter lim="800000"/>
          <a:headEnd/>
          <a:tailEnd/>
        </a:ln>
      </xdr:spPr>
    </xdr:pic>
    <xdr:clientData/>
  </xdr:twoCellAnchor>
  <xdr:twoCellAnchor>
    <xdr:from>
      <xdr:col>2</xdr:col>
      <xdr:colOff>0</xdr:colOff>
      <xdr:row>126</xdr:row>
      <xdr:rowOff>0</xdr:rowOff>
    </xdr:from>
    <xdr:to>
      <xdr:col>3</xdr:col>
      <xdr:colOff>0</xdr:colOff>
      <xdr:row>126</xdr:row>
      <xdr:rowOff>485775</xdr:rowOff>
    </xdr:to>
    <xdr:pic>
      <xdr:nvPicPr>
        <xdr:cNvPr id="111426" name="Picture 142" descr="2u"/>
        <xdr:cNvPicPr>
          <a:picLocks noChangeAspect="1" noChangeArrowheads="1"/>
        </xdr:cNvPicPr>
      </xdr:nvPicPr>
      <xdr:blipFill>
        <a:blip xmlns:r="http://schemas.openxmlformats.org/officeDocument/2006/relationships" r:embed="rId231" r:link="rId232" cstate="print"/>
        <a:srcRect/>
        <a:stretch>
          <a:fillRect/>
        </a:stretch>
      </xdr:blipFill>
      <xdr:spPr bwMode="auto">
        <a:xfrm>
          <a:off x="1181100" y="58493025"/>
          <a:ext cx="514350" cy="485775"/>
        </a:xfrm>
        <a:prstGeom prst="rect">
          <a:avLst/>
        </a:prstGeom>
        <a:noFill/>
        <a:ln w="9525">
          <a:noFill/>
          <a:miter lim="800000"/>
          <a:headEnd/>
          <a:tailEnd/>
        </a:ln>
      </xdr:spPr>
    </xdr:pic>
    <xdr:clientData/>
  </xdr:twoCellAnchor>
  <xdr:twoCellAnchor>
    <xdr:from>
      <xdr:col>2</xdr:col>
      <xdr:colOff>0</xdr:colOff>
      <xdr:row>127</xdr:row>
      <xdr:rowOff>0</xdr:rowOff>
    </xdr:from>
    <xdr:to>
      <xdr:col>3</xdr:col>
      <xdr:colOff>0</xdr:colOff>
      <xdr:row>127</xdr:row>
      <xdr:rowOff>485775</xdr:rowOff>
    </xdr:to>
    <xdr:pic>
      <xdr:nvPicPr>
        <xdr:cNvPr id="111427" name="Picture 143" descr="3"/>
        <xdr:cNvPicPr>
          <a:picLocks noChangeAspect="1" noChangeArrowheads="1"/>
        </xdr:cNvPicPr>
      </xdr:nvPicPr>
      <xdr:blipFill>
        <a:blip xmlns:r="http://schemas.openxmlformats.org/officeDocument/2006/relationships" r:embed="rId233" r:link="rId234" cstate="print"/>
        <a:srcRect/>
        <a:stretch>
          <a:fillRect/>
        </a:stretch>
      </xdr:blipFill>
      <xdr:spPr bwMode="auto">
        <a:xfrm>
          <a:off x="1181100" y="59255025"/>
          <a:ext cx="514350" cy="485775"/>
        </a:xfrm>
        <a:prstGeom prst="rect">
          <a:avLst/>
        </a:prstGeom>
        <a:noFill/>
        <a:ln w="9525">
          <a:noFill/>
          <a:miter lim="800000"/>
          <a:headEnd/>
          <a:tailEnd/>
        </a:ln>
      </xdr:spPr>
    </xdr:pic>
    <xdr:clientData/>
  </xdr:twoCellAnchor>
  <xdr:twoCellAnchor>
    <xdr:from>
      <xdr:col>2</xdr:col>
      <xdr:colOff>0</xdr:colOff>
      <xdr:row>128</xdr:row>
      <xdr:rowOff>0</xdr:rowOff>
    </xdr:from>
    <xdr:to>
      <xdr:col>3</xdr:col>
      <xdr:colOff>0</xdr:colOff>
      <xdr:row>128</xdr:row>
      <xdr:rowOff>495300</xdr:rowOff>
    </xdr:to>
    <xdr:pic>
      <xdr:nvPicPr>
        <xdr:cNvPr id="111428" name="Picture 144" descr="3u"/>
        <xdr:cNvPicPr>
          <a:picLocks noChangeAspect="1" noChangeArrowheads="1"/>
        </xdr:cNvPicPr>
      </xdr:nvPicPr>
      <xdr:blipFill>
        <a:blip xmlns:r="http://schemas.openxmlformats.org/officeDocument/2006/relationships" r:embed="rId235" r:link="rId236" cstate="print"/>
        <a:srcRect/>
        <a:stretch>
          <a:fillRect/>
        </a:stretch>
      </xdr:blipFill>
      <xdr:spPr bwMode="auto">
        <a:xfrm>
          <a:off x="1181100" y="59740800"/>
          <a:ext cx="514350" cy="495300"/>
        </a:xfrm>
        <a:prstGeom prst="rect">
          <a:avLst/>
        </a:prstGeom>
        <a:noFill/>
        <a:ln w="9525">
          <a:noFill/>
          <a:miter lim="800000"/>
          <a:headEnd/>
          <a:tailEnd/>
        </a:ln>
      </xdr:spPr>
    </xdr:pic>
    <xdr:clientData/>
  </xdr:twoCellAnchor>
  <xdr:twoCellAnchor>
    <xdr:from>
      <xdr:col>2</xdr:col>
      <xdr:colOff>0</xdr:colOff>
      <xdr:row>129</xdr:row>
      <xdr:rowOff>0</xdr:rowOff>
    </xdr:from>
    <xdr:to>
      <xdr:col>3</xdr:col>
      <xdr:colOff>0</xdr:colOff>
      <xdr:row>129</xdr:row>
      <xdr:rowOff>476250</xdr:rowOff>
    </xdr:to>
    <xdr:pic>
      <xdr:nvPicPr>
        <xdr:cNvPr id="111429" name="Picture 145" descr="4"/>
        <xdr:cNvPicPr>
          <a:picLocks noChangeAspect="1" noChangeArrowheads="1"/>
        </xdr:cNvPicPr>
      </xdr:nvPicPr>
      <xdr:blipFill>
        <a:blip xmlns:r="http://schemas.openxmlformats.org/officeDocument/2006/relationships" r:embed="rId237" r:link="rId238" cstate="print"/>
        <a:srcRect/>
        <a:stretch>
          <a:fillRect/>
        </a:stretch>
      </xdr:blipFill>
      <xdr:spPr bwMode="auto">
        <a:xfrm>
          <a:off x="1181100" y="60502800"/>
          <a:ext cx="514350" cy="457200"/>
        </a:xfrm>
        <a:prstGeom prst="rect">
          <a:avLst/>
        </a:prstGeom>
        <a:noFill/>
        <a:ln w="9525">
          <a:noFill/>
          <a:miter lim="800000"/>
          <a:headEnd/>
          <a:tailEnd/>
        </a:ln>
      </xdr:spPr>
    </xdr:pic>
    <xdr:clientData/>
  </xdr:twoCellAnchor>
  <xdr:twoCellAnchor>
    <xdr:from>
      <xdr:col>2</xdr:col>
      <xdr:colOff>0</xdr:colOff>
      <xdr:row>130</xdr:row>
      <xdr:rowOff>9525</xdr:rowOff>
    </xdr:from>
    <xdr:to>
      <xdr:col>3</xdr:col>
      <xdr:colOff>0</xdr:colOff>
      <xdr:row>130</xdr:row>
      <xdr:rowOff>495300</xdr:rowOff>
    </xdr:to>
    <xdr:pic>
      <xdr:nvPicPr>
        <xdr:cNvPr id="111430" name="Picture 146" descr="4u"/>
        <xdr:cNvPicPr>
          <a:picLocks noChangeAspect="1" noChangeArrowheads="1"/>
        </xdr:cNvPicPr>
      </xdr:nvPicPr>
      <xdr:blipFill>
        <a:blip xmlns:r="http://schemas.openxmlformats.org/officeDocument/2006/relationships" r:embed="rId239" r:link="rId240" cstate="print"/>
        <a:srcRect/>
        <a:stretch>
          <a:fillRect/>
        </a:stretch>
      </xdr:blipFill>
      <xdr:spPr bwMode="auto">
        <a:xfrm>
          <a:off x="1438275" y="60036075"/>
          <a:ext cx="514350" cy="485775"/>
        </a:xfrm>
        <a:prstGeom prst="rect">
          <a:avLst/>
        </a:prstGeom>
        <a:noFill/>
        <a:ln w="9525">
          <a:noFill/>
          <a:miter lim="800000"/>
          <a:headEnd/>
          <a:tailEnd/>
        </a:ln>
      </xdr:spPr>
    </xdr:pic>
    <xdr:clientData/>
  </xdr:twoCellAnchor>
  <xdr:twoCellAnchor>
    <xdr:from>
      <xdr:col>2</xdr:col>
      <xdr:colOff>0</xdr:colOff>
      <xdr:row>131</xdr:row>
      <xdr:rowOff>0</xdr:rowOff>
    </xdr:from>
    <xdr:to>
      <xdr:col>3</xdr:col>
      <xdr:colOff>0</xdr:colOff>
      <xdr:row>131</xdr:row>
      <xdr:rowOff>495300</xdr:rowOff>
    </xdr:to>
    <xdr:pic>
      <xdr:nvPicPr>
        <xdr:cNvPr id="111431" name="Picture 147" descr="5"/>
        <xdr:cNvPicPr>
          <a:picLocks noChangeAspect="1" noChangeArrowheads="1"/>
        </xdr:cNvPicPr>
      </xdr:nvPicPr>
      <xdr:blipFill>
        <a:blip xmlns:r="http://schemas.openxmlformats.org/officeDocument/2006/relationships" r:embed="rId241" r:link="rId242" cstate="print"/>
        <a:srcRect/>
        <a:stretch>
          <a:fillRect/>
        </a:stretch>
      </xdr:blipFill>
      <xdr:spPr bwMode="auto">
        <a:xfrm>
          <a:off x="1181100" y="61569600"/>
          <a:ext cx="514350" cy="495300"/>
        </a:xfrm>
        <a:prstGeom prst="rect">
          <a:avLst/>
        </a:prstGeom>
        <a:noFill/>
        <a:ln w="9525">
          <a:noFill/>
          <a:miter lim="800000"/>
          <a:headEnd/>
          <a:tailEnd/>
        </a:ln>
      </xdr:spPr>
    </xdr:pic>
    <xdr:clientData/>
  </xdr:twoCellAnchor>
  <xdr:twoCellAnchor>
    <xdr:from>
      <xdr:col>2</xdr:col>
      <xdr:colOff>0</xdr:colOff>
      <xdr:row>132</xdr:row>
      <xdr:rowOff>0</xdr:rowOff>
    </xdr:from>
    <xdr:to>
      <xdr:col>3</xdr:col>
      <xdr:colOff>0</xdr:colOff>
      <xdr:row>132</xdr:row>
      <xdr:rowOff>495300</xdr:rowOff>
    </xdr:to>
    <xdr:pic>
      <xdr:nvPicPr>
        <xdr:cNvPr id="111432" name="Picture 148" descr="5u"/>
        <xdr:cNvPicPr>
          <a:picLocks noChangeAspect="1" noChangeArrowheads="1"/>
        </xdr:cNvPicPr>
      </xdr:nvPicPr>
      <xdr:blipFill>
        <a:blip xmlns:r="http://schemas.openxmlformats.org/officeDocument/2006/relationships" r:embed="rId243" r:link="rId244" cstate="print"/>
        <a:srcRect/>
        <a:stretch>
          <a:fillRect/>
        </a:stretch>
      </xdr:blipFill>
      <xdr:spPr bwMode="auto">
        <a:xfrm>
          <a:off x="1181100" y="62179200"/>
          <a:ext cx="514350" cy="495300"/>
        </a:xfrm>
        <a:prstGeom prst="rect">
          <a:avLst/>
        </a:prstGeom>
        <a:noFill/>
        <a:ln w="9525">
          <a:noFill/>
          <a:miter lim="800000"/>
          <a:headEnd/>
          <a:tailEnd/>
        </a:ln>
      </xdr:spPr>
    </xdr:pic>
    <xdr:clientData/>
  </xdr:twoCellAnchor>
  <xdr:twoCellAnchor>
    <xdr:from>
      <xdr:col>2</xdr:col>
      <xdr:colOff>0</xdr:colOff>
      <xdr:row>133</xdr:row>
      <xdr:rowOff>0</xdr:rowOff>
    </xdr:from>
    <xdr:to>
      <xdr:col>3</xdr:col>
      <xdr:colOff>0</xdr:colOff>
      <xdr:row>133</xdr:row>
      <xdr:rowOff>504825</xdr:rowOff>
    </xdr:to>
    <xdr:pic>
      <xdr:nvPicPr>
        <xdr:cNvPr id="111433" name="Picture 149" descr="6"/>
        <xdr:cNvPicPr>
          <a:picLocks noChangeAspect="1" noChangeArrowheads="1"/>
        </xdr:cNvPicPr>
      </xdr:nvPicPr>
      <xdr:blipFill>
        <a:blip xmlns:r="http://schemas.openxmlformats.org/officeDocument/2006/relationships" r:embed="rId245" r:link="rId246" cstate="print"/>
        <a:srcRect/>
        <a:stretch>
          <a:fillRect/>
        </a:stretch>
      </xdr:blipFill>
      <xdr:spPr bwMode="auto">
        <a:xfrm>
          <a:off x="1181100" y="62941200"/>
          <a:ext cx="514350" cy="504825"/>
        </a:xfrm>
        <a:prstGeom prst="rect">
          <a:avLst/>
        </a:prstGeom>
        <a:noFill/>
        <a:ln w="9525">
          <a:noFill/>
          <a:miter lim="800000"/>
          <a:headEnd/>
          <a:tailEnd/>
        </a:ln>
      </xdr:spPr>
    </xdr:pic>
    <xdr:clientData/>
  </xdr:twoCellAnchor>
  <xdr:twoCellAnchor>
    <xdr:from>
      <xdr:col>2</xdr:col>
      <xdr:colOff>0</xdr:colOff>
      <xdr:row>134</xdr:row>
      <xdr:rowOff>0</xdr:rowOff>
    </xdr:from>
    <xdr:to>
      <xdr:col>3</xdr:col>
      <xdr:colOff>0</xdr:colOff>
      <xdr:row>134</xdr:row>
      <xdr:rowOff>485775</xdr:rowOff>
    </xdr:to>
    <xdr:pic>
      <xdr:nvPicPr>
        <xdr:cNvPr id="111434" name="Picture 150" descr="6u"/>
        <xdr:cNvPicPr>
          <a:picLocks noChangeAspect="1" noChangeArrowheads="1"/>
        </xdr:cNvPicPr>
      </xdr:nvPicPr>
      <xdr:blipFill>
        <a:blip xmlns:r="http://schemas.openxmlformats.org/officeDocument/2006/relationships" r:embed="rId247" r:link="rId248" cstate="print"/>
        <a:srcRect/>
        <a:stretch>
          <a:fillRect/>
        </a:stretch>
      </xdr:blipFill>
      <xdr:spPr bwMode="auto">
        <a:xfrm>
          <a:off x="1181100" y="63446025"/>
          <a:ext cx="514350" cy="485775"/>
        </a:xfrm>
        <a:prstGeom prst="rect">
          <a:avLst/>
        </a:prstGeom>
        <a:noFill/>
        <a:ln w="9525">
          <a:noFill/>
          <a:miter lim="800000"/>
          <a:headEnd/>
          <a:tailEnd/>
        </a:ln>
      </xdr:spPr>
    </xdr:pic>
    <xdr:clientData/>
  </xdr:twoCellAnchor>
  <xdr:twoCellAnchor>
    <xdr:from>
      <xdr:col>2</xdr:col>
      <xdr:colOff>0</xdr:colOff>
      <xdr:row>135</xdr:row>
      <xdr:rowOff>0</xdr:rowOff>
    </xdr:from>
    <xdr:to>
      <xdr:col>3</xdr:col>
      <xdr:colOff>0</xdr:colOff>
      <xdr:row>135</xdr:row>
      <xdr:rowOff>504825</xdr:rowOff>
    </xdr:to>
    <xdr:pic>
      <xdr:nvPicPr>
        <xdr:cNvPr id="111435" name="Picture 151" descr="7"/>
        <xdr:cNvPicPr>
          <a:picLocks noChangeAspect="1" noChangeArrowheads="1"/>
        </xdr:cNvPicPr>
      </xdr:nvPicPr>
      <xdr:blipFill>
        <a:blip xmlns:r="http://schemas.openxmlformats.org/officeDocument/2006/relationships" r:embed="rId249" r:link="rId250" cstate="print"/>
        <a:srcRect/>
        <a:stretch>
          <a:fillRect/>
        </a:stretch>
      </xdr:blipFill>
      <xdr:spPr bwMode="auto">
        <a:xfrm>
          <a:off x="1181100" y="64055625"/>
          <a:ext cx="514350" cy="504825"/>
        </a:xfrm>
        <a:prstGeom prst="rect">
          <a:avLst/>
        </a:prstGeom>
        <a:noFill/>
        <a:ln w="9525">
          <a:noFill/>
          <a:miter lim="800000"/>
          <a:headEnd/>
          <a:tailEnd/>
        </a:ln>
      </xdr:spPr>
    </xdr:pic>
    <xdr:clientData/>
  </xdr:twoCellAnchor>
  <xdr:twoCellAnchor>
    <xdr:from>
      <xdr:col>2</xdr:col>
      <xdr:colOff>0</xdr:colOff>
      <xdr:row>136</xdr:row>
      <xdr:rowOff>0</xdr:rowOff>
    </xdr:from>
    <xdr:to>
      <xdr:col>3</xdr:col>
      <xdr:colOff>0</xdr:colOff>
      <xdr:row>136</xdr:row>
      <xdr:rowOff>485775</xdr:rowOff>
    </xdr:to>
    <xdr:pic>
      <xdr:nvPicPr>
        <xdr:cNvPr id="111436" name="Picture 152" descr="7u"/>
        <xdr:cNvPicPr>
          <a:picLocks noChangeAspect="1" noChangeArrowheads="1"/>
        </xdr:cNvPicPr>
      </xdr:nvPicPr>
      <xdr:blipFill>
        <a:blip xmlns:r="http://schemas.openxmlformats.org/officeDocument/2006/relationships" r:embed="rId251" r:link="rId252" cstate="print"/>
        <a:srcRect/>
        <a:stretch>
          <a:fillRect/>
        </a:stretch>
      </xdr:blipFill>
      <xdr:spPr bwMode="auto">
        <a:xfrm>
          <a:off x="1181100" y="64560450"/>
          <a:ext cx="514350" cy="485775"/>
        </a:xfrm>
        <a:prstGeom prst="rect">
          <a:avLst/>
        </a:prstGeom>
        <a:noFill/>
        <a:ln w="9525">
          <a:noFill/>
          <a:miter lim="800000"/>
          <a:headEnd/>
          <a:tailEnd/>
        </a:ln>
      </xdr:spPr>
    </xdr:pic>
    <xdr:clientData/>
  </xdr:twoCellAnchor>
  <xdr:twoCellAnchor>
    <xdr:from>
      <xdr:col>2</xdr:col>
      <xdr:colOff>0</xdr:colOff>
      <xdr:row>137</xdr:row>
      <xdr:rowOff>0</xdr:rowOff>
    </xdr:from>
    <xdr:to>
      <xdr:col>3</xdr:col>
      <xdr:colOff>0</xdr:colOff>
      <xdr:row>137</xdr:row>
      <xdr:rowOff>495300</xdr:rowOff>
    </xdr:to>
    <xdr:pic>
      <xdr:nvPicPr>
        <xdr:cNvPr id="111437" name="Picture 153" descr="1"/>
        <xdr:cNvPicPr>
          <a:picLocks noChangeAspect="1" noChangeArrowheads="1"/>
        </xdr:cNvPicPr>
      </xdr:nvPicPr>
      <xdr:blipFill>
        <a:blip xmlns:r="http://schemas.openxmlformats.org/officeDocument/2006/relationships" r:embed="rId253" r:link="rId254" cstate="print"/>
        <a:srcRect/>
        <a:stretch>
          <a:fillRect/>
        </a:stretch>
      </xdr:blipFill>
      <xdr:spPr bwMode="auto">
        <a:xfrm>
          <a:off x="1181100" y="65179575"/>
          <a:ext cx="514350" cy="495300"/>
        </a:xfrm>
        <a:prstGeom prst="rect">
          <a:avLst/>
        </a:prstGeom>
        <a:noFill/>
        <a:ln w="9525">
          <a:noFill/>
          <a:miter lim="800000"/>
          <a:headEnd/>
          <a:tailEnd/>
        </a:ln>
      </xdr:spPr>
    </xdr:pic>
    <xdr:clientData/>
  </xdr:twoCellAnchor>
  <xdr:twoCellAnchor>
    <xdr:from>
      <xdr:col>2</xdr:col>
      <xdr:colOff>0</xdr:colOff>
      <xdr:row>138</xdr:row>
      <xdr:rowOff>0</xdr:rowOff>
    </xdr:from>
    <xdr:to>
      <xdr:col>3</xdr:col>
      <xdr:colOff>0</xdr:colOff>
      <xdr:row>138</xdr:row>
      <xdr:rowOff>485775</xdr:rowOff>
    </xdr:to>
    <xdr:pic>
      <xdr:nvPicPr>
        <xdr:cNvPr id="111438" name="Picture 154" descr="1u"/>
        <xdr:cNvPicPr>
          <a:picLocks noChangeAspect="1" noChangeArrowheads="1"/>
        </xdr:cNvPicPr>
      </xdr:nvPicPr>
      <xdr:blipFill>
        <a:blip xmlns:r="http://schemas.openxmlformats.org/officeDocument/2006/relationships" r:embed="rId255" r:link="rId256" cstate="print"/>
        <a:srcRect/>
        <a:stretch>
          <a:fillRect/>
        </a:stretch>
      </xdr:blipFill>
      <xdr:spPr bwMode="auto">
        <a:xfrm>
          <a:off x="1181100" y="65674875"/>
          <a:ext cx="514350" cy="485775"/>
        </a:xfrm>
        <a:prstGeom prst="rect">
          <a:avLst/>
        </a:prstGeom>
        <a:noFill/>
        <a:ln w="9525">
          <a:noFill/>
          <a:miter lim="800000"/>
          <a:headEnd/>
          <a:tailEnd/>
        </a:ln>
      </xdr:spPr>
    </xdr:pic>
    <xdr:clientData/>
  </xdr:twoCellAnchor>
  <xdr:twoCellAnchor>
    <xdr:from>
      <xdr:col>2</xdr:col>
      <xdr:colOff>0</xdr:colOff>
      <xdr:row>140</xdr:row>
      <xdr:rowOff>0</xdr:rowOff>
    </xdr:from>
    <xdr:to>
      <xdr:col>3</xdr:col>
      <xdr:colOff>0</xdr:colOff>
      <xdr:row>141</xdr:row>
      <xdr:rowOff>9525</xdr:rowOff>
    </xdr:to>
    <xdr:pic>
      <xdr:nvPicPr>
        <xdr:cNvPr id="111439" name="Picture 155" descr="2"/>
        <xdr:cNvPicPr>
          <a:picLocks noChangeAspect="1" noChangeArrowheads="1"/>
        </xdr:cNvPicPr>
      </xdr:nvPicPr>
      <xdr:blipFill>
        <a:blip xmlns:r="http://schemas.openxmlformats.org/officeDocument/2006/relationships" r:embed="rId257" r:link="rId258" cstate="print"/>
        <a:srcRect/>
        <a:stretch>
          <a:fillRect/>
        </a:stretch>
      </xdr:blipFill>
      <xdr:spPr bwMode="auto">
        <a:xfrm>
          <a:off x="1181100" y="66655950"/>
          <a:ext cx="514350" cy="495300"/>
        </a:xfrm>
        <a:prstGeom prst="rect">
          <a:avLst/>
        </a:prstGeom>
        <a:noFill/>
        <a:ln w="9525">
          <a:noFill/>
          <a:miter lim="800000"/>
          <a:headEnd/>
          <a:tailEnd/>
        </a:ln>
      </xdr:spPr>
    </xdr:pic>
    <xdr:clientData/>
  </xdr:twoCellAnchor>
  <xdr:twoCellAnchor>
    <xdr:from>
      <xdr:col>2</xdr:col>
      <xdr:colOff>0</xdr:colOff>
      <xdr:row>139</xdr:row>
      <xdr:rowOff>0</xdr:rowOff>
    </xdr:from>
    <xdr:to>
      <xdr:col>3</xdr:col>
      <xdr:colOff>0</xdr:colOff>
      <xdr:row>140</xdr:row>
      <xdr:rowOff>0</xdr:rowOff>
    </xdr:to>
    <xdr:pic>
      <xdr:nvPicPr>
        <xdr:cNvPr id="111440" name="Picture 156" descr="2u"/>
        <xdr:cNvPicPr>
          <a:picLocks noChangeAspect="1" noChangeArrowheads="1"/>
        </xdr:cNvPicPr>
      </xdr:nvPicPr>
      <xdr:blipFill>
        <a:blip xmlns:r="http://schemas.openxmlformats.org/officeDocument/2006/relationships" r:embed="rId259" r:link="rId260" cstate="print"/>
        <a:srcRect/>
        <a:stretch>
          <a:fillRect/>
        </a:stretch>
      </xdr:blipFill>
      <xdr:spPr bwMode="auto">
        <a:xfrm>
          <a:off x="1181100" y="66160650"/>
          <a:ext cx="514350" cy="495300"/>
        </a:xfrm>
        <a:prstGeom prst="rect">
          <a:avLst/>
        </a:prstGeom>
        <a:noFill/>
        <a:ln w="9525">
          <a:noFill/>
          <a:miter lim="800000"/>
          <a:headEnd/>
          <a:tailEnd/>
        </a:ln>
      </xdr:spPr>
    </xdr:pic>
    <xdr:clientData/>
  </xdr:twoCellAnchor>
  <xdr:twoCellAnchor>
    <xdr:from>
      <xdr:col>2</xdr:col>
      <xdr:colOff>0</xdr:colOff>
      <xdr:row>142</xdr:row>
      <xdr:rowOff>0</xdr:rowOff>
    </xdr:from>
    <xdr:to>
      <xdr:col>3</xdr:col>
      <xdr:colOff>0</xdr:colOff>
      <xdr:row>142</xdr:row>
      <xdr:rowOff>495300</xdr:rowOff>
    </xdr:to>
    <xdr:pic>
      <xdr:nvPicPr>
        <xdr:cNvPr id="111441" name="Picture 157" descr="3"/>
        <xdr:cNvPicPr>
          <a:picLocks noChangeAspect="1" noChangeArrowheads="1"/>
        </xdr:cNvPicPr>
      </xdr:nvPicPr>
      <xdr:blipFill>
        <a:blip xmlns:r="http://schemas.openxmlformats.org/officeDocument/2006/relationships" r:embed="rId261" r:link="rId262" cstate="print"/>
        <a:srcRect/>
        <a:stretch>
          <a:fillRect/>
        </a:stretch>
      </xdr:blipFill>
      <xdr:spPr bwMode="auto">
        <a:xfrm>
          <a:off x="1181100" y="67637025"/>
          <a:ext cx="514350" cy="485775"/>
        </a:xfrm>
        <a:prstGeom prst="rect">
          <a:avLst/>
        </a:prstGeom>
        <a:noFill/>
        <a:ln w="9525">
          <a:noFill/>
          <a:miter lim="800000"/>
          <a:headEnd/>
          <a:tailEnd/>
        </a:ln>
      </xdr:spPr>
    </xdr:pic>
    <xdr:clientData/>
  </xdr:twoCellAnchor>
  <xdr:twoCellAnchor>
    <xdr:from>
      <xdr:col>2</xdr:col>
      <xdr:colOff>0</xdr:colOff>
      <xdr:row>141</xdr:row>
      <xdr:rowOff>0</xdr:rowOff>
    </xdr:from>
    <xdr:to>
      <xdr:col>3</xdr:col>
      <xdr:colOff>0</xdr:colOff>
      <xdr:row>141</xdr:row>
      <xdr:rowOff>495300</xdr:rowOff>
    </xdr:to>
    <xdr:pic>
      <xdr:nvPicPr>
        <xdr:cNvPr id="111442" name="Picture 158" descr="3u"/>
        <xdr:cNvPicPr>
          <a:picLocks noChangeAspect="1" noChangeArrowheads="1"/>
        </xdr:cNvPicPr>
      </xdr:nvPicPr>
      <xdr:blipFill>
        <a:blip xmlns:r="http://schemas.openxmlformats.org/officeDocument/2006/relationships" r:embed="rId263" r:link="rId264" cstate="print"/>
        <a:srcRect/>
        <a:stretch>
          <a:fillRect/>
        </a:stretch>
      </xdr:blipFill>
      <xdr:spPr bwMode="auto">
        <a:xfrm>
          <a:off x="1181100" y="67141725"/>
          <a:ext cx="514350" cy="495300"/>
        </a:xfrm>
        <a:prstGeom prst="rect">
          <a:avLst/>
        </a:prstGeom>
        <a:noFill/>
        <a:ln w="9525">
          <a:noFill/>
          <a:miter lim="800000"/>
          <a:headEnd/>
          <a:tailEnd/>
        </a:ln>
      </xdr:spPr>
    </xdr:pic>
    <xdr:clientData/>
  </xdr:twoCellAnchor>
  <xdr:twoCellAnchor>
    <xdr:from>
      <xdr:col>2</xdr:col>
      <xdr:colOff>0</xdr:colOff>
      <xdr:row>143</xdr:row>
      <xdr:rowOff>9525</xdr:rowOff>
    </xdr:from>
    <xdr:to>
      <xdr:col>3</xdr:col>
      <xdr:colOff>0</xdr:colOff>
      <xdr:row>144</xdr:row>
      <xdr:rowOff>9525</xdr:rowOff>
    </xdr:to>
    <xdr:pic>
      <xdr:nvPicPr>
        <xdr:cNvPr id="111443" name="Picture 159" descr="4"/>
        <xdr:cNvPicPr>
          <a:picLocks noChangeAspect="1" noChangeArrowheads="1"/>
        </xdr:cNvPicPr>
      </xdr:nvPicPr>
      <xdr:blipFill>
        <a:blip xmlns:r="http://schemas.openxmlformats.org/officeDocument/2006/relationships" r:embed="rId265" r:link="rId266" cstate="print"/>
        <a:srcRect/>
        <a:stretch>
          <a:fillRect/>
        </a:stretch>
      </xdr:blipFill>
      <xdr:spPr bwMode="auto">
        <a:xfrm>
          <a:off x="1438275" y="66474975"/>
          <a:ext cx="514350" cy="495300"/>
        </a:xfrm>
        <a:prstGeom prst="rect">
          <a:avLst/>
        </a:prstGeom>
        <a:noFill/>
        <a:ln w="9525">
          <a:noFill/>
          <a:miter lim="800000"/>
          <a:headEnd/>
          <a:tailEnd/>
        </a:ln>
      </xdr:spPr>
    </xdr:pic>
    <xdr:clientData/>
  </xdr:twoCellAnchor>
  <xdr:twoCellAnchor>
    <xdr:from>
      <xdr:col>2</xdr:col>
      <xdr:colOff>0</xdr:colOff>
      <xdr:row>144</xdr:row>
      <xdr:rowOff>0</xdr:rowOff>
    </xdr:from>
    <xdr:to>
      <xdr:col>3</xdr:col>
      <xdr:colOff>0</xdr:colOff>
      <xdr:row>144</xdr:row>
      <xdr:rowOff>485775</xdr:rowOff>
    </xdr:to>
    <xdr:pic>
      <xdr:nvPicPr>
        <xdr:cNvPr id="111444" name="Picture 160" descr="4u"/>
        <xdr:cNvPicPr>
          <a:picLocks noChangeAspect="1" noChangeArrowheads="1"/>
        </xdr:cNvPicPr>
      </xdr:nvPicPr>
      <xdr:blipFill>
        <a:blip xmlns:r="http://schemas.openxmlformats.org/officeDocument/2006/relationships" r:embed="rId267" r:link="rId268" cstate="print"/>
        <a:srcRect/>
        <a:stretch>
          <a:fillRect/>
        </a:stretch>
      </xdr:blipFill>
      <xdr:spPr bwMode="auto">
        <a:xfrm>
          <a:off x="1181100" y="68618100"/>
          <a:ext cx="514350" cy="485775"/>
        </a:xfrm>
        <a:prstGeom prst="rect">
          <a:avLst/>
        </a:prstGeom>
        <a:noFill/>
        <a:ln w="9525">
          <a:noFill/>
          <a:miter lim="800000"/>
          <a:headEnd/>
          <a:tailEnd/>
        </a:ln>
      </xdr:spPr>
    </xdr:pic>
    <xdr:clientData/>
  </xdr:twoCellAnchor>
  <xdr:twoCellAnchor>
    <xdr:from>
      <xdr:col>2</xdr:col>
      <xdr:colOff>0</xdr:colOff>
      <xdr:row>146</xdr:row>
      <xdr:rowOff>0</xdr:rowOff>
    </xdr:from>
    <xdr:to>
      <xdr:col>3</xdr:col>
      <xdr:colOff>0</xdr:colOff>
      <xdr:row>147</xdr:row>
      <xdr:rowOff>0</xdr:rowOff>
    </xdr:to>
    <xdr:pic>
      <xdr:nvPicPr>
        <xdr:cNvPr id="111445" name="Picture 161" descr="4u"/>
        <xdr:cNvPicPr>
          <a:picLocks noChangeAspect="1" noChangeArrowheads="1"/>
        </xdr:cNvPicPr>
      </xdr:nvPicPr>
      <xdr:blipFill>
        <a:blip xmlns:r="http://schemas.openxmlformats.org/officeDocument/2006/relationships" r:embed="rId269" r:link="rId270" cstate="print"/>
        <a:srcRect/>
        <a:stretch>
          <a:fillRect/>
        </a:stretch>
      </xdr:blipFill>
      <xdr:spPr bwMode="auto">
        <a:xfrm>
          <a:off x="1438275" y="67932300"/>
          <a:ext cx="514350" cy="504825"/>
        </a:xfrm>
        <a:prstGeom prst="rect">
          <a:avLst/>
        </a:prstGeom>
        <a:noFill/>
        <a:ln w="9525">
          <a:noFill/>
          <a:miter lim="800000"/>
          <a:headEnd/>
          <a:tailEnd/>
        </a:ln>
      </xdr:spPr>
    </xdr:pic>
    <xdr:clientData/>
  </xdr:twoCellAnchor>
  <xdr:twoCellAnchor>
    <xdr:from>
      <xdr:col>2</xdr:col>
      <xdr:colOff>0</xdr:colOff>
      <xdr:row>145</xdr:row>
      <xdr:rowOff>0</xdr:rowOff>
    </xdr:from>
    <xdr:to>
      <xdr:col>3</xdr:col>
      <xdr:colOff>0</xdr:colOff>
      <xdr:row>145</xdr:row>
      <xdr:rowOff>485775</xdr:rowOff>
    </xdr:to>
    <xdr:pic>
      <xdr:nvPicPr>
        <xdr:cNvPr id="111446" name="Picture 162" descr="5"/>
        <xdr:cNvPicPr>
          <a:picLocks noChangeAspect="1" noChangeArrowheads="1"/>
        </xdr:cNvPicPr>
      </xdr:nvPicPr>
      <xdr:blipFill>
        <a:blip xmlns:r="http://schemas.openxmlformats.org/officeDocument/2006/relationships" r:embed="rId271" r:link="rId272" cstate="print"/>
        <a:srcRect/>
        <a:stretch>
          <a:fillRect/>
        </a:stretch>
      </xdr:blipFill>
      <xdr:spPr bwMode="auto">
        <a:xfrm>
          <a:off x="1181100" y="69103875"/>
          <a:ext cx="514350" cy="485775"/>
        </a:xfrm>
        <a:prstGeom prst="rect">
          <a:avLst/>
        </a:prstGeom>
        <a:noFill/>
        <a:ln w="9525">
          <a:noFill/>
          <a:miter lim="800000"/>
          <a:headEnd/>
          <a:tailEnd/>
        </a:ln>
      </xdr:spPr>
    </xdr:pic>
    <xdr:clientData/>
  </xdr:twoCellAnchor>
  <xdr:twoCellAnchor>
    <xdr:from>
      <xdr:col>2</xdr:col>
      <xdr:colOff>0</xdr:colOff>
      <xdr:row>147</xdr:row>
      <xdr:rowOff>0</xdr:rowOff>
    </xdr:from>
    <xdr:to>
      <xdr:col>3</xdr:col>
      <xdr:colOff>0</xdr:colOff>
      <xdr:row>147</xdr:row>
      <xdr:rowOff>466725</xdr:rowOff>
    </xdr:to>
    <xdr:pic>
      <xdr:nvPicPr>
        <xdr:cNvPr id="111447" name="Picture 163" descr="5"/>
        <xdr:cNvPicPr>
          <a:picLocks noChangeAspect="1" noChangeArrowheads="1"/>
        </xdr:cNvPicPr>
      </xdr:nvPicPr>
      <xdr:blipFill>
        <a:blip xmlns:r="http://schemas.openxmlformats.org/officeDocument/2006/relationships" r:embed="rId273" r:link="rId274" cstate="print"/>
        <a:srcRect/>
        <a:stretch>
          <a:fillRect/>
        </a:stretch>
      </xdr:blipFill>
      <xdr:spPr bwMode="auto">
        <a:xfrm>
          <a:off x="1181100" y="70094475"/>
          <a:ext cx="514350" cy="466725"/>
        </a:xfrm>
        <a:prstGeom prst="rect">
          <a:avLst/>
        </a:prstGeom>
        <a:noFill/>
        <a:ln w="9525">
          <a:noFill/>
          <a:miter lim="800000"/>
          <a:headEnd/>
          <a:tailEnd/>
        </a:ln>
      </xdr:spPr>
    </xdr:pic>
    <xdr:clientData/>
  </xdr:twoCellAnchor>
  <xdr:twoCellAnchor>
    <xdr:from>
      <xdr:col>2</xdr:col>
      <xdr:colOff>0</xdr:colOff>
      <xdr:row>148</xdr:row>
      <xdr:rowOff>0</xdr:rowOff>
    </xdr:from>
    <xdr:to>
      <xdr:col>3</xdr:col>
      <xdr:colOff>0</xdr:colOff>
      <xdr:row>148</xdr:row>
      <xdr:rowOff>466725</xdr:rowOff>
    </xdr:to>
    <xdr:pic>
      <xdr:nvPicPr>
        <xdr:cNvPr id="111448" name="Picture 164" descr="4u"/>
        <xdr:cNvPicPr>
          <a:picLocks noChangeAspect="1" noChangeArrowheads="1"/>
        </xdr:cNvPicPr>
      </xdr:nvPicPr>
      <xdr:blipFill>
        <a:blip xmlns:r="http://schemas.openxmlformats.org/officeDocument/2006/relationships" r:embed="rId275" r:link="rId276" cstate="print"/>
        <a:srcRect/>
        <a:stretch>
          <a:fillRect/>
        </a:stretch>
      </xdr:blipFill>
      <xdr:spPr bwMode="auto">
        <a:xfrm>
          <a:off x="1181100" y="70561200"/>
          <a:ext cx="514350" cy="466725"/>
        </a:xfrm>
        <a:prstGeom prst="rect">
          <a:avLst/>
        </a:prstGeom>
        <a:noFill/>
        <a:ln w="9525">
          <a:noFill/>
          <a:miter lim="800000"/>
          <a:headEnd/>
          <a:tailEnd/>
        </a:ln>
      </xdr:spPr>
    </xdr:pic>
    <xdr:clientData/>
  </xdr:twoCellAnchor>
  <xdr:twoCellAnchor>
    <xdr:from>
      <xdr:col>2</xdr:col>
      <xdr:colOff>0</xdr:colOff>
      <xdr:row>149</xdr:row>
      <xdr:rowOff>0</xdr:rowOff>
    </xdr:from>
    <xdr:to>
      <xdr:col>3</xdr:col>
      <xdr:colOff>0</xdr:colOff>
      <xdr:row>149</xdr:row>
      <xdr:rowOff>485775</xdr:rowOff>
    </xdr:to>
    <xdr:pic>
      <xdr:nvPicPr>
        <xdr:cNvPr id="111449" name="Picture 165" descr="5"/>
        <xdr:cNvPicPr>
          <a:picLocks noChangeAspect="1" noChangeArrowheads="1"/>
        </xdr:cNvPicPr>
      </xdr:nvPicPr>
      <xdr:blipFill>
        <a:blip xmlns:r="http://schemas.openxmlformats.org/officeDocument/2006/relationships" r:embed="rId277" r:link="rId278" cstate="print"/>
        <a:srcRect/>
        <a:stretch>
          <a:fillRect/>
        </a:stretch>
      </xdr:blipFill>
      <xdr:spPr bwMode="auto">
        <a:xfrm>
          <a:off x="1181100" y="71027925"/>
          <a:ext cx="514350" cy="485775"/>
        </a:xfrm>
        <a:prstGeom prst="rect">
          <a:avLst/>
        </a:prstGeom>
        <a:noFill/>
        <a:ln w="9525">
          <a:noFill/>
          <a:miter lim="800000"/>
          <a:headEnd/>
          <a:tailEnd/>
        </a:ln>
      </xdr:spPr>
    </xdr:pic>
    <xdr:clientData/>
  </xdr:twoCellAnchor>
  <xdr:twoCellAnchor>
    <xdr:from>
      <xdr:col>2</xdr:col>
      <xdr:colOff>0</xdr:colOff>
      <xdr:row>150</xdr:row>
      <xdr:rowOff>0</xdr:rowOff>
    </xdr:from>
    <xdr:to>
      <xdr:col>3</xdr:col>
      <xdr:colOff>0</xdr:colOff>
      <xdr:row>150</xdr:row>
      <xdr:rowOff>485775</xdr:rowOff>
    </xdr:to>
    <xdr:pic>
      <xdr:nvPicPr>
        <xdr:cNvPr id="111450" name="Picture 166" descr="4u"/>
        <xdr:cNvPicPr>
          <a:picLocks noChangeAspect="1" noChangeArrowheads="1"/>
        </xdr:cNvPicPr>
      </xdr:nvPicPr>
      <xdr:blipFill>
        <a:blip xmlns:r="http://schemas.openxmlformats.org/officeDocument/2006/relationships" r:embed="rId279" r:link="rId280" cstate="print"/>
        <a:srcRect/>
        <a:stretch>
          <a:fillRect/>
        </a:stretch>
      </xdr:blipFill>
      <xdr:spPr bwMode="auto">
        <a:xfrm>
          <a:off x="1181100" y="71513700"/>
          <a:ext cx="514350" cy="485775"/>
        </a:xfrm>
        <a:prstGeom prst="rect">
          <a:avLst/>
        </a:prstGeom>
        <a:noFill/>
        <a:ln w="9525">
          <a:noFill/>
          <a:miter lim="800000"/>
          <a:headEnd/>
          <a:tailEnd/>
        </a:ln>
      </xdr:spPr>
    </xdr:pic>
    <xdr:clientData/>
  </xdr:twoCellAnchor>
  <xdr:twoCellAnchor>
    <xdr:from>
      <xdr:col>2</xdr:col>
      <xdr:colOff>0</xdr:colOff>
      <xdr:row>151</xdr:row>
      <xdr:rowOff>0</xdr:rowOff>
    </xdr:from>
    <xdr:to>
      <xdr:col>3</xdr:col>
      <xdr:colOff>0</xdr:colOff>
      <xdr:row>151</xdr:row>
      <xdr:rowOff>485775</xdr:rowOff>
    </xdr:to>
    <xdr:pic>
      <xdr:nvPicPr>
        <xdr:cNvPr id="111451" name="Picture 167" descr="5"/>
        <xdr:cNvPicPr>
          <a:picLocks noChangeAspect="1" noChangeArrowheads="1"/>
        </xdr:cNvPicPr>
      </xdr:nvPicPr>
      <xdr:blipFill>
        <a:blip xmlns:r="http://schemas.openxmlformats.org/officeDocument/2006/relationships" r:embed="rId281" r:link="rId282" cstate="print"/>
        <a:srcRect/>
        <a:stretch>
          <a:fillRect/>
        </a:stretch>
      </xdr:blipFill>
      <xdr:spPr bwMode="auto">
        <a:xfrm>
          <a:off x="1181100" y="71999475"/>
          <a:ext cx="514350" cy="485775"/>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66675</xdr:colOff>
      <xdr:row>8</xdr:row>
      <xdr:rowOff>9525</xdr:rowOff>
    </xdr:from>
    <xdr:to>
      <xdr:col>3</xdr:col>
      <xdr:colOff>390525</xdr:colOff>
      <xdr:row>17</xdr:row>
      <xdr:rowOff>152400</xdr:rowOff>
    </xdr:to>
    <xdr:pic>
      <xdr:nvPicPr>
        <xdr:cNvPr id="3801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14325" y="2133600"/>
          <a:ext cx="2152650" cy="1600200"/>
        </a:xfrm>
        <a:prstGeom prst="rect">
          <a:avLst/>
        </a:prstGeom>
        <a:noFill/>
        <a:ln w="9525">
          <a:noFill/>
          <a:miter lim="800000"/>
          <a:headEnd/>
          <a:tailEnd/>
        </a:ln>
      </xdr:spPr>
    </xdr:pic>
    <xdr:clientData/>
  </xdr:twoCellAnchor>
  <xdr:twoCellAnchor editAs="oneCell">
    <xdr:from>
      <xdr:col>3</xdr:col>
      <xdr:colOff>457200</xdr:colOff>
      <xdr:row>8</xdr:row>
      <xdr:rowOff>9525</xdr:rowOff>
    </xdr:from>
    <xdr:to>
      <xdr:col>5</xdr:col>
      <xdr:colOff>190500</xdr:colOff>
      <xdr:row>17</xdr:row>
      <xdr:rowOff>152400</xdr:rowOff>
    </xdr:to>
    <xdr:pic>
      <xdr:nvPicPr>
        <xdr:cNvPr id="3801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2971800" y="2133600"/>
          <a:ext cx="1562100" cy="160020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190500</xdr:colOff>
      <xdr:row>35</xdr:row>
      <xdr:rowOff>9525</xdr:rowOff>
    </xdr:from>
    <xdr:to>
      <xdr:col>2</xdr:col>
      <xdr:colOff>971550</xdr:colOff>
      <xdr:row>40</xdr:row>
      <xdr:rowOff>0</xdr:rowOff>
    </xdr:to>
    <xdr:pic>
      <xdr:nvPicPr>
        <xdr:cNvPr id="54286" name="Picture 8"/>
        <xdr:cNvPicPr>
          <a:picLocks noChangeAspect="1" noChangeArrowheads="1"/>
        </xdr:cNvPicPr>
      </xdr:nvPicPr>
      <xdr:blipFill>
        <a:blip xmlns:r="http://schemas.openxmlformats.org/officeDocument/2006/relationships" r:embed="rId1" cstate="print"/>
        <a:srcRect/>
        <a:stretch>
          <a:fillRect/>
        </a:stretch>
      </xdr:blipFill>
      <xdr:spPr bwMode="auto">
        <a:xfrm>
          <a:off x="1028700" y="6486525"/>
          <a:ext cx="781050" cy="800100"/>
        </a:xfrm>
        <a:prstGeom prst="rect">
          <a:avLst/>
        </a:prstGeom>
        <a:noFill/>
        <a:ln w="9525">
          <a:noFill/>
          <a:miter lim="800000"/>
          <a:headEnd/>
          <a:tailEnd/>
        </a:ln>
      </xdr:spPr>
    </xdr:pic>
    <xdr:clientData/>
  </xdr:twoCellAnchor>
  <xdr:twoCellAnchor editAs="oneCell">
    <xdr:from>
      <xdr:col>2</xdr:col>
      <xdr:colOff>266700</xdr:colOff>
      <xdr:row>55</xdr:row>
      <xdr:rowOff>9524</xdr:rowOff>
    </xdr:from>
    <xdr:to>
      <xdr:col>2</xdr:col>
      <xdr:colOff>952500</xdr:colOff>
      <xdr:row>61</xdr:row>
      <xdr:rowOff>154393</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23950" y="10048874"/>
          <a:ext cx="685800" cy="1116419"/>
        </a:xfrm>
        <a:prstGeom prst="rect">
          <a:avLst/>
        </a:prstGeom>
        <a:noFill/>
      </xdr:spPr>
    </xdr:pic>
    <xdr:clientData/>
  </xdr:twoCellAnchor>
  <xdr:twoCellAnchor editAs="oneCell">
    <xdr:from>
      <xdr:col>1</xdr:col>
      <xdr:colOff>190500</xdr:colOff>
      <xdr:row>46</xdr:row>
      <xdr:rowOff>66675</xdr:rowOff>
    </xdr:from>
    <xdr:to>
      <xdr:col>2</xdr:col>
      <xdr:colOff>1009650</xdr:colOff>
      <xdr:row>53</xdr:row>
      <xdr:rowOff>100781</xdr:rowOff>
    </xdr:to>
    <xdr:pic>
      <xdr:nvPicPr>
        <xdr:cNvPr id="11"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438150" y="8324850"/>
          <a:ext cx="1428750" cy="1167581"/>
        </a:xfrm>
        <a:prstGeom prst="rect">
          <a:avLst/>
        </a:prstGeom>
        <a:noFill/>
      </xdr:spPr>
    </xdr:pic>
    <xdr:clientData/>
  </xdr:twoCellAnchor>
  <xdr:twoCellAnchor editAs="oneCell">
    <xdr:from>
      <xdr:col>5</xdr:col>
      <xdr:colOff>0</xdr:colOff>
      <xdr:row>9</xdr:row>
      <xdr:rowOff>0</xdr:rowOff>
    </xdr:from>
    <xdr:to>
      <xdr:col>7</xdr:col>
      <xdr:colOff>733425</xdr:colOff>
      <xdr:row>17</xdr:row>
      <xdr:rowOff>150870</xdr:rowOff>
    </xdr:to>
    <xdr:pic>
      <xdr:nvPicPr>
        <xdr:cNvPr id="9" name="Picture 20" descr="C:\Documents and Settings\Администратор\Мои документы\fm\field11114.gif"/>
        <xdr:cNvPicPr>
          <a:picLocks noChangeAspect="1" noChangeArrowheads="1"/>
        </xdr:cNvPicPr>
      </xdr:nvPicPr>
      <xdr:blipFill>
        <a:blip xmlns:r="http://schemas.openxmlformats.org/officeDocument/2006/relationships" r:embed="rId4" cstate="print"/>
        <a:srcRect/>
        <a:stretch>
          <a:fillRect/>
        </a:stretch>
      </xdr:blipFill>
      <xdr:spPr bwMode="auto">
        <a:xfrm>
          <a:off x="4400550" y="1552575"/>
          <a:ext cx="3276600" cy="2274945"/>
        </a:xfrm>
        <a:prstGeom prst="rect">
          <a:avLst/>
        </a:prstGeom>
        <a:noFill/>
      </xdr:spPr>
    </xdr:pic>
    <xdr:clientData/>
  </xdr:twoCellAnchor>
  <xdr:twoCellAnchor editAs="oneCell">
    <xdr:from>
      <xdr:col>1</xdr:col>
      <xdr:colOff>0</xdr:colOff>
      <xdr:row>24</xdr:row>
      <xdr:rowOff>0</xdr:rowOff>
    </xdr:from>
    <xdr:to>
      <xdr:col>2</xdr:col>
      <xdr:colOff>533400</xdr:colOff>
      <xdr:row>27</xdr:row>
      <xdr:rowOff>152400</xdr:rowOff>
    </xdr:to>
    <xdr:pic>
      <xdr:nvPicPr>
        <xdr:cNvPr id="10" name="Picture 6" descr="C:\Documents and Settings\Администратор\Мои документы\11.gif"/>
        <xdr:cNvPicPr>
          <a:picLocks noChangeAspect="1" noChangeArrowheads="1"/>
        </xdr:cNvPicPr>
      </xdr:nvPicPr>
      <xdr:blipFill>
        <a:blip xmlns:r="http://schemas.openxmlformats.org/officeDocument/2006/relationships" r:embed="rId5" cstate="print"/>
        <a:srcRect/>
        <a:stretch>
          <a:fillRect/>
        </a:stretch>
      </xdr:blipFill>
      <xdr:spPr bwMode="auto">
        <a:xfrm>
          <a:off x="247650" y="4867275"/>
          <a:ext cx="1143000" cy="638175"/>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371475</xdr:colOff>
      <xdr:row>50</xdr:row>
      <xdr:rowOff>9525</xdr:rowOff>
    </xdr:from>
    <xdr:to>
      <xdr:col>4</xdr:col>
      <xdr:colOff>1002323</xdr:colOff>
      <xdr:row>52</xdr:row>
      <xdr:rowOff>76200</xdr:rowOff>
    </xdr:to>
    <xdr:pic>
      <xdr:nvPicPr>
        <xdr:cNvPr id="11" name="Рисунок 10" descr="Склеп.gif"/>
        <xdr:cNvPicPr>
          <a:picLocks noChangeAspect="1"/>
        </xdr:cNvPicPr>
      </xdr:nvPicPr>
      <xdr:blipFill>
        <a:blip xmlns:r="http://schemas.openxmlformats.org/officeDocument/2006/relationships" r:embed="rId1" cstate="print"/>
        <a:stretch>
          <a:fillRect/>
        </a:stretch>
      </xdr:blipFill>
      <xdr:spPr>
        <a:xfrm>
          <a:off x="4981575" y="10315575"/>
          <a:ext cx="630848" cy="390525"/>
        </a:xfrm>
        <a:prstGeom prst="rect">
          <a:avLst/>
        </a:prstGeom>
      </xdr:spPr>
    </xdr:pic>
    <xdr:clientData/>
  </xdr:twoCellAnchor>
  <xdr:twoCellAnchor editAs="oneCell">
    <xdr:from>
      <xdr:col>4</xdr:col>
      <xdr:colOff>476250</xdr:colOff>
      <xdr:row>55</xdr:row>
      <xdr:rowOff>9525</xdr:rowOff>
    </xdr:from>
    <xdr:to>
      <xdr:col>4</xdr:col>
      <xdr:colOff>984250</xdr:colOff>
      <xdr:row>58</xdr:row>
      <xdr:rowOff>0</xdr:rowOff>
    </xdr:to>
    <xdr:pic>
      <xdr:nvPicPr>
        <xdr:cNvPr id="12" name="Рисунок 11" descr="Склеп.gif"/>
        <xdr:cNvPicPr>
          <a:picLocks noChangeAspect="1"/>
        </xdr:cNvPicPr>
      </xdr:nvPicPr>
      <xdr:blipFill>
        <a:blip xmlns:r="http://schemas.openxmlformats.org/officeDocument/2006/relationships" r:embed="rId2" cstate="print"/>
        <a:stretch>
          <a:fillRect/>
        </a:stretch>
      </xdr:blipFill>
      <xdr:spPr>
        <a:xfrm>
          <a:off x="5086350" y="11049000"/>
          <a:ext cx="508000" cy="476250"/>
        </a:xfrm>
        <a:prstGeom prst="rect">
          <a:avLst/>
        </a:prstGeom>
      </xdr:spPr>
    </xdr:pic>
    <xdr:clientData/>
  </xdr:twoCellAnchor>
  <xdr:twoCellAnchor editAs="oneCell">
    <xdr:from>
      <xdr:col>4</xdr:col>
      <xdr:colOff>552450</xdr:colOff>
      <xdr:row>62</xdr:row>
      <xdr:rowOff>9525</xdr:rowOff>
    </xdr:from>
    <xdr:to>
      <xdr:col>4</xdr:col>
      <xdr:colOff>1037545</xdr:colOff>
      <xdr:row>64</xdr:row>
      <xdr:rowOff>123825</xdr:rowOff>
    </xdr:to>
    <xdr:pic>
      <xdr:nvPicPr>
        <xdr:cNvPr id="13" name="Рисунок 12" descr="Склеп.gif"/>
        <xdr:cNvPicPr>
          <a:picLocks noChangeAspect="1"/>
        </xdr:cNvPicPr>
      </xdr:nvPicPr>
      <xdr:blipFill>
        <a:blip xmlns:r="http://schemas.openxmlformats.org/officeDocument/2006/relationships" r:embed="rId3" cstate="print"/>
        <a:stretch>
          <a:fillRect/>
        </a:stretch>
      </xdr:blipFill>
      <xdr:spPr>
        <a:xfrm>
          <a:off x="5162550" y="12096750"/>
          <a:ext cx="485095" cy="438150"/>
        </a:xfrm>
        <a:prstGeom prst="rect">
          <a:avLst/>
        </a:prstGeom>
      </xdr:spPr>
    </xdr:pic>
    <xdr:clientData/>
  </xdr:twoCellAnchor>
  <xdr:twoCellAnchor editAs="oneCell">
    <xdr:from>
      <xdr:col>4</xdr:col>
      <xdr:colOff>333375</xdr:colOff>
      <xdr:row>15</xdr:row>
      <xdr:rowOff>9525</xdr:rowOff>
    </xdr:from>
    <xdr:to>
      <xdr:col>4</xdr:col>
      <xdr:colOff>1085850</xdr:colOff>
      <xdr:row>17</xdr:row>
      <xdr:rowOff>257175</xdr:rowOff>
    </xdr:to>
    <xdr:pic>
      <xdr:nvPicPr>
        <xdr:cNvPr id="14" name="Рисунок 13" descr="Склеп.gif"/>
        <xdr:cNvPicPr>
          <a:picLocks noChangeAspect="1"/>
        </xdr:cNvPicPr>
      </xdr:nvPicPr>
      <xdr:blipFill>
        <a:blip xmlns:r="http://schemas.openxmlformats.org/officeDocument/2006/relationships" r:embed="rId4" cstate="print"/>
        <a:stretch>
          <a:fillRect/>
        </a:stretch>
      </xdr:blipFill>
      <xdr:spPr>
        <a:xfrm>
          <a:off x="4943475" y="2362200"/>
          <a:ext cx="752475" cy="571500"/>
        </a:xfrm>
        <a:prstGeom prst="rect">
          <a:avLst/>
        </a:prstGeom>
      </xdr:spPr>
    </xdr:pic>
    <xdr:clientData/>
  </xdr:twoCellAnchor>
  <xdr:twoCellAnchor editAs="oneCell">
    <xdr:from>
      <xdr:col>4</xdr:col>
      <xdr:colOff>381000</xdr:colOff>
      <xdr:row>25</xdr:row>
      <xdr:rowOff>9525</xdr:rowOff>
    </xdr:from>
    <xdr:to>
      <xdr:col>4</xdr:col>
      <xdr:colOff>1009650</xdr:colOff>
      <xdr:row>27</xdr:row>
      <xdr:rowOff>304800</xdr:rowOff>
    </xdr:to>
    <xdr:pic>
      <xdr:nvPicPr>
        <xdr:cNvPr id="15" name="Рисунок 14" descr="Склеп.gif"/>
        <xdr:cNvPicPr>
          <a:picLocks noChangeAspect="1"/>
        </xdr:cNvPicPr>
      </xdr:nvPicPr>
      <xdr:blipFill>
        <a:blip xmlns:r="http://schemas.openxmlformats.org/officeDocument/2006/relationships" r:embed="rId5" cstate="print"/>
        <a:stretch>
          <a:fillRect/>
        </a:stretch>
      </xdr:blipFill>
      <xdr:spPr>
        <a:xfrm>
          <a:off x="4991100" y="4067175"/>
          <a:ext cx="628650" cy="619125"/>
        </a:xfrm>
        <a:prstGeom prst="rect">
          <a:avLst/>
        </a:prstGeom>
      </xdr:spPr>
    </xdr:pic>
    <xdr:clientData/>
  </xdr:twoCellAnchor>
  <xdr:twoCellAnchor editAs="oneCell">
    <xdr:from>
      <xdr:col>4</xdr:col>
      <xdr:colOff>371475</xdr:colOff>
      <xdr:row>34</xdr:row>
      <xdr:rowOff>9525</xdr:rowOff>
    </xdr:from>
    <xdr:to>
      <xdr:col>4</xdr:col>
      <xdr:colOff>981075</xdr:colOff>
      <xdr:row>37</xdr:row>
      <xdr:rowOff>28575</xdr:rowOff>
    </xdr:to>
    <xdr:pic>
      <xdr:nvPicPr>
        <xdr:cNvPr id="16" name="Рисунок 15" descr="Склеп.gif"/>
        <xdr:cNvPicPr>
          <a:picLocks noChangeAspect="1"/>
        </xdr:cNvPicPr>
      </xdr:nvPicPr>
      <xdr:blipFill>
        <a:blip xmlns:r="http://schemas.openxmlformats.org/officeDocument/2006/relationships" r:embed="rId6" cstate="print"/>
        <a:stretch>
          <a:fillRect/>
        </a:stretch>
      </xdr:blipFill>
      <xdr:spPr>
        <a:xfrm>
          <a:off x="4981575" y="5934075"/>
          <a:ext cx="609600" cy="504825"/>
        </a:xfrm>
        <a:prstGeom prst="rect">
          <a:avLst/>
        </a:prstGeom>
      </xdr:spPr>
    </xdr:pic>
    <xdr:clientData/>
  </xdr:twoCellAnchor>
  <xdr:twoCellAnchor editAs="oneCell">
    <xdr:from>
      <xdr:col>4</xdr:col>
      <xdr:colOff>400050</xdr:colOff>
      <xdr:row>37</xdr:row>
      <xdr:rowOff>9525</xdr:rowOff>
    </xdr:from>
    <xdr:to>
      <xdr:col>4</xdr:col>
      <xdr:colOff>981075</xdr:colOff>
      <xdr:row>38</xdr:row>
      <xdr:rowOff>142875</xdr:rowOff>
    </xdr:to>
    <xdr:pic>
      <xdr:nvPicPr>
        <xdr:cNvPr id="17" name="Рисунок 16" descr="Склеп.gif"/>
        <xdr:cNvPicPr>
          <a:picLocks noChangeAspect="1"/>
        </xdr:cNvPicPr>
      </xdr:nvPicPr>
      <xdr:blipFill>
        <a:blip xmlns:r="http://schemas.openxmlformats.org/officeDocument/2006/relationships" r:embed="rId7" cstate="print"/>
        <a:stretch>
          <a:fillRect/>
        </a:stretch>
      </xdr:blipFill>
      <xdr:spPr>
        <a:xfrm>
          <a:off x="5010150" y="6429375"/>
          <a:ext cx="581025" cy="457200"/>
        </a:xfrm>
        <a:prstGeom prst="rect">
          <a:avLst/>
        </a:prstGeom>
      </xdr:spPr>
    </xdr:pic>
    <xdr:clientData/>
  </xdr:twoCellAnchor>
  <xdr:twoCellAnchor editAs="oneCell">
    <xdr:from>
      <xdr:col>4</xdr:col>
      <xdr:colOff>19050</xdr:colOff>
      <xdr:row>43</xdr:row>
      <xdr:rowOff>9525</xdr:rowOff>
    </xdr:from>
    <xdr:to>
      <xdr:col>5</xdr:col>
      <xdr:colOff>0</xdr:colOff>
      <xdr:row>45</xdr:row>
      <xdr:rowOff>371996</xdr:rowOff>
    </xdr:to>
    <xdr:pic>
      <xdr:nvPicPr>
        <xdr:cNvPr id="18" name="Рисунок 17" descr="Склеп.gif"/>
        <xdr:cNvPicPr>
          <a:picLocks noChangeAspect="1"/>
        </xdr:cNvPicPr>
      </xdr:nvPicPr>
      <xdr:blipFill>
        <a:blip xmlns:r="http://schemas.openxmlformats.org/officeDocument/2006/relationships" r:embed="rId8" cstate="print"/>
        <a:stretch>
          <a:fillRect/>
        </a:stretch>
      </xdr:blipFill>
      <xdr:spPr>
        <a:xfrm>
          <a:off x="4629150" y="7639050"/>
          <a:ext cx="1362075" cy="1019696"/>
        </a:xfrm>
        <a:prstGeom prst="rect">
          <a:avLst/>
        </a:prstGeom>
      </xdr:spPr>
    </xdr:pic>
    <xdr:clientData/>
  </xdr:twoCellAnchor>
  <xdr:twoCellAnchor editAs="oneCell">
    <xdr:from>
      <xdr:col>4</xdr:col>
      <xdr:colOff>371475</xdr:colOff>
      <xdr:row>69</xdr:row>
      <xdr:rowOff>9525</xdr:rowOff>
    </xdr:from>
    <xdr:to>
      <xdr:col>4</xdr:col>
      <xdr:colOff>981075</xdr:colOff>
      <xdr:row>71</xdr:row>
      <xdr:rowOff>76200</xdr:rowOff>
    </xdr:to>
    <xdr:pic>
      <xdr:nvPicPr>
        <xdr:cNvPr id="19" name="Рисунок 18" descr="Склеп.gif"/>
        <xdr:cNvPicPr>
          <a:picLocks noChangeAspect="1"/>
        </xdr:cNvPicPr>
      </xdr:nvPicPr>
      <xdr:blipFill>
        <a:blip xmlns:r="http://schemas.openxmlformats.org/officeDocument/2006/relationships" r:embed="rId9" cstate="print"/>
        <a:stretch>
          <a:fillRect/>
        </a:stretch>
      </xdr:blipFill>
      <xdr:spPr>
        <a:xfrm>
          <a:off x="4981575" y="13154025"/>
          <a:ext cx="609600" cy="390525"/>
        </a:xfrm>
        <a:prstGeom prst="rect">
          <a:avLst/>
        </a:prstGeom>
      </xdr:spPr>
    </xdr:pic>
    <xdr:clientData/>
  </xdr:twoCellAnchor>
  <xdr:twoCellAnchor editAs="oneCell">
    <xdr:from>
      <xdr:col>4</xdr:col>
      <xdr:colOff>447675</xdr:colOff>
      <xdr:row>77</xdr:row>
      <xdr:rowOff>9525</xdr:rowOff>
    </xdr:from>
    <xdr:to>
      <xdr:col>4</xdr:col>
      <xdr:colOff>857250</xdr:colOff>
      <xdr:row>79</xdr:row>
      <xdr:rowOff>41827</xdr:rowOff>
    </xdr:to>
    <xdr:pic>
      <xdr:nvPicPr>
        <xdr:cNvPr id="20" name="Рисунок 19" descr="Склеп.gif"/>
        <xdr:cNvPicPr>
          <a:picLocks noChangeAspect="1"/>
        </xdr:cNvPicPr>
      </xdr:nvPicPr>
      <xdr:blipFill>
        <a:blip xmlns:r="http://schemas.openxmlformats.org/officeDocument/2006/relationships" r:embed="rId10" cstate="print"/>
        <a:stretch>
          <a:fillRect/>
        </a:stretch>
      </xdr:blipFill>
      <xdr:spPr>
        <a:xfrm>
          <a:off x="5057775" y="14258925"/>
          <a:ext cx="409575" cy="356152"/>
        </a:xfrm>
        <a:prstGeom prst="rect">
          <a:avLst/>
        </a:prstGeom>
      </xdr:spPr>
    </xdr:pic>
    <xdr:clientData/>
  </xdr:twoCellAnchor>
  <xdr:twoCellAnchor editAs="oneCell">
    <xdr:from>
      <xdr:col>4</xdr:col>
      <xdr:colOff>447674</xdr:colOff>
      <xdr:row>83</xdr:row>
      <xdr:rowOff>9525</xdr:rowOff>
    </xdr:from>
    <xdr:to>
      <xdr:col>4</xdr:col>
      <xdr:colOff>838199</xdr:colOff>
      <xdr:row>85</xdr:row>
      <xdr:rowOff>63996</xdr:rowOff>
    </xdr:to>
    <xdr:pic>
      <xdr:nvPicPr>
        <xdr:cNvPr id="21" name="Рисунок 20" descr="Склеп.gif"/>
        <xdr:cNvPicPr>
          <a:picLocks noChangeAspect="1"/>
        </xdr:cNvPicPr>
      </xdr:nvPicPr>
      <xdr:blipFill>
        <a:blip xmlns:r="http://schemas.openxmlformats.org/officeDocument/2006/relationships" r:embed="rId11" cstate="print"/>
        <a:stretch>
          <a:fillRect/>
        </a:stretch>
      </xdr:blipFill>
      <xdr:spPr>
        <a:xfrm>
          <a:off x="5057774" y="15106650"/>
          <a:ext cx="390525" cy="378321"/>
        </a:xfrm>
        <a:prstGeom prst="rect">
          <a:avLst/>
        </a:prstGeom>
      </xdr:spPr>
    </xdr:pic>
    <xdr:clientData/>
  </xdr:twoCellAnchor>
  <xdr:twoCellAnchor editAs="oneCell">
    <xdr:from>
      <xdr:col>5</xdr:col>
      <xdr:colOff>0</xdr:colOff>
      <xdr:row>23</xdr:row>
      <xdr:rowOff>0</xdr:rowOff>
    </xdr:from>
    <xdr:to>
      <xdr:col>6</xdr:col>
      <xdr:colOff>50606</xdr:colOff>
      <xdr:row>28</xdr:row>
      <xdr:rowOff>450</xdr:rowOff>
    </xdr:to>
    <xdr:pic>
      <xdr:nvPicPr>
        <xdr:cNvPr id="28" name="Picture 6"/>
        <xdr:cNvPicPr>
          <a:picLocks noChangeAspect="1" noChangeArrowheads="1"/>
        </xdr:cNvPicPr>
      </xdr:nvPicPr>
      <xdr:blipFill>
        <a:blip xmlns:r="http://schemas.openxmlformats.org/officeDocument/2006/relationships" r:embed="rId12" cstate="print"/>
        <a:srcRect/>
        <a:stretch>
          <a:fillRect/>
        </a:stretch>
      </xdr:blipFill>
      <xdr:spPr bwMode="auto">
        <a:xfrm>
          <a:off x="6019800" y="3990975"/>
          <a:ext cx="1431731" cy="972000"/>
        </a:xfrm>
        <a:prstGeom prst="rect">
          <a:avLst/>
        </a:prstGeom>
        <a:noFill/>
      </xdr:spPr>
    </xdr:pic>
    <xdr:clientData/>
  </xdr:twoCellAnchor>
  <xdr:twoCellAnchor editAs="oneCell">
    <xdr:from>
      <xdr:col>5</xdr:col>
      <xdr:colOff>0</xdr:colOff>
      <xdr:row>32</xdr:row>
      <xdr:rowOff>0</xdr:rowOff>
    </xdr:from>
    <xdr:to>
      <xdr:col>6</xdr:col>
      <xdr:colOff>50605</xdr:colOff>
      <xdr:row>37</xdr:row>
      <xdr:rowOff>162375</xdr:rowOff>
    </xdr:to>
    <xdr:pic>
      <xdr:nvPicPr>
        <xdr:cNvPr id="29" name="Picture 8"/>
        <xdr:cNvPicPr>
          <a:picLocks noChangeAspect="1" noChangeArrowheads="1"/>
        </xdr:cNvPicPr>
      </xdr:nvPicPr>
      <xdr:blipFill>
        <a:blip xmlns:r="http://schemas.openxmlformats.org/officeDocument/2006/relationships" r:embed="rId13" cstate="print"/>
        <a:srcRect/>
        <a:stretch>
          <a:fillRect/>
        </a:stretch>
      </xdr:blipFill>
      <xdr:spPr bwMode="auto">
        <a:xfrm>
          <a:off x="6019800" y="6000750"/>
          <a:ext cx="1431730" cy="972000"/>
        </a:xfrm>
        <a:prstGeom prst="rect">
          <a:avLst/>
        </a:prstGeom>
        <a:noFill/>
      </xdr:spPr>
    </xdr:pic>
    <xdr:clientData/>
  </xdr:twoCellAnchor>
  <xdr:twoCellAnchor editAs="oneCell">
    <xdr:from>
      <xdr:col>5</xdr:col>
      <xdr:colOff>0</xdr:colOff>
      <xdr:row>44</xdr:row>
      <xdr:rowOff>0</xdr:rowOff>
    </xdr:from>
    <xdr:to>
      <xdr:col>6</xdr:col>
      <xdr:colOff>50605</xdr:colOff>
      <xdr:row>45</xdr:row>
      <xdr:rowOff>476700</xdr:rowOff>
    </xdr:to>
    <xdr:pic>
      <xdr:nvPicPr>
        <xdr:cNvPr id="31" name="Picture 10"/>
        <xdr:cNvPicPr>
          <a:picLocks noChangeAspect="1" noChangeArrowheads="1"/>
        </xdr:cNvPicPr>
      </xdr:nvPicPr>
      <xdr:blipFill>
        <a:blip xmlns:r="http://schemas.openxmlformats.org/officeDocument/2006/relationships" r:embed="rId14" cstate="print"/>
        <a:srcRect/>
        <a:stretch>
          <a:fillRect/>
        </a:stretch>
      </xdr:blipFill>
      <xdr:spPr bwMode="auto">
        <a:xfrm>
          <a:off x="6019800" y="8334375"/>
          <a:ext cx="1431730" cy="972000"/>
        </a:xfrm>
        <a:prstGeom prst="rect">
          <a:avLst/>
        </a:prstGeom>
        <a:noFill/>
      </xdr:spPr>
    </xdr:pic>
    <xdr:clientData/>
  </xdr:twoCellAnchor>
  <xdr:twoCellAnchor editAs="oneCell">
    <xdr:from>
      <xdr:col>5</xdr:col>
      <xdr:colOff>0</xdr:colOff>
      <xdr:row>13</xdr:row>
      <xdr:rowOff>0</xdr:rowOff>
    </xdr:from>
    <xdr:to>
      <xdr:col>6</xdr:col>
      <xdr:colOff>50605</xdr:colOff>
      <xdr:row>18</xdr:row>
      <xdr:rowOff>450</xdr:rowOff>
    </xdr:to>
    <xdr:pic>
      <xdr:nvPicPr>
        <xdr:cNvPr id="33" name="Picture 4"/>
        <xdr:cNvPicPr>
          <a:picLocks noChangeAspect="1" noChangeArrowheads="1"/>
        </xdr:cNvPicPr>
      </xdr:nvPicPr>
      <xdr:blipFill>
        <a:blip xmlns:r="http://schemas.openxmlformats.org/officeDocument/2006/relationships" r:embed="rId15" cstate="print"/>
        <a:srcRect/>
        <a:stretch>
          <a:fillRect/>
        </a:stretch>
      </xdr:blipFill>
      <xdr:spPr bwMode="auto">
        <a:xfrm>
          <a:off x="6019800" y="1828800"/>
          <a:ext cx="1431730" cy="972000"/>
        </a:xfrm>
        <a:prstGeom prst="rect">
          <a:avLst/>
        </a:prstGeom>
        <a:noFill/>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333375</xdr:colOff>
      <xdr:row>14</xdr:row>
      <xdr:rowOff>9525</xdr:rowOff>
    </xdr:from>
    <xdr:to>
      <xdr:col>6</xdr:col>
      <xdr:colOff>1047750</xdr:colOff>
      <xdr:row>15</xdr:row>
      <xdr:rowOff>361950</xdr:rowOff>
    </xdr:to>
    <xdr:pic>
      <xdr:nvPicPr>
        <xdr:cNvPr id="17" name="Рисунок 16" descr="Склеп.gif"/>
        <xdr:cNvPicPr>
          <a:picLocks noChangeAspect="1"/>
        </xdr:cNvPicPr>
      </xdr:nvPicPr>
      <xdr:blipFill>
        <a:blip xmlns:r="http://schemas.openxmlformats.org/officeDocument/2006/relationships" r:embed="rId1" cstate="print"/>
        <a:stretch>
          <a:fillRect/>
        </a:stretch>
      </xdr:blipFill>
      <xdr:spPr>
        <a:xfrm>
          <a:off x="7705725" y="2028825"/>
          <a:ext cx="714375" cy="514350"/>
        </a:xfrm>
        <a:prstGeom prst="rect">
          <a:avLst/>
        </a:prstGeom>
      </xdr:spPr>
    </xdr:pic>
    <xdr:clientData/>
  </xdr:twoCellAnchor>
  <xdr:twoCellAnchor editAs="oneCell">
    <xdr:from>
      <xdr:col>6</xdr:col>
      <xdr:colOff>0</xdr:colOff>
      <xdr:row>15</xdr:row>
      <xdr:rowOff>600075</xdr:rowOff>
    </xdr:from>
    <xdr:to>
      <xdr:col>6</xdr:col>
      <xdr:colOff>1367518</xdr:colOff>
      <xdr:row>20</xdr:row>
      <xdr:rowOff>38100</xdr:rowOff>
    </xdr:to>
    <xdr:pic>
      <xdr:nvPicPr>
        <xdr:cNvPr id="121872" name="Picture 16"/>
        <xdr:cNvPicPr>
          <a:picLocks noChangeAspect="1" noChangeArrowheads="1"/>
        </xdr:cNvPicPr>
      </xdr:nvPicPr>
      <xdr:blipFill>
        <a:blip xmlns:r="http://schemas.openxmlformats.org/officeDocument/2006/relationships" r:embed="rId2" cstate="print"/>
        <a:srcRect/>
        <a:stretch>
          <a:fillRect/>
        </a:stretch>
      </xdr:blipFill>
      <xdr:spPr bwMode="auto">
        <a:xfrm>
          <a:off x="7400925" y="2914650"/>
          <a:ext cx="1367518" cy="638175"/>
        </a:xfrm>
        <a:prstGeom prst="rect">
          <a:avLst/>
        </a:prstGeom>
        <a:noFill/>
        <a:ln w="1">
          <a:noFill/>
          <a:miter lim="800000"/>
          <a:headEnd/>
          <a:tailEnd type="none" w="med" len="med"/>
        </a:ln>
        <a:effectLst/>
      </xdr:spPr>
    </xdr:pic>
    <xdr:clientData/>
  </xdr:twoCellAnchor>
  <xdr:twoCellAnchor editAs="oneCell">
    <xdr:from>
      <xdr:col>6</xdr:col>
      <xdr:colOff>0</xdr:colOff>
      <xdr:row>20</xdr:row>
      <xdr:rowOff>38099</xdr:rowOff>
    </xdr:from>
    <xdr:to>
      <xdr:col>6</xdr:col>
      <xdr:colOff>1367518</xdr:colOff>
      <xdr:row>20</xdr:row>
      <xdr:rowOff>676274</xdr:rowOff>
    </xdr:to>
    <xdr:pic>
      <xdr:nvPicPr>
        <xdr:cNvPr id="121873" name="Picture 17"/>
        <xdr:cNvPicPr>
          <a:picLocks noChangeAspect="1" noChangeArrowheads="1"/>
        </xdr:cNvPicPr>
      </xdr:nvPicPr>
      <xdr:blipFill>
        <a:blip xmlns:r="http://schemas.openxmlformats.org/officeDocument/2006/relationships" r:embed="rId3" cstate="print"/>
        <a:srcRect/>
        <a:stretch>
          <a:fillRect/>
        </a:stretch>
      </xdr:blipFill>
      <xdr:spPr bwMode="auto">
        <a:xfrm>
          <a:off x="7400925" y="3552824"/>
          <a:ext cx="1367518" cy="638175"/>
        </a:xfrm>
        <a:prstGeom prst="rect">
          <a:avLst/>
        </a:prstGeom>
        <a:noFill/>
        <a:ln w="1">
          <a:noFill/>
          <a:miter lim="800000"/>
          <a:headEnd/>
          <a:tailEnd type="none" w="med" len="med"/>
        </a:ln>
        <a:effectLst/>
      </xdr:spPr>
    </xdr:pic>
    <xdr:clientData/>
  </xdr:twoCellAnchor>
  <xdr:twoCellAnchor editAs="oneCell">
    <xdr:from>
      <xdr:col>6</xdr:col>
      <xdr:colOff>0</xdr:colOff>
      <xdr:row>20</xdr:row>
      <xdr:rowOff>676275</xdr:rowOff>
    </xdr:from>
    <xdr:to>
      <xdr:col>6</xdr:col>
      <xdr:colOff>1367518</xdr:colOff>
      <xdr:row>21</xdr:row>
      <xdr:rowOff>0</xdr:rowOff>
    </xdr:to>
    <xdr:pic>
      <xdr:nvPicPr>
        <xdr:cNvPr id="121874" name="Picture 18"/>
        <xdr:cNvPicPr>
          <a:picLocks noChangeAspect="1" noChangeArrowheads="1"/>
        </xdr:cNvPicPr>
      </xdr:nvPicPr>
      <xdr:blipFill>
        <a:blip xmlns:r="http://schemas.openxmlformats.org/officeDocument/2006/relationships" r:embed="rId4" cstate="print"/>
        <a:srcRect/>
        <a:stretch>
          <a:fillRect/>
        </a:stretch>
      </xdr:blipFill>
      <xdr:spPr bwMode="auto">
        <a:xfrm>
          <a:off x="7400925" y="4191000"/>
          <a:ext cx="1367518" cy="63817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95250</xdr:colOff>
      <xdr:row>5</xdr:row>
      <xdr:rowOff>9525</xdr:rowOff>
    </xdr:from>
    <xdr:to>
      <xdr:col>6</xdr:col>
      <xdr:colOff>1295400</xdr:colOff>
      <xdr:row>7</xdr:row>
      <xdr:rowOff>133350</xdr:rowOff>
    </xdr:to>
    <xdr:pic>
      <xdr:nvPicPr>
        <xdr:cNvPr id="17" name="Рисунок 16" descr="Склеп.gif"/>
        <xdr:cNvPicPr>
          <a:picLocks noChangeAspect="1"/>
        </xdr:cNvPicPr>
      </xdr:nvPicPr>
      <xdr:blipFill>
        <a:blip xmlns:r="http://schemas.openxmlformats.org/officeDocument/2006/relationships" r:embed="rId1" cstate="print"/>
        <a:stretch>
          <a:fillRect/>
        </a:stretch>
      </xdr:blipFill>
      <xdr:spPr>
        <a:xfrm>
          <a:off x="7467600" y="619125"/>
          <a:ext cx="1200150" cy="609600"/>
        </a:xfrm>
        <a:prstGeom prst="rect">
          <a:avLst/>
        </a:prstGeom>
      </xdr:spPr>
    </xdr:pic>
    <xdr:clientData/>
  </xdr:twoCellAnchor>
  <xdr:twoCellAnchor editAs="oneCell">
    <xdr:from>
      <xdr:col>6</xdr:col>
      <xdr:colOff>419100</xdr:colOff>
      <xdr:row>13</xdr:row>
      <xdr:rowOff>9525</xdr:rowOff>
    </xdr:from>
    <xdr:to>
      <xdr:col>6</xdr:col>
      <xdr:colOff>981075</xdr:colOff>
      <xdr:row>17</xdr:row>
      <xdr:rowOff>75685</xdr:rowOff>
    </xdr:to>
    <xdr:pic>
      <xdr:nvPicPr>
        <xdr:cNvPr id="18" name="Рисунок 17" descr="Склеп.gif"/>
        <xdr:cNvPicPr>
          <a:picLocks noChangeAspect="1"/>
        </xdr:cNvPicPr>
      </xdr:nvPicPr>
      <xdr:blipFill>
        <a:blip xmlns:r="http://schemas.openxmlformats.org/officeDocument/2006/relationships" r:embed="rId2" cstate="print"/>
        <a:stretch>
          <a:fillRect/>
        </a:stretch>
      </xdr:blipFill>
      <xdr:spPr>
        <a:xfrm>
          <a:off x="7791450" y="1838325"/>
          <a:ext cx="561975" cy="713860"/>
        </a:xfrm>
        <a:prstGeom prst="rect">
          <a:avLst/>
        </a:prstGeom>
      </xdr:spPr>
    </xdr:pic>
    <xdr:clientData/>
  </xdr:twoCellAnchor>
  <xdr:twoCellAnchor editAs="oneCell">
    <xdr:from>
      <xdr:col>6</xdr:col>
      <xdr:colOff>219075</xdr:colOff>
      <xdr:row>38</xdr:row>
      <xdr:rowOff>9525</xdr:rowOff>
    </xdr:from>
    <xdr:to>
      <xdr:col>6</xdr:col>
      <xdr:colOff>1123950</xdr:colOff>
      <xdr:row>40</xdr:row>
      <xdr:rowOff>104775</xdr:rowOff>
    </xdr:to>
    <xdr:pic>
      <xdr:nvPicPr>
        <xdr:cNvPr id="19" name="Рисунок 18" descr="Склеп.gif"/>
        <xdr:cNvPicPr>
          <a:picLocks noChangeAspect="1"/>
        </xdr:cNvPicPr>
      </xdr:nvPicPr>
      <xdr:blipFill>
        <a:blip xmlns:r="http://schemas.openxmlformats.org/officeDocument/2006/relationships" r:embed="rId3" cstate="print"/>
        <a:stretch>
          <a:fillRect/>
        </a:stretch>
      </xdr:blipFill>
      <xdr:spPr>
        <a:xfrm>
          <a:off x="7591425" y="8296275"/>
          <a:ext cx="904875" cy="419100"/>
        </a:xfrm>
        <a:prstGeom prst="rect">
          <a:avLst/>
        </a:prstGeom>
      </xdr:spPr>
    </xdr:pic>
    <xdr:clientData/>
  </xdr:twoCellAnchor>
  <xdr:twoCellAnchor editAs="oneCell">
    <xdr:from>
      <xdr:col>6</xdr:col>
      <xdr:colOff>457200</xdr:colOff>
      <xdr:row>41</xdr:row>
      <xdr:rowOff>9525</xdr:rowOff>
    </xdr:from>
    <xdr:to>
      <xdr:col>6</xdr:col>
      <xdr:colOff>876300</xdr:colOff>
      <xdr:row>43</xdr:row>
      <xdr:rowOff>104775</xdr:rowOff>
    </xdr:to>
    <xdr:pic>
      <xdr:nvPicPr>
        <xdr:cNvPr id="20" name="Рисунок 19" descr="Склеп.gif"/>
        <xdr:cNvPicPr>
          <a:picLocks noChangeAspect="1"/>
        </xdr:cNvPicPr>
      </xdr:nvPicPr>
      <xdr:blipFill>
        <a:blip xmlns:r="http://schemas.openxmlformats.org/officeDocument/2006/relationships" r:embed="rId4" cstate="print"/>
        <a:stretch>
          <a:fillRect/>
        </a:stretch>
      </xdr:blipFill>
      <xdr:spPr>
        <a:xfrm>
          <a:off x="7829550" y="8782050"/>
          <a:ext cx="419100" cy="419100"/>
        </a:xfrm>
        <a:prstGeom prst="rect">
          <a:avLst/>
        </a:prstGeom>
      </xdr:spPr>
    </xdr:pic>
    <xdr:clientData/>
  </xdr:twoCellAnchor>
  <xdr:twoCellAnchor editAs="oneCell">
    <xdr:from>
      <xdr:col>6</xdr:col>
      <xdr:colOff>523875</xdr:colOff>
      <xdr:row>44</xdr:row>
      <xdr:rowOff>9525</xdr:rowOff>
    </xdr:from>
    <xdr:to>
      <xdr:col>6</xdr:col>
      <xdr:colOff>838200</xdr:colOff>
      <xdr:row>46</xdr:row>
      <xdr:rowOff>66675</xdr:rowOff>
    </xdr:to>
    <xdr:pic>
      <xdr:nvPicPr>
        <xdr:cNvPr id="21" name="Рисунок 20" descr="Склеп.gif"/>
        <xdr:cNvPicPr>
          <a:picLocks noChangeAspect="1"/>
        </xdr:cNvPicPr>
      </xdr:nvPicPr>
      <xdr:blipFill>
        <a:blip xmlns:r="http://schemas.openxmlformats.org/officeDocument/2006/relationships" r:embed="rId5" cstate="print"/>
        <a:stretch>
          <a:fillRect/>
        </a:stretch>
      </xdr:blipFill>
      <xdr:spPr>
        <a:xfrm>
          <a:off x="7896225" y="9267825"/>
          <a:ext cx="314325" cy="381000"/>
        </a:xfrm>
        <a:prstGeom prst="rect">
          <a:avLst/>
        </a:prstGeom>
      </xdr:spPr>
    </xdr:pic>
    <xdr:clientData/>
  </xdr:twoCellAnchor>
  <xdr:twoCellAnchor editAs="oneCell">
    <xdr:from>
      <xdr:col>6</xdr:col>
      <xdr:colOff>533400</xdr:colOff>
      <xdr:row>46</xdr:row>
      <xdr:rowOff>114300</xdr:rowOff>
    </xdr:from>
    <xdr:to>
      <xdr:col>6</xdr:col>
      <xdr:colOff>838200</xdr:colOff>
      <xdr:row>49</xdr:row>
      <xdr:rowOff>47625</xdr:rowOff>
    </xdr:to>
    <xdr:pic>
      <xdr:nvPicPr>
        <xdr:cNvPr id="22" name="Рисунок 21" descr="Склеп.gif"/>
        <xdr:cNvPicPr>
          <a:picLocks noChangeAspect="1"/>
        </xdr:cNvPicPr>
      </xdr:nvPicPr>
      <xdr:blipFill>
        <a:blip xmlns:r="http://schemas.openxmlformats.org/officeDocument/2006/relationships" r:embed="rId6" cstate="print"/>
        <a:stretch>
          <a:fillRect/>
        </a:stretch>
      </xdr:blipFill>
      <xdr:spPr>
        <a:xfrm>
          <a:off x="7715250" y="10096500"/>
          <a:ext cx="304800" cy="419100"/>
        </a:xfrm>
        <a:prstGeom prst="rect">
          <a:avLst/>
        </a:prstGeom>
      </xdr:spPr>
    </xdr:pic>
    <xdr:clientData/>
  </xdr:twoCellAnchor>
  <xdr:twoCellAnchor editAs="oneCell">
    <xdr:from>
      <xdr:col>6</xdr:col>
      <xdr:colOff>571500</xdr:colOff>
      <xdr:row>49</xdr:row>
      <xdr:rowOff>47626</xdr:rowOff>
    </xdr:from>
    <xdr:to>
      <xdr:col>6</xdr:col>
      <xdr:colOff>795759</xdr:colOff>
      <xdr:row>51</xdr:row>
      <xdr:rowOff>295276</xdr:rowOff>
    </xdr:to>
    <xdr:pic>
      <xdr:nvPicPr>
        <xdr:cNvPr id="23" name="Рисунок 22" descr="Склеп.gif"/>
        <xdr:cNvPicPr>
          <a:picLocks noChangeAspect="1"/>
        </xdr:cNvPicPr>
      </xdr:nvPicPr>
      <xdr:blipFill>
        <a:blip xmlns:r="http://schemas.openxmlformats.org/officeDocument/2006/relationships" r:embed="rId7" cstate="print"/>
        <a:stretch>
          <a:fillRect/>
        </a:stretch>
      </xdr:blipFill>
      <xdr:spPr>
        <a:xfrm>
          <a:off x="7753350" y="10515601"/>
          <a:ext cx="224259" cy="571500"/>
        </a:xfrm>
        <a:prstGeom prst="rect">
          <a:avLst/>
        </a:prstGeom>
      </xdr:spPr>
    </xdr:pic>
    <xdr:clientData/>
  </xdr:twoCellAnchor>
  <xdr:twoCellAnchor editAs="oneCell">
    <xdr:from>
      <xdr:col>6</xdr:col>
      <xdr:colOff>419100</xdr:colOff>
      <xdr:row>53</xdr:row>
      <xdr:rowOff>9525</xdr:rowOff>
    </xdr:from>
    <xdr:to>
      <xdr:col>6</xdr:col>
      <xdr:colOff>962025</xdr:colOff>
      <xdr:row>55</xdr:row>
      <xdr:rowOff>134541</xdr:rowOff>
    </xdr:to>
    <xdr:pic>
      <xdr:nvPicPr>
        <xdr:cNvPr id="24" name="Рисунок 23" descr="Склеп.gif"/>
        <xdr:cNvPicPr>
          <a:picLocks noChangeAspect="1"/>
        </xdr:cNvPicPr>
      </xdr:nvPicPr>
      <xdr:blipFill>
        <a:blip xmlns:r="http://schemas.openxmlformats.org/officeDocument/2006/relationships" r:embed="rId8" cstate="print"/>
        <a:stretch>
          <a:fillRect/>
        </a:stretch>
      </xdr:blipFill>
      <xdr:spPr>
        <a:xfrm>
          <a:off x="7791450" y="10887075"/>
          <a:ext cx="542925" cy="610791"/>
        </a:xfrm>
        <a:prstGeom prst="rect">
          <a:avLst/>
        </a:prstGeom>
      </xdr:spPr>
    </xdr:pic>
    <xdr:clientData/>
  </xdr:twoCellAnchor>
  <xdr:twoCellAnchor editAs="oneCell">
    <xdr:from>
      <xdr:col>6</xdr:col>
      <xdr:colOff>371476</xdr:colOff>
      <xdr:row>56</xdr:row>
      <xdr:rowOff>9526</xdr:rowOff>
    </xdr:from>
    <xdr:to>
      <xdr:col>6</xdr:col>
      <xdr:colOff>1009650</xdr:colOff>
      <xdr:row>58</xdr:row>
      <xdr:rowOff>152400</xdr:rowOff>
    </xdr:to>
    <xdr:pic>
      <xdr:nvPicPr>
        <xdr:cNvPr id="25" name="Рисунок 24" descr="Склеп.gif"/>
        <xdr:cNvPicPr>
          <a:picLocks noChangeAspect="1"/>
        </xdr:cNvPicPr>
      </xdr:nvPicPr>
      <xdr:blipFill>
        <a:blip xmlns:r="http://schemas.openxmlformats.org/officeDocument/2006/relationships" r:embed="rId9" cstate="print"/>
        <a:stretch>
          <a:fillRect/>
        </a:stretch>
      </xdr:blipFill>
      <xdr:spPr>
        <a:xfrm>
          <a:off x="7553326" y="11858626"/>
          <a:ext cx="638174" cy="466724"/>
        </a:xfrm>
        <a:prstGeom prst="rect">
          <a:avLst/>
        </a:prstGeom>
      </xdr:spPr>
    </xdr:pic>
    <xdr:clientData/>
  </xdr:twoCellAnchor>
  <xdr:twoCellAnchor editAs="oneCell">
    <xdr:from>
      <xdr:col>6</xdr:col>
      <xdr:colOff>171450</xdr:colOff>
      <xdr:row>60</xdr:row>
      <xdr:rowOff>19050</xdr:rowOff>
    </xdr:from>
    <xdr:to>
      <xdr:col>6</xdr:col>
      <xdr:colOff>495300</xdr:colOff>
      <xdr:row>63</xdr:row>
      <xdr:rowOff>142875</xdr:rowOff>
    </xdr:to>
    <xdr:pic>
      <xdr:nvPicPr>
        <xdr:cNvPr id="26" name="Рисунок 25" descr="Склеп.gif"/>
        <xdr:cNvPicPr>
          <a:picLocks noChangeAspect="1"/>
        </xdr:cNvPicPr>
      </xdr:nvPicPr>
      <xdr:blipFill>
        <a:blip xmlns:r="http://schemas.openxmlformats.org/officeDocument/2006/relationships" r:embed="rId10" cstate="print"/>
        <a:stretch>
          <a:fillRect/>
        </a:stretch>
      </xdr:blipFill>
      <xdr:spPr>
        <a:xfrm>
          <a:off x="7353300" y="12515850"/>
          <a:ext cx="323850" cy="609600"/>
        </a:xfrm>
        <a:prstGeom prst="rect">
          <a:avLst/>
        </a:prstGeom>
      </xdr:spPr>
    </xdr:pic>
    <xdr:clientData/>
  </xdr:twoCellAnchor>
  <xdr:twoCellAnchor editAs="oneCell">
    <xdr:from>
      <xdr:col>6</xdr:col>
      <xdr:colOff>523875</xdr:colOff>
      <xdr:row>60</xdr:row>
      <xdr:rowOff>19050</xdr:rowOff>
    </xdr:from>
    <xdr:to>
      <xdr:col>6</xdr:col>
      <xdr:colOff>847725</xdr:colOff>
      <xdr:row>63</xdr:row>
      <xdr:rowOff>142875</xdr:rowOff>
    </xdr:to>
    <xdr:pic>
      <xdr:nvPicPr>
        <xdr:cNvPr id="27" name="Рисунок 26" descr="Склеп.gif"/>
        <xdr:cNvPicPr>
          <a:picLocks noChangeAspect="1"/>
        </xdr:cNvPicPr>
      </xdr:nvPicPr>
      <xdr:blipFill>
        <a:blip xmlns:r="http://schemas.openxmlformats.org/officeDocument/2006/relationships" r:embed="rId11" cstate="print"/>
        <a:stretch>
          <a:fillRect/>
        </a:stretch>
      </xdr:blipFill>
      <xdr:spPr>
        <a:xfrm>
          <a:off x="7705725" y="12515850"/>
          <a:ext cx="323850" cy="609600"/>
        </a:xfrm>
        <a:prstGeom prst="rect">
          <a:avLst/>
        </a:prstGeom>
      </xdr:spPr>
    </xdr:pic>
    <xdr:clientData/>
  </xdr:twoCellAnchor>
  <xdr:twoCellAnchor editAs="oneCell">
    <xdr:from>
      <xdr:col>6</xdr:col>
      <xdr:colOff>876300</xdr:colOff>
      <xdr:row>60</xdr:row>
      <xdr:rowOff>19050</xdr:rowOff>
    </xdr:from>
    <xdr:to>
      <xdr:col>6</xdr:col>
      <xdr:colOff>1200150</xdr:colOff>
      <xdr:row>63</xdr:row>
      <xdr:rowOff>142875</xdr:rowOff>
    </xdr:to>
    <xdr:pic>
      <xdr:nvPicPr>
        <xdr:cNvPr id="28" name="Рисунок 27" descr="Склеп.gif"/>
        <xdr:cNvPicPr>
          <a:picLocks noChangeAspect="1"/>
        </xdr:cNvPicPr>
      </xdr:nvPicPr>
      <xdr:blipFill>
        <a:blip xmlns:r="http://schemas.openxmlformats.org/officeDocument/2006/relationships" r:embed="rId12" cstate="print"/>
        <a:stretch>
          <a:fillRect/>
        </a:stretch>
      </xdr:blipFill>
      <xdr:spPr>
        <a:xfrm>
          <a:off x="8058150" y="12515850"/>
          <a:ext cx="323850" cy="609600"/>
        </a:xfrm>
        <a:prstGeom prst="rect">
          <a:avLst/>
        </a:prstGeom>
      </xdr:spPr>
    </xdr:pic>
    <xdr:clientData/>
  </xdr:twoCellAnchor>
  <xdr:twoCellAnchor editAs="oneCell">
    <xdr:from>
      <xdr:col>6</xdr:col>
      <xdr:colOff>400050</xdr:colOff>
      <xdr:row>66</xdr:row>
      <xdr:rowOff>9525</xdr:rowOff>
    </xdr:from>
    <xdr:to>
      <xdr:col>6</xdr:col>
      <xdr:colOff>971550</xdr:colOff>
      <xdr:row>68</xdr:row>
      <xdr:rowOff>200025</xdr:rowOff>
    </xdr:to>
    <xdr:pic>
      <xdr:nvPicPr>
        <xdr:cNvPr id="29" name="Рисунок 28" descr="Склеп.gif"/>
        <xdr:cNvPicPr>
          <a:picLocks noChangeAspect="1"/>
        </xdr:cNvPicPr>
      </xdr:nvPicPr>
      <xdr:blipFill>
        <a:blip xmlns:r="http://schemas.openxmlformats.org/officeDocument/2006/relationships" r:embed="rId13" cstate="print"/>
        <a:stretch>
          <a:fillRect/>
        </a:stretch>
      </xdr:blipFill>
      <xdr:spPr>
        <a:xfrm>
          <a:off x="7772400" y="13049250"/>
          <a:ext cx="571500" cy="514350"/>
        </a:xfrm>
        <a:prstGeom prst="rect">
          <a:avLst/>
        </a:prstGeom>
      </xdr:spPr>
    </xdr:pic>
    <xdr:clientData/>
  </xdr:twoCellAnchor>
  <xdr:twoCellAnchor editAs="oneCell">
    <xdr:from>
      <xdr:col>6</xdr:col>
      <xdr:colOff>419100</xdr:colOff>
      <xdr:row>72</xdr:row>
      <xdr:rowOff>9525</xdr:rowOff>
    </xdr:from>
    <xdr:to>
      <xdr:col>6</xdr:col>
      <xdr:colOff>933450</xdr:colOff>
      <xdr:row>74</xdr:row>
      <xdr:rowOff>266700</xdr:rowOff>
    </xdr:to>
    <xdr:pic>
      <xdr:nvPicPr>
        <xdr:cNvPr id="31" name="Рисунок 30" descr="Склеп.gif"/>
        <xdr:cNvPicPr>
          <a:picLocks noChangeAspect="1"/>
        </xdr:cNvPicPr>
      </xdr:nvPicPr>
      <xdr:blipFill>
        <a:blip xmlns:r="http://schemas.openxmlformats.org/officeDocument/2006/relationships" r:embed="rId14" cstate="print"/>
        <a:stretch>
          <a:fillRect/>
        </a:stretch>
      </xdr:blipFill>
      <xdr:spPr>
        <a:xfrm>
          <a:off x="7791450" y="13916025"/>
          <a:ext cx="514350" cy="742950"/>
        </a:xfrm>
        <a:prstGeom prst="rect">
          <a:avLst/>
        </a:prstGeom>
      </xdr:spPr>
    </xdr:pic>
    <xdr:clientData/>
  </xdr:twoCellAnchor>
  <xdr:twoCellAnchor editAs="oneCell">
    <xdr:from>
      <xdr:col>6</xdr:col>
      <xdr:colOff>38100</xdr:colOff>
      <xdr:row>79</xdr:row>
      <xdr:rowOff>9525</xdr:rowOff>
    </xdr:from>
    <xdr:to>
      <xdr:col>6</xdr:col>
      <xdr:colOff>1333500</xdr:colOff>
      <xdr:row>83</xdr:row>
      <xdr:rowOff>104775</xdr:rowOff>
    </xdr:to>
    <xdr:pic>
      <xdr:nvPicPr>
        <xdr:cNvPr id="32" name="Рисунок 31" descr="Склеп.gif"/>
        <xdr:cNvPicPr>
          <a:picLocks noChangeAspect="1"/>
        </xdr:cNvPicPr>
      </xdr:nvPicPr>
      <xdr:blipFill>
        <a:blip xmlns:r="http://schemas.openxmlformats.org/officeDocument/2006/relationships" r:embed="rId15" cstate="print"/>
        <a:stretch>
          <a:fillRect/>
        </a:stretch>
      </xdr:blipFill>
      <xdr:spPr>
        <a:xfrm>
          <a:off x="7410450" y="15430500"/>
          <a:ext cx="1295400" cy="9048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352425</xdr:colOff>
      <xdr:row>19</xdr:row>
      <xdr:rowOff>9525</xdr:rowOff>
    </xdr:from>
    <xdr:to>
      <xdr:col>6</xdr:col>
      <xdr:colOff>962025</xdr:colOff>
      <xdr:row>21</xdr:row>
      <xdr:rowOff>133350</xdr:rowOff>
    </xdr:to>
    <xdr:pic>
      <xdr:nvPicPr>
        <xdr:cNvPr id="17" name="Рисунок 16" descr="Склеп.gif"/>
        <xdr:cNvPicPr>
          <a:picLocks noChangeAspect="1"/>
        </xdr:cNvPicPr>
      </xdr:nvPicPr>
      <xdr:blipFill>
        <a:blip xmlns:r="http://schemas.openxmlformats.org/officeDocument/2006/relationships" r:embed="rId1" cstate="print"/>
        <a:stretch>
          <a:fillRect/>
        </a:stretch>
      </xdr:blipFill>
      <xdr:spPr>
        <a:xfrm>
          <a:off x="7505700" y="4695825"/>
          <a:ext cx="609600" cy="447675"/>
        </a:xfrm>
        <a:prstGeom prst="rect">
          <a:avLst/>
        </a:prstGeom>
      </xdr:spPr>
    </xdr:pic>
    <xdr:clientData/>
  </xdr:twoCellAnchor>
  <xdr:twoCellAnchor editAs="oneCell">
    <xdr:from>
      <xdr:col>6</xdr:col>
      <xdr:colOff>295275</xdr:colOff>
      <xdr:row>24</xdr:row>
      <xdr:rowOff>9525</xdr:rowOff>
    </xdr:from>
    <xdr:to>
      <xdr:col>6</xdr:col>
      <xdr:colOff>1000125</xdr:colOff>
      <xdr:row>28</xdr:row>
      <xdr:rowOff>95250</xdr:rowOff>
    </xdr:to>
    <xdr:pic>
      <xdr:nvPicPr>
        <xdr:cNvPr id="18" name="Рисунок 17" descr="Склеп.gif"/>
        <xdr:cNvPicPr>
          <a:picLocks noChangeAspect="1"/>
        </xdr:cNvPicPr>
      </xdr:nvPicPr>
      <xdr:blipFill>
        <a:blip xmlns:r="http://schemas.openxmlformats.org/officeDocument/2006/relationships" r:embed="rId2" cstate="print"/>
        <a:stretch>
          <a:fillRect/>
        </a:stretch>
      </xdr:blipFill>
      <xdr:spPr>
        <a:xfrm>
          <a:off x="7448550" y="5734050"/>
          <a:ext cx="704850" cy="733425"/>
        </a:xfrm>
        <a:prstGeom prst="rect">
          <a:avLst/>
        </a:prstGeom>
      </xdr:spPr>
    </xdr:pic>
    <xdr:clientData/>
  </xdr:twoCellAnchor>
  <xdr:twoCellAnchor editAs="oneCell">
    <xdr:from>
      <xdr:col>6</xdr:col>
      <xdr:colOff>371475</xdr:colOff>
      <xdr:row>34</xdr:row>
      <xdr:rowOff>9525</xdr:rowOff>
    </xdr:from>
    <xdr:to>
      <xdr:col>6</xdr:col>
      <xdr:colOff>981075</xdr:colOff>
      <xdr:row>36</xdr:row>
      <xdr:rowOff>95250</xdr:rowOff>
    </xdr:to>
    <xdr:pic>
      <xdr:nvPicPr>
        <xdr:cNvPr id="19" name="Рисунок 18" descr="Склеп.gif"/>
        <xdr:cNvPicPr>
          <a:picLocks noChangeAspect="1"/>
        </xdr:cNvPicPr>
      </xdr:nvPicPr>
      <xdr:blipFill>
        <a:blip xmlns:r="http://schemas.openxmlformats.org/officeDocument/2006/relationships" r:embed="rId3" cstate="print"/>
        <a:stretch>
          <a:fillRect/>
        </a:stretch>
      </xdr:blipFill>
      <xdr:spPr>
        <a:xfrm>
          <a:off x="7524750" y="7115175"/>
          <a:ext cx="609600" cy="571500"/>
        </a:xfrm>
        <a:prstGeom prst="rect">
          <a:avLst/>
        </a:prstGeom>
      </xdr:spPr>
    </xdr:pic>
    <xdr:clientData/>
  </xdr:twoCellAnchor>
  <xdr:twoCellAnchor editAs="oneCell">
    <xdr:from>
      <xdr:col>4</xdr:col>
      <xdr:colOff>219075</xdr:colOff>
      <xdr:row>39</xdr:row>
      <xdr:rowOff>19050</xdr:rowOff>
    </xdr:from>
    <xdr:to>
      <xdr:col>4</xdr:col>
      <xdr:colOff>828675</xdr:colOff>
      <xdr:row>42</xdr:row>
      <xdr:rowOff>152400</xdr:rowOff>
    </xdr:to>
    <xdr:pic>
      <xdr:nvPicPr>
        <xdr:cNvPr id="22" name="Рисунок 21" descr="Склеп.gif"/>
        <xdr:cNvPicPr>
          <a:picLocks noChangeAspect="1"/>
        </xdr:cNvPicPr>
      </xdr:nvPicPr>
      <xdr:blipFill>
        <a:blip xmlns:r="http://schemas.openxmlformats.org/officeDocument/2006/relationships" r:embed="rId4" cstate="print"/>
        <a:stretch>
          <a:fillRect/>
        </a:stretch>
      </xdr:blipFill>
      <xdr:spPr>
        <a:xfrm>
          <a:off x="4972050" y="8105775"/>
          <a:ext cx="609600" cy="619125"/>
        </a:xfrm>
        <a:prstGeom prst="rect">
          <a:avLst/>
        </a:prstGeom>
      </xdr:spPr>
    </xdr:pic>
    <xdr:clientData/>
  </xdr:twoCellAnchor>
  <xdr:twoCellAnchor editAs="oneCell">
    <xdr:from>
      <xdr:col>4</xdr:col>
      <xdr:colOff>85725</xdr:colOff>
      <xdr:row>48</xdr:row>
      <xdr:rowOff>9525</xdr:rowOff>
    </xdr:from>
    <xdr:to>
      <xdr:col>4</xdr:col>
      <xdr:colOff>933450</xdr:colOff>
      <xdr:row>52</xdr:row>
      <xdr:rowOff>19050</xdr:rowOff>
    </xdr:to>
    <xdr:pic>
      <xdr:nvPicPr>
        <xdr:cNvPr id="27" name="Рисунок 26" descr="Склеп.gif"/>
        <xdr:cNvPicPr>
          <a:picLocks noChangeAspect="1"/>
        </xdr:cNvPicPr>
      </xdr:nvPicPr>
      <xdr:blipFill>
        <a:blip xmlns:r="http://schemas.openxmlformats.org/officeDocument/2006/relationships" r:embed="rId5" cstate="print"/>
        <a:stretch>
          <a:fillRect/>
        </a:stretch>
      </xdr:blipFill>
      <xdr:spPr>
        <a:xfrm>
          <a:off x="4838700" y="10134600"/>
          <a:ext cx="847725" cy="657225"/>
        </a:xfrm>
        <a:prstGeom prst="rect">
          <a:avLst/>
        </a:prstGeom>
      </xdr:spPr>
    </xdr:pic>
    <xdr:clientData/>
  </xdr:twoCellAnchor>
  <xdr:twoCellAnchor editAs="oneCell">
    <xdr:from>
      <xdr:col>6</xdr:col>
      <xdr:colOff>257175</xdr:colOff>
      <xdr:row>55</xdr:row>
      <xdr:rowOff>9525</xdr:rowOff>
    </xdr:from>
    <xdr:to>
      <xdr:col>6</xdr:col>
      <xdr:colOff>1123950</xdr:colOff>
      <xdr:row>58</xdr:row>
      <xdr:rowOff>285750</xdr:rowOff>
    </xdr:to>
    <xdr:pic>
      <xdr:nvPicPr>
        <xdr:cNvPr id="30" name="Рисунок 29" descr="Склеп.gif"/>
        <xdr:cNvPicPr>
          <a:picLocks noChangeAspect="1"/>
        </xdr:cNvPicPr>
      </xdr:nvPicPr>
      <xdr:blipFill>
        <a:blip xmlns:r="http://schemas.openxmlformats.org/officeDocument/2006/relationships" r:embed="rId6" cstate="print"/>
        <a:stretch>
          <a:fillRect/>
        </a:stretch>
      </xdr:blipFill>
      <xdr:spPr>
        <a:xfrm>
          <a:off x="7410450" y="10848975"/>
          <a:ext cx="866775" cy="762000"/>
        </a:xfrm>
        <a:prstGeom prst="rect">
          <a:avLst/>
        </a:prstGeom>
      </xdr:spPr>
    </xdr:pic>
    <xdr:clientData/>
  </xdr:twoCellAnchor>
  <xdr:twoCellAnchor editAs="oneCell">
    <xdr:from>
      <xdr:col>6</xdr:col>
      <xdr:colOff>514350</xdr:colOff>
      <xdr:row>60</xdr:row>
      <xdr:rowOff>9525</xdr:rowOff>
    </xdr:from>
    <xdr:to>
      <xdr:col>6</xdr:col>
      <xdr:colOff>916235</xdr:colOff>
      <xdr:row>65</xdr:row>
      <xdr:rowOff>0</xdr:rowOff>
    </xdr:to>
    <xdr:pic>
      <xdr:nvPicPr>
        <xdr:cNvPr id="31" name="Рисунок 30" descr="Склеп.gif"/>
        <xdr:cNvPicPr>
          <a:picLocks noChangeAspect="1"/>
        </xdr:cNvPicPr>
      </xdr:nvPicPr>
      <xdr:blipFill>
        <a:blip xmlns:r="http://schemas.openxmlformats.org/officeDocument/2006/relationships" r:embed="rId7" cstate="print"/>
        <a:stretch>
          <a:fillRect/>
        </a:stretch>
      </xdr:blipFill>
      <xdr:spPr>
        <a:xfrm>
          <a:off x="7667625" y="11715750"/>
          <a:ext cx="401885" cy="695325"/>
        </a:xfrm>
        <a:prstGeom prst="rect">
          <a:avLst/>
        </a:prstGeom>
      </xdr:spPr>
    </xdr:pic>
    <xdr:clientData/>
  </xdr:twoCellAnchor>
  <xdr:twoCellAnchor editAs="oneCell">
    <xdr:from>
      <xdr:col>5</xdr:col>
      <xdr:colOff>1374775</xdr:colOff>
      <xdr:row>65</xdr:row>
      <xdr:rowOff>9525</xdr:rowOff>
    </xdr:from>
    <xdr:to>
      <xdr:col>6</xdr:col>
      <xdr:colOff>1361168</xdr:colOff>
      <xdr:row>67</xdr:row>
      <xdr:rowOff>323850</xdr:rowOff>
    </xdr:to>
    <xdr:pic>
      <xdr:nvPicPr>
        <xdr:cNvPr id="128045" name="Picture 45"/>
        <xdr:cNvPicPr>
          <a:picLocks noChangeAspect="1" noChangeArrowheads="1"/>
        </xdr:cNvPicPr>
      </xdr:nvPicPr>
      <xdr:blipFill>
        <a:blip xmlns:r="http://schemas.openxmlformats.org/officeDocument/2006/relationships" r:embed="rId8" cstate="print"/>
        <a:srcRect/>
        <a:stretch>
          <a:fillRect/>
        </a:stretch>
      </xdr:blipFill>
      <xdr:spPr bwMode="auto">
        <a:xfrm>
          <a:off x="7169150" y="12169775"/>
          <a:ext cx="1367518" cy="631825"/>
        </a:xfrm>
        <a:prstGeom prst="rect">
          <a:avLst/>
        </a:prstGeom>
        <a:noFill/>
        <a:ln w="1">
          <a:noFill/>
          <a:miter lim="800000"/>
          <a:headEnd/>
          <a:tailEnd type="none" w="med" len="med"/>
        </a:ln>
        <a:effectLst/>
      </xdr:spPr>
    </xdr:pic>
    <xdr:clientData/>
  </xdr:twoCellAnchor>
  <xdr:twoCellAnchor editAs="oneCell">
    <xdr:from>
      <xdr:col>5</xdr:col>
      <xdr:colOff>0</xdr:colOff>
      <xdr:row>37</xdr:row>
      <xdr:rowOff>0</xdr:rowOff>
    </xdr:from>
    <xdr:to>
      <xdr:col>6</xdr:col>
      <xdr:colOff>50605</xdr:colOff>
      <xdr:row>43</xdr:row>
      <xdr:rowOff>450</xdr:rowOff>
    </xdr:to>
    <xdr:pic>
      <xdr:nvPicPr>
        <xdr:cNvPr id="13"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5800725" y="7829550"/>
          <a:ext cx="1431730" cy="972000"/>
        </a:xfrm>
        <a:prstGeom prst="rect">
          <a:avLst/>
        </a:prstGeom>
        <a:noFill/>
      </xdr:spPr>
    </xdr:pic>
    <xdr:clientData/>
  </xdr:twoCellAnchor>
  <xdr:twoCellAnchor editAs="oneCell">
    <xdr:from>
      <xdr:col>5</xdr:col>
      <xdr:colOff>0</xdr:colOff>
      <xdr:row>46</xdr:row>
      <xdr:rowOff>0</xdr:rowOff>
    </xdr:from>
    <xdr:to>
      <xdr:col>6</xdr:col>
      <xdr:colOff>50605</xdr:colOff>
      <xdr:row>52</xdr:row>
      <xdr:rowOff>450</xdr:rowOff>
    </xdr:to>
    <xdr:pic>
      <xdr:nvPicPr>
        <xdr:cNvPr id="15"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5800725" y="9515475"/>
          <a:ext cx="1431730" cy="972000"/>
        </a:xfrm>
        <a:prstGeom prst="rect">
          <a:avLst/>
        </a:prstGeom>
        <a:noFill/>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5</xdr:col>
      <xdr:colOff>95250</xdr:colOff>
      <xdr:row>6</xdr:row>
      <xdr:rowOff>9525</xdr:rowOff>
    </xdr:from>
    <xdr:to>
      <xdr:col>5</xdr:col>
      <xdr:colOff>1295400</xdr:colOff>
      <xdr:row>7</xdr:row>
      <xdr:rowOff>114300</xdr:rowOff>
    </xdr:to>
    <xdr:pic>
      <xdr:nvPicPr>
        <xdr:cNvPr id="12" name="Рисунок 11" descr="Склеп.gif"/>
        <xdr:cNvPicPr>
          <a:picLocks noChangeAspect="1"/>
        </xdr:cNvPicPr>
      </xdr:nvPicPr>
      <xdr:blipFill>
        <a:blip xmlns:r="http://schemas.openxmlformats.org/officeDocument/2006/relationships" r:embed="rId1" cstate="print"/>
        <a:stretch>
          <a:fillRect/>
        </a:stretch>
      </xdr:blipFill>
      <xdr:spPr>
        <a:xfrm>
          <a:off x="6829425" y="781050"/>
          <a:ext cx="1200150" cy="600075"/>
        </a:xfrm>
        <a:prstGeom prst="rect">
          <a:avLst/>
        </a:prstGeom>
      </xdr:spPr>
    </xdr:pic>
    <xdr:clientData/>
  </xdr:twoCellAnchor>
  <xdr:twoCellAnchor editAs="oneCell">
    <xdr:from>
      <xdr:col>4</xdr:col>
      <xdr:colOff>314325</xdr:colOff>
      <xdr:row>7</xdr:row>
      <xdr:rowOff>57150</xdr:rowOff>
    </xdr:from>
    <xdr:to>
      <xdr:col>4</xdr:col>
      <xdr:colOff>1171575</xdr:colOff>
      <xdr:row>11</xdr:row>
      <xdr:rowOff>114300</xdr:rowOff>
    </xdr:to>
    <xdr:pic>
      <xdr:nvPicPr>
        <xdr:cNvPr id="13" name="Рисунок 12" descr="Склеп.gif"/>
        <xdr:cNvPicPr>
          <a:picLocks noChangeAspect="1"/>
        </xdr:cNvPicPr>
      </xdr:nvPicPr>
      <xdr:blipFill>
        <a:blip xmlns:r="http://schemas.openxmlformats.org/officeDocument/2006/relationships" r:embed="rId2" cstate="print"/>
        <a:stretch>
          <a:fillRect/>
        </a:stretch>
      </xdr:blipFill>
      <xdr:spPr>
        <a:xfrm>
          <a:off x="5667375" y="1333500"/>
          <a:ext cx="857250" cy="704850"/>
        </a:xfrm>
        <a:prstGeom prst="rect">
          <a:avLst/>
        </a:prstGeom>
      </xdr:spPr>
    </xdr:pic>
    <xdr:clientData/>
  </xdr:twoCellAnchor>
  <xdr:twoCellAnchor editAs="oneCell">
    <xdr:from>
      <xdr:col>3</xdr:col>
      <xdr:colOff>219075</xdr:colOff>
      <xdr:row>7</xdr:row>
      <xdr:rowOff>76200</xdr:rowOff>
    </xdr:from>
    <xdr:to>
      <xdr:col>3</xdr:col>
      <xdr:colOff>1133475</xdr:colOff>
      <xdr:row>11</xdr:row>
      <xdr:rowOff>28575</xdr:rowOff>
    </xdr:to>
    <xdr:pic>
      <xdr:nvPicPr>
        <xdr:cNvPr id="14" name="Рисунок 13" descr="Склеп.gif"/>
        <xdr:cNvPicPr>
          <a:picLocks noChangeAspect="1"/>
        </xdr:cNvPicPr>
      </xdr:nvPicPr>
      <xdr:blipFill>
        <a:blip xmlns:r="http://schemas.openxmlformats.org/officeDocument/2006/relationships" r:embed="rId3" cstate="print"/>
        <a:stretch>
          <a:fillRect/>
        </a:stretch>
      </xdr:blipFill>
      <xdr:spPr>
        <a:xfrm>
          <a:off x="4191000" y="1352550"/>
          <a:ext cx="914400" cy="600075"/>
        </a:xfrm>
        <a:prstGeom prst="rect">
          <a:avLst/>
        </a:prstGeom>
      </xdr:spPr>
    </xdr:pic>
    <xdr:clientData/>
  </xdr:twoCellAnchor>
  <xdr:twoCellAnchor editAs="oneCell">
    <xdr:from>
      <xdr:col>4</xdr:col>
      <xdr:colOff>295275</xdr:colOff>
      <xdr:row>12</xdr:row>
      <xdr:rowOff>66675</xdr:rowOff>
    </xdr:from>
    <xdr:to>
      <xdr:col>4</xdr:col>
      <xdr:colOff>1200150</xdr:colOff>
      <xdr:row>15</xdr:row>
      <xdr:rowOff>0</xdr:rowOff>
    </xdr:to>
    <xdr:pic>
      <xdr:nvPicPr>
        <xdr:cNvPr id="15" name="Рисунок 14" descr="Склеп.gif"/>
        <xdr:cNvPicPr>
          <a:picLocks noChangeAspect="1"/>
        </xdr:cNvPicPr>
      </xdr:nvPicPr>
      <xdr:blipFill>
        <a:blip xmlns:r="http://schemas.openxmlformats.org/officeDocument/2006/relationships" r:embed="rId4" cstate="print"/>
        <a:stretch>
          <a:fillRect/>
        </a:stretch>
      </xdr:blipFill>
      <xdr:spPr>
        <a:xfrm>
          <a:off x="5648325" y="2162175"/>
          <a:ext cx="904875" cy="419100"/>
        </a:xfrm>
        <a:prstGeom prst="rect">
          <a:avLst/>
        </a:prstGeom>
      </xdr:spPr>
    </xdr:pic>
    <xdr:clientData/>
  </xdr:twoCellAnchor>
  <xdr:twoCellAnchor editAs="oneCell">
    <xdr:from>
      <xdr:col>3</xdr:col>
      <xdr:colOff>257175</xdr:colOff>
      <xdr:row>11</xdr:row>
      <xdr:rowOff>38100</xdr:rowOff>
    </xdr:from>
    <xdr:to>
      <xdr:col>3</xdr:col>
      <xdr:colOff>1095375</xdr:colOff>
      <xdr:row>15</xdr:row>
      <xdr:rowOff>0</xdr:rowOff>
    </xdr:to>
    <xdr:pic>
      <xdr:nvPicPr>
        <xdr:cNvPr id="16" name="Рисунок 15" descr="Склеп.gif"/>
        <xdr:cNvPicPr>
          <a:picLocks noChangeAspect="1"/>
        </xdr:cNvPicPr>
      </xdr:nvPicPr>
      <xdr:blipFill>
        <a:blip xmlns:r="http://schemas.openxmlformats.org/officeDocument/2006/relationships" r:embed="rId5" cstate="print"/>
        <a:stretch>
          <a:fillRect/>
        </a:stretch>
      </xdr:blipFill>
      <xdr:spPr>
        <a:xfrm>
          <a:off x="4229100" y="1971675"/>
          <a:ext cx="838200" cy="609600"/>
        </a:xfrm>
        <a:prstGeom prst="rect">
          <a:avLst/>
        </a:prstGeom>
      </xdr:spPr>
    </xdr:pic>
    <xdr:clientData/>
  </xdr:twoCellAnchor>
  <xdr:twoCellAnchor editAs="oneCell">
    <xdr:from>
      <xdr:col>5</xdr:col>
      <xdr:colOff>257175</xdr:colOff>
      <xdr:row>7</xdr:row>
      <xdr:rowOff>104775</xdr:rowOff>
    </xdr:from>
    <xdr:to>
      <xdr:col>5</xdr:col>
      <xdr:colOff>1152525</xdr:colOff>
      <xdr:row>11</xdr:row>
      <xdr:rowOff>57150</xdr:rowOff>
    </xdr:to>
    <xdr:pic>
      <xdr:nvPicPr>
        <xdr:cNvPr id="17" name="Рисунок 16" descr="Склеп.gif"/>
        <xdr:cNvPicPr>
          <a:picLocks noChangeAspect="1"/>
        </xdr:cNvPicPr>
      </xdr:nvPicPr>
      <xdr:blipFill>
        <a:blip xmlns:r="http://schemas.openxmlformats.org/officeDocument/2006/relationships" r:embed="rId6" cstate="print"/>
        <a:stretch>
          <a:fillRect/>
        </a:stretch>
      </xdr:blipFill>
      <xdr:spPr>
        <a:xfrm>
          <a:off x="6991350" y="1381125"/>
          <a:ext cx="895350" cy="600075"/>
        </a:xfrm>
        <a:prstGeom prst="rect">
          <a:avLst/>
        </a:prstGeom>
      </xdr:spPr>
    </xdr:pic>
    <xdr:clientData/>
  </xdr:twoCellAnchor>
  <xdr:twoCellAnchor editAs="oneCell">
    <xdr:from>
      <xdr:col>5</xdr:col>
      <xdr:colOff>219075</xdr:colOff>
      <xdr:row>11</xdr:row>
      <xdr:rowOff>38100</xdr:rowOff>
    </xdr:from>
    <xdr:to>
      <xdr:col>5</xdr:col>
      <xdr:colOff>1133475</xdr:colOff>
      <xdr:row>15</xdr:row>
      <xdr:rowOff>0</xdr:rowOff>
    </xdr:to>
    <xdr:pic>
      <xdr:nvPicPr>
        <xdr:cNvPr id="18" name="Рисунок 17" descr="Склеп.gif"/>
        <xdr:cNvPicPr>
          <a:picLocks noChangeAspect="1"/>
        </xdr:cNvPicPr>
      </xdr:nvPicPr>
      <xdr:blipFill>
        <a:blip xmlns:r="http://schemas.openxmlformats.org/officeDocument/2006/relationships" r:embed="rId7" cstate="print"/>
        <a:stretch>
          <a:fillRect/>
        </a:stretch>
      </xdr:blipFill>
      <xdr:spPr>
        <a:xfrm>
          <a:off x="6953250" y="1971675"/>
          <a:ext cx="914400" cy="609600"/>
        </a:xfrm>
        <a:prstGeom prst="rect">
          <a:avLst/>
        </a:prstGeom>
      </xdr:spPr>
    </xdr:pic>
    <xdr:clientData/>
  </xdr:twoCellAnchor>
  <xdr:twoCellAnchor editAs="oneCell">
    <xdr:from>
      <xdr:col>5</xdr:col>
      <xdr:colOff>238125</xdr:colOff>
      <xdr:row>17</xdr:row>
      <xdr:rowOff>9525</xdr:rowOff>
    </xdr:from>
    <xdr:to>
      <xdr:col>5</xdr:col>
      <xdr:colOff>1152525</xdr:colOff>
      <xdr:row>20</xdr:row>
      <xdr:rowOff>76200</xdr:rowOff>
    </xdr:to>
    <xdr:pic>
      <xdr:nvPicPr>
        <xdr:cNvPr id="19" name="Рисунок 18" descr="Склеп.gif"/>
        <xdr:cNvPicPr>
          <a:picLocks noChangeAspect="1"/>
        </xdr:cNvPicPr>
      </xdr:nvPicPr>
      <xdr:blipFill>
        <a:blip xmlns:r="http://schemas.openxmlformats.org/officeDocument/2006/relationships" r:embed="rId8" cstate="print"/>
        <a:stretch>
          <a:fillRect/>
        </a:stretch>
      </xdr:blipFill>
      <xdr:spPr>
        <a:xfrm>
          <a:off x="6972300" y="2657475"/>
          <a:ext cx="914400" cy="552450"/>
        </a:xfrm>
        <a:prstGeom prst="rect">
          <a:avLst/>
        </a:prstGeom>
      </xdr:spPr>
    </xdr:pic>
    <xdr:clientData/>
  </xdr:twoCellAnchor>
  <xdr:twoCellAnchor editAs="oneCell">
    <xdr:from>
      <xdr:col>5</xdr:col>
      <xdr:colOff>304800</xdr:colOff>
      <xdr:row>23</xdr:row>
      <xdr:rowOff>9525</xdr:rowOff>
    </xdr:from>
    <xdr:to>
      <xdr:col>5</xdr:col>
      <xdr:colOff>1058740</xdr:colOff>
      <xdr:row>25</xdr:row>
      <xdr:rowOff>152400</xdr:rowOff>
    </xdr:to>
    <xdr:pic>
      <xdr:nvPicPr>
        <xdr:cNvPr id="21" name="Рисунок 20" descr="Склеп.gif"/>
        <xdr:cNvPicPr>
          <a:picLocks noChangeAspect="1"/>
        </xdr:cNvPicPr>
      </xdr:nvPicPr>
      <xdr:blipFill>
        <a:blip xmlns:r="http://schemas.openxmlformats.org/officeDocument/2006/relationships" r:embed="rId9" cstate="print"/>
        <a:stretch>
          <a:fillRect/>
        </a:stretch>
      </xdr:blipFill>
      <xdr:spPr>
        <a:xfrm>
          <a:off x="7038975" y="3362325"/>
          <a:ext cx="753940" cy="466725"/>
        </a:xfrm>
        <a:prstGeom prst="rect">
          <a:avLst/>
        </a:prstGeom>
      </xdr:spPr>
    </xdr:pic>
    <xdr:clientData/>
  </xdr:twoCellAnchor>
  <xdr:twoCellAnchor editAs="oneCell">
    <xdr:from>
      <xdr:col>5</xdr:col>
      <xdr:colOff>314325</xdr:colOff>
      <xdr:row>27</xdr:row>
      <xdr:rowOff>9525</xdr:rowOff>
    </xdr:from>
    <xdr:to>
      <xdr:col>5</xdr:col>
      <xdr:colOff>1038225</xdr:colOff>
      <xdr:row>29</xdr:row>
      <xdr:rowOff>96838</xdr:rowOff>
    </xdr:to>
    <xdr:pic>
      <xdr:nvPicPr>
        <xdr:cNvPr id="22" name="Рисунок 21" descr="Склеп.gif"/>
        <xdr:cNvPicPr>
          <a:picLocks noChangeAspect="1"/>
        </xdr:cNvPicPr>
      </xdr:nvPicPr>
      <xdr:blipFill>
        <a:blip xmlns:r="http://schemas.openxmlformats.org/officeDocument/2006/relationships" r:embed="rId10" cstate="print"/>
        <a:stretch>
          <a:fillRect/>
        </a:stretch>
      </xdr:blipFill>
      <xdr:spPr>
        <a:xfrm>
          <a:off x="7048500" y="3848100"/>
          <a:ext cx="723900" cy="573088"/>
        </a:xfrm>
        <a:prstGeom prst="rect">
          <a:avLst/>
        </a:prstGeom>
      </xdr:spPr>
    </xdr:pic>
    <xdr:clientData/>
  </xdr:twoCellAnchor>
  <xdr:twoCellAnchor editAs="oneCell">
    <xdr:from>
      <xdr:col>5</xdr:col>
      <xdr:colOff>476250</xdr:colOff>
      <xdr:row>31</xdr:row>
      <xdr:rowOff>9525</xdr:rowOff>
    </xdr:from>
    <xdr:to>
      <xdr:col>5</xdr:col>
      <xdr:colOff>952500</xdr:colOff>
      <xdr:row>34</xdr:row>
      <xdr:rowOff>0</xdr:rowOff>
    </xdr:to>
    <xdr:pic>
      <xdr:nvPicPr>
        <xdr:cNvPr id="23" name="Рисунок 22" descr="Склеп.gif"/>
        <xdr:cNvPicPr>
          <a:picLocks noChangeAspect="1"/>
        </xdr:cNvPicPr>
      </xdr:nvPicPr>
      <xdr:blipFill>
        <a:blip xmlns:r="http://schemas.openxmlformats.org/officeDocument/2006/relationships" r:embed="rId11" cstate="print"/>
        <a:stretch>
          <a:fillRect/>
        </a:stretch>
      </xdr:blipFill>
      <xdr:spPr>
        <a:xfrm>
          <a:off x="7210425" y="4495800"/>
          <a:ext cx="476250" cy="476250"/>
        </a:xfrm>
        <a:prstGeom prst="rect">
          <a:avLst/>
        </a:prstGeom>
      </xdr:spPr>
    </xdr:pic>
    <xdr:clientData/>
  </xdr:twoCellAnchor>
  <xdr:twoCellAnchor editAs="oneCell">
    <xdr:from>
      <xdr:col>5</xdr:col>
      <xdr:colOff>542925</xdr:colOff>
      <xdr:row>34</xdr:row>
      <xdr:rowOff>19050</xdr:rowOff>
    </xdr:from>
    <xdr:to>
      <xdr:col>5</xdr:col>
      <xdr:colOff>809625</xdr:colOff>
      <xdr:row>35</xdr:row>
      <xdr:rowOff>142875</xdr:rowOff>
    </xdr:to>
    <xdr:pic>
      <xdr:nvPicPr>
        <xdr:cNvPr id="24" name="Рисунок 23" descr="Склеп.gif"/>
        <xdr:cNvPicPr>
          <a:picLocks noChangeAspect="1"/>
        </xdr:cNvPicPr>
      </xdr:nvPicPr>
      <xdr:blipFill>
        <a:blip xmlns:r="http://schemas.openxmlformats.org/officeDocument/2006/relationships" r:embed="rId12" cstate="print"/>
        <a:stretch>
          <a:fillRect/>
        </a:stretch>
      </xdr:blipFill>
      <xdr:spPr>
        <a:xfrm>
          <a:off x="7277100" y="4991100"/>
          <a:ext cx="266700" cy="285750"/>
        </a:xfrm>
        <a:prstGeom prst="rect">
          <a:avLst/>
        </a:prstGeom>
      </xdr:spPr>
    </xdr:pic>
    <xdr:clientData/>
  </xdr:twoCellAnchor>
  <xdr:twoCellAnchor editAs="oneCell">
    <xdr:from>
      <xdr:col>5</xdr:col>
      <xdr:colOff>409575</xdr:colOff>
      <xdr:row>37</xdr:row>
      <xdr:rowOff>9525</xdr:rowOff>
    </xdr:from>
    <xdr:to>
      <xdr:col>5</xdr:col>
      <xdr:colOff>923925</xdr:colOff>
      <xdr:row>39</xdr:row>
      <xdr:rowOff>114300</xdr:rowOff>
    </xdr:to>
    <xdr:pic>
      <xdr:nvPicPr>
        <xdr:cNvPr id="25" name="Рисунок 24" descr="Склеп.gif"/>
        <xdr:cNvPicPr>
          <a:picLocks noChangeAspect="1"/>
        </xdr:cNvPicPr>
      </xdr:nvPicPr>
      <xdr:blipFill>
        <a:blip xmlns:r="http://schemas.openxmlformats.org/officeDocument/2006/relationships" r:embed="rId13" cstate="print"/>
        <a:stretch>
          <a:fillRect/>
        </a:stretch>
      </xdr:blipFill>
      <xdr:spPr>
        <a:xfrm>
          <a:off x="7143750" y="5362575"/>
          <a:ext cx="514350" cy="428625"/>
        </a:xfrm>
        <a:prstGeom prst="rect">
          <a:avLst/>
        </a:prstGeom>
      </xdr:spPr>
    </xdr:pic>
    <xdr:clientData/>
  </xdr:twoCellAnchor>
  <xdr:twoCellAnchor editAs="oneCell">
    <xdr:from>
      <xdr:col>5</xdr:col>
      <xdr:colOff>495300</xdr:colOff>
      <xdr:row>40</xdr:row>
      <xdr:rowOff>9525</xdr:rowOff>
    </xdr:from>
    <xdr:to>
      <xdr:col>5</xdr:col>
      <xdr:colOff>828675</xdr:colOff>
      <xdr:row>42</xdr:row>
      <xdr:rowOff>0</xdr:rowOff>
    </xdr:to>
    <xdr:pic>
      <xdr:nvPicPr>
        <xdr:cNvPr id="26" name="Рисунок 25" descr="Склеп.gif"/>
        <xdr:cNvPicPr>
          <a:picLocks noChangeAspect="1"/>
        </xdr:cNvPicPr>
      </xdr:nvPicPr>
      <xdr:blipFill>
        <a:blip xmlns:r="http://schemas.openxmlformats.org/officeDocument/2006/relationships" r:embed="rId14" cstate="print"/>
        <a:stretch>
          <a:fillRect/>
        </a:stretch>
      </xdr:blipFill>
      <xdr:spPr>
        <a:xfrm>
          <a:off x="7229475" y="5848350"/>
          <a:ext cx="333375" cy="314325"/>
        </a:xfrm>
        <a:prstGeom prst="rect">
          <a:avLst/>
        </a:prstGeom>
      </xdr:spPr>
    </xdr:pic>
    <xdr:clientData/>
  </xdr:twoCellAnchor>
  <xdr:twoCellAnchor editAs="oneCell">
    <xdr:from>
      <xdr:col>5</xdr:col>
      <xdr:colOff>819150</xdr:colOff>
      <xdr:row>48</xdr:row>
      <xdr:rowOff>47625</xdr:rowOff>
    </xdr:from>
    <xdr:to>
      <xdr:col>5</xdr:col>
      <xdr:colOff>1123950</xdr:colOff>
      <xdr:row>49</xdr:row>
      <xdr:rowOff>123825</xdr:rowOff>
    </xdr:to>
    <xdr:pic>
      <xdr:nvPicPr>
        <xdr:cNvPr id="28" name="Рисунок 27" descr="Склеп.gif"/>
        <xdr:cNvPicPr>
          <a:picLocks noChangeAspect="1"/>
        </xdr:cNvPicPr>
      </xdr:nvPicPr>
      <xdr:blipFill>
        <a:blip xmlns:r="http://schemas.openxmlformats.org/officeDocument/2006/relationships" r:embed="rId15" cstate="print"/>
        <a:stretch>
          <a:fillRect/>
        </a:stretch>
      </xdr:blipFill>
      <xdr:spPr>
        <a:xfrm>
          <a:off x="7553325" y="7429500"/>
          <a:ext cx="304800" cy="238125"/>
        </a:xfrm>
        <a:prstGeom prst="rect">
          <a:avLst/>
        </a:prstGeom>
      </xdr:spPr>
    </xdr:pic>
    <xdr:clientData/>
  </xdr:twoCellAnchor>
  <xdr:twoCellAnchor editAs="oneCell">
    <xdr:from>
      <xdr:col>5</xdr:col>
      <xdr:colOff>285750</xdr:colOff>
      <xdr:row>48</xdr:row>
      <xdr:rowOff>76200</xdr:rowOff>
    </xdr:from>
    <xdr:to>
      <xdr:col>5</xdr:col>
      <xdr:colOff>581025</xdr:colOff>
      <xdr:row>49</xdr:row>
      <xdr:rowOff>123825</xdr:rowOff>
    </xdr:to>
    <xdr:pic>
      <xdr:nvPicPr>
        <xdr:cNvPr id="29" name="Рисунок 28" descr="Склеп.gif"/>
        <xdr:cNvPicPr>
          <a:picLocks noChangeAspect="1"/>
        </xdr:cNvPicPr>
      </xdr:nvPicPr>
      <xdr:blipFill>
        <a:blip xmlns:r="http://schemas.openxmlformats.org/officeDocument/2006/relationships" r:embed="rId16" cstate="print"/>
        <a:stretch>
          <a:fillRect/>
        </a:stretch>
      </xdr:blipFill>
      <xdr:spPr>
        <a:xfrm>
          <a:off x="7019925" y="7458075"/>
          <a:ext cx="295275" cy="209550"/>
        </a:xfrm>
        <a:prstGeom prst="rect">
          <a:avLst/>
        </a:prstGeom>
      </xdr:spPr>
    </xdr:pic>
    <xdr:clientData/>
  </xdr:twoCellAnchor>
  <xdr:twoCellAnchor editAs="oneCell">
    <xdr:from>
      <xdr:col>5</xdr:col>
      <xdr:colOff>295275</xdr:colOff>
      <xdr:row>50</xdr:row>
      <xdr:rowOff>66675</xdr:rowOff>
    </xdr:from>
    <xdr:to>
      <xdr:col>5</xdr:col>
      <xdr:colOff>581025</xdr:colOff>
      <xdr:row>51</xdr:row>
      <xdr:rowOff>104775</xdr:rowOff>
    </xdr:to>
    <xdr:pic>
      <xdr:nvPicPr>
        <xdr:cNvPr id="30" name="Рисунок 29" descr="Склеп.gif"/>
        <xdr:cNvPicPr>
          <a:picLocks noChangeAspect="1"/>
        </xdr:cNvPicPr>
      </xdr:nvPicPr>
      <xdr:blipFill>
        <a:blip xmlns:r="http://schemas.openxmlformats.org/officeDocument/2006/relationships" r:embed="rId17" cstate="print"/>
        <a:stretch>
          <a:fillRect/>
        </a:stretch>
      </xdr:blipFill>
      <xdr:spPr>
        <a:xfrm>
          <a:off x="7029450" y="7791450"/>
          <a:ext cx="285750" cy="200025"/>
        </a:xfrm>
        <a:prstGeom prst="rect">
          <a:avLst/>
        </a:prstGeom>
      </xdr:spPr>
    </xdr:pic>
    <xdr:clientData/>
  </xdr:twoCellAnchor>
  <xdr:twoCellAnchor editAs="oneCell">
    <xdr:from>
      <xdr:col>5</xdr:col>
      <xdr:colOff>838200</xdr:colOff>
      <xdr:row>50</xdr:row>
      <xdr:rowOff>28575</xdr:rowOff>
    </xdr:from>
    <xdr:to>
      <xdr:col>5</xdr:col>
      <xdr:colOff>1133475</xdr:colOff>
      <xdr:row>51</xdr:row>
      <xdr:rowOff>142875</xdr:rowOff>
    </xdr:to>
    <xdr:pic>
      <xdr:nvPicPr>
        <xdr:cNvPr id="31" name="Рисунок 30" descr="Склеп.gif"/>
        <xdr:cNvPicPr>
          <a:picLocks noChangeAspect="1"/>
        </xdr:cNvPicPr>
      </xdr:nvPicPr>
      <xdr:blipFill>
        <a:blip xmlns:r="http://schemas.openxmlformats.org/officeDocument/2006/relationships" r:embed="rId18" cstate="print"/>
        <a:stretch>
          <a:fillRect/>
        </a:stretch>
      </xdr:blipFill>
      <xdr:spPr>
        <a:xfrm>
          <a:off x="7572375" y="7753350"/>
          <a:ext cx="295275" cy="276225"/>
        </a:xfrm>
        <a:prstGeom prst="rect">
          <a:avLst/>
        </a:prstGeom>
      </xdr:spPr>
    </xdr:pic>
    <xdr:clientData/>
  </xdr:twoCellAnchor>
  <xdr:twoCellAnchor editAs="oneCell">
    <xdr:from>
      <xdr:col>5</xdr:col>
      <xdr:colOff>295275</xdr:colOff>
      <xdr:row>52</xdr:row>
      <xdr:rowOff>57150</xdr:rowOff>
    </xdr:from>
    <xdr:to>
      <xdr:col>5</xdr:col>
      <xdr:colOff>600075</xdr:colOff>
      <xdr:row>53</xdr:row>
      <xdr:rowOff>114300</xdr:rowOff>
    </xdr:to>
    <xdr:pic>
      <xdr:nvPicPr>
        <xdr:cNvPr id="32" name="Рисунок 31" descr="Склеп.gif"/>
        <xdr:cNvPicPr>
          <a:picLocks noChangeAspect="1"/>
        </xdr:cNvPicPr>
      </xdr:nvPicPr>
      <xdr:blipFill>
        <a:blip xmlns:r="http://schemas.openxmlformats.org/officeDocument/2006/relationships" r:embed="rId19" cstate="print"/>
        <a:stretch>
          <a:fillRect/>
        </a:stretch>
      </xdr:blipFill>
      <xdr:spPr>
        <a:xfrm>
          <a:off x="7029450" y="8105775"/>
          <a:ext cx="304800" cy="219075"/>
        </a:xfrm>
        <a:prstGeom prst="rect">
          <a:avLst/>
        </a:prstGeom>
      </xdr:spPr>
    </xdr:pic>
    <xdr:clientData/>
  </xdr:twoCellAnchor>
  <xdr:twoCellAnchor editAs="oneCell">
    <xdr:from>
      <xdr:col>5</xdr:col>
      <xdr:colOff>828675</xdr:colOff>
      <xdr:row>52</xdr:row>
      <xdr:rowOff>47625</xdr:rowOff>
    </xdr:from>
    <xdr:to>
      <xdr:col>5</xdr:col>
      <xdr:colOff>1133475</xdr:colOff>
      <xdr:row>53</xdr:row>
      <xdr:rowOff>133350</xdr:rowOff>
    </xdr:to>
    <xdr:pic>
      <xdr:nvPicPr>
        <xdr:cNvPr id="33" name="Рисунок 32" descr="Склеп.gif"/>
        <xdr:cNvPicPr>
          <a:picLocks noChangeAspect="1"/>
        </xdr:cNvPicPr>
      </xdr:nvPicPr>
      <xdr:blipFill>
        <a:blip xmlns:r="http://schemas.openxmlformats.org/officeDocument/2006/relationships" r:embed="rId20" cstate="print"/>
        <a:stretch>
          <a:fillRect/>
        </a:stretch>
      </xdr:blipFill>
      <xdr:spPr>
        <a:xfrm>
          <a:off x="7562850" y="8096250"/>
          <a:ext cx="304800" cy="247650"/>
        </a:xfrm>
        <a:prstGeom prst="rect">
          <a:avLst/>
        </a:prstGeom>
      </xdr:spPr>
    </xdr:pic>
    <xdr:clientData/>
  </xdr:twoCellAnchor>
  <xdr:twoCellAnchor editAs="oneCell">
    <xdr:from>
      <xdr:col>5</xdr:col>
      <xdr:colOff>295275</xdr:colOff>
      <xdr:row>54</xdr:row>
      <xdr:rowOff>9525</xdr:rowOff>
    </xdr:from>
    <xdr:to>
      <xdr:col>5</xdr:col>
      <xdr:colOff>600075</xdr:colOff>
      <xdr:row>55</xdr:row>
      <xdr:rowOff>152400</xdr:rowOff>
    </xdr:to>
    <xdr:pic>
      <xdr:nvPicPr>
        <xdr:cNvPr id="34" name="Рисунок 33" descr="Склеп.gif"/>
        <xdr:cNvPicPr>
          <a:picLocks noChangeAspect="1"/>
        </xdr:cNvPicPr>
      </xdr:nvPicPr>
      <xdr:blipFill>
        <a:blip xmlns:r="http://schemas.openxmlformats.org/officeDocument/2006/relationships" r:embed="rId21" cstate="print"/>
        <a:stretch>
          <a:fillRect/>
        </a:stretch>
      </xdr:blipFill>
      <xdr:spPr>
        <a:xfrm>
          <a:off x="7029450" y="8382000"/>
          <a:ext cx="304800" cy="304800"/>
        </a:xfrm>
        <a:prstGeom prst="rect">
          <a:avLst/>
        </a:prstGeom>
      </xdr:spPr>
    </xdr:pic>
    <xdr:clientData/>
  </xdr:twoCellAnchor>
  <xdr:twoCellAnchor editAs="oneCell">
    <xdr:from>
      <xdr:col>5</xdr:col>
      <xdr:colOff>381000</xdr:colOff>
      <xdr:row>76</xdr:row>
      <xdr:rowOff>19050</xdr:rowOff>
    </xdr:from>
    <xdr:to>
      <xdr:col>5</xdr:col>
      <xdr:colOff>971550</xdr:colOff>
      <xdr:row>80</xdr:row>
      <xdr:rowOff>152400</xdr:rowOff>
    </xdr:to>
    <xdr:pic>
      <xdr:nvPicPr>
        <xdr:cNvPr id="43" name="Рисунок 42" descr="Склеп.gif"/>
        <xdr:cNvPicPr>
          <a:picLocks noChangeAspect="1"/>
        </xdr:cNvPicPr>
      </xdr:nvPicPr>
      <xdr:blipFill>
        <a:blip xmlns:r="http://schemas.openxmlformats.org/officeDocument/2006/relationships" r:embed="rId22" cstate="print"/>
        <a:stretch>
          <a:fillRect/>
        </a:stretch>
      </xdr:blipFill>
      <xdr:spPr>
        <a:xfrm>
          <a:off x="7115175" y="11658600"/>
          <a:ext cx="590550" cy="781050"/>
        </a:xfrm>
        <a:prstGeom prst="rect">
          <a:avLst/>
        </a:prstGeom>
      </xdr:spPr>
    </xdr:pic>
    <xdr:clientData/>
  </xdr:twoCellAnchor>
  <xdr:twoCellAnchor editAs="oneCell">
    <xdr:from>
      <xdr:col>5</xdr:col>
      <xdr:colOff>333375</xdr:colOff>
      <xdr:row>83</xdr:row>
      <xdr:rowOff>47625</xdr:rowOff>
    </xdr:from>
    <xdr:to>
      <xdr:col>5</xdr:col>
      <xdr:colOff>1028700</xdr:colOff>
      <xdr:row>87</xdr:row>
      <xdr:rowOff>133350</xdr:rowOff>
    </xdr:to>
    <xdr:pic>
      <xdr:nvPicPr>
        <xdr:cNvPr id="44" name="Рисунок 43" descr="Склеп.gif"/>
        <xdr:cNvPicPr>
          <a:picLocks noChangeAspect="1"/>
        </xdr:cNvPicPr>
      </xdr:nvPicPr>
      <xdr:blipFill>
        <a:blip xmlns:r="http://schemas.openxmlformats.org/officeDocument/2006/relationships" r:embed="rId23" cstate="print"/>
        <a:stretch>
          <a:fillRect/>
        </a:stretch>
      </xdr:blipFill>
      <xdr:spPr>
        <a:xfrm>
          <a:off x="7067550" y="12906375"/>
          <a:ext cx="695325" cy="733425"/>
        </a:xfrm>
        <a:prstGeom prst="rect">
          <a:avLst/>
        </a:prstGeom>
      </xdr:spPr>
    </xdr:pic>
    <xdr:clientData/>
  </xdr:twoCellAnchor>
  <xdr:twoCellAnchor editAs="oneCell">
    <xdr:from>
      <xdr:col>5</xdr:col>
      <xdr:colOff>390525</xdr:colOff>
      <xdr:row>90</xdr:row>
      <xdr:rowOff>123825</xdr:rowOff>
    </xdr:from>
    <xdr:to>
      <xdr:col>5</xdr:col>
      <xdr:colOff>962025</xdr:colOff>
      <xdr:row>94</xdr:row>
      <xdr:rowOff>57150</xdr:rowOff>
    </xdr:to>
    <xdr:pic>
      <xdr:nvPicPr>
        <xdr:cNvPr id="45" name="Рисунок 44" descr="Склеп.gif"/>
        <xdr:cNvPicPr>
          <a:picLocks noChangeAspect="1"/>
        </xdr:cNvPicPr>
      </xdr:nvPicPr>
      <xdr:blipFill>
        <a:blip xmlns:r="http://schemas.openxmlformats.org/officeDocument/2006/relationships" r:embed="rId24" cstate="print"/>
        <a:stretch>
          <a:fillRect/>
        </a:stretch>
      </xdr:blipFill>
      <xdr:spPr>
        <a:xfrm>
          <a:off x="7210425" y="15506700"/>
          <a:ext cx="571500" cy="581025"/>
        </a:xfrm>
        <a:prstGeom prst="rect">
          <a:avLst/>
        </a:prstGeom>
      </xdr:spPr>
    </xdr:pic>
    <xdr:clientData/>
  </xdr:twoCellAnchor>
  <xdr:twoCellAnchor editAs="oneCell">
    <xdr:from>
      <xdr:col>5</xdr:col>
      <xdr:colOff>381000</xdr:colOff>
      <xdr:row>97</xdr:row>
      <xdr:rowOff>114300</xdr:rowOff>
    </xdr:from>
    <xdr:to>
      <xdr:col>5</xdr:col>
      <xdr:colOff>990600</xdr:colOff>
      <xdr:row>101</xdr:row>
      <xdr:rowOff>66675</xdr:rowOff>
    </xdr:to>
    <xdr:pic>
      <xdr:nvPicPr>
        <xdr:cNvPr id="47" name="Рисунок 46" descr="Склеп.gif"/>
        <xdr:cNvPicPr>
          <a:picLocks noChangeAspect="1"/>
        </xdr:cNvPicPr>
      </xdr:nvPicPr>
      <xdr:blipFill>
        <a:blip xmlns:r="http://schemas.openxmlformats.org/officeDocument/2006/relationships" r:embed="rId25" cstate="print"/>
        <a:stretch>
          <a:fillRect/>
        </a:stretch>
      </xdr:blipFill>
      <xdr:spPr>
        <a:xfrm>
          <a:off x="7115175" y="15087600"/>
          <a:ext cx="609600" cy="600075"/>
        </a:xfrm>
        <a:prstGeom prst="rect">
          <a:avLst/>
        </a:prstGeom>
      </xdr:spPr>
    </xdr:pic>
    <xdr:clientData/>
  </xdr:twoCellAnchor>
  <xdr:twoCellAnchor editAs="oneCell">
    <xdr:from>
      <xdr:col>5</xdr:col>
      <xdr:colOff>381000</xdr:colOff>
      <xdr:row>104</xdr:row>
      <xdr:rowOff>47625</xdr:rowOff>
    </xdr:from>
    <xdr:to>
      <xdr:col>5</xdr:col>
      <xdr:colOff>981075</xdr:colOff>
      <xdr:row>108</xdr:row>
      <xdr:rowOff>133350</xdr:rowOff>
    </xdr:to>
    <xdr:pic>
      <xdr:nvPicPr>
        <xdr:cNvPr id="49" name="Рисунок 48" descr="Склеп.gif"/>
        <xdr:cNvPicPr>
          <a:picLocks noChangeAspect="1"/>
        </xdr:cNvPicPr>
      </xdr:nvPicPr>
      <xdr:blipFill>
        <a:blip xmlns:r="http://schemas.openxmlformats.org/officeDocument/2006/relationships" r:embed="rId26" cstate="print"/>
        <a:stretch>
          <a:fillRect/>
        </a:stretch>
      </xdr:blipFill>
      <xdr:spPr>
        <a:xfrm>
          <a:off x="7115175" y="16078200"/>
          <a:ext cx="600075" cy="733425"/>
        </a:xfrm>
        <a:prstGeom prst="rect">
          <a:avLst/>
        </a:prstGeom>
      </xdr:spPr>
    </xdr:pic>
    <xdr:clientData/>
  </xdr:twoCellAnchor>
  <xdr:twoCellAnchor editAs="oneCell">
    <xdr:from>
      <xdr:col>5</xdr:col>
      <xdr:colOff>390525</xdr:colOff>
      <xdr:row>116</xdr:row>
      <xdr:rowOff>28575</xdr:rowOff>
    </xdr:from>
    <xdr:to>
      <xdr:col>5</xdr:col>
      <xdr:colOff>1000125</xdr:colOff>
      <xdr:row>120</xdr:row>
      <xdr:rowOff>152400</xdr:rowOff>
    </xdr:to>
    <xdr:pic>
      <xdr:nvPicPr>
        <xdr:cNvPr id="35" name="Рисунок 34" descr="Склеп.gif"/>
        <xdr:cNvPicPr>
          <a:picLocks noChangeAspect="1"/>
        </xdr:cNvPicPr>
      </xdr:nvPicPr>
      <xdr:blipFill>
        <a:blip xmlns:r="http://schemas.openxmlformats.org/officeDocument/2006/relationships" r:embed="rId27" cstate="print"/>
        <a:stretch>
          <a:fillRect/>
        </a:stretch>
      </xdr:blipFill>
      <xdr:spPr>
        <a:xfrm>
          <a:off x="7181850" y="21145500"/>
          <a:ext cx="609600" cy="771525"/>
        </a:xfrm>
        <a:prstGeom prst="rect">
          <a:avLst/>
        </a:prstGeom>
      </xdr:spPr>
    </xdr:pic>
    <xdr:clientData/>
  </xdr:twoCellAnchor>
  <xdr:twoCellAnchor editAs="oneCell">
    <xdr:from>
      <xdr:col>5</xdr:col>
      <xdr:colOff>238125</xdr:colOff>
      <xdr:row>123</xdr:row>
      <xdr:rowOff>9525</xdr:rowOff>
    </xdr:from>
    <xdr:to>
      <xdr:col>5</xdr:col>
      <xdr:colOff>1143000</xdr:colOff>
      <xdr:row>125</xdr:row>
      <xdr:rowOff>85725</xdr:rowOff>
    </xdr:to>
    <xdr:pic>
      <xdr:nvPicPr>
        <xdr:cNvPr id="36" name="Рисунок 35" descr="Склеп.gif"/>
        <xdr:cNvPicPr>
          <a:picLocks noChangeAspect="1"/>
        </xdr:cNvPicPr>
      </xdr:nvPicPr>
      <xdr:blipFill>
        <a:blip xmlns:r="http://schemas.openxmlformats.org/officeDocument/2006/relationships" r:embed="rId28" cstate="print"/>
        <a:stretch>
          <a:fillRect/>
        </a:stretch>
      </xdr:blipFill>
      <xdr:spPr>
        <a:xfrm>
          <a:off x="7029450" y="22012275"/>
          <a:ext cx="904875" cy="733425"/>
        </a:xfrm>
        <a:prstGeom prst="rect">
          <a:avLst/>
        </a:prstGeom>
      </xdr:spPr>
    </xdr:pic>
    <xdr:clientData/>
  </xdr:twoCellAnchor>
  <xdr:twoCellAnchor editAs="oneCell">
    <xdr:from>
      <xdr:col>5</xdr:col>
      <xdr:colOff>171450</xdr:colOff>
      <xdr:row>140</xdr:row>
      <xdr:rowOff>9525</xdr:rowOff>
    </xdr:from>
    <xdr:to>
      <xdr:col>5</xdr:col>
      <xdr:colOff>1200150</xdr:colOff>
      <xdr:row>142</xdr:row>
      <xdr:rowOff>3810</xdr:rowOff>
    </xdr:to>
    <xdr:pic>
      <xdr:nvPicPr>
        <xdr:cNvPr id="139265" name="Picture 1"/>
        <xdr:cNvPicPr>
          <a:picLocks noChangeAspect="1" noChangeArrowheads="1"/>
        </xdr:cNvPicPr>
      </xdr:nvPicPr>
      <xdr:blipFill>
        <a:blip xmlns:r="http://schemas.openxmlformats.org/officeDocument/2006/relationships" r:embed="rId29" cstate="print"/>
        <a:srcRect/>
        <a:stretch>
          <a:fillRect/>
        </a:stretch>
      </xdr:blipFill>
      <xdr:spPr bwMode="auto">
        <a:xfrm>
          <a:off x="6962775" y="23907750"/>
          <a:ext cx="1028700" cy="480060"/>
        </a:xfrm>
        <a:prstGeom prst="rect">
          <a:avLst/>
        </a:prstGeom>
        <a:noFill/>
        <a:ln w="1">
          <a:noFill/>
          <a:miter lim="800000"/>
          <a:headEnd/>
          <a:tailEnd type="none" w="med" len="med"/>
        </a:ln>
        <a:effectLst/>
      </xdr:spPr>
    </xdr:pic>
    <xdr:clientData/>
  </xdr:twoCellAnchor>
  <xdr:twoCellAnchor editAs="oneCell">
    <xdr:from>
      <xdr:col>5</xdr:col>
      <xdr:colOff>180975</xdr:colOff>
      <xdr:row>143</xdr:row>
      <xdr:rowOff>9525</xdr:rowOff>
    </xdr:from>
    <xdr:to>
      <xdr:col>5</xdr:col>
      <xdr:colOff>1201511</xdr:colOff>
      <xdr:row>145</xdr:row>
      <xdr:rowOff>0</xdr:rowOff>
    </xdr:to>
    <xdr:pic>
      <xdr:nvPicPr>
        <xdr:cNvPr id="139266" name="Picture 2"/>
        <xdr:cNvPicPr>
          <a:picLocks noChangeAspect="1" noChangeArrowheads="1"/>
        </xdr:cNvPicPr>
      </xdr:nvPicPr>
      <xdr:blipFill>
        <a:blip xmlns:r="http://schemas.openxmlformats.org/officeDocument/2006/relationships" r:embed="rId30" cstate="print"/>
        <a:srcRect/>
        <a:stretch>
          <a:fillRect/>
        </a:stretch>
      </xdr:blipFill>
      <xdr:spPr bwMode="auto">
        <a:xfrm>
          <a:off x="6972300" y="24450675"/>
          <a:ext cx="1020536" cy="476250"/>
        </a:xfrm>
        <a:prstGeom prst="rect">
          <a:avLst/>
        </a:prstGeom>
        <a:noFill/>
        <a:ln w="1">
          <a:noFill/>
          <a:miter lim="800000"/>
          <a:headEnd/>
          <a:tailEnd type="none" w="med" len="med"/>
        </a:ln>
        <a:effectLst/>
      </xdr:spPr>
    </xdr:pic>
    <xdr:clientData/>
  </xdr:twoCellAnchor>
  <xdr:twoCellAnchor editAs="oneCell">
    <xdr:from>
      <xdr:col>3</xdr:col>
      <xdr:colOff>9525</xdr:colOff>
      <xdr:row>146</xdr:row>
      <xdr:rowOff>152400</xdr:rowOff>
    </xdr:from>
    <xdr:to>
      <xdr:col>3</xdr:col>
      <xdr:colOff>1377043</xdr:colOff>
      <xdr:row>150</xdr:row>
      <xdr:rowOff>142875</xdr:rowOff>
    </xdr:to>
    <xdr:pic>
      <xdr:nvPicPr>
        <xdr:cNvPr id="139267" name="Picture 3"/>
        <xdr:cNvPicPr>
          <a:picLocks noChangeAspect="1" noChangeArrowheads="1"/>
        </xdr:cNvPicPr>
      </xdr:nvPicPr>
      <xdr:blipFill>
        <a:blip xmlns:r="http://schemas.openxmlformats.org/officeDocument/2006/relationships" r:embed="rId31" cstate="print"/>
        <a:srcRect/>
        <a:stretch>
          <a:fillRect/>
        </a:stretch>
      </xdr:blipFill>
      <xdr:spPr bwMode="auto">
        <a:xfrm>
          <a:off x="4133850" y="26574750"/>
          <a:ext cx="1367518" cy="638175"/>
        </a:xfrm>
        <a:prstGeom prst="rect">
          <a:avLst/>
        </a:prstGeom>
        <a:noFill/>
        <a:ln w="1">
          <a:noFill/>
          <a:miter lim="800000"/>
          <a:headEnd/>
          <a:tailEnd type="none" w="med" len="med"/>
        </a:ln>
        <a:effectLst/>
      </xdr:spPr>
    </xdr:pic>
    <xdr:clientData/>
  </xdr:twoCellAnchor>
  <xdr:twoCellAnchor editAs="oneCell">
    <xdr:from>
      <xdr:col>4</xdr:col>
      <xdr:colOff>9525</xdr:colOff>
      <xdr:row>146</xdr:row>
      <xdr:rowOff>152400</xdr:rowOff>
    </xdr:from>
    <xdr:to>
      <xdr:col>4</xdr:col>
      <xdr:colOff>1377043</xdr:colOff>
      <xdr:row>150</xdr:row>
      <xdr:rowOff>142875</xdr:rowOff>
    </xdr:to>
    <xdr:pic>
      <xdr:nvPicPr>
        <xdr:cNvPr id="139268" name="Picture 4"/>
        <xdr:cNvPicPr>
          <a:picLocks noChangeAspect="1" noChangeArrowheads="1"/>
        </xdr:cNvPicPr>
      </xdr:nvPicPr>
      <xdr:blipFill>
        <a:blip xmlns:r="http://schemas.openxmlformats.org/officeDocument/2006/relationships" r:embed="rId32" cstate="print"/>
        <a:srcRect/>
        <a:stretch>
          <a:fillRect/>
        </a:stretch>
      </xdr:blipFill>
      <xdr:spPr bwMode="auto">
        <a:xfrm>
          <a:off x="5514975" y="26574750"/>
          <a:ext cx="1367518" cy="638175"/>
        </a:xfrm>
        <a:prstGeom prst="rect">
          <a:avLst/>
        </a:prstGeom>
        <a:noFill/>
        <a:ln w="1">
          <a:noFill/>
          <a:miter lim="800000"/>
          <a:headEnd/>
          <a:tailEnd type="none" w="med" len="med"/>
        </a:ln>
        <a:effectLst/>
      </xdr:spPr>
    </xdr:pic>
    <xdr:clientData/>
  </xdr:twoCellAnchor>
  <xdr:twoCellAnchor editAs="oneCell">
    <xdr:from>
      <xdr:col>5</xdr:col>
      <xdr:colOff>9525</xdr:colOff>
      <xdr:row>146</xdr:row>
      <xdr:rowOff>152400</xdr:rowOff>
    </xdr:from>
    <xdr:to>
      <xdr:col>5</xdr:col>
      <xdr:colOff>1377043</xdr:colOff>
      <xdr:row>150</xdr:row>
      <xdr:rowOff>142875</xdr:rowOff>
    </xdr:to>
    <xdr:pic>
      <xdr:nvPicPr>
        <xdr:cNvPr id="139269" name="Picture 5"/>
        <xdr:cNvPicPr>
          <a:picLocks noChangeAspect="1" noChangeArrowheads="1"/>
        </xdr:cNvPicPr>
      </xdr:nvPicPr>
      <xdr:blipFill>
        <a:blip xmlns:r="http://schemas.openxmlformats.org/officeDocument/2006/relationships" r:embed="rId33" cstate="print"/>
        <a:srcRect/>
        <a:stretch>
          <a:fillRect/>
        </a:stretch>
      </xdr:blipFill>
      <xdr:spPr bwMode="auto">
        <a:xfrm>
          <a:off x="6896100" y="26574750"/>
          <a:ext cx="1367518" cy="638175"/>
        </a:xfrm>
        <a:prstGeom prst="rect">
          <a:avLst/>
        </a:prstGeom>
        <a:noFill/>
        <a:ln w="1">
          <a:noFill/>
          <a:miter lim="800000"/>
          <a:headEnd/>
          <a:tailEnd type="none" w="med" len="med"/>
        </a:ln>
        <a:effectLst/>
      </xdr:spPr>
    </xdr:pic>
    <xdr:clientData/>
  </xdr:twoCellAnchor>
  <xdr:twoCellAnchor editAs="oneCell">
    <xdr:from>
      <xdr:col>3</xdr:col>
      <xdr:colOff>9525</xdr:colOff>
      <xdr:row>150</xdr:row>
      <xdr:rowOff>152399</xdr:rowOff>
    </xdr:from>
    <xdr:to>
      <xdr:col>3</xdr:col>
      <xdr:colOff>1377043</xdr:colOff>
      <xdr:row>154</xdr:row>
      <xdr:rowOff>142874</xdr:rowOff>
    </xdr:to>
    <xdr:pic>
      <xdr:nvPicPr>
        <xdr:cNvPr id="139270" name="Picture 6"/>
        <xdr:cNvPicPr>
          <a:picLocks noChangeAspect="1" noChangeArrowheads="1"/>
        </xdr:cNvPicPr>
      </xdr:nvPicPr>
      <xdr:blipFill>
        <a:blip xmlns:r="http://schemas.openxmlformats.org/officeDocument/2006/relationships" r:embed="rId34" cstate="print"/>
        <a:srcRect/>
        <a:stretch>
          <a:fillRect/>
        </a:stretch>
      </xdr:blipFill>
      <xdr:spPr bwMode="auto">
        <a:xfrm>
          <a:off x="4038600" y="25803224"/>
          <a:ext cx="1367518" cy="638175"/>
        </a:xfrm>
        <a:prstGeom prst="rect">
          <a:avLst/>
        </a:prstGeom>
        <a:noFill/>
        <a:ln w="1">
          <a:noFill/>
          <a:miter lim="800000"/>
          <a:headEnd/>
          <a:tailEnd type="none" w="med" len="med"/>
        </a:ln>
        <a:effectLst/>
      </xdr:spPr>
    </xdr:pic>
    <xdr:clientData/>
  </xdr:twoCellAnchor>
  <xdr:twoCellAnchor editAs="oneCell">
    <xdr:from>
      <xdr:col>4</xdr:col>
      <xdr:colOff>9525</xdr:colOff>
      <xdr:row>150</xdr:row>
      <xdr:rowOff>152399</xdr:rowOff>
    </xdr:from>
    <xdr:to>
      <xdr:col>4</xdr:col>
      <xdr:colOff>1377043</xdr:colOff>
      <xdr:row>154</xdr:row>
      <xdr:rowOff>142874</xdr:rowOff>
    </xdr:to>
    <xdr:pic>
      <xdr:nvPicPr>
        <xdr:cNvPr id="139271" name="Picture 7"/>
        <xdr:cNvPicPr>
          <a:picLocks noChangeAspect="1" noChangeArrowheads="1"/>
        </xdr:cNvPicPr>
      </xdr:nvPicPr>
      <xdr:blipFill>
        <a:blip xmlns:r="http://schemas.openxmlformats.org/officeDocument/2006/relationships" r:embed="rId35" cstate="print"/>
        <a:srcRect/>
        <a:stretch>
          <a:fillRect/>
        </a:stretch>
      </xdr:blipFill>
      <xdr:spPr bwMode="auto">
        <a:xfrm>
          <a:off x="5419725" y="25803224"/>
          <a:ext cx="1367518" cy="638175"/>
        </a:xfrm>
        <a:prstGeom prst="rect">
          <a:avLst/>
        </a:prstGeom>
        <a:noFill/>
        <a:ln w="1">
          <a:noFill/>
          <a:miter lim="800000"/>
          <a:headEnd/>
          <a:tailEnd type="none" w="med" len="med"/>
        </a:ln>
        <a:effectLst/>
      </xdr:spPr>
    </xdr:pic>
    <xdr:clientData/>
  </xdr:twoCellAnchor>
  <xdr:twoCellAnchor editAs="oneCell">
    <xdr:from>
      <xdr:col>5</xdr:col>
      <xdr:colOff>9525</xdr:colOff>
      <xdr:row>150</xdr:row>
      <xdr:rowOff>152400</xdr:rowOff>
    </xdr:from>
    <xdr:to>
      <xdr:col>5</xdr:col>
      <xdr:colOff>1377043</xdr:colOff>
      <xdr:row>154</xdr:row>
      <xdr:rowOff>142875</xdr:rowOff>
    </xdr:to>
    <xdr:pic>
      <xdr:nvPicPr>
        <xdr:cNvPr id="139272" name="Picture 8"/>
        <xdr:cNvPicPr>
          <a:picLocks noChangeAspect="1" noChangeArrowheads="1"/>
        </xdr:cNvPicPr>
      </xdr:nvPicPr>
      <xdr:blipFill>
        <a:blip xmlns:r="http://schemas.openxmlformats.org/officeDocument/2006/relationships" r:embed="rId36" cstate="print"/>
        <a:srcRect/>
        <a:stretch>
          <a:fillRect/>
        </a:stretch>
      </xdr:blipFill>
      <xdr:spPr bwMode="auto">
        <a:xfrm>
          <a:off x="6800850" y="25803225"/>
          <a:ext cx="1367518" cy="638175"/>
        </a:xfrm>
        <a:prstGeom prst="rect">
          <a:avLst/>
        </a:prstGeom>
        <a:noFill/>
        <a:ln w="1">
          <a:noFill/>
          <a:miter lim="800000"/>
          <a:headEnd/>
          <a:tailEnd type="none" w="med" len="med"/>
        </a:ln>
        <a:effectLst/>
      </xdr:spPr>
    </xdr:pic>
    <xdr:clientData/>
  </xdr:twoCellAnchor>
  <xdr:twoCellAnchor editAs="oneCell">
    <xdr:from>
      <xdr:col>3</xdr:col>
      <xdr:colOff>9525</xdr:colOff>
      <xdr:row>154</xdr:row>
      <xdr:rowOff>152400</xdr:rowOff>
    </xdr:from>
    <xdr:to>
      <xdr:col>3</xdr:col>
      <xdr:colOff>1377043</xdr:colOff>
      <xdr:row>158</xdr:row>
      <xdr:rowOff>142875</xdr:rowOff>
    </xdr:to>
    <xdr:pic>
      <xdr:nvPicPr>
        <xdr:cNvPr id="139273" name="Picture 9"/>
        <xdr:cNvPicPr>
          <a:picLocks noChangeAspect="1" noChangeArrowheads="1"/>
        </xdr:cNvPicPr>
      </xdr:nvPicPr>
      <xdr:blipFill>
        <a:blip xmlns:r="http://schemas.openxmlformats.org/officeDocument/2006/relationships" r:embed="rId37" cstate="print"/>
        <a:srcRect/>
        <a:stretch>
          <a:fillRect/>
        </a:stretch>
      </xdr:blipFill>
      <xdr:spPr bwMode="auto">
        <a:xfrm>
          <a:off x="4038600" y="26450925"/>
          <a:ext cx="1367518" cy="638175"/>
        </a:xfrm>
        <a:prstGeom prst="rect">
          <a:avLst/>
        </a:prstGeom>
        <a:noFill/>
        <a:ln w="1">
          <a:noFill/>
          <a:miter lim="800000"/>
          <a:headEnd/>
          <a:tailEnd type="none" w="med" len="med"/>
        </a:ln>
        <a:effectLst/>
      </xdr:spPr>
    </xdr:pic>
    <xdr:clientData/>
  </xdr:twoCellAnchor>
  <xdr:twoCellAnchor editAs="oneCell">
    <xdr:from>
      <xdr:col>4</xdr:col>
      <xdr:colOff>9525</xdr:colOff>
      <xdr:row>154</xdr:row>
      <xdr:rowOff>152399</xdr:rowOff>
    </xdr:from>
    <xdr:to>
      <xdr:col>4</xdr:col>
      <xdr:colOff>1377043</xdr:colOff>
      <xdr:row>158</xdr:row>
      <xdr:rowOff>142874</xdr:rowOff>
    </xdr:to>
    <xdr:pic>
      <xdr:nvPicPr>
        <xdr:cNvPr id="139274" name="Picture 10"/>
        <xdr:cNvPicPr>
          <a:picLocks noChangeAspect="1" noChangeArrowheads="1"/>
        </xdr:cNvPicPr>
      </xdr:nvPicPr>
      <xdr:blipFill>
        <a:blip xmlns:r="http://schemas.openxmlformats.org/officeDocument/2006/relationships" r:embed="rId38" cstate="print"/>
        <a:srcRect/>
        <a:stretch>
          <a:fillRect/>
        </a:stretch>
      </xdr:blipFill>
      <xdr:spPr bwMode="auto">
        <a:xfrm>
          <a:off x="5419725" y="26450924"/>
          <a:ext cx="1367518" cy="638175"/>
        </a:xfrm>
        <a:prstGeom prst="rect">
          <a:avLst/>
        </a:prstGeom>
        <a:noFill/>
        <a:ln w="1">
          <a:noFill/>
          <a:miter lim="800000"/>
          <a:headEnd/>
          <a:tailEnd type="none" w="med" len="med"/>
        </a:ln>
        <a:effectLst/>
      </xdr:spPr>
    </xdr:pic>
    <xdr:clientData/>
  </xdr:twoCellAnchor>
  <xdr:twoCellAnchor editAs="oneCell">
    <xdr:from>
      <xdr:col>5</xdr:col>
      <xdr:colOff>9525</xdr:colOff>
      <xdr:row>154</xdr:row>
      <xdr:rowOff>152400</xdr:rowOff>
    </xdr:from>
    <xdr:to>
      <xdr:col>5</xdr:col>
      <xdr:colOff>1377043</xdr:colOff>
      <xdr:row>158</xdr:row>
      <xdr:rowOff>142875</xdr:rowOff>
    </xdr:to>
    <xdr:pic>
      <xdr:nvPicPr>
        <xdr:cNvPr id="139275" name="Picture 11"/>
        <xdr:cNvPicPr>
          <a:picLocks noChangeAspect="1" noChangeArrowheads="1"/>
        </xdr:cNvPicPr>
      </xdr:nvPicPr>
      <xdr:blipFill>
        <a:blip xmlns:r="http://schemas.openxmlformats.org/officeDocument/2006/relationships" r:embed="rId39" cstate="print"/>
        <a:srcRect/>
        <a:stretch>
          <a:fillRect/>
        </a:stretch>
      </xdr:blipFill>
      <xdr:spPr bwMode="auto">
        <a:xfrm>
          <a:off x="6800850" y="26450925"/>
          <a:ext cx="1367518" cy="638175"/>
        </a:xfrm>
        <a:prstGeom prst="rect">
          <a:avLst/>
        </a:prstGeom>
        <a:noFill/>
        <a:ln w="1">
          <a:noFill/>
          <a:miter lim="800000"/>
          <a:headEnd/>
          <a:tailEnd type="none" w="med" len="med"/>
        </a:ln>
        <a:effectLst/>
      </xdr:spPr>
    </xdr:pic>
    <xdr:clientData/>
  </xdr:twoCellAnchor>
  <xdr:twoCellAnchor editAs="oneCell">
    <xdr:from>
      <xdr:col>0</xdr:col>
      <xdr:colOff>247648</xdr:colOff>
      <xdr:row>62</xdr:row>
      <xdr:rowOff>0</xdr:rowOff>
    </xdr:from>
    <xdr:to>
      <xdr:col>1</xdr:col>
      <xdr:colOff>1643836</xdr:colOff>
      <xdr:row>68</xdr:row>
      <xdr:rowOff>87300</xdr:rowOff>
    </xdr:to>
    <xdr:pic>
      <xdr:nvPicPr>
        <xdr:cNvPr id="48" name="Picture 2"/>
        <xdr:cNvPicPr>
          <a:picLocks noChangeAspect="1" noChangeArrowheads="1"/>
        </xdr:cNvPicPr>
      </xdr:nvPicPr>
      <xdr:blipFill>
        <a:blip xmlns:r="http://schemas.openxmlformats.org/officeDocument/2006/relationships" r:embed="rId40" cstate="print"/>
        <a:srcRect/>
        <a:stretch>
          <a:fillRect/>
        </a:stretch>
      </xdr:blipFill>
      <xdr:spPr bwMode="auto">
        <a:xfrm>
          <a:off x="247648" y="11087100"/>
          <a:ext cx="1643838" cy="1116000"/>
        </a:xfrm>
        <a:prstGeom prst="rect">
          <a:avLst/>
        </a:prstGeom>
        <a:noFill/>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5</xdr:col>
      <xdr:colOff>485775</xdr:colOff>
      <xdr:row>6</xdr:row>
      <xdr:rowOff>9525</xdr:rowOff>
    </xdr:from>
    <xdr:to>
      <xdr:col>5</xdr:col>
      <xdr:colOff>876300</xdr:colOff>
      <xdr:row>8</xdr:row>
      <xdr:rowOff>54471</xdr:rowOff>
    </xdr:to>
    <xdr:pic>
      <xdr:nvPicPr>
        <xdr:cNvPr id="44" name="Рисунок 43" descr="Склеп.gif"/>
        <xdr:cNvPicPr>
          <a:picLocks noChangeAspect="1"/>
        </xdr:cNvPicPr>
      </xdr:nvPicPr>
      <xdr:blipFill>
        <a:blip xmlns:r="http://schemas.openxmlformats.org/officeDocument/2006/relationships" r:embed="rId1" cstate="print"/>
        <a:stretch>
          <a:fillRect/>
        </a:stretch>
      </xdr:blipFill>
      <xdr:spPr>
        <a:xfrm>
          <a:off x="6858000" y="790575"/>
          <a:ext cx="390525" cy="368796"/>
        </a:xfrm>
        <a:prstGeom prst="rect">
          <a:avLst/>
        </a:prstGeom>
      </xdr:spPr>
    </xdr:pic>
    <xdr:clientData/>
  </xdr:twoCellAnchor>
  <xdr:twoCellAnchor editAs="oneCell">
    <xdr:from>
      <xdr:col>5</xdr:col>
      <xdr:colOff>542925</xdr:colOff>
      <xdr:row>12</xdr:row>
      <xdr:rowOff>9525</xdr:rowOff>
    </xdr:from>
    <xdr:to>
      <xdr:col>5</xdr:col>
      <xdr:colOff>809625</xdr:colOff>
      <xdr:row>14</xdr:row>
      <xdr:rowOff>133350</xdr:rowOff>
    </xdr:to>
    <xdr:pic>
      <xdr:nvPicPr>
        <xdr:cNvPr id="46" name="Рисунок 45" descr="Склеп.gif"/>
        <xdr:cNvPicPr>
          <a:picLocks noChangeAspect="1"/>
        </xdr:cNvPicPr>
      </xdr:nvPicPr>
      <xdr:blipFill>
        <a:blip xmlns:r="http://schemas.openxmlformats.org/officeDocument/2006/relationships" r:embed="rId2" cstate="print"/>
        <a:stretch>
          <a:fillRect/>
        </a:stretch>
      </xdr:blipFill>
      <xdr:spPr>
        <a:xfrm>
          <a:off x="6915150" y="1838325"/>
          <a:ext cx="266700" cy="447675"/>
        </a:xfrm>
        <a:prstGeom prst="rect">
          <a:avLst/>
        </a:prstGeom>
      </xdr:spPr>
    </xdr:pic>
    <xdr:clientData/>
  </xdr:twoCellAnchor>
  <xdr:twoCellAnchor editAs="oneCell">
    <xdr:from>
      <xdr:col>5</xdr:col>
      <xdr:colOff>371475</xdr:colOff>
      <xdr:row>16</xdr:row>
      <xdr:rowOff>9525</xdr:rowOff>
    </xdr:from>
    <xdr:to>
      <xdr:col>5</xdr:col>
      <xdr:colOff>990600</xdr:colOff>
      <xdr:row>16</xdr:row>
      <xdr:rowOff>781050</xdr:rowOff>
    </xdr:to>
    <xdr:pic>
      <xdr:nvPicPr>
        <xdr:cNvPr id="47" name="Рисунок 46" descr="Склеп.gif"/>
        <xdr:cNvPicPr>
          <a:picLocks noChangeAspect="1"/>
        </xdr:cNvPicPr>
      </xdr:nvPicPr>
      <xdr:blipFill>
        <a:blip xmlns:r="http://schemas.openxmlformats.org/officeDocument/2006/relationships" r:embed="rId3" cstate="print"/>
        <a:stretch>
          <a:fillRect/>
        </a:stretch>
      </xdr:blipFill>
      <xdr:spPr>
        <a:xfrm>
          <a:off x="6743700" y="2486025"/>
          <a:ext cx="619125" cy="771525"/>
        </a:xfrm>
        <a:prstGeom prst="rect">
          <a:avLst/>
        </a:prstGeom>
      </xdr:spPr>
    </xdr:pic>
    <xdr:clientData/>
  </xdr:twoCellAnchor>
  <xdr:twoCellAnchor editAs="oneCell">
    <xdr:from>
      <xdr:col>5</xdr:col>
      <xdr:colOff>466725</xdr:colOff>
      <xdr:row>29</xdr:row>
      <xdr:rowOff>9525</xdr:rowOff>
    </xdr:from>
    <xdr:to>
      <xdr:col>5</xdr:col>
      <xdr:colOff>876300</xdr:colOff>
      <xdr:row>31</xdr:row>
      <xdr:rowOff>247650</xdr:rowOff>
    </xdr:to>
    <xdr:pic>
      <xdr:nvPicPr>
        <xdr:cNvPr id="5" name="Рисунок 4" descr="Склеп.gif"/>
        <xdr:cNvPicPr>
          <a:picLocks noChangeAspect="1"/>
        </xdr:cNvPicPr>
      </xdr:nvPicPr>
      <xdr:blipFill>
        <a:blip xmlns:r="http://schemas.openxmlformats.org/officeDocument/2006/relationships" r:embed="rId4" cstate="print"/>
        <a:stretch>
          <a:fillRect/>
        </a:stretch>
      </xdr:blipFill>
      <xdr:spPr>
        <a:xfrm>
          <a:off x="7029450" y="5219700"/>
          <a:ext cx="409575" cy="561975"/>
        </a:xfrm>
        <a:prstGeom prst="rect">
          <a:avLst/>
        </a:prstGeom>
      </xdr:spPr>
    </xdr:pic>
    <xdr:clientData/>
  </xdr:twoCellAnchor>
  <xdr:twoCellAnchor editAs="oneCell">
    <xdr:from>
      <xdr:col>5</xdr:col>
      <xdr:colOff>228600</xdr:colOff>
      <xdr:row>26</xdr:row>
      <xdr:rowOff>9525</xdr:rowOff>
    </xdr:from>
    <xdr:to>
      <xdr:col>5</xdr:col>
      <xdr:colOff>1133475</xdr:colOff>
      <xdr:row>27</xdr:row>
      <xdr:rowOff>419100</xdr:rowOff>
    </xdr:to>
    <xdr:pic>
      <xdr:nvPicPr>
        <xdr:cNvPr id="6" name="Рисунок 5" descr="Склеп.gif"/>
        <xdr:cNvPicPr>
          <a:picLocks noChangeAspect="1"/>
        </xdr:cNvPicPr>
      </xdr:nvPicPr>
      <xdr:blipFill>
        <a:blip xmlns:r="http://schemas.openxmlformats.org/officeDocument/2006/relationships" r:embed="rId5" cstate="print"/>
        <a:stretch>
          <a:fillRect/>
        </a:stretch>
      </xdr:blipFill>
      <xdr:spPr>
        <a:xfrm>
          <a:off x="6791325" y="5219700"/>
          <a:ext cx="904875" cy="5715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285750</xdr:colOff>
      <xdr:row>5</xdr:row>
      <xdr:rowOff>9525</xdr:rowOff>
    </xdr:from>
    <xdr:to>
      <xdr:col>3</xdr:col>
      <xdr:colOff>952500</xdr:colOff>
      <xdr:row>15</xdr:row>
      <xdr:rowOff>600075</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7467600" y="609600"/>
          <a:ext cx="666750" cy="3371850"/>
        </a:xfrm>
        <a:prstGeom prst="rect">
          <a:avLst/>
        </a:prstGeom>
        <a:noFill/>
      </xdr:spPr>
    </xdr:pic>
    <xdr:clientData/>
  </xdr:twoCellAnchor>
  <xdr:twoCellAnchor editAs="oneCell">
    <xdr:from>
      <xdr:col>3</xdr:col>
      <xdr:colOff>19050</xdr:colOff>
      <xdr:row>22</xdr:row>
      <xdr:rowOff>9525</xdr:rowOff>
    </xdr:from>
    <xdr:to>
      <xdr:col>4</xdr:col>
      <xdr:colOff>0</xdr:colOff>
      <xdr:row>22</xdr:row>
      <xdr:rowOff>638175</xdr:rowOff>
    </xdr:to>
    <xdr:pic>
      <xdr:nvPicPr>
        <xdr:cNvPr id="5" name="Рисунок 4" descr="Склеп.gif"/>
        <xdr:cNvPicPr>
          <a:picLocks noChangeAspect="1"/>
        </xdr:cNvPicPr>
      </xdr:nvPicPr>
      <xdr:blipFill>
        <a:blip xmlns:r="http://schemas.openxmlformats.org/officeDocument/2006/relationships" r:embed="rId2" cstate="print"/>
        <a:stretch>
          <a:fillRect/>
        </a:stretch>
      </xdr:blipFill>
      <xdr:spPr>
        <a:xfrm>
          <a:off x="7200900" y="5248275"/>
          <a:ext cx="1219200" cy="628650"/>
        </a:xfrm>
        <a:prstGeom prst="rect">
          <a:avLst/>
        </a:prstGeom>
      </xdr:spPr>
    </xdr:pic>
    <xdr:clientData/>
  </xdr:twoCellAnchor>
  <xdr:twoCellAnchor editAs="oneCell">
    <xdr:from>
      <xdr:col>3</xdr:col>
      <xdr:colOff>19050</xdr:colOff>
      <xdr:row>23</xdr:row>
      <xdr:rowOff>9525</xdr:rowOff>
    </xdr:from>
    <xdr:to>
      <xdr:col>4</xdr:col>
      <xdr:colOff>0</xdr:colOff>
      <xdr:row>23</xdr:row>
      <xdr:rowOff>476250</xdr:rowOff>
    </xdr:to>
    <xdr:pic>
      <xdr:nvPicPr>
        <xdr:cNvPr id="6" name="Рисунок 5" descr="Склеп.gif"/>
        <xdr:cNvPicPr>
          <a:picLocks noChangeAspect="1"/>
        </xdr:cNvPicPr>
      </xdr:nvPicPr>
      <xdr:blipFill>
        <a:blip xmlns:r="http://schemas.openxmlformats.org/officeDocument/2006/relationships" r:embed="rId3" cstate="print"/>
        <a:stretch>
          <a:fillRect/>
        </a:stretch>
      </xdr:blipFill>
      <xdr:spPr>
        <a:xfrm>
          <a:off x="7191375" y="6381750"/>
          <a:ext cx="1219200" cy="466725"/>
        </a:xfrm>
        <a:prstGeom prst="rect">
          <a:avLst/>
        </a:prstGeom>
      </xdr:spPr>
    </xdr:pic>
    <xdr:clientData/>
  </xdr:twoCellAnchor>
  <xdr:twoCellAnchor editAs="oneCell">
    <xdr:from>
      <xdr:col>3</xdr:col>
      <xdr:colOff>19050</xdr:colOff>
      <xdr:row>24</xdr:row>
      <xdr:rowOff>9524</xdr:rowOff>
    </xdr:from>
    <xdr:to>
      <xdr:col>4</xdr:col>
      <xdr:colOff>0</xdr:colOff>
      <xdr:row>24</xdr:row>
      <xdr:rowOff>476249</xdr:rowOff>
    </xdr:to>
    <xdr:pic>
      <xdr:nvPicPr>
        <xdr:cNvPr id="7" name="Рисунок 6" descr="Склеп.gif"/>
        <xdr:cNvPicPr>
          <a:picLocks noChangeAspect="1"/>
        </xdr:cNvPicPr>
      </xdr:nvPicPr>
      <xdr:blipFill>
        <a:blip xmlns:r="http://schemas.openxmlformats.org/officeDocument/2006/relationships" r:embed="rId4" cstate="print"/>
        <a:stretch>
          <a:fillRect/>
        </a:stretch>
      </xdr:blipFill>
      <xdr:spPr>
        <a:xfrm>
          <a:off x="7200900" y="6219824"/>
          <a:ext cx="1219200" cy="466725"/>
        </a:xfrm>
        <a:prstGeom prst="rect">
          <a:avLst/>
        </a:prstGeom>
      </xdr:spPr>
    </xdr:pic>
    <xdr:clientData/>
  </xdr:twoCellAnchor>
  <xdr:twoCellAnchor editAs="oneCell">
    <xdr:from>
      <xdr:col>3</xdr:col>
      <xdr:colOff>19050</xdr:colOff>
      <xdr:row>25</xdr:row>
      <xdr:rowOff>9525</xdr:rowOff>
    </xdr:from>
    <xdr:to>
      <xdr:col>4</xdr:col>
      <xdr:colOff>0</xdr:colOff>
      <xdr:row>27</xdr:row>
      <xdr:rowOff>104775</xdr:rowOff>
    </xdr:to>
    <xdr:pic>
      <xdr:nvPicPr>
        <xdr:cNvPr id="8" name="Рисунок 7" descr="Склеп.gif"/>
        <xdr:cNvPicPr>
          <a:picLocks noChangeAspect="1"/>
        </xdr:cNvPicPr>
      </xdr:nvPicPr>
      <xdr:blipFill>
        <a:blip xmlns:r="http://schemas.openxmlformats.org/officeDocument/2006/relationships" r:embed="rId5" cstate="print"/>
        <a:stretch>
          <a:fillRect/>
        </a:stretch>
      </xdr:blipFill>
      <xdr:spPr>
        <a:xfrm>
          <a:off x="7200900" y="6705600"/>
          <a:ext cx="1219200" cy="476250"/>
        </a:xfrm>
        <a:prstGeom prst="rect">
          <a:avLst/>
        </a:prstGeom>
      </xdr:spPr>
    </xdr:pic>
    <xdr:clientData/>
  </xdr:twoCellAnchor>
  <xdr:twoCellAnchor editAs="oneCell">
    <xdr:from>
      <xdr:col>3</xdr:col>
      <xdr:colOff>247650</xdr:colOff>
      <xdr:row>37</xdr:row>
      <xdr:rowOff>9525</xdr:rowOff>
    </xdr:from>
    <xdr:to>
      <xdr:col>3</xdr:col>
      <xdr:colOff>1009650</xdr:colOff>
      <xdr:row>39</xdr:row>
      <xdr:rowOff>666750</xdr:rowOff>
    </xdr:to>
    <xdr:pic>
      <xdr:nvPicPr>
        <xdr:cNvPr id="9"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7467600" y="10668000"/>
          <a:ext cx="762000" cy="1143000"/>
        </a:xfrm>
        <a:prstGeom prst="rect">
          <a:avLst/>
        </a:prstGeom>
        <a:noFill/>
      </xdr:spPr>
    </xdr:pic>
    <xdr:clientData/>
  </xdr:twoCellAnchor>
  <xdr:twoCellAnchor editAs="oneCell">
    <xdr:from>
      <xdr:col>3</xdr:col>
      <xdr:colOff>19050</xdr:colOff>
      <xdr:row>41</xdr:row>
      <xdr:rowOff>85725</xdr:rowOff>
    </xdr:from>
    <xdr:to>
      <xdr:col>3</xdr:col>
      <xdr:colOff>1229285</xdr:colOff>
      <xdr:row>41</xdr:row>
      <xdr:rowOff>390525</xdr:rowOff>
    </xdr:to>
    <xdr:pic>
      <xdr:nvPicPr>
        <xdr:cNvPr id="97283"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7239000" y="12211050"/>
          <a:ext cx="1210235" cy="30480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5</xdr:col>
      <xdr:colOff>352425</xdr:colOff>
      <xdr:row>86</xdr:row>
      <xdr:rowOff>9525</xdr:rowOff>
    </xdr:from>
    <xdr:to>
      <xdr:col>5</xdr:col>
      <xdr:colOff>1030116</xdr:colOff>
      <xdr:row>87</xdr:row>
      <xdr:rowOff>466725</xdr:rowOff>
    </xdr:to>
    <xdr:pic>
      <xdr:nvPicPr>
        <xdr:cNvPr id="73" name="Picture 24"/>
        <xdr:cNvPicPr>
          <a:picLocks noChangeAspect="1" noChangeArrowheads="1"/>
        </xdr:cNvPicPr>
      </xdr:nvPicPr>
      <xdr:blipFill>
        <a:blip xmlns:r="http://schemas.openxmlformats.org/officeDocument/2006/relationships" r:embed="rId1" cstate="print"/>
        <a:srcRect/>
        <a:stretch>
          <a:fillRect/>
        </a:stretch>
      </xdr:blipFill>
      <xdr:spPr bwMode="auto">
        <a:xfrm>
          <a:off x="7143750" y="17792700"/>
          <a:ext cx="677691" cy="619125"/>
        </a:xfrm>
        <a:prstGeom prst="rect">
          <a:avLst/>
        </a:prstGeom>
        <a:noFill/>
      </xdr:spPr>
    </xdr:pic>
    <xdr:clientData/>
  </xdr:twoCellAnchor>
  <xdr:twoCellAnchor editAs="oneCell">
    <xdr:from>
      <xdr:col>5</xdr:col>
      <xdr:colOff>371476</xdr:colOff>
      <xdr:row>89</xdr:row>
      <xdr:rowOff>9525</xdr:rowOff>
    </xdr:from>
    <xdr:to>
      <xdr:col>5</xdr:col>
      <xdr:colOff>1013252</xdr:colOff>
      <xdr:row>91</xdr:row>
      <xdr:rowOff>142875</xdr:rowOff>
    </xdr:to>
    <xdr:pic>
      <xdr:nvPicPr>
        <xdr:cNvPr id="76" name="Picture 26"/>
        <xdr:cNvPicPr>
          <a:picLocks noChangeAspect="1" noChangeArrowheads="1"/>
        </xdr:cNvPicPr>
      </xdr:nvPicPr>
      <xdr:blipFill>
        <a:blip xmlns:r="http://schemas.openxmlformats.org/officeDocument/2006/relationships" r:embed="rId2" cstate="print"/>
        <a:srcRect/>
        <a:stretch>
          <a:fillRect/>
        </a:stretch>
      </xdr:blipFill>
      <xdr:spPr bwMode="auto">
        <a:xfrm>
          <a:off x="7162801" y="18440400"/>
          <a:ext cx="641776" cy="619125"/>
        </a:xfrm>
        <a:prstGeom prst="rect">
          <a:avLst/>
        </a:prstGeom>
        <a:noFill/>
      </xdr:spPr>
    </xdr:pic>
    <xdr:clientData/>
  </xdr:twoCellAnchor>
  <xdr:twoCellAnchor editAs="oneCell">
    <xdr:from>
      <xdr:col>5</xdr:col>
      <xdr:colOff>161926</xdr:colOff>
      <xdr:row>109</xdr:row>
      <xdr:rowOff>9525</xdr:rowOff>
    </xdr:from>
    <xdr:to>
      <xdr:col>5</xdr:col>
      <xdr:colOff>1219200</xdr:colOff>
      <xdr:row>109</xdr:row>
      <xdr:rowOff>809782</xdr:rowOff>
    </xdr:to>
    <xdr:pic>
      <xdr:nvPicPr>
        <xdr:cNvPr id="22"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953251" y="22221825"/>
          <a:ext cx="1057274" cy="800257"/>
        </a:xfrm>
        <a:prstGeom prst="rect">
          <a:avLst/>
        </a:prstGeom>
        <a:noFill/>
      </xdr:spPr>
    </xdr:pic>
    <xdr:clientData/>
  </xdr:twoCellAnchor>
  <xdr:twoCellAnchor editAs="oneCell">
    <xdr:from>
      <xdr:col>5</xdr:col>
      <xdr:colOff>352425</xdr:colOff>
      <xdr:row>111</xdr:row>
      <xdr:rowOff>28575</xdr:rowOff>
    </xdr:from>
    <xdr:to>
      <xdr:col>5</xdr:col>
      <xdr:colOff>1038225</xdr:colOff>
      <xdr:row>113</xdr:row>
      <xdr:rowOff>123825</xdr:rowOff>
    </xdr:to>
    <xdr:pic>
      <xdr:nvPicPr>
        <xdr:cNvPr id="25"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7143750" y="23050500"/>
          <a:ext cx="685800" cy="419100"/>
        </a:xfrm>
        <a:prstGeom prst="rect">
          <a:avLst/>
        </a:prstGeom>
        <a:noFill/>
      </xdr:spPr>
    </xdr:pic>
    <xdr:clientData/>
  </xdr:twoCellAnchor>
  <xdr:twoCellAnchor editAs="oneCell">
    <xdr:from>
      <xdr:col>5</xdr:col>
      <xdr:colOff>485775</xdr:colOff>
      <xdr:row>122</xdr:row>
      <xdr:rowOff>57150</xdr:rowOff>
    </xdr:from>
    <xdr:to>
      <xdr:col>5</xdr:col>
      <xdr:colOff>885825</xdr:colOff>
      <xdr:row>123</xdr:row>
      <xdr:rowOff>238125</xdr:rowOff>
    </xdr:to>
    <xdr:pic>
      <xdr:nvPicPr>
        <xdr:cNvPr id="28"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7277100" y="23564850"/>
          <a:ext cx="400050" cy="342900"/>
        </a:xfrm>
        <a:prstGeom prst="rect">
          <a:avLst/>
        </a:prstGeom>
        <a:noFill/>
      </xdr:spPr>
    </xdr:pic>
    <xdr:clientData/>
  </xdr:twoCellAnchor>
  <xdr:twoCellAnchor editAs="oneCell">
    <xdr:from>
      <xdr:col>5</xdr:col>
      <xdr:colOff>76200</xdr:colOff>
      <xdr:row>125</xdr:row>
      <xdr:rowOff>9525</xdr:rowOff>
    </xdr:from>
    <xdr:to>
      <xdr:col>5</xdr:col>
      <xdr:colOff>1300057</xdr:colOff>
      <xdr:row>126</xdr:row>
      <xdr:rowOff>971550</xdr:rowOff>
    </xdr:to>
    <xdr:pic>
      <xdr:nvPicPr>
        <xdr:cNvPr id="30"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6896100" y="24060150"/>
          <a:ext cx="1223857" cy="1123950"/>
        </a:xfrm>
        <a:prstGeom prst="rect">
          <a:avLst/>
        </a:prstGeom>
        <a:noFill/>
      </xdr:spPr>
    </xdr:pic>
    <xdr:clientData/>
  </xdr:twoCellAnchor>
  <xdr:twoCellAnchor editAs="oneCell">
    <xdr:from>
      <xdr:col>5</xdr:col>
      <xdr:colOff>266700</xdr:colOff>
      <xdr:row>128</xdr:row>
      <xdr:rowOff>57150</xdr:rowOff>
    </xdr:from>
    <xdr:to>
      <xdr:col>5</xdr:col>
      <xdr:colOff>1095375</xdr:colOff>
      <xdr:row>129</xdr:row>
      <xdr:rowOff>447675</xdr:rowOff>
    </xdr:to>
    <xdr:pic>
      <xdr:nvPicPr>
        <xdr:cNvPr id="26"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7058025" y="25241250"/>
          <a:ext cx="828675" cy="552450"/>
        </a:xfrm>
        <a:prstGeom prst="rect">
          <a:avLst/>
        </a:prstGeom>
        <a:noFill/>
      </xdr:spPr>
    </xdr:pic>
    <xdr:clientData/>
  </xdr:twoCellAnchor>
  <xdr:twoCellAnchor editAs="oneCell">
    <xdr:from>
      <xdr:col>5</xdr:col>
      <xdr:colOff>295275</xdr:colOff>
      <xdr:row>4</xdr:row>
      <xdr:rowOff>0</xdr:rowOff>
    </xdr:from>
    <xdr:to>
      <xdr:col>5</xdr:col>
      <xdr:colOff>1095375</xdr:colOff>
      <xdr:row>6</xdr:row>
      <xdr:rowOff>95250</xdr:rowOff>
    </xdr:to>
    <xdr:pic>
      <xdr:nvPicPr>
        <xdr:cNvPr id="27"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7115175" y="438150"/>
          <a:ext cx="800100" cy="581025"/>
        </a:xfrm>
        <a:prstGeom prst="rect">
          <a:avLst/>
        </a:prstGeom>
        <a:noFill/>
      </xdr:spPr>
    </xdr:pic>
    <xdr:clientData/>
  </xdr:twoCellAnchor>
  <xdr:twoCellAnchor editAs="oneCell">
    <xdr:from>
      <xdr:col>5</xdr:col>
      <xdr:colOff>200025</xdr:colOff>
      <xdr:row>7</xdr:row>
      <xdr:rowOff>0</xdr:rowOff>
    </xdr:from>
    <xdr:to>
      <xdr:col>5</xdr:col>
      <xdr:colOff>1193864</xdr:colOff>
      <xdr:row>8</xdr:row>
      <xdr:rowOff>733425</xdr:rowOff>
    </xdr:to>
    <xdr:pic>
      <xdr:nvPicPr>
        <xdr:cNvPr id="29" name="Picture 4"/>
        <xdr:cNvPicPr>
          <a:picLocks noChangeAspect="1" noChangeArrowheads="1"/>
        </xdr:cNvPicPr>
      </xdr:nvPicPr>
      <xdr:blipFill>
        <a:blip xmlns:r="http://schemas.openxmlformats.org/officeDocument/2006/relationships" r:embed="rId9" cstate="print"/>
        <a:srcRect/>
        <a:stretch>
          <a:fillRect/>
        </a:stretch>
      </xdr:blipFill>
      <xdr:spPr bwMode="auto">
        <a:xfrm>
          <a:off x="7019925" y="1085850"/>
          <a:ext cx="993839" cy="895350"/>
        </a:xfrm>
        <a:prstGeom prst="rect">
          <a:avLst/>
        </a:prstGeom>
        <a:noFill/>
      </xdr:spPr>
    </xdr:pic>
    <xdr:clientData/>
  </xdr:twoCellAnchor>
  <xdr:twoCellAnchor editAs="oneCell">
    <xdr:from>
      <xdr:col>5</xdr:col>
      <xdr:colOff>9525</xdr:colOff>
      <xdr:row>10</xdr:row>
      <xdr:rowOff>0</xdr:rowOff>
    </xdr:from>
    <xdr:to>
      <xdr:col>5</xdr:col>
      <xdr:colOff>1371600</xdr:colOff>
      <xdr:row>15</xdr:row>
      <xdr:rowOff>238125</xdr:rowOff>
    </xdr:to>
    <xdr:pic>
      <xdr:nvPicPr>
        <xdr:cNvPr id="31" name="Picture 6"/>
        <xdr:cNvPicPr>
          <a:picLocks noChangeAspect="1" noChangeArrowheads="1"/>
        </xdr:cNvPicPr>
      </xdr:nvPicPr>
      <xdr:blipFill>
        <a:blip xmlns:r="http://schemas.openxmlformats.org/officeDocument/2006/relationships" r:embed="rId10" cstate="print"/>
        <a:srcRect/>
        <a:stretch>
          <a:fillRect/>
        </a:stretch>
      </xdr:blipFill>
      <xdr:spPr bwMode="auto">
        <a:xfrm>
          <a:off x="6829425" y="2124075"/>
          <a:ext cx="1362075" cy="1438275"/>
        </a:xfrm>
        <a:prstGeom prst="rect">
          <a:avLst/>
        </a:prstGeom>
        <a:noFill/>
      </xdr:spPr>
    </xdr:pic>
    <xdr:clientData/>
  </xdr:twoCellAnchor>
  <xdr:twoCellAnchor editAs="oneCell">
    <xdr:from>
      <xdr:col>5</xdr:col>
      <xdr:colOff>371475</xdr:colOff>
      <xdr:row>17</xdr:row>
      <xdr:rowOff>0</xdr:rowOff>
    </xdr:from>
    <xdr:to>
      <xdr:col>5</xdr:col>
      <xdr:colOff>1000124</xdr:colOff>
      <xdr:row>19</xdr:row>
      <xdr:rowOff>303747</xdr:rowOff>
    </xdr:to>
    <xdr:pic>
      <xdr:nvPicPr>
        <xdr:cNvPr id="32" name="Picture 8"/>
        <xdr:cNvPicPr>
          <a:picLocks noChangeAspect="1" noChangeArrowheads="1"/>
        </xdr:cNvPicPr>
      </xdr:nvPicPr>
      <xdr:blipFill>
        <a:blip xmlns:r="http://schemas.openxmlformats.org/officeDocument/2006/relationships" r:embed="rId11" cstate="print"/>
        <a:srcRect/>
        <a:stretch>
          <a:fillRect/>
        </a:stretch>
      </xdr:blipFill>
      <xdr:spPr bwMode="auto">
        <a:xfrm>
          <a:off x="7191375" y="4038600"/>
          <a:ext cx="628649" cy="1122897"/>
        </a:xfrm>
        <a:prstGeom prst="rect">
          <a:avLst/>
        </a:prstGeom>
        <a:noFill/>
      </xdr:spPr>
    </xdr:pic>
    <xdr:clientData/>
  </xdr:twoCellAnchor>
  <xdr:twoCellAnchor editAs="oneCell">
    <xdr:from>
      <xdr:col>5</xdr:col>
      <xdr:colOff>390525</xdr:colOff>
      <xdr:row>21</xdr:row>
      <xdr:rowOff>0</xdr:rowOff>
    </xdr:from>
    <xdr:to>
      <xdr:col>5</xdr:col>
      <xdr:colOff>979251</xdr:colOff>
      <xdr:row>23</xdr:row>
      <xdr:rowOff>304800</xdr:rowOff>
    </xdr:to>
    <xdr:pic>
      <xdr:nvPicPr>
        <xdr:cNvPr id="33" name="Рисунок 32" descr="Склеп.gif"/>
        <xdr:cNvPicPr>
          <a:picLocks noChangeAspect="1"/>
        </xdr:cNvPicPr>
      </xdr:nvPicPr>
      <xdr:blipFill>
        <a:blip xmlns:r="http://schemas.openxmlformats.org/officeDocument/2006/relationships" r:embed="rId12" cstate="print"/>
        <a:stretch>
          <a:fillRect/>
        </a:stretch>
      </xdr:blipFill>
      <xdr:spPr>
        <a:xfrm>
          <a:off x="7210425" y="5238750"/>
          <a:ext cx="588726" cy="790575"/>
        </a:xfrm>
        <a:prstGeom prst="rect">
          <a:avLst/>
        </a:prstGeom>
      </xdr:spPr>
    </xdr:pic>
    <xdr:clientData/>
  </xdr:twoCellAnchor>
  <xdr:twoCellAnchor editAs="oneCell">
    <xdr:from>
      <xdr:col>5</xdr:col>
      <xdr:colOff>314325</xdr:colOff>
      <xdr:row>24</xdr:row>
      <xdr:rowOff>0</xdr:rowOff>
    </xdr:from>
    <xdr:to>
      <xdr:col>5</xdr:col>
      <xdr:colOff>619125</xdr:colOff>
      <xdr:row>28</xdr:row>
      <xdr:rowOff>200025</xdr:rowOff>
    </xdr:to>
    <xdr:pic>
      <xdr:nvPicPr>
        <xdr:cNvPr id="34" name="Рисунок 33" descr="Склеп.gif"/>
        <xdr:cNvPicPr>
          <a:picLocks noChangeAspect="1"/>
        </xdr:cNvPicPr>
      </xdr:nvPicPr>
      <xdr:blipFill>
        <a:blip xmlns:r="http://schemas.openxmlformats.org/officeDocument/2006/relationships" r:embed="rId13" cstate="print"/>
        <a:stretch>
          <a:fillRect/>
        </a:stretch>
      </xdr:blipFill>
      <xdr:spPr>
        <a:xfrm>
          <a:off x="7134225" y="6057900"/>
          <a:ext cx="304800" cy="904875"/>
        </a:xfrm>
        <a:prstGeom prst="rect">
          <a:avLst/>
        </a:prstGeom>
      </xdr:spPr>
    </xdr:pic>
    <xdr:clientData/>
  </xdr:twoCellAnchor>
  <xdr:twoCellAnchor editAs="oneCell">
    <xdr:from>
      <xdr:col>5</xdr:col>
      <xdr:colOff>752475</xdr:colOff>
      <xdr:row>24</xdr:row>
      <xdr:rowOff>76200</xdr:rowOff>
    </xdr:from>
    <xdr:to>
      <xdr:col>5</xdr:col>
      <xdr:colOff>1038225</xdr:colOff>
      <xdr:row>28</xdr:row>
      <xdr:rowOff>219075</xdr:rowOff>
    </xdr:to>
    <xdr:pic>
      <xdr:nvPicPr>
        <xdr:cNvPr id="35" name="Рисунок 34" descr="Склеп.gif"/>
        <xdr:cNvPicPr>
          <a:picLocks noChangeAspect="1"/>
        </xdr:cNvPicPr>
      </xdr:nvPicPr>
      <xdr:blipFill>
        <a:blip xmlns:r="http://schemas.openxmlformats.org/officeDocument/2006/relationships" r:embed="rId14" cstate="print"/>
        <a:stretch>
          <a:fillRect/>
        </a:stretch>
      </xdr:blipFill>
      <xdr:spPr>
        <a:xfrm>
          <a:off x="7572375" y="6134100"/>
          <a:ext cx="285750" cy="847725"/>
        </a:xfrm>
        <a:prstGeom prst="rect">
          <a:avLst/>
        </a:prstGeom>
      </xdr:spPr>
    </xdr:pic>
    <xdr:clientData/>
  </xdr:twoCellAnchor>
  <xdr:twoCellAnchor editAs="oneCell">
    <xdr:from>
      <xdr:col>5</xdr:col>
      <xdr:colOff>47625</xdr:colOff>
      <xdr:row>30</xdr:row>
      <xdr:rowOff>0</xdr:rowOff>
    </xdr:from>
    <xdr:to>
      <xdr:col>5</xdr:col>
      <xdr:colOff>1314450</xdr:colOff>
      <xdr:row>33</xdr:row>
      <xdr:rowOff>152400</xdr:rowOff>
    </xdr:to>
    <xdr:pic>
      <xdr:nvPicPr>
        <xdr:cNvPr id="36" name="Picture 10"/>
        <xdr:cNvPicPr>
          <a:picLocks noChangeAspect="1" noChangeArrowheads="1"/>
        </xdr:cNvPicPr>
      </xdr:nvPicPr>
      <xdr:blipFill>
        <a:blip xmlns:r="http://schemas.openxmlformats.org/officeDocument/2006/relationships" r:embed="rId15" cstate="print"/>
        <a:srcRect/>
        <a:stretch>
          <a:fillRect/>
        </a:stretch>
      </xdr:blipFill>
      <xdr:spPr bwMode="auto">
        <a:xfrm>
          <a:off x="6867525" y="7143750"/>
          <a:ext cx="1266825" cy="638175"/>
        </a:xfrm>
        <a:prstGeom prst="rect">
          <a:avLst/>
        </a:prstGeom>
        <a:noFill/>
      </xdr:spPr>
    </xdr:pic>
    <xdr:clientData/>
  </xdr:twoCellAnchor>
  <xdr:twoCellAnchor editAs="oneCell">
    <xdr:from>
      <xdr:col>5</xdr:col>
      <xdr:colOff>0</xdr:colOff>
      <xdr:row>45</xdr:row>
      <xdr:rowOff>0</xdr:rowOff>
    </xdr:from>
    <xdr:to>
      <xdr:col>5</xdr:col>
      <xdr:colOff>1367162</xdr:colOff>
      <xdr:row>49</xdr:row>
      <xdr:rowOff>133350</xdr:rowOff>
    </xdr:to>
    <xdr:pic>
      <xdr:nvPicPr>
        <xdr:cNvPr id="37" name="Picture 12"/>
        <xdr:cNvPicPr>
          <a:picLocks noChangeAspect="1" noChangeArrowheads="1"/>
        </xdr:cNvPicPr>
      </xdr:nvPicPr>
      <xdr:blipFill>
        <a:blip xmlns:r="http://schemas.openxmlformats.org/officeDocument/2006/relationships" r:embed="rId16" cstate="print"/>
        <a:srcRect/>
        <a:stretch>
          <a:fillRect/>
        </a:stretch>
      </xdr:blipFill>
      <xdr:spPr bwMode="auto">
        <a:xfrm>
          <a:off x="6819900" y="9467850"/>
          <a:ext cx="1367162" cy="838200"/>
        </a:xfrm>
        <a:prstGeom prst="rect">
          <a:avLst/>
        </a:prstGeom>
        <a:noFill/>
      </xdr:spPr>
    </xdr:pic>
    <xdr:clientData/>
  </xdr:twoCellAnchor>
  <xdr:twoCellAnchor editAs="oneCell">
    <xdr:from>
      <xdr:col>5</xdr:col>
      <xdr:colOff>0</xdr:colOff>
      <xdr:row>51</xdr:row>
      <xdr:rowOff>0</xdr:rowOff>
    </xdr:from>
    <xdr:to>
      <xdr:col>5</xdr:col>
      <xdr:colOff>1364671</xdr:colOff>
      <xdr:row>54</xdr:row>
      <xdr:rowOff>47625</xdr:rowOff>
    </xdr:to>
    <xdr:pic>
      <xdr:nvPicPr>
        <xdr:cNvPr id="38" name="Picture 14"/>
        <xdr:cNvPicPr>
          <a:picLocks noChangeAspect="1" noChangeArrowheads="1"/>
        </xdr:cNvPicPr>
      </xdr:nvPicPr>
      <xdr:blipFill>
        <a:blip xmlns:r="http://schemas.openxmlformats.org/officeDocument/2006/relationships" r:embed="rId17" cstate="print"/>
        <a:srcRect/>
        <a:stretch>
          <a:fillRect/>
        </a:stretch>
      </xdr:blipFill>
      <xdr:spPr bwMode="auto">
        <a:xfrm>
          <a:off x="6819900" y="10725150"/>
          <a:ext cx="1364671" cy="695325"/>
        </a:xfrm>
        <a:prstGeom prst="rect">
          <a:avLst/>
        </a:prstGeom>
        <a:noFill/>
      </xdr:spPr>
    </xdr:pic>
    <xdr:clientData/>
  </xdr:twoCellAnchor>
  <xdr:twoCellAnchor editAs="oneCell">
    <xdr:from>
      <xdr:col>5</xdr:col>
      <xdr:colOff>238125</xdr:colOff>
      <xdr:row>57</xdr:row>
      <xdr:rowOff>0</xdr:rowOff>
    </xdr:from>
    <xdr:to>
      <xdr:col>5</xdr:col>
      <xdr:colOff>1133475</xdr:colOff>
      <xdr:row>59</xdr:row>
      <xdr:rowOff>401624</xdr:rowOff>
    </xdr:to>
    <xdr:pic>
      <xdr:nvPicPr>
        <xdr:cNvPr id="39" name="Picture 16"/>
        <xdr:cNvPicPr>
          <a:picLocks noChangeAspect="1" noChangeArrowheads="1"/>
        </xdr:cNvPicPr>
      </xdr:nvPicPr>
      <xdr:blipFill>
        <a:blip xmlns:r="http://schemas.openxmlformats.org/officeDocument/2006/relationships" r:embed="rId18" cstate="print"/>
        <a:srcRect/>
        <a:stretch>
          <a:fillRect/>
        </a:stretch>
      </xdr:blipFill>
      <xdr:spPr bwMode="auto">
        <a:xfrm>
          <a:off x="7058025" y="11753850"/>
          <a:ext cx="895350" cy="1058849"/>
        </a:xfrm>
        <a:prstGeom prst="rect">
          <a:avLst/>
        </a:prstGeom>
        <a:noFill/>
      </xdr:spPr>
    </xdr:pic>
    <xdr:clientData/>
  </xdr:twoCellAnchor>
  <xdr:twoCellAnchor editAs="oneCell">
    <xdr:from>
      <xdr:col>5</xdr:col>
      <xdr:colOff>0</xdr:colOff>
      <xdr:row>65</xdr:row>
      <xdr:rowOff>0</xdr:rowOff>
    </xdr:from>
    <xdr:to>
      <xdr:col>5</xdr:col>
      <xdr:colOff>1353325</xdr:colOff>
      <xdr:row>69</xdr:row>
      <xdr:rowOff>457200</xdr:rowOff>
    </xdr:to>
    <xdr:pic>
      <xdr:nvPicPr>
        <xdr:cNvPr id="40" name="Picture 18"/>
        <xdr:cNvPicPr>
          <a:picLocks noChangeAspect="1" noChangeArrowheads="1"/>
        </xdr:cNvPicPr>
      </xdr:nvPicPr>
      <xdr:blipFill>
        <a:blip xmlns:r="http://schemas.openxmlformats.org/officeDocument/2006/relationships" r:embed="rId19" cstate="print"/>
        <a:srcRect/>
        <a:stretch>
          <a:fillRect/>
        </a:stretch>
      </xdr:blipFill>
      <xdr:spPr bwMode="auto">
        <a:xfrm>
          <a:off x="6819900" y="13677900"/>
          <a:ext cx="1353325" cy="1495425"/>
        </a:xfrm>
        <a:prstGeom prst="rect">
          <a:avLst/>
        </a:prstGeom>
        <a:noFill/>
      </xdr:spPr>
    </xdr:pic>
    <xdr:clientData/>
  </xdr:twoCellAnchor>
  <xdr:twoCellAnchor editAs="oneCell">
    <xdr:from>
      <xdr:col>5</xdr:col>
      <xdr:colOff>180975</xdr:colOff>
      <xdr:row>70</xdr:row>
      <xdr:rowOff>47625</xdr:rowOff>
    </xdr:from>
    <xdr:to>
      <xdr:col>5</xdr:col>
      <xdr:colOff>1205026</xdr:colOff>
      <xdr:row>73</xdr:row>
      <xdr:rowOff>136525</xdr:rowOff>
    </xdr:to>
    <xdr:pic>
      <xdr:nvPicPr>
        <xdr:cNvPr id="42" name="Picture 22"/>
        <xdr:cNvPicPr>
          <a:picLocks noChangeAspect="1" noChangeArrowheads="1"/>
        </xdr:cNvPicPr>
      </xdr:nvPicPr>
      <xdr:blipFill>
        <a:blip xmlns:r="http://schemas.openxmlformats.org/officeDocument/2006/relationships" r:embed="rId20" cstate="print"/>
        <a:srcRect/>
        <a:stretch>
          <a:fillRect/>
        </a:stretch>
      </xdr:blipFill>
      <xdr:spPr bwMode="auto">
        <a:xfrm>
          <a:off x="7007225" y="15319375"/>
          <a:ext cx="1024051" cy="628650"/>
        </a:xfrm>
        <a:prstGeom prst="rect">
          <a:avLst/>
        </a:prstGeom>
        <a:noFill/>
      </xdr:spPr>
    </xdr:pic>
    <xdr:clientData/>
  </xdr:twoCellAnchor>
  <xdr:twoCellAnchor editAs="oneCell">
    <xdr:from>
      <xdr:col>5</xdr:col>
      <xdr:colOff>342900</xdr:colOff>
      <xdr:row>74</xdr:row>
      <xdr:rowOff>31750</xdr:rowOff>
    </xdr:from>
    <xdr:to>
      <xdr:col>5</xdr:col>
      <xdr:colOff>1028700</xdr:colOff>
      <xdr:row>76</xdr:row>
      <xdr:rowOff>0</xdr:rowOff>
    </xdr:to>
    <xdr:pic>
      <xdr:nvPicPr>
        <xdr:cNvPr id="43" name="Picture 20"/>
        <xdr:cNvPicPr>
          <a:picLocks noChangeAspect="1" noChangeArrowheads="1"/>
        </xdr:cNvPicPr>
      </xdr:nvPicPr>
      <xdr:blipFill>
        <a:blip xmlns:r="http://schemas.openxmlformats.org/officeDocument/2006/relationships" r:embed="rId21" cstate="print"/>
        <a:srcRect/>
        <a:stretch>
          <a:fillRect/>
        </a:stretch>
      </xdr:blipFill>
      <xdr:spPr bwMode="auto">
        <a:xfrm>
          <a:off x="7169150" y="16002000"/>
          <a:ext cx="685800" cy="777875"/>
        </a:xfrm>
        <a:prstGeom prst="rect">
          <a:avLst/>
        </a:prstGeom>
        <a:noFill/>
      </xdr:spPr>
    </xdr:pic>
    <xdr:clientData/>
  </xdr:twoCellAnchor>
  <xdr:twoCellAnchor editAs="oneCell">
    <xdr:from>
      <xdr:col>5</xdr:col>
      <xdr:colOff>238125</xdr:colOff>
      <xdr:row>92</xdr:row>
      <xdr:rowOff>0</xdr:rowOff>
    </xdr:from>
    <xdr:to>
      <xdr:col>5</xdr:col>
      <xdr:colOff>1095375</xdr:colOff>
      <xdr:row>102</xdr:row>
      <xdr:rowOff>142875</xdr:rowOff>
    </xdr:to>
    <xdr:pic>
      <xdr:nvPicPr>
        <xdr:cNvPr id="45" name="Picture 28"/>
        <xdr:cNvPicPr>
          <a:picLocks noChangeAspect="1" noChangeArrowheads="1"/>
        </xdr:cNvPicPr>
      </xdr:nvPicPr>
      <xdr:blipFill>
        <a:blip xmlns:r="http://schemas.openxmlformats.org/officeDocument/2006/relationships" r:embed="rId22" cstate="print"/>
        <a:srcRect/>
        <a:stretch>
          <a:fillRect/>
        </a:stretch>
      </xdr:blipFill>
      <xdr:spPr bwMode="auto">
        <a:xfrm>
          <a:off x="7058025" y="19869150"/>
          <a:ext cx="857250" cy="2095500"/>
        </a:xfrm>
        <a:prstGeom prst="rect">
          <a:avLst/>
        </a:prstGeom>
        <a:noFill/>
      </xdr:spPr>
    </xdr:pic>
    <xdr:clientData/>
  </xdr:twoCellAnchor>
  <xdr:twoCellAnchor editAs="oneCell">
    <xdr:from>
      <xdr:col>5</xdr:col>
      <xdr:colOff>352425</xdr:colOff>
      <xdr:row>104</xdr:row>
      <xdr:rowOff>47625</xdr:rowOff>
    </xdr:from>
    <xdr:to>
      <xdr:col>5</xdr:col>
      <xdr:colOff>990600</xdr:colOff>
      <xdr:row>108</xdr:row>
      <xdr:rowOff>82215</xdr:rowOff>
    </xdr:to>
    <xdr:pic>
      <xdr:nvPicPr>
        <xdr:cNvPr id="46" name="Picture 30"/>
        <xdr:cNvPicPr>
          <a:picLocks noChangeAspect="1" noChangeArrowheads="1"/>
        </xdr:cNvPicPr>
      </xdr:nvPicPr>
      <xdr:blipFill>
        <a:blip xmlns:r="http://schemas.openxmlformats.org/officeDocument/2006/relationships" r:embed="rId23" cstate="print"/>
        <a:srcRect/>
        <a:stretch>
          <a:fillRect/>
        </a:stretch>
      </xdr:blipFill>
      <xdr:spPr bwMode="auto">
        <a:xfrm>
          <a:off x="7172325" y="22193250"/>
          <a:ext cx="638175" cy="806115"/>
        </a:xfrm>
        <a:prstGeom prst="rect">
          <a:avLst/>
        </a:prstGeom>
        <a:noFill/>
      </xdr:spPr>
    </xdr:pic>
    <xdr:clientData/>
  </xdr:twoCellAnchor>
  <xdr:twoCellAnchor editAs="oneCell">
    <xdr:from>
      <xdr:col>5</xdr:col>
      <xdr:colOff>333375</xdr:colOff>
      <xdr:row>132</xdr:row>
      <xdr:rowOff>0</xdr:rowOff>
    </xdr:from>
    <xdr:to>
      <xdr:col>5</xdr:col>
      <xdr:colOff>1028700</xdr:colOff>
      <xdr:row>133</xdr:row>
      <xdr:rowOff>438150</xdr:rowOff>
    </xdr:to>
    <xdr:pic>
      <xdr:nvPicPr>
        <xdr:cNvPr id="4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7153275" y="27270075"/>
          <a:ext cx="695325" cy="600075"/>
        </a:xfrm>
        <a:prstGeom prst="rect">
          <a:avLst/>
        </a:prstGeom>
        <a:noFill/>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21</xdr:col>
      <xdr:colOff>152400</xdr:colOff>
      <xdr:row>20</xdr:row>
      <xdr:rowOff>142875</xdr:rowOff>
    </xdr:from>
    <xdr:to>
      <xdr:col>24</xdr:col>
      <xdr:colOff>285750</xdr:colOff>
      <xdr:row>25</xdr:row>
      <xdr:rowOff>19050</xdr:rowOff>
    </xdr:to>
    <xdr:pic>
      <xdr:nvPicPr>
        <xdr:cNvPr id="649" name="Picture 20"/>
        <xdr:cNvPicPr>
          <a:picLocks noChangeAspect="1" noChangeArrowheads="1"/>
        </xdr:cNvPicPr>
      </xdr:nvPicPr>
      <xdr:blipFill>
        <a:blip xmlns:r="http://schemas.openxmlformats.org/officeDocument/2006/relationships" r:embed="rId1" cstate="print"/>
        <a:srcRect/>
        <a:stretch>
          <a:fillRect/>
        </a:stretch>
      </xdr:blipFill>
      <xdr:spPr bwMode="auto">
        <a:xfrm>
          <a:off x="6877050" y="4638675"/>
          <a:ext cx="1162050" cy="1304925"/>
        </a:xfrm>
        <a:prstGeom prst="rect">
          <a:avLst/>
        </a:prstGeom>
        <a:noFill/>
      </xdr:spPr>
    </xdr:pic>
    <xdr:clientData/>
  </xdr:twoCellAnchor>
  <xdr:twoCellAnchor editAs="oneCell">
    <xdr:from>
      <xdr:col>17</xdr:col>
      <xdr:colOff>0</xdr:colOff>
      <xdr:row>42</xdr:row>
      <xdr:rowOff>80597</xdr:rowOff>
    </xdr:from>
    <xdr:to>
      <xdr:col>19</xdr:col>
      <xdr:colOff>306266</xdr:colOff>
      <xdr:row>45</xdr:row>
      <xdr:rowOff>46161</xdr:rowOff>
    </xdr:to>
    <xdr:pic>
      <xdr:nvPicPr>
        <xdr:cNvPr id="95" name="Picture 26"/>
        <xdr:cNvPicPr>
          <a:picLocks noChangeAspect="1" noChangeArrowheads="1"/>
        </xdr:cNvPicPr>
      </xdr:nvPicPr>
      <xdr:blipFill>
        <a:blip xmlns:r="http://schemas.openxmlformats.org/officeDocument/2006/relationships" r:embed="rId2" cstate="print"/>
        <a:srcRect/>
        <a:stretch>
          <a:fillRect/>
        </a:stretch>
      </xdr:blipFill>
      <xdr:spPr bwMode="auto">
        <a:xfrm>
          <a:off x="10363200" y="6881447"/>
          <a:ext cx="1525466" cy="451338"/>
        </a:xfrm>
        <a:prstGeom prst="rect">
          <a:avLst/>
        </a:prstGeom>
        <a:noFill/>
      </xdr:spPr>
    </xdr:pic>
    <xdr:clientData/>
  </xdr:twoCellAnchor>
  <xdr:twoCellAnchor>
    <xdr:from>
      <xdr:col>18</xdr:col>
      <xdr:colOff>28576</xdr:colOff>
      <xdr:row>45</xdr:row>
      <xdr:rowOff>76104</xdr:rowOff>
    </xdr:from>
    <xdr:to>
      <xdr:col>18</xdr:col>
      <xdr:colOff>253772</xdr:colOff>
      <xdr:row>46</xdr:row>
      <xdr:rowOff>160519</xdr:rowOff>
    </xdr:to>
    <xdr:sp macro="" textlink="">
      <xdr:nvSpPr>
        <xdr:cNvPr id="96" name="Стрелка вверх 95"/>
        <xdr:cNvSpPr/>
      </xdr:nvSpPr>
      <xdr:spPr>
        <a:xfrm>
          <a:off x="11001376" y="7362729"/>
          <a:ext cx="225196" cy="2463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81210</xdr:colOff>
      <xdr:row>45</xdr:row>
      <xdr:rowOff>87633</xdr:rowOff>
    </xdr:from>
    <xdr:to>
      <xdr:col>18</xdr:col>
      <xdr:colOff>964</xdr:colOff>
      <xdr:row>46</xdr:row>
      <xdr:rowOff>151636</xdr:rowOff>
    </xdr:to>
    <xdr:sp macro="" textlink="">
      <xdr:nvSpPr>
        <xdr:cNvPr id="97" name="Стрелка вверх 96"/>
        <xdr:cNvSpPr/>
      </xdr:nvSpPr>
      <xdr:spPr>
        <a:xfrm rot="2700000">
          <a:off x="10596123" y="7222545"/>
          <a:ext cx="225928" cy="52935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288924</xdr:colOff>
      <xdr:row>45</xdr:row>
      <xdr:rowOff>79432</xdr:rowOff>
    </xdr:from>
    <xdr:to>
      <xdr:col>19</xdr:col>
      <xdr:colOff>188264</xdr:colOff>
      <xdr:row>47</xdr:row>
      <xdr:rowOff>2655</xdr:rowOff>
    </xdr:to>
    <xdr:sp macro="" textlink="">
      <xdr:nvSpPr>
        <xdr:cNvPr id="98" name="Стрелка вверх 97"/>
        <xdr:cNvSpPr/>
      </xdr:nvSpPr>
      <xdr:spPr>
        <a:xfrm rot="18900000">
          <a:off x="11261724" y="7366057"/>
          <a:ext cx="508940"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276223</xdr:colOff>
      <xdr:row>42</xdr:row>
      <xdr:rowOff>58616</xdr:rowOff>
    </xdr:from>
    <xdr:to>
      <xdr:col>2</xdr:col>
      <xdr:colOff>307728</xdr:colOff>
      <xdr:row>44</xdr:row>
      <xdr:rowOff>136282</xdr:rowOff>
    </xdr:to>
    <xdr:pic>
      <xdr:nvPicPr>
        <xdr:cNvPr id="104" name="Picture 30"/>
        <xdr:cNvPicPr>
          <a:picLocks noChangeAspect="1" noChangeArrowheads="1"/>
        </xdr:cNvPicPr>
      </xdr:nvPicPr>
      <xdr:blipFill>
        <a:blip xmlns:r="http://schemas.openxmlformats.org/officeDocument/2006/relationships" r:embed="rId3" cstate="print"/>
        <a:srcRect/>
        <a:stretch>
          <a:fillRect/>
        </a:stretch>
      </xdr:blipFill>
      <xdr:spPr bwMode="auto">
        <a:xfrm>
          <a:off x="885823" y="6859466"/>
          <a:ext cx="641105" cy="401515"/>
        </a:xfrm>
        <a:prstGeom prst="rect">
          <a:avLst/>
        </a:prstGeom>
        <a:noFill/>
      </xdr:spPr>
    </xdr:pic>
    <xdr:clientData/>
  </xdr:twoCellAnchor>
  <xdr:twoCellAnchor>
    <xdr:from>
      <xdr:col>2</xdr:col>
      <xdr:colOff>14653</xdr:colOff>
      <xdr:row>44</xdr:row>
      <xdr:rowOff>152299</xdr:rowOff>
    </xdr:from>
    <xdr:to>
      <xdr:col>2</xdr:col>
      <xdr:colOff>239849</xdr:colOff>
      <xdr:row>46</xdr:row>
      <xdr:rowOff>75522</xdr:rowOff>
    </xdr:to>
    <xdr:sp macro="" textlink="">
      <xdr:nvSpPr>
        <xdr:cNvPr id="105" name="Стрелка вверх 104"/>
        <xdr:cNvSpPr/>
      </xdr:nvSpPr>
      <xdr:spPr>
        <a:xfrm>
          <a:off x="1233853" y="7276999"/>
          <a:ext cx="225196"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67288</xdr:colOff>
      <xdr:row>45</xdr:row>
      <xdr:rowOff>2636</xdr:rowOff>
    </xdr:from>
    <xdr:to>
      <xdr:col>1</xdr:col>
      <xdr:colOff>309426</xdr:colOff>
      <xdr:row>46</xdr:row>
      <xdr:rowOff>66639</xdr:rowOff>
    </xdr:to>
    <xdr:sp macro="" textlink="">
      <xdr:nvSpPr>
        <xdr:cNvPr id="106" name="Стрелка вверх 105"/>
        <xdr:cNvSpPr/>
      </xdr:nvSpPr>
      <xdr:spPr>
        <a:xfrm rot="2700000">
          <a:off x="684993" y="7281156"/>
          <a:ext cx="225928"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275001</xdr:colOff>
      <xdr:row>44</xdr:row>
      <xdr:rowOff>155627</xdr:rowOff>
    </xdr:from>
    <xdr:to>
      <xdr:col>3</xdr:col>
      <xdr:colOff>174341</xdr:colOff>
      <xdr:row>46</xdr:row>
      <xdr:rowOff>78850</xdr:rowOff>
    </xdr:to>
    <xdr:sp macro="" textlink="">
      <xdr:nvSpPr>
        <xdr:cNvPr id="107" name="Стрелка вверх 106"/>
        <xdr:cNvSpPr/>
      </xdr:nvSpPr>
      <xdr:spPr>
        <a:xfrm rot="18900000">
          <a:off x="1494201" y="7280327"/>
          <a:ext cx="508940"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0</xdr:colOff>
      <xdr:row>43</xdr:row>
      <xdr:rowOff>27113</xdr:rowOff>
    </xdr:from>
    <xdr:to>
      <xdr:col>1</xdr:col>
      <xdr:colOff>247074</xdr:colOff>
      <xdr:row>44</xdr:row>
      <xdr:rowOff>89651</xdr:rowOff>
    </xdr:to>
    <xdr:sp macro="" textlink="">
      <xdr:nvSpPr>
        <xdr:cNvPr id="108" name="Стрелка вверх 107"/>
        <xdr:cNvSpPr/>
      </xdr:nvSpPr>
      <xdr:spPr>
        <a:xfrm rot="5400000">
          <a:off x="620905" y="6978583"/>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13520</xdr:colOff>
      <xdr:row>43</xdr:row>
      <xdr:rowOff>23044</xdr:rowOff>
    </xdr:from>
    <xdr:to>
      <xdr:col>3</xdr:col>
      <xdr:colOff>260594</xdr:colOff>
      <xdr:row>44</xdr:row>
      <xdr:rowOff>85582</xdr:rowOff>
    </xdr:to>
    <xdr:sp macro="" textlink="">
      <xdr:nvSpPr>
        <xdr:cNvPr id="109" name="Стрелка вверх 108"/>
        <xdr:cNvSpPr/>
      </xdr:nvSpPr>
      <xdr:spPr>
        <a:xfrm rot="16200000">
          <a:off x="1853625" y="6974514"/>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6</xdr:col>
      <xdr:colOff>243254</xdr:colOff>
      <xdr:row>42</xdr:row>
      <xdr:rowOff>65943</xdr:rowOff>
    </xdr:from>
    <xdr:to>
      <xdr:col>7</xdr:col>
      <xdr:colOff>303334</xdr:colOff>
      <xdr:row>45</xdr:row>
      <xdr:rowOff>21982</xdr:rowOff>
    </xdr:to>
    <xdr:pic>
      <xdr:nvPicPr>
        <xdr:cNvPr id="110" name="Picture 32"/>
        <xdr:cNvPicPr>
          <a:picLocks noChangeAspect="1" noChangeArrowheads="1"/>
        </xdr:cNvPicPr>
      </xdr:nvPicPr>
      <xdr:blipFill>
        <a:blip xmlns:r="http://schemas.openxmlformats.org/officeDocument/2006/relationships" r:embed="rId4" cstate="print"/>
        <a:srcRect/>
        <a:stretch>
          <a:fillRect/>
        </a:stretch>
      </xdr:blipFill>
      <xdr:spPr bwMode="auto">
        <a:xfrm>
          <a:off x="3900854" y="6866793"/>
          <a:ext cx="669680" cy="441813"/>
        </a:xfrm>
        <a:prstGeom prst="rect">
          <a:avLst/>
        </a:prstGeom>
        <a:noFill/>
      </xdr:spPr>
    </xdr:pic>
    <xdr:clientData/>
  </xdr:twoCellAnchor>
  <xdr:twoCellAnchor>
    <xdr:from>
      <xdr:col>7</xdr:col>
      <xdr:colOff>14653</xdr:colOff>
      <xdr:row>45</xdr:row>
      <xdr:rowOff>33603</xdr:rowOff>
    </xdr:from>
    <xdr:to>
      <xdr:col>7</xdr:col>
      <xdr:colOff>239849</xdr:colOff>
      <xdr:row>46</xdr:row>
      <xdr:rowOff>118018</xdr:rowOff>
    </xdr:to>
    <xdr:sp macro="" textlink="">
      <xdr:nvSpPr>
        <xdr:cNvPr id="111" name="Стрелка вверх 110"/>
        <xdr:cNvSpPr/>
      </xdr:nvSpPr>
      <xdr:spPr>
        <a:xfrm>
          <a:off x="4281853" y="7320228"/>
          <a:ext cx="225196" cy="2463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6</xdr:col>
      <xdr:colOff>67288</xdr:colOff>
      <xdr:row>45</xdr:row>
      <xdr:rowOff>45132</xdr:rowOff>
    </xdr:from>
    <xdr:to>
      <xdr:col>6</xdr:col>
      <xdr:colOff>309426</xdr:colOff>
      <xdr:row>46</xdr:row>
      <xdr:rowOff>109135</xdr:rowOff>
    </xdr:to>
    <xdr:sp macro="" textlink="">
      <xdr:nvSpPr>
        <xdr:cNvPr id="112" name="Стрелка вверх 111"/>
        <xdr:cNvSpPr/>
      </xdr:nvSpPr>
      <xdr:spPr>
        <a:xfrm rot="2700000">
          <a:off x="3732993" y="7323652"/>
          <a:ext cx="225928"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275001</xdr:colOff>
      <xdr:row>45</xdr:row>
      <xdr:rowOff>36931</xdr:rowOff>
    </xdr:from>
    <xdr:to>
      <xdr:col>8</xdr:col>
      <xdr:colOff>174341</xdr:colOff>
      <xdr:row>46</xdr:row>
      <xdr:rowOff>121346</xdr:rowOff>
    </xdr:to>
    <xdr:sp macro="" textlink="">
      <xdr:nvSpPr>
        <xdr:cNvPr id="113" name="Стрелка вверх 112"/>
        <xdr:cNvSpPr/>
      </xdr:nvSpPr>
      <xdr:spPr>
        <a:xfrm rot="18900000">
          <a:off x="4542201" y="7323556"/>
          <a:ext cx="508940" cy="2463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5</xdr:col>
      <xdr:colOff>322384</xdr:colOff>
      <xdr:row>43</xdr:row>
      <xdr:rowOff>69609</xdr:rowOff>
    </xdr:from>
    <xdr:to>
      <xdr:col>6</xdr:col>
      <xdr:colOff>247074</xdr:colOff>
      <xdr:row>44</xdr:row>
      <xdr:rowOff>132147</xdr:rowOff>
    </xdr:to>
    <xdr:sp macro="" textlink="">
      <xdr:nvSpPr>
        <xdr:cNvPr id="114" name="Стрелка вверх 113"/>
        <xdr:cNvSpPr/>
      </xdr:nvSpPr>
      <xdr:spPr>
        <a:xfrm rot="5400000">
          <a:off x="3525297" y="6877471"/>
          <a:ext cx="224463"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13520</xdr:colOff>
      <xdr:row>43</xdr:row>
      <xdr:rowOff>65540</xdr:rowOff>
    </xdr:from>
    <xdr:to>
      <xdr:col>8</xdr:col>
      <xdr:colOff>260594</xdr:colOff>
      <xdr:row>44</xdr:row>
      <xdr:rowOff>128078</xdr:rowOff>
    </xdr:to>
    <xdr:sp macro="" textlink="">
      <xdr:nvSpPr>
        <xdr:cNvPr id="115" name="Стрелка вверх 114"/>
        <xdr:cNvSpPr/>
      </xdr:nvSpPr>
      <xdr:spPr>
        <a:xfrm rot="16200000">
          <a:off x="4901625" y="7017010"/>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184639</xdr:colOff>
      <xdr:row>47</xdr:row>
      <xdr:rowOff>0</xdr:rowOff>
    </xdr:from>
    <xdr:to>
      <xdr:col>2</xdr:col>
      <xdr:colOff>301869</xdr:colOff>
      <xdr:row>51</xdr:row>
      <xdr:rowOff>41031</xdr:rowOff>
    </xdr:to>
    <xdr:pic>
      <xdr:nvPicPr>
        <xdr:cNvPr id="116" name="Picture 34"/>
        <xdr:cNvPicPr>
          <a:picLocks noChangeAspect="1" noChangeArrowheads="1"/>
        </xdr:cNvPicPr>
      </xdr:nvPicPr>
      <xdr:blipFill>
        <a:blip xmlns:r="http://schemas.openxmlformats.org/officeDocument/2006/relationships" r:embed="rId5" cstate="print"/>
        <a:srcRect/>
        <a:stretch>
          <a:fillRect/>
        </a:stretch>
      </xdr:blipFill>
      <xdr:spPr bwMode="auto">
        <a:xfrm>
          <a:off x="794239" y="7610475"/>
          <a:ext cx="726830" cy="688731"/>
        </a:xfrm>
        <a:prstGeom prst="rect">
          <a:avLst/>
        </a:prstGeom>
        <a:noFill/>
      </xdr:spPr>
    </xdr:pic>
    <xdr:clientData/>
  </xdr:twoCellAnchor>
  <xdr:twoCellAnchor>
    <xdr:from>
      <xdr:col>2</xdr:col>
      <xdr:colOff>14653</xdr:colOff>
      <xdr:row>51</xdr:row>
      <xdr:rowOff>46792</xdr:rowOff>
    </xdr:from>
    <xdr:to>
      <xdr:col>2</xdr:col>
      <xdr:colOff>239849</xdr:colOff>
      <xdr:row>52</xdr:row>
      <xdr:rowOff>131208</xdr:rowOff>
    </xdr:to>
    <xdr:sp macro="" textlink="">
      <xdr:nvSpPr>
        <xdr:cNvPr id="117" name="Стрелка вверх 116"/>
        <xdr:cNvSpPr/>
      </xdr:nvSpPr>
      <xdr:spPr>
        <a:xfrm>
          <a:off x="1233853" y="8304967"/>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67288</xdr:colOff>
      <xdr:row>51</xdr:row>
      <xdr:rowOff>58321</xdr:rowOff>
    </xdr:from>
    <xdr:to>
      <xdr:col>1</xdr:col>
      <xdr:colOff>309426</xdr:colOff>
      <xdr:row>52</xdr:row>
      <xdr:rowOff>122325</xdr:rowOff>
    </xdr:to>
    <xdr:sp macro="" textlink="">
      <xdr:nvSpPr>
        <xdr:cNvPr id="118" name="Стрелка вверх 117"/>
        <xdr:cNvSpPr/>
      </xdr:nvSpPr>
      <xdr:spPr>
        <a:xfrm rot="2700000">
          <a:off x="684992" y="8308392"/>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275001</xdr:colOff>
      <xdr:row>51</xdr:row>
      <xdr:rowOff>50120</xdr:rowOff>
    </xdr:from>
    <xdr:to>
      <xdr:col>3</xdr:col>
      <xdr:colOff>174341</xdr:colOff>
      <xdr:row>52</xdr:row>
      <xdr:rowOff>134536</xdr:rowOff>
    </xdr:to>
    <xdr:sp macro="" textlink="">
      <xdr:nvSpPr>
        <xdr:cNvPr id="119" name="Стрелка вверх 118"/>
        <xdr:cNvSpPr/>
      </xdr:nvSpPr>
      <xdr:spPr>
        <a:xfrm rot="18900000">
          <a:off x="1494201" y="8308295"/>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0</xdr:colOff>
      <xdr:row>49</xdr:row>
      <xdr:rowOff>82798</xdr:rowOff>
    </xdr:from>
    <xdr:to>
      <xdr:col>1</xdr:col>
      <xdr:colOff>247074</xdr:colOff>
      <xdr:row>50</xdr:row>
      <xdr:rowOff>145336</xdr:rowOff>
    </xdr:to>
    <xdr:sp macro="" textlink="">
      <xdr:nvSpPr>
        <xdr:cNvPr id="120" name="Стрелка вверх 119"/>
        <xdr:cNvSpPr/>
      </xdr:nvSpPr>
      <xdr:spPr>
        <a:xfrm rot="5400000">
          <a:off x="620905" y="8005818"/>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13520</xdr:colOff>
      <xdr:row>49</xdr:row>
      <xdr:rowOff>78729</xdr:rowOff>
    </xdr:from>
    <xdr:to>
      <xdr:col>3</xdr:col>
      <xdr:colOff>260594</xdr:colOff>
      <xdr:row>50</xdr:row>
      <xdr:rowOff>141267</xdr:rowOff>
    </xdr:to>
    <xdr:sp macro="" textlink="">
      <xdr:nvSpPr>
        <xdr:cNvPr id="121" name="Стрелка вверх 120"/>
        <xdr:cNvSpPr/>
      </xdr:nvSpPr>
      <xdr:spPr>
        <a:xfrm rot="16200000">
          <a:off x="1853625" y="8001749"/>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5</xdr:col>
      <xdr:colOff>322384</xdr:colOff>
      <xdr:row>47</xdr:row>
      <xdr:rowOff>0</xdr:rowOff>
    </xdr:from>
    <xdr:to>
      <xdr:col>9</xdr:col>
      <xdr:colOff>296740</xdr:colOff>
      <xdr:row>53</xdr:row>
      <xdr:rowOff>70338</xdr:rowOff>
    </xdr:to>
    <xdr:pic>
      <xdr:nvPicPr>
        <xdr:cNvPr id="122" name="Picture 36"/>
        <xdr:cNvPicPr>
          <a:picLocks noChangeAspect="1" noChangeArrowheads="1"/>
        </xdr:cNvPicPr>
      </xdr:nvPicPr>
      <xdr:blipFill>
        <a:blip xmlns:r="http://schemas.openxmlformats.org/officeDocument/2006/relationships" r:embed="rId6" cstate="print"/>
        <a:srcRect/>
        <a:stretch>
          <a:fillRect/>
        </a:stretch>
      </xdr:blipFill>
      <xdr:spPr bwMode="auto">
        <a:xfrm>
          <a:off x="3370384" y="7610475"/>
          <a:ext cx="2412756" cy="1041888"/>
        </a:xfrm>
        <a:prstGeom prst="rect">
          <a:avLst/>
        </a:prstGeom>
        <a:noFill/>
      </xdr:spPr>
    </xdr:pic>
    <xdr:clientData/>
  </xdr:twoCellAnchor>
  <xdr:twoCellAnchor>
    <xdr:from>
      <xdr:col>8</xdr:col>
      <xdr:colOff>30043</xdr:colOff>
      <xdr:row>53</xdr:row>
      <xdr:rowOff>84897</xdr:rowOff>
    </xdr:from>
    <xdr:to>
      <xdr:col>8</xdr:col>
      <xdr:colOff>255239</xdr:colOff>
      <xdr:row>55</xdr:row>
      <xdr:rowOff>8121</xdr:rowOff>
    </xdr:to>
    <xdr:sp macro="" textlink="">
      <xdr:nvSpPr>
        <xdr:cNvPr id="123" name="Стрелка вверх 122"/>
        <xdr:cNvSpPr/>
      </xdr:nvSpPr>
      <xdr:spPr>
        <a:xfrm>
          <a:off x="4906843" y="8666922"/>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82678</xdr:colOff>
      <xdr:row>53</xdr:row>
      <xdr:rowOff>96426</xdr:rowOff>
    </xdr:from>
    <xdr:to>
      <xdr:col>8</xdr:col>
      <xdr:colOff>2431</xdr:colOff>
      <xdr:row>54</xdr:row>
      <xdr:rowOff>160430</xdr:rowOff>
    </xdr:to>
    <xdr:sp macro="" textlink="">
      <xdr:nvSpPr>
        <xdr:cNvPr id="124" name="Стрелка вверх 123"/>
        <xdr:cNvSpPr/>
      </xdr:nvSpPr>
      <xdr:spPr>
        <a:xfrm rot="2700000">
          <a:off x="4501590" y="8526739"/>
          <a:ext cx="225929"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290391</xdr:colOff>
      <xdr:row>53</xdr:row>
      <xdr:rowOff>88225</xdr:rowOff>
    </xdr:from>
    <xdr:to>
      <xdr:col>9</xdr:col>
      <xdr:colOff>189732</xdr:colOff>
      <xdr:row>55</xdr:row>
      <xdr:rowOff>11449</xdr:rowOff>
    </xdr:to>
    <xdr:sp macro="" textlink="">
      <xdr:nvSpPr>
        <xdr:cNvPr id="125" name="Стрелка вверх 124"/>
        <xdr:cNvSpPr/>
      </xdr:nvSpPr>
      <xdr:spPr>
        <a:xfrm rot="18900000">
          <a:off x="5167191" y="8670250"/>
          <a:ext cx="508941"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321987</xdr:colOff>
      <xdr:row>51</xdr:row>
      <xdr:rowOff>124163</xdr:rowOff>
    </xdr:from>
    <xdr:to>
      <xdr:col>9</xdr:col>
      <xdr:colOff>246677</xdr:colOff>
      <xdr:row>53</xdr:row>
      <xdr:rowOff>25508</xdr:rowOff>
    </xdr:to>
    <xdr:sp macro="" textlink="">
      <xdr:nvSpPr>
        <xdr:cNvPr id="126" name="Стрелка вверх 125"/>
        <xdr:cNvSpPr/>
      </xdr:nvSpPr>
      <xdr:spPr>
        <a:xfrm rot="16200000">
          <a:off x="5353334" y="8227791"/>
          <a:ext cx="225195"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26</xdr:col>
      <xdr:colOff>90003</xdr:colOff>
      <xdr:row>45</xdr:row>
      <xdr:rowOff>125732</xdr:rowOff>
    </xdr:from>
    <xdr:to>
      <xdr:col>27</xdr:col>
      <xdr:colOff>9756</xdr:colOff>
      <xdr:row>47</xdr:row>
      <xdr:rowOff>28543</xdr:rowOff>
    </xdr:to>
    <xdr:sp macro="" textlink="">
      <xdr:nvSpPr>
        <xdr:cNvPr id="129" name="Стрелка вверх 128"/>
        <xdr:cNvSpPr/>
      </xdr:nvSpPr>
      <xdr:spPr>
        <a:xfrm rot="2700000">
          <a:off x="16090949" y="7261011"/>
          <a:ext cx="226661"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12</xdr:col>
      <xdr:colOff>227135</xdr:colOff>
      <xdr:row>47</xdr:row>
      <xdr:rowOff>0</xdr:rowOff>
    </xdr:from>
    <xdr:to>
      <xdr:col>13</xdr:col>
      <xdr:colOff>287215</xdr:colOff>
      <xdr:row>50</xdr:row>
      <xdr:rowOff>60813</xdr:rowOff>
    </xdr:to>
    <xdr:pic>
      <xdr:nvPicPr>
        <xdr:cNvPr id="131" name="Picture 40"/>
        <xdr:cNvPicPr>
          <a:picLocks noChangeAspect="1" noChangeArrowheads="1"/>
        </xdr:cNvPicPr>
      </xdr:nvPicPr>
      <xdr:blipFill>
        <a:blip xmlns:r="http://schemas.openxmlformats.org/officeDocument/2006/relationships" r:embed="rId7" cstate="print"/>
        <a:srcRect/>
        <a:stretch>
          <a:fillRect/>
        </a:stretch>
      </xdr:blipFill>
      <xdr:spPr bwMode="auto">
        <a:xfrm>
          <a:off x="7542335" y="7610475"/>
          <a:ext cx="669680" cy="546588"/>
        </a:xfrm>
        <a:prstGeom prst="rect">
          <a:avLst/>
        </a:prstGeom>
        <a:noFill/>
      </xdr:spPr>
    </xdr:pic>
    <xdr:clientData/>
  </xdr:twoCellAnchor>
  <xdr:twoCellAnchor>
    <xdr:from>
      <xdr:col>13</xdr:col>
      <xdr:colOff>14653</xdr:colOff>
      <xdr:row>50</xdr:row>
      <xdr:rowOff>79030</xdr:rowOff>
    </xdr:from>
    <xdr:to>
      <xdr:col>13</xdr:col>
      <xdr:colOff>239849</xdr:colOff>
      <xdr:row>52</xdr:row>
      <xdr:rowOff>2254</xdr:rowOff>
    </xdr:to>
    <xdr:sp macro="" textlink="">
      <xdr:nvSpPr>
        <xdr:cNvPr id="132" name="Стрелка вверх 131"/>
        <xdr:cNvSpPr/>
      </xdr:nvSpPr>
      <xdr:spPr>
        <a:xfrm>
          <a:off x="7939453" y="8175280"/>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67288</xdr:colOff>
      <xdr:row>50</xdr:row>
      <xdr:rowOff>90559</xdr:rowOff>
    </xdr:from>
    <xdr:to>
      <xdr:col>12</xdr:col>
      <xdr:colOff>309426</xdr:colOff>
      <xdr:row>51</xdr:row>
      <xdr:rowOff>154563</xdr:rowOff>
    </xdr:to>
    <xdr:sp macro="" textlink="">
      <xdr:nvSpPr>
        <xdr:cNvPr id="133" name="Стрелка вверх 132"/>
        <xdr:cNvSpPr/>
      </xdr:nvSpPr>
      <xdr:spPr>
        <a:xfrm rot="2700000">
          <a:off x="7390592" y="8178705"/>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275001</xdr:colOff>
      <xdr:row>50</xdr:row>
      <xdr:rowOff>82358</xdr:rowOff>
    </xdr:from>
    <xdr:to>
      <xdr:col>14</xdr:col>
      <xdr:colOff>174342</xdr:colOff>
      <xdr:row>52</xdr:row>
      <xdr:rowOff>5582</xdr:rowOff>
    </xdr:to>
    <xdr:sp macro="" textlink="">
      <xdr:nvSpPr>
        <xdr:cNvPr id="134" name="Стрелка вверх 133"/>
        <xdr:cNvSpPr/>
      </xdr:nvSpPr>
      <xdr:spPr>
        <a:xfrm rot="18900000">
          <a:off x="8199801" y="8178608"/>
          <a:ext cx="508941"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0</xdr:colOff>
      <xdr:row>48</xdr:row>
      <xdr:rowOff>115037</xdr:rowOff>
    </xdr:from>
    <xdr:to>
      <xdr:col>12</xdr:col>
      <xdr:colOff>247074</xdr:colOff>
      <xdr:row>50</xdr:row>
      <xdr:rowOff>16382</xdr:rowOff>
    </xdr:to>
    <xdr:sp macro="" textlink="">
      <xdr:nvSpPr>
        <xdr:cNvPr id="135" name="Стрелка вверх 134"/>
        <xdr:cNvSpPr/>
      </xdr:nvSpPr>
      <xdr:spPr>
        <a:xfrm rot="5400000">
          <a:off x="7326139" y="7876498"/>
          <a:ext cx="225195"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13521</xdr:colOff>
      <xdr:row>48</xdr:row>
      <xdr:rowOff>110968</xdr:rowOff>
    </xdr:from>
    <xdr:to>
      <xdr:col>14</xdr:col>
      <xdr:colOff>260595</xdr:colOff>
      <xdr:row>50</xdr:row>
      <xdr:rowOff>12313</xdr:rowOff>
    </xdr:to>
    <xdr:sp macro="" textlink="">
      <xdr:nvSpPr>
        <xdr:cNvPr id="136" name="Стрелка вверх 135"/>
        <xdr:cNvSpPr/>
      </xdr:nvSpPr>
      <xdr:spPr>
        <a:xfrm rot="16200000">
          <a:off x="8558860" y="7872429"/>
          <a:ext cx="225195"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12</xdr:col>
      <xdr:colOff>0</xdr:colOff>
      <xdr:row>42</xdr:row>
      <xdr:rowOff>0</xdr:rowOff>
    </xdr:from>
    <xdr:to>
      <xdr:col>13</xdr:col>
      <xdr:colOff>306265</xdr:colOff>
      <xdr:row>45</xdr:row>
      <xdr:rowOff>60814</xdr:rowOff>
    </xdr:to>
    <xdr:pic>
      <xdr:nvPicPr>
        <xdr:cNvPr id="137" name="Picture 42"/>
        <xdr:cNvPicPr>
          <a:picLocks noChangeAspect="1" noChangeArrowheads="1"/>
        </xdr:cNvPicPr>
      </xdr:nvPicPr>
      <xdr:blipFill>
        <a:blip xmlns:r="http://schemas.openxmlformats.org/officeDocument/2006/relationships" r:embed="rId8" cstate="print"/>
        <a:srcRect/>
        <a:stretch>
          <a:fillRect/>
        </a:stretch>
      </xdr:blipFill>
      <xdr:spPr bwMode="auto">
        <a:xfrm>
          <a:off x="7315200" y="6800850"/>
          <a:ext cx="915865" cy="546588"/>
        </a:xfrm>
        <a:prstGeom prst="rect">
          <a:avLst/>
        </a:prstGeom>
        <a:noFill/>
      </xdr:spPr>
    </xdr:pic>
    <xdr:clientData/>
  </xdr:twoCellAnchor>
  <xdr:twoCellAnchor>
    <xdr:from>
      <xdr:col>13</xdr:col>
      <xdr:colOff>37371</xdr:colOff>
      <xdr:row>45</xdr:row>
      <xdr:rowOff>62917</xdr:rowOff>
    </xdr:from>
    <xdr:to>
      <xdr:col>13</xdr:col>
      <xdr:colOff>262567</xdr:colOff>
      <xdr:row>46</xdr:row>
      <xdr:rowOff>147332</xdr:rowOff>
    </xdr:to>
    <xdr:sp macro="" textlink="">
      <xdr:nvSpPr>
        <xdr:cNvPr id="138" name="Стрелка вверх 137"/>
        <xdr:cNvSpPr/>
      </xdr:nvSpPr>
      <xdr:spPr>
        <a:xfrm>
          <a:off x="7962171" y="7349542"/>
          <a:ext cx="225196" cy="2463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90006</xdr:colOff>
      <xdr:row>45</xdr:row>
      <xdr:rowOff>74446</xdr:rowOff>
    </xdr:from>
    <xdr:to>
      <xdr:col>13</xdr:col>
      <xdr:colOff>9759</xdr:colOff>
      <xdr:row>46</xdr:row>
      <xdr:rowOff>138449</xdr:rowOff>
    </xdr:to>
    <xdr:sp macro="" textlink="">
      <xdr:nvSpPr>
        <xdr:cNvPr id="139" name="Стрелка вверх 138"/>
        <xdr:cNvSpPr/>
      </xdr:nvSpPr>
      <xdr:spPr>
        <a:xfrm rot="2700000">
          <a:off x="7556919" y="7209358"/>
          <a:ext cx="225928"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297719</xdr:colOff>
      <xdr:row>45</xdr:row>
      <xdr:rowOff>66245</xdr:rowOff>
    </xdr:from>
    <xdr:to>
      <xdr:col>14</xdr:col>
      <xdr:colOff>197060</xdr:colOff>
      <xdr:row>46</xdr:row>
      <xdr:rowOff>150660</xdr:rowOff>
    </xdr:to>
    <xdr:sp macro="" textlink="">
      <xdr:nvSpPr>
        <xdr:cNvPr id="140" name="Стрелка вверх 139"/>
        <xdr:cNvSpPr/>
      </xdr:nvSpPr>
      <xdr:spPr>
        <a:xfrm rot="18900000">
          <a:off x="8222519" y="7352870"/>
          <a:ext cx="508941" cy="2463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6931</xdr:colOff>
      <xdr:row>43</xdr:row>
      <xdr:rowOff>102182</xdr:rowOff>
    </xdr:from>
    <xdr:to>
      <xdr:col>14</xdr:col>
      <xdr:colOff>254005</xdr:colOff>
      <xdr:row>45</xdr:row>
      <xdr:rowOff>3528</xdr:rowOff>
    </xdr:to>
    <xdr:sp macro="" textlink="">
      <xdr:nvSpPr>
        <xdr:cNvPr id="141" name="Стрелка вверх 140"/>
        <xdr:cNvSpPr/>
      </xdr:nvSpPr>
      <xdr:spPr>
        <a:xfrm rot="16200000">
          <a:off x="8552270" y="7054018"/>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18</xdr:col>
      <xdr:colOff>117232</xdr:colOff>
      <xdr:row>47</xdr:row>
      <xdr:rowOff>43960</xdr:rowOff>
    </xdr:from>
    <xdr:to>
      <xdr:col>20</xdr:col>
      <xdr:colOff>63013</xdr:colOff>
      <xdr:row>51</xdr:row>
      <xdr:rowOff>117230</xdr:rowOff>
    </xdr:to>
    <xdr:pic>
      <xdr:nvPicPr>
        <xdr:cNvPr id="142" name="Picture 44"/>
        <xdr:cNvPicPr>
          <a:picLocks noChangeAspect="1" noChangeArrowheads="1"/>
        </xdr:cNvPicPr>
      </xdr:nvPicPr>
      <xdr:blipFill>
        <a:blip xmlns:r="http://schemas.openxmlformats.org/officeDocument/2006/relationships" r:embed="rId9" cstate="print"/>
        <a:srcRect/>
        <a:stretch>
          <a:fillRect/>
        </a:stretch>
      </xdr:blipFill>
      <xdr:spPr bwMode="auto">
        <a:xfrm>
          <a:off x="11090032" y="7654435"/>
          <a:ext cx="1164981" cy="720970"/>
        </a:xfrm>
        <a:prstGeom prst="rect">
          <a:avLst/>
        </a:prstGeom>
        <a:noFill/>
      </xdr:spPr>
    </xdr:pic>
    <xdr:clientData/>
  </xdr:twoCellAnchor>
  <xdr:twoCellAnchor>
    <xdr:from>
      <xdr:col>19</xdr:col>
      <xdr:colOff>14654</xdr:colOff>
      <xdr:row>51</xdr:row>
      <xdr:rowOff>137645</xdr:rowOff>
    </xdr:from>
    <xdr:to>
      <xdr:col>19</xdr:col>
      <xdr:colOff>239850</xdr:colOff>
      <xdr:row>53</xdr:row>
      <xdr:rowOff>60868</xdr:rowOff>
    </xdr:to>
    <xdr:sp macro="" textlink="">
      <xdr:nvSpPr>
        <xdr:cNvPr id="143" name="Стрелка вверх 142"/>
        <xdr:cNvSpPr/>
      </xdr:nvSpPr>
      <xdr:spPr>
        <a:xfrm>
          <a:off x="11597054" y="8395820"/>
          <a:ext cx="225196"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67288</xdr:colOff>
      <xdr:row>51</xdr:row>
      <xdr:rowOff>149174</xdr:rowOff>
    </xdr:from>
    <xdr:to>
      <xdr:col>18</xdr:col>
      <xdr:colOff>309426</xdr:colOff>
      <xdr:row>53</xdr:row>
      <xdr:rowOff>51985</xdr:rowOff>
    </xdr:to>
    <xdr:sp macro="" textlink="">
      <xdr:nvSpPr>
        <xdr:cNvPr id="144" name="Стрелка вверх 143"/>
        <xdr:cNvSpPr/>
      </xdr:nvSpPr>
      <xdr:spPr>
        <a:xfrm rot="2700000">
          <a:off x="11047826" y="8399611"/>
          <a:ext cx="226661"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19</xdr:col>
      <xdr:colOff>275002</xdr:colOff>
      <xdr:row>51</xdr:row>
      <xdr:rowOff>140973</xdr:rowOff>
    </xdr:from>
    <xdr:to>
      <xdr:col>20</xdr:col>
      <xdr:colOff>174342</xdr:colOff>
      <xdr:row>53</xdr:row>
      <xdr:rowOff>64196</xdr:rowOff>
    </xdr:to>
    <xdr:sp macro="" textlink="">
      <xdr:nvSpPr>
        <xdr:cNvPr id="145" name="Стрелка вверх 144"/>
        <xdr:cNvSpPr/>
      </xdr:nvSpPr>
      <xdr:spPr>
        <a:xfrm rot="18900000">
          <a:off x="11857402" y="8399148"/>
          <a:ext cx="508940"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0</xdr:colOff>
      <xdr:row>50</xdr:row>
      <xdr:rowOff>12459</xdr:rowOff>
    </xdr:from>
    <xdr:to>
      <xdr:col>18</xdr:col>
      <xdr:colOff>247074</xdr:colOff>
      <xdr:row>51</xdr:row>
      <xdr:rowOff>74997</xdr:rowOff>
    </xdr:to>
    <xdr:sp macro="" textlink="">
      <xdr:nvSpPr>
        <xdr:cNvPr id="146" name="Стрелка вверх 145"/>
        <xdr:cNvSpPr/>
      </xdr:nvSpPr>
      <xdr:spPr>
        <a:xfrm rot="5400000">
          <a:off x="10984105" y="8097404"/>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20</xdr:col>
      <xdr:colOff>13521</xdr:colOff>
      <xdr:row>50</xdr:row>
      <xdr:rowOff>8390</xdr:rowOff>
    </xdr:from>
    <xdr:to>
      <xdr:col>20</xdr:col>
      <xdr:colOff>260595</xdr:colOff>
      <xdr:row>51</xdr:row>
      <xdr:rowOff>70928</xdr:rowOff>
    </xdr:to>
    <xdr:sp macro="" textlink="">
      <xdr:nvSpPr>
        <xdr:cNvPr id="147" name="Стрелка вверх 146"/>
        <xdr:cNvSpPr/>
      </xdr:nvSpPr>
      <xdr:spPr>
        <a:xfrm rot="16200000">
          <a:off x="12216826" y="8093335"/>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23</xdr:col>
      <xdr:colOff>0</xdr:colOff>
      <xdr:row>45</xdr:row>
      <xdr:rowOff>0</xdr:rowOff>
    </xdr:from>
    <xdr:to>
      <xdr:col>27</xdr:col>
      <xdr:colOff>2931</xdr:colOff>
      <xdr:row>50</xdr:row>
      <xdr:rowOff>155330</xdr:rowOff>
    </xdr:to>
    <xdr:pic>
      <xdr:nvPicPr>
        <xdr:cNvPr id="148" name="Picture 46"/>
        <xdr:cNvPicPr>
          <a:picLocks noChangeAspect="1" noChangeArrowheads="1"/>
        </xdr:cNvPicPr>
      </xdr:nvPicPr>
      <xdr:blipFill>
        <a:blip xmlns:r="http://schemas.openxmlformats.org/officeDocument/2006/relationships" r:embed="rId10" cstate="print"/>
        <a:srcRect/>
        <a:stretch>
          <a:fillRect/>
        </a:stretch>
      </xdr:blipFill>
      <xdr:spPr bwMode="auto">
        <a:xfrm>
          <a:off x="14020800" y="7286625"/>
          <a:ext cx="2441331" cy="964955"/>
        </a:xfrm>
        <a:prstGeom prst="rect">
          <a:avLst/>
        </a:prstGeom>
        <a:noFill/>
      </xdr:spPr>
    </xdr:pic>
    <xdr:clientData/>
  </xdr:twoCellAnchor>
  <xdr:twoCellAnchor>
    <xdr:from>
      <xdr:col>25</xdr:col>
      <xdr:colOff>43230</xdr:colOff>
      <xdr:row>51</xdr:row>
      <xdr:rowOff>2835</xdr:rowOff>
    </xdr:from>
    <xdr:to>
      <xdr:col>25</xdr:col>
      <xdr:colOff>268426</xdr:colOff>
      <xdr:row>52</xdr:row>
      <xdr:rowOff>87251</xdr:rowOff>
    </xdr:to>
    <xdr:sp macro="" textlink="">
      <xdr:nvSpPr>
        <xdr:cNvPr id="149" name="Стрелка вверх 148"/>
        <xdr:cNvSpPr/>
      </xdr:nvSpPr>
      <xdr:spPr>
        <a:xfrm>
          <a:off x="15283230" y="8261010"/>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24</xdr:col>
      <xdr:colOff>95863</xdr:colOff>
      <xdr:row>51</xdr:row>
      <xdr:rowOff>14364</xdr:rowOff>
    </xdr:from>
    <xdr:to>
      <xdr:col>25</xdr:col>
      <xdr:colOff>15618</xdr:colOff>
      <xdr:row>52</xdr:row>
      <xdr:rowOff>78368</xdr:rowOff>
    </xdr:to>
    <xdr:sp macro="" textlink="">
      <xdr:nvSpPr>
        <xdr:cNvPr id="150" name="Стрелка вверх 149"/>
        <xdr:cNvSpPr/>
      </xdr:nvSpPr>
      <xdr:spPr>
        <a:xfrm rot="2700000">
          <a:off x="14877976" y="8120826"/>
          <a:ext cx="225929" cy="52935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303578</xdr:colOff>
      <xdr:row>51</xdr:row>
      <xdr:rowOff>6163</xdr:rowOff>
    </xdr:from>
    <xdr:to>
      <xdr:col>26</xdr:col>
      <xdr:colOff>202917</xdr:colOff>
      <xdr:row>52</xdr:row>
      <xdr:rowOff>90579</xdr:rowOff>
    </xdr:to>
    <xdr:sp macro="" textlink="">
      <xdr:nvSpPr>
        <xdr:cNvPr id="151" name="Стрелка вверх 150"/>
        <xdr:cNvSpPr/>
      </xdr:nvSpPr>
      <xdr:spPr>
        <a:xfrm rot="18900000">
          <a:off x="15543578" y="8264338"/>
          <a:ext cx="508939"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5</xdr:col>
      <xdr:colOff>0</xdr:colOff>
      <xdr:row>56</xdr:row>
      <xdr:rowOff>0</xdr:rowOff>
    </xdr:from>
    <xdr:to>
      <xdr:col>24</xdr:col>
      <xdr:colOff>235926</xdr:colOff>
      <xdr:row>68</xdr:row>
      <xdr:rowOff>139212</xdr:rowOff>
    </xdr:to>
    <xdr:pic>
      <xdr:nvPicPr>
        <xdr:cNvPr id="152" name="Picture 48"/>
        <xdr:cNvPicPr>
          <a:picLocks noChangeAspect="1" noChangeArrowheads="1"/>
        </xdr:cNvPicPr>
      </xdr:nvPicPr>
      <xdr:blipFill>
        <a:blip xmlns:r="http://schemas.openxmlformats.org/officeDocument/2006/relationships" r:embed="rId11" cstate="print"/>
        <a:srcRect/>
        <a:stretch>
          <a:fillRect/>
        </a:stretch>
      </xdr:blipFill>
      <xdr:spPr bwMode="auto">
        <a:xfrm>
          <a:off x="3048000" y="9067800"/>
          <a:ext cx="11875476" cy="2082312"/>
        </a:xfrm>
        <a:prstGeom prst="rect">
          <a:avLst/>
        </a:prstGeom>
        <a:noFill/>
      </xdr:spPr>
    </xdr:pic>
    <xdr:clientData/>
  </xdr:twoCellAnchor>
  <xdr:twoCellAnchor>
    <xdr:from>
      <xdr:col>1</xdr:col>
      <xdr:colOff>190501</xdr:colOff>
      <xdr:row>58</xdr:row>
      <xdr:rowOff>95251</xdr:rowOff>
    </xdr:from>
    <xdr:to>
      <xdr:col>2</xdr:col>
      <xdr:colOff>115190</xdr:colOff>
      <xdr:row>59</xdr:row>
      <xdr:rowOff>157788</xdr:rowOff>
    </xdr:to>
    <xdr:sp macro="" textlink="">
      <xdr:nvSpPr>
        <xdr:cNvPr id="153" name="Стрелка вверх 152"/>
        <xdr:cNvSpPr/>
      </xdr:nvSpPr>
      <xdr:spPr>
        <a:xfrm rot="5400000">
          <a:off x="955015" y="9331987"/>
          <a:ext cx="224462" cy="53428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185491</xdr:colOff>
      <xdr:row>60</xdr:row>
      <xdr:rowOff>77666</xdr:rowOff>
    </xdr:from>
    <xdr:to>
      <xdr:col>3</xdr:col>
      <xdr:colOff>88302</xdr:colOff>
      <xdr:row>62</xdr:row>
      <xdr:rowOff>889</xdr:rowOff>
    </xdr:to>
    <xdr:sp macro="" textlink="">
      <xdr:nvSpPr>
        <xdr:cNvPr id="154" name="Стрелка вверх 153"/>
        <xdr:cNvSpPr/>
      </xdr:nvSpPr>
      <xdr:spPr>
        <a:xfrm>
          <a:off x="1404691" y="9793166"/>
          <a:ext cx="512411"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238126</xdr:colOff>
      <xdr:row>60</xdr:row>
      <xdr:rowOff>89195</xdr:rowOff>
    </xdr:from>
    <xdr:to>
      <xdr:col>2</xdr:col>
      <xdr:colOff>157879</xdr:colOff>
      <xdr:row>61</xdr:row>
      <xdr:rowOff>153199</xdr:rowOff>
    </xdr:to>
    <xdr:sp macro="" textlink="">
      <xdr:nvSpPr>
        <xdr:cNvPr id="155" name="Стрелка вверх 154"/>
        <xdr:cNvSpPr/>
      </xdr:nvSpPr>
      <xdr:spPr>
        <a:xfrm rot="2700000">
          <a:off x="999438" y="9652983"/>
          <a:ext cx="225929"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123454</xdr:colOff>
      <xdr:row>60</xdr:row>
      <xdr:rowOff>80994</xdr:rowOff>
    </xdr:from>
    <xdr:to>
      <xdr:col>4</xdr:col>
      <xdr:colOff>22795</xdr:colOff>
      <xdr:row>62</xdr:row>
      <xdr:rowOff>4217</xdr:rowOff>
    </xdr:to>
    <xdr:sp macro="" textlink="">
      <xdr:nvSpPr>
        <xdr:cNvPr id="156" name="Стрелка вверх 155"/>
        <xdr:cNvSpPr/>
      </xdr:nvSpPr>
      <xdr:spPr>
        <a:xfrm rot="18900000">
          <a:off x="1952254" y="9796494"/>
          <a:ext cx="508941"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xdr:col>
      <xdr:colOff>161192</xdr:colOff>
      <xdr:row>58</xdr:row>
      <xdr:rowOff>51288</xdr:rowOff>
    </xdr:from>
    <xdr:to>
      <xdr:col>3</xdr:col>
      <xdr:colOff>164122</xdr:colOff>
      <xdr:row>60</xdr:row>
      <xdr:rowOff>53485</xdr:rowOff>
    </xdr:to>
    <xdr:pic>
      <xdr:nvPicPr>
        <xdr:cNvPr id="157" name="Picture 50"/>
        <xdr:cNvPicPr>
          <a:picLocks noChangeAspect="1" noChangeArrowheads="1"/>
        </xdr:cNvPicPr>
      </xdr:nvPicPr>
      <xdr:blipFill>
        <a:blip xmlns:r="http://schemas.openxmlformats.org/officeDocument/2006/relationships" r:embed="rId12" cstate="print"/>
        <a:srcRect/>
        <a:stretch>
          <a:fillRect/>
        </a:stretch>
      </xdr:blipFill>
      <xdr:spPr bwMode="auto">
        <a:xfrm>
          <a:off x="1380392" y="9442938"/>
          <a:ext cx="612530" cy="326048"/>
        </a:xfrm>
        <a:prstGeom prst="rect">
          <a:avLst/>
        </a:prstGeom>
        <a:noFill/>
      </xdr:spPr>
    </xdr:pic>
    <xdr:clientData/>
  </xdr:twoCellAnchor>
  <xdr:twoCellAnchor editAs="oneCell">
    <xdr:from>
      <xdr:col>5</xdr:col>
      <xdr:colOff>0</xdr:colOff>
      <xdr:row>69</xdr:row>
      <xdr:rowOff>7328</xdr:rowOff>
    </xdr:from>
    <xdr:to>
      <xdr:col>24</xdr:col>
      <xdr:colOff>228600</xdr:colOff>
      <xdr:row>93</xdr:row>
      <xdr:rowOff>95251</xdr:rowOff>
    </xdr:to>
    <xdr:pic>
      <xdr:nvPicPr>
        <xdr:cNvPr id="158" name="Picture 52"/>
        <xdr:cNvPicPr>
          <a:picLocks noChangeAspect="1" noChangeArrowheads="1"/>
        </xdr:cNvPicPr>
      </xdr:nvPicPr>
      <xdr:blipFill>
        <a:blip xmlns:r="http://schemas.openxmlformats.org/officeDocument/2006/relationships" r:embed="rId13" cstate="print"/>
        <a:srcRect/>
        <a:stretch>
          <a:fillRect/>
        </a:stretch>
      </xdr:blipFill>
      <xdr:spPr bwMode="auto">
        <a:xfrm>
          <a:off x="3048000" y="11180153"/>
          <a:ext cx="11868150" cy="3974123"/>
        </a:xfrm>
        <a:prstGeom prst="rect">
          <a:avLst/>
        </a:prstGeom>
        <a:noFill/>
      </xdr:spPr>
    </xdr:pic>
    <xdr:clientData/>
  </xdr:twoCellAnchor>
  <xdr:twoCellAnchor editAs="oneCell">
    <xdr:from>
      <xdr:col>4</xdr:col>
      <xdr:colOff>322384</xdr:colOff>
      <xdr:row>93</xdr:row>
      <xdr:rowOff>95253</xdr:rowOff>
    </xdr:from>
    <xdr:to>
      <xdr:col>24</xdr:col>
      <xdr:colOff>221272</xdr:colOff>
      <xdr:row>104</xdr:row>
      <xdr:rowOff>153865</xdr:rowOff>
    </xdr:to>
    <xdr:pic>
      <xdr:nvPicPr>
        <xdr:cNvPr id="159" name="Picture 54"/>
        <xdr:cNvPicPr>
          <a:picLocks noChangeAspect="1" noChangeArrowheads="1"/>
        </xdr:cNvPicPr>
      </xdr:nvPicPr>
      <xdr:blipFill>
        <a:blip xmlns:r="http://schemas.openxmlformats.org/officeDocument/2006/relationships" r:embed="rId14" cstate="print"/>
        <a:srcRect/>
        <a:stretch>
          <a:fillRect/>
        </a:stretch>
      </xdr:blipFill>
      <xdr:spPr bwMode="auto">
        <a:xfrm>
          <a:off x="2760784" y="15154278"/>
          <a:ext cx="12148038" cy="1839787"/>
        </a:xfrm>
        <a:prstGeom prst="rect">
          <a:avLst/>
        </a:prstGeom>
        <a:noFill/>
      </xdr:spPr>
    </xdr:pic>
    <xdr:clientData/>
  </xdr:twoCellAnchor>
  <xdr:twoCellAnchor editAs="oneCell">
    <xdr:from>
      <xdr:col>5</xdr:col>
      <xdr:colOff>0</xdr:colOff>
      <xdr:row>104</xdr:row>
      <xdr:rowOff>153867</xdr:rowOff>
    </xdr:from>
    <xdr:to>
      <xdr:col>24</xdr:col>
      <xdr:colOff>213946</xdr:colOff>
      <xdr:row>109</xdr:row>
      <xdr:rowOff>0</xdr:rowOff>
    </xdr:to>
    <xdr:pic>
      <xdr:nvPicPr>
        <xdr:cNvPr id="160" name="Picture 56"/>
        <xdr:cNvPicPr>
          <a:picLocks noChangeAspect="1" noChangeArrowheads="1"/>
        </xdr:cNvPicPr>
      </xdr:nvPicPr>
      <xdr:blipFill>
        <a:blip xmlns:r="http://schemas.openxmlformats.org/officeDocument/2006/relationships" r:embed="rId15" cstate="print"/>
        <a:srcRect/>
        <a:stretch>
          <a:fillRect/>
        </a:stretch>
      </xdr:blipFill>
      <xdr:spPr bwMode="auto">
        <a:xfrm>
          <a:off x="3048000" y="16994067"/>
          <a:ext cx="11853496" cy="655758"/>
        </a:xfrm>
        <a:prstGeom prst="rect">
          <a:avLst/>
        </a:prstGeom>
        <a:noFill/>
      </xdr:spPr>
    </xdr:pic>
    <xdr:clientData/>
  </xdr:twoCellAnchor>
  <xdr:twoCellAnchor editAs="oneCell">
    <xdr:from>
      <xdr:col>5</xdr:col>
      <xdr:colOff>0</xdr:colOff>
      <xdr:row>109</xdr:row>
      <xdr:rowOff>7327</xdr:rowOff>
    </xdr:from>
    <xdr:to>
      <xdr:col>24</xdr:col>
      <xdr:colOff>206619</xdr:colOff>
      <xdr:row>119</xdr:row>
      <xdr:rowOff>153865</xdr:rowOff>
    </xdr:to>
    <xdr:pic>
      <xdr:nvPicPr>
        <xdr:cNvPr id="161" name="Picture 58"/>
        <xdr:cNvPicPr>
          <a:picLocks noChangeAspect="1" noChangeArrowheads="1"/>
        </xdr:cNvPicPr>
      </xdr:nvPicPr>
      <xdr:blipFill>
        <a:blip xmlns:r="http://schemas.openxmlformats.org/officeDocument/2006/relationships" r:embed="rId16" cstate="print"/>
        <a:srcRect/>
        <a:stretch>
          <a:fillRect/>
        </a:stretch>
      </xdr:blipFill>
      <xdr:spPr bwMode="auto">
        <a:xfrm>
          <a:off x="3048000" y="17657152"/>
          <a:ext cx="11846169" cy="1765788"/>
        </a:xfrm>
        <a:prstGeom prst="rect">
          <a:avLst/>
        </a:prstGeom>
        <a:noFill/>
      </xdr:spPr>
    </xdr:pic>
    <xdr:clientData/>
  </xdr:twoCellAnchor>
  <xdr:twoCellAnchor editAs="oneCell">
    <xdr:from>
      <xdr:col>2</xdr:col>
      <xdr:colOff>168519</xdr:colOff>
      <xdr:row>71</xdr:row>
      <xdr:rowOff>65943</xdr:rowOff>
    </xdr:from>
    <xdr:to>
      <xdr:col>3</xdr:col>
      <xdr:colOff>161924</xdr:colOff>
      <xdr:row>73</xdr:row>
      <xdr:rowOff>68142</xdr:rowOff>
    </xdr:to>
    <xdr:pic>
      <xdr:nvPicPr>
        <xdr:cNvPr id="162" name="Picture 60"/>
        <xdr:cNvPicPr>
          <a:picLocks noChangeAspect="1" noChangeArrowheads="1"/>
        </xdr:cNvPicPr>
      </xdr:nvPicPr>
      <xdr:blipFill>
        <a:blip xmlns:r="http://schemas.openxmlformats.org/officeDocument/2006/relationships" r:embed="rId17" cstate="print"/>
        <a:srcRect/>
        <a:stretch>
          <a:fillRect/>
        </a:stretch>
      </xdr:blipFill>
      <xdr:spPr bwMode="auto">
        <a:xfrm>
          <a:off x="1387719" y="11562618"/>
          <a:ext cx="603005" cy="326048"/>
        </a:xfrm>
        <a:prstGeom prst="rect">
          <a:avLst/>
        </a:prstGeom>
        <a:noFill/>
      </xdr:spPr>
    </xdr:pic>
    <xdr:clientData/>
  </xdr:twoCellAnchor>
  <xdr:twoCellAnchor>
    <xdr:from>
      <xdr:col>2</xdr:col>
      <xdr:colOff>197826</xdr:colOff>
      <xdr:row>73</xdr:row>
      <xdr:rowOff>105407</xdr:rowOff>
    </xdr:from>
    <xdr:to>
      <xdr:col>3</xdr:col>
      <xdr:colOff>100637</xdr:colOff>
      <xdr:row>75</xdr:row>
      <xdr:rowOff>28630</xdr:rowOff>
    </xdr:to>
    <xdr:sp macro="" textlink="">
      <xdr:nvSpPr>
        <xdr:cNvPr id="163" name="Стрелка вверх 162"/>
        <xdr:cNvSpPr/>
      </xdr:nvSpPr>
      <xdr:spPr>
        <a:xfrm>
          <a:off x="1417026" y="11925932"/>
          <a:ext cx="512411"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250461</xdr:colOff>
      <xdr:row>73</xdr:row>
      <xdr:rowOff>116936</xdr:rowOff>
    </xdr:from>
    <xdr:to>
      <xdr:col>2</xdr:col>
      <xdr:colOff>170214</xdr:colOff>
      <xdr:row>75</xdr:row>
      <xdr:rowOff>19747</xdr:rowOff>
    </xdr:to>
    <xdr:sp macro="" textlink="">
      <xdr:nvSpPr>
        <xdr:cNvPr id="164" name="Стрелка вверх 163"/>
        <xdr:cNvSpPr/>
      </xdr:nvSpPr>
      <xdr:spPr>
        <a:xfrm rot="2700000">
          <a:off x="1011407" y="11786115"/>
          <a:ext cx="226661"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135789</xdr:colOff>
      <xdr:row>73</xdr:row>
      <xdr:rowOff>108735</xdr:rowOff>
    </xdr:from>
    <xdr:to>
      <xdr:col>4</xdr:col>
      <xdr:colOff>35130</xdr:colOff>
      <xdr:row>75</xdr:row>
      <xdr:rowOff>31958</xdr:rowOff>
    </xdr:to>
    <xdr:sp macro="" textlink="">
      <xdr:nvSpPr>
        <xdr:cNvPr id="165" name="Стрелка вверх 164"/>
        <xdr:cNvSpPr/>
      </xdr:nvSpPr>
      <xdr:spPr>
        <a:xfrm rot="18900000">
          <a:off x="1964589" y="11929260"/>
          <a:ext cx="508941"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196693</xdr:colOff>
      <xdr:row>71</xdr:row>
      <xdr:rowOff>137345</xdr:rowOff>
    </xdr:from>
    <xdr:to>
      <xdr:col>4</xdr:col>
      <xdr:colOff>121383</xdr:colOff>
      <xdr:row>73</xdr:row>
      <xdr:rowOff>38690</xdr:rowOff>
    </xdr:to>
    <xdr:sp macro="" textlink="">
      <xdr:nvSpPr>
        <xdr:cNvPr id="166" name="Стрелка вверх 165"/>
        <xdr:cNvSpPr/>
      </xdr:nvSpPr>
      <xdr:spPr>
        <a:xfrm rot="16200000">
          <a:off x="2180040" y="11479473"/>
          <a:ext cx="225195"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5</xdr:col>
      <xdr:colOff>0</xdr:colOff>
      <xdr:row>119</xdr:row>
      <xdr:rowOff>161191</xdr:rowOff>
    </xdr:from>
    <xdr:to>
      <xdr:col>24</xdr:col>
      <xdr:colOff>199292</xdr:colOff>
      <xdr:row>124</xdr:row>
      <xdr:rowOff>153864</xdr:rowOff>
    </xdr:to>
    <xdr:pic>
      <xdr:nvPicPr>
        <xdr:cNvPr id="167" name="Picture 62"/>
        <xdr:cNvPicPr>
          <a:picLocks noChangeAspect="1" noChangeArrowheads="1"/>
        </xdr:cNvPicPr>
      </xdr:nvPicPr>
      <xdr:blipFill>
        <a:blip xmlns:r="http://schemas.openxmlformats.org/officeDocument/2006/relationships" r:embed="rId18" cstate="print"/>
        <a:srcRect/>
        <a:stretch>
          <a:fillRect/>
        </a:stretch>
      </xdr:blipFill>
      <xdr:spPr bwMode="auto">
        <a:xfrm>
          <a:off x="3048000" y="19430266"/>
          <a:ext cx="11838842" cy="802298"/>
        </a:xfrm>
        <a:prstGeom prst="rect">
          <a:avLst/>
        </a:prstGeom>
        <a:noFill/>
      </xdr:spPr>
    </xdr:pic>
    <xdr:clientData/>
  </xdr:twoCellAnchor>
  <xdr:twoCellAnchor editAs="oneCell">
    <xdr:from>
      <xdr:col>2</xdr:col>
      <xdr:colOff>153866</xdr:colOff>
      <xdr:row>122</xdr:row>
      <xdr:rowOff>21981</xdr:rowOff>
    </xdr:from>
    <xdr:to>
      <xdr:col>3</xdr:col>
      <xdr:colOff>194896</xdr:colOff>
      <xdr:row>124</xdr:row>
      <xdr:rowOff>33704</xdr:rowOff>
    </xdr:to>
    <xdr:pic>
      <xdr:nvPicPr>
        <xdr:cNvPr id="168" name="Picture 64"/>
        <xdr:cNvPicPr>
          <a:picLocks noChangeAspect="1" noChangeArrowheads="1"/>
        </xdr:cNvPicPr>
      </xdr:nvPicPr>
      <xdr:blipFill>
        <a:blip xmlns:r="http://schemas.openxmlformats.org/officeDocument/2006/relationships" r:embed="rId19" cstate="print"/>
        <a:srcRect/>
        <a:stretch>
          <a:fillRect/>
        </a:stretch>
      </xdr:blipFill>
      <xdr:spPr bwMode="auto">
        <a:xfrm>
          <a:off x="1373066" y="19776831"/>
          <a:ext cx="650630" cy="335573"/>
        </a:xfrm>
        <a:prstGeom prst="rect">
          <a:avLst/>
        </a:prstGeom>
        <a:noFill/>
      </xdr:spPr>
    </xdr:pic>
    <xdr:clientData/>
  </xdr:twoCellAnchor>
  <xdr:twoCellAnchor>
    <xdr:from>
      <xdr:col>2</xdr:col>
      <xdr:colOff>212481</xdr:colOff>
      <xdr:row>124</xdr:row>
      <xdr:rowOff>41332</xdr:rowOff>
    </xdr:from>
    <xdr:to>
      <xdr:col>3</xdr:col>
      <xdr:colOff>115292</xdr:colOff>
      <xdr:row>125</xdr:row>
      <xdr:rowOff>125748</xdr:rowOff>
    </xdr:to>
    <xdr:sp macro="" textlink="">
      <xdr:nvSpPr>
        <xdr:cNvPr id="169" name="Стрелка вверх 168"/>
        <xdr:cNvSpPr/>
      </xdr:nvSpPr>
      <xdr:spPr>
        <a:xfrm>
          <a:off x="1431681" y="20120032"/>
          <a:ext cx="512411"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265116</xdr:colOff>
      <xdr:row>124</xdr:row>
      <xdr:rowOff>52861</xdr:rowOff>
    </xdr:from>
    <xdr:to>
      <xdr:col>2</xdr:col>
      <xdr:colOff>184869</xdr:colOff>
      <xdr:row>125</xdr:row>
      <xdr:rowOff>116865</xdr:rowOff>
    </xdr:to>
    <xdr:sp macro="" textlink="">
      <xdr:nvSpPr>
        <xdr:cNvPr id="170" name="Стрелка вверх 169"/>
        <xdr:cNvSpPr/>
      </xdr:nvSpPr>
      <xdr:spPr>
        <a:xfrm rot="2700000">
          <a:off x="1026428" y="19979849"/>
          <a:ext cx="225929"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150444</xdr:colOff>
      <xdr:row>124</xdr:row>
      <xdr:rowOff>44660</xdr:rowOff>
    </xdr:from>
    <xdr:to>
      <xdr:col>4</xdr:col>
      <xdr:colOff>49785</xdr:colOff>
      <xdr:row>125</xdr:row>
      <xdr:rowOff>129076</xdr:rowOff>
    </xdr:to>
    <xdr:sp macro="" textlink="">
      <xdr:nvSpPr>
        <xdr:cNvPr id="171" name="Стрелка вверх 170"/>
        <xdr:cNvSpPr/>
      </xdr:nvSpPr>
      <xdr:spPr>
        <a:xfrm rot="18900000">
          <a:off x="1979244" y="20123360"/>
          <a:ext cx="508941"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0</xdr:colOff>
      <xdr:row>127</xdr:row>
      <xdr:rowOff>80597</xdr:rowOff>
    </xdr:from>
    <xdr:to>
      <xdr:col>2</xdr:col>
      <xdr:colOff>306265</xdr:colOff>
      <xdr:row>130</xdr:row>
      <xdr:rowOff>55685</xdr:rowOff>
    </xdr:to>
    <xdr:pic>
      <xdr:nvPicPr>
        <xdr:cNvPr id="172" name="Picture 66"/>
        <xdr:cNvPicPr>
          <a:picLocks noChangeAspect="1" noChangeArrowheads="1"/>
        </xdr:cNvPicPr>
      </xdr:nvPicPr>
      <xdr:blipFill>
        <a:blip xmlns:r="http://schemas.openxmlformats.org/officeDocument/2006/relationships" r:embed="rId20" cstate="print"/>
        <a:srcRect/>
        <a:stretch>
          <a:fillRect/>
        </a:stretch>
      </xdr:blipFill>
      <xdr:spPr bwMode="auto">
        <a:xfrm>
          <a:off x="609600" y="20645072"/>
          <a:ext cx="915865" cy="460863"/>
        </a:xfrm>
        <a:prstGeom prst="rect">
          <a:avLst/>
        </a:prstGeom>
        <a:noFill/>
      </xdr:spPr>
    </xdr:pic>
    <xdr:clientData/>
  </xdr:twoCellAnchor>
  <xdr:twoCellAnchor>
    <xdr:from>
      <xdr:col>2</xdr:col>
      <xdr:colOff>36635</xdr:colOff>
      <xdr:row>130</xdr:row>
      <xdr:rowOff>92621</xdr:rowOff>
    </xdr:from>
    <xdr:to>
      <xdr:col>2</xdr:col>
      <xdr:colOff>261831</xdr:colOff>
      <xdr:row>132</xdr:row>
      <xdr:rowOff>15845</xdr:rowOff>
    </xdr:to>
    <xdr:sp macro="" textlink="">
      <xdr:nvSpPr>
        <xdr:cNvPr id="173" name="Стрелка вверх 172"/>
        <xdr:cNvSpPr/>
      </xdr:nvSpPr>
      <xdr:spPr>
        <a:xfrm>
          <a:off x="1255835" y="21142871"/>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89270</xdr:colOff>
      <xdr:row>130</xdr:row>
      <xdr:rowOff>104150</xdr:rowOff>
    </xdr:from>
    <xdr:to>
      <xdr:col>2</xdr:col>
      <xdr:colOff>9023</xdr:colOff>
      <xdr:row>132</xdr:row>
      <xdr:rowOff>6962</xdr:rowOff>
    </xdr:to>
    <xdr:sp macro="" textlink="">
      <xdr:nvSpPr>
        <xdr:cNvPr id="174" name="Стрелка вверх 173"/>
        <xdr:cNvSpPr/>
      </xdr:nvSpPr>
      <xdr:spPr>
        <a:xfrm rot="2700000">
          <a:off x="850216" y="21003054"/>
          <a:ext cx="226662"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296983</xdr:colOff>
      <xdr:row>130</xdr:row>
      <xdr:rowOff>95949</xdr:rowOff>
    </xdr:from>
    <xdr:to>
      <xdr:col>3</xdr:col>
      <xdr:colOff>196323</xdr:colOff>
      <xdr:row>132</xdr:row>
      <xdr:rowOff>19173</xdr:rowOff>
    </xdr:to>
    <xdr:sp macro="" textlink="">
      <xdr:nvSpPr>
        <xdr:cNvPr id="175" name="Стрелка вверх 174"/>
        <xdr:cNvSpPr/>
      </xdr:nvSpPr>
      <xdr:spPr>
        <a:xfrm rot="18900000">
          <a:off x="1516183" y="21146199"/>
          <a:ext cx="50894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35502</xdr:colOff>
      <xdr:row>128</xdr:row>
      <xdr:rowOff>124559</xdr:rowOff>
    </xdr:from>
    <xdr:to>
      <xdr:col>3</xdr:col>
      <xdr:colOff>282576</xdr:colOff>
      <xdr:row>130</xdr:row>
      <xdr:rowOff>25904</xdr:rowOff>
    </xdr:to>
    <xdr:sp macro="" textlink="">
      <xdr:nvSpPr>
        <xdr:cNvPr id="176" name="Стрелка вверх 175"/>
        <xdr:cNvSpPr/>
      </xdr:nvSpPr>
      <xdr:spPr>
        <a:xfrm rot="16200000">
          <a:off x="1875241" y="20840020"/>
          <a:ext cx="225195"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13</xdr:col>
      <xdr:colOff>0</xdr:colOff>
      <xdr:row>127</xdr:row>
      <xdr:rowOff>58616</xdr:rowOff>
    </xdr:from>
    <xdr:to>
      <xdr:col>15</xdr:col>
      <xdr:colOff>41031</xdr:colOff>
      <xdr:row>131</xdr:row>
      <xdr:rowOff>5862</xdr:rowOff>
    </xdr:to>
    <xdr:pic>
      <xdr:nvPicPr>
        <xdr:cNvPr id="177" name="Picture 70"/>
        <xdr:cNvPicPr>
          <a:picLocks noChangeAspect="1" noChangeArrowheads="1"/>
        </xdr:cNvPicPr>
      </xdr:nvPicPr>
      <xdr:blipFill>
        <a:blip xmlns:r="http://schemas.openxmlformats.org/officeDocument/2006/relationships" r:embed="rId21" cstate="print"/>
        <a:srcRect/>
        <a:stretch>
          <a:fillRect/>
        </a:stretch>
      </xdr:blipFill>
      <xdr:spPr bwMode="auto">
        <a:xfrm>
          <a:off x="7924800" y="20623091"/>
          <a:ext cx="1260231" cy="594946"/>
        </a:xfrm>
        <a:prstGeom prst="rect">
          <a:avLst/>
        </a:prstGeom>
        <a:noFill/>
      </xdr:spPr>
    </xdr:pic>
    <xdr:clientData/>
  </xdr:twoCellAnchor>
  <xdr:twoCellAnchor>
    <xdr:from>
      <xdr:col>14</xdr:col>
      <xdr:colOff>73270</xdr:colOff>
      <xdr:row>131</xdr:row>
      <xdr:rowOff>34006</xdr:rowOff>
    </xdr:from>
    <xdr:to>
      <xdr:col>14</xdr:col>
      <xdr:colOff>298466</xdr:colOff>
      <xdr:row>132</xdr:row>
      <xdr:rowOff>118422</xdr:rowOff>
    </xdr:to>
    <xdr:sp macro="" textlink="">
      <xdr:nvSpPr>
        <xdr:cNvPr id="178" name="Стрелка вверх 177"/>
        <xdr:cNvSpPr/>
      </xdr:nvSpPr>
      <xdr:spPr>
        <a:xfrm>
          <a:off x="8607670" y="21246181"/>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125904</xdr:colOff>
      <xdr:row>131</xdr:row>
      <xdr:rowOff>45535</xdr:rowOff>
    </xdr:from>
    <xdr:to>
      <xdr:col>14</xdr:col>
      <xdr:colOff>45658</xdr:colOff>
      <xdr:row>132</xdr:row>
      <xdr:rowOff>109539</xdr:rowOff>
    </xdr:to>
    <xdr:sp macro="" textlink="">
      <xdr:nvSpPr>
        <xdr:cNvPr id="179" name="Стрелка вверх 178"/>
        <xdr:cNvSpPr/>
      </xdr:nvSpPr>
      <xdr:spPr>
        <a:xfrm rot="2700000">
          <a:off x="8202416" y="21105998"/>
          <a:ext cx="225929" cy="52935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15</xdr:col>
      <xdr:colOff>11233</xdr:colOff>
      <xdr:row>131</xdr:row>
      <xdr:rowOff>37334</xdr:rowOff>
    </xdr:from>
    <xdr:to>
      <xdr:col>15</xdr:col>
      <xdr:colOff>232958</xdr:colOff>
      <xdr:row>132</xdr:row>
      <xdr:rowOff>121750</xdr:rowOff>
    </xdr:to>
    <xdr:sp macro="" textlink="">
      <xdr:nvSpPr>
        <xdr:cNvPr id="180" name="Стрелка вверх 179"/>
        <xdr:cNvSpPr/>
      </xdr:nvSpPr>
      <xdr:spPr>
        <a:xfrm rot="18900000">
          <a:off x="9155233" y="21249509"/>
          <a:ext cx="221725"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15</xdr:col>
      <xdr:colOff>72137</xdr:colOff>
      <xdr:row>129</xdr:row>
      <xdr:rowOff>65944</xdr:rowOff>
    </xdr:from>
    <xdr:to>
      <xdr:col>15</xdr:col>
      <xdr:colOff>319211</xdr:colOff>
      <xdr:row>130</xdr:row>
      <xdr:rowOff>128481</xdr:rowOff>
    </xdr:to>
    <xdr:sp macro="" textlink="">
      <xdr:nvSpPr>
        <xdr:cNvPr id="181" name="Стрелка вверх 180"/>
        <xdr:cNvSpPr/>
      </xdr:nvSpPr>
      <xdr:spPr>
        <a:xfrm rot="16200000">
          <a:off x="9227443" y="20942963"/>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19</xdr:col>
      <xdr:colOff>1</xdr:colOff>
      <xdr:row>127</xdr:row>
      <xdr:rowOff>0</xdr:rowOff>
    </xdr:from>
    <xdr:to>
      <xdr:col>21</xdr:col>
      <xdr:colOff>21981</xdr:colOff>
      <xdr:row>131</xdr:row>
      <xdr:rowOff>4396</xdr:rowOff>
    </xdr:to>
    <xdr:pic>
      <xdr:nvPicPr>
        <xdr:cNvPr id="182" name="Picture 72"/>
        <xdr:cNvPicPr>
          <a:picLocks noChangeAspect="1" noChangeArrowheads="1"/>
        </xdr:cNvPicPr>
      </xdr:nvPicPr>
      <xdr:blipFill>
        <a:blip xmlns:r="http://schemas.openxmlformats.org/officeDocument/2006/relationships" r:embed="rId22" cstate="print"/>
        <a:srcRect/>
        <a:stretch>
          <a:fillRect/>
        </a:stretch>
      </xdr:blipFill>
      <xdr:spPr bwMode="auto">
        <a:xfrm>
          <a:off x="11582401" y="20564475"/>
          <a:ext cx="1241180" cy="652096"/>
        </a:xfrm>
        <a:prstGeom prst="rect">
          <a:avLst/>
        </a:prstGeom>
        <a:noFill/>
      </xdr:spPr>
    </xdr:pic>
    <xdr:clientData/>
  </xdr:twoCellAnchor>
  <xdr:twoCellAnchor>
    <xdr:from>
      <xdr:col>20</xdr:col>
      <xdr:colOff>65943</xdr:colOff>
      <xdr:row>131</xdr:row>
      <xdr:rowOff>41331</xdr:rowOff>
    </xdr:from>
    <xdr:to>
      <xdr:col>20</xdr:col>
      <xdr:colOff>291139</xdr:colOff>
      <xdr:row>132</xdr:row>
      <xdr:rowOff>125747</xdr:rowOff>
    </xdr:to>
    <xdr:sp macro="" textlink="">
      <xdr:nvSpPr>
        <xdr:cNvPr id="183" name="Стрелка вверх 182"/>
        <xdr:cNvSpPr/>
      </xdr:nvSpPr>
      <xdr:spPr>
        <a:xfrm>
          <a:off x="12257943" y="21253506"/>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19</xdr:col>
      <xdr:colOff>118577</xdr:colOff>
      <xdr:row>131</xdr:row>
      <xdr:rowOff>52860</xdr:rowOff>
    </xdr:from>
    <xdr:to>
      <xdr:col>20</xdr:col>
      <xdr:colOff>38331</xdr:colOff>
      <xdr:row>132</xdr:row>
      <xdr:rowOff>116864</xdr:rowOff>
    </xdr:to>
    <xdr:sp macro="" textlink="">
      <xdr:nvSpPr>
        <xdr:cNvPr id="184" name="Стрелка вверх 183"/>
        <xdr:cNvSpPr/>
      </xdr:nvSpPr>
      <xdr:spPr>
        <a:xfrm rot="2700000">
          <a:off x="11852689" y="21113323"/>
          <a:ext cx="225929" cy="52935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3906</xdr:colOff>
      <xdr:row>131</xdr:row>
      <xdr:rowOff>44659</xdr:rowOff>
    </xdr:from>
    <xdr:to>
      <xdr:col>21</xdr:col>
      <xdr:colOff>225631</xdr:colOff>
      <xdr:row>132</xdr:row>
      <xdr:rowOff>129075</xdr:rowOff>
    </xdr:to>
    <xdr:sp macro="" textlink="">
      <xdr:nvSpPr>
        <xdr:cNvPr id="185" name="Стрелка вверх 184"/>
        <xdr:cNvSpPr/>
      </xdr:nvSpPr>
      <xdr:spPr>
        <a:xfrm rot="18900000">
          <a:off x="12805506" y="21256834"/>
          <a:ext cx="221725"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64810</xdr:colOff>
      <xdr:row>129</xdr:row>
      <xdr:rowOff>73269</xdr:rowOff>
    </xdr:from>
    <xdr:to>
      <xdr:col>21</xdr:col>
      <xdr:colOff>311884</xdr:colOff>
      <xdr:row>130</xdr:row>
      <xdr:rowOff>135806</xdr:rowOff>
    </xdr:to>
    <xdr:sp macro="" textlink="">
      <xdr:nvSpPr>
        <xdr:cNvPr id="186" name="Стрелка вверх 185"/>
        <xdr:cNvSpPr/>
      </xdr:nvSpPr>
      <xdr:spPr>
        <a:xfrm rot="16200000">
          <a:off x="12877716" y="20950288"/>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7</xdr:col>
      <xdr:colOff>0</xdr:colOff>
      <xdr:row>132</xdr:row>
      <xdr:rowOff>161192</xdr:rowOff>
    </xdr:from>
    <xdr:to>
      <xdr:col>9</xdr:col>
      <xdr:colOff>296741</xdr:colOff>
      <xdr:row>137</xdr:row>
      <xdr:rowOff>43961</xdr:rowOff>
    </xdr:to>
    <xdr:pic>
      <xdr:nvPicPr>
        <xdr:cNvPr id="188" name="Picture 76"/>
        <xdr:cNvPicPr>
          <a:picLocks noChangeAspect="1" noChangeArrowheads="1"/>
        </xdr:cNvPicPr>
      </xdr:nvPicPr>
      <xdr:blipFill>
        <a:blip xmlns:r="http://schemas.openxmlformats.org/officeDocument/2006/relationships" r:embed="rId23" cstate="print"/>
        <a:srcRect/>
        <a:stretch>
          <a:fillRect/>
        </a:stretch>
      </xdr:blipFill>
      <xdr:spPr bwMode="auto">
        <a:xfrm>
          <a:off x="4267200" y="21535292"/>
          <a:ext cx="1515941" cy="692394"/>
        </a:xfrm>
        <a:prstGeom prst="rect">
          <a:avLst/>
        </a:prstGeom>
        <a:noFill/>
      </xdr:spPr>
    </xdr:pic>
    <xdr:clientData/>
  </xdr:twoCellAnchor>
  <xdr:twoCellAnchor>
    <xdr:from>
      <xdr:col>8</xdr:col>
      <xdr:colOff>43962</xdr:colOff>
      <xdr:row>137</xdr:row>
      <xdr:rowOff>48660</xdr:rowOff>
    </xdr:from>
    <xdr:to>
      <xdr:col>8</xdr:col>
      <xdr:colOff>269158</xdr:colOff>
      <xdr:row>138</xdr:row>
      <xdr:rowOff>133076</xdr:rowOff>
    </xdr:to>
    <xdr:sp macro="" textlink="">
      <xdr:nvSpPr>
        <xdr:cNvPr id="189" name="Стрелка вверх 188"/>
        <xdr:cNvSpPr/>
      </xdr:nvSpPr>
      <xdr:spPr>
        <a:xfrm>
          <a:off x="4920762" y="22232385"/>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96597</xdr:colOff>
      <xdr:row>137</xdr:row>
      <xdr:rowOff>60189</xdr:rowOff>
    </xdr:from>
    <xdr:to>
      <xdr:col>8</xdr:col>
      <xdr:colOff>16350</xdr:colOff>
      <xdr:row>138</xdr:row>
      <xdr:rowOff>124193</xdr:rowOff>
    </xdr:to>
    <xdr:sp macro="" textlink="">
      <xdr:nvSpPr>
        <xdr:cNvPr id="190" name="Стрелка вверх 189"/>
        <xdr:cNvSpPr/>
      </xdr:nvSpPr>
      <xdr:spPr>
        <a:xfrm rot="2700000">
          <a:off x="4515509" y="22092202"/>
          <a:ext cx="225929"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304310</xdr:colOff>
      <xdr:row>137</xdr:row>
      <xdr:rowOff>51988</xdr:rowOff>
    </xdr:from>
    <xdr:to>
      <xdr:col>9</xdr:col>
      <xdr:colOff>203650</xdr:colOff>
      <xdr:row>138</xdr:row>
      <xdr:rowOff>136404</xdr:rowOff>
    </xdr:to>
    <xdr:sp macro="" textlink="">
      <xdr:nvSpPr>
        <xdr:cNvPr id="191" name="Стрелка вверх 190"/>
        <xdr:cNvSpPr/>
      </xdr:nvSpPr>
      <xdr:spPr>
        <a:xfrm rot="18900000">
          <a:off x="5181110" y="22235713"/>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6</xdr:col>
      <xdr:colOff>322384</xdr:colOff>
      <xdr:row>127</xdr:row>
      <xdr:rowOff>0</xdr:rowOff>
    </xdr:from>
    <xdr:to>
      <xdr:col>9</xdr:col>
      <xdr:colOff>79130</xdr:colOff>
      <xdr:row>131</xdr:row>
      <xdr:rowOff>29307</xdr:rowOff>
    </xdr:to>
    <xdr:pic>
      <xdr:nvPicPr>
        <xdr:cNvPr id="192" name="Picture 68"/>
        <xdr:cNvPicPr>
          <a:picLocks noChangeAspect="1" noChangeArrowheads="1"/>
        </xdr:cNvPicPr>
      </xdr:nvPicPr>
      <xdr:blipFill>
        <a:blip xmlns:r="http://schemas.openxmlformats.org/officeDocument/2006/relationships" r:embed="rId24" cstate="print"/>
        <a:srcRect/>
        <a:stretch>
          <a:fillRect/>
        </a:stretch>
      </xdr:blipFill>
      <xdr:spPr bwMode="auto">
        <a:xfrm>
          <a:off x="3979984" y="20564475"/>
          <a:ext cx="1585546" cy="677007"/>
        </a:xfrm>
        <a:prstGeom prst="rect">
          <a:avLst/>
        </a:prstGeom>
        <a:noFill/>
      </xdr:spPr>
    </xdr:pic>
    <xdr:clientData/>
  </xdr:twoCellAnchor>
  <xdr:twoCellAnchor>
    <xdr:from>
      <xdr:col>8</xdr:col>
      <xdr:colOff>124557</xdr:colOff>
      <xdr:row>131</xdr:row>
      <xdr:rowOff>55988</xdr:rowOff>
    </xdr:from>
    <xdr:to>
      <xdr:col>9</xdr:col>
      <xdr:colOff>27368</xdr:colOff>
      <xdr:row>132</xdr:row>
      <xdr:rowOff>140404</xdr:rowOff>
    </xdr:to>
    <xdr:sp macro="" textlink="">
      <xdr:nvSpPr>
        <xdr:cNvPr id="193" name="Стрелка вверх 192"/>
        <xdr:cNvSpPr/>
      </xdr:nvSpPr>
      <xdr:spPr>
        <a:xfrm>
          <a:off x="5001357" y="21268163"/>
          <a:ext cx="512411"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177192</xdr:colOff>
      <xdr:row>131</xdr:row>
      <xdr:rowOff>67517</xdr:rowOff>
    </xdr:from>
    <xdr:to>
      <xdr:col>8</xdr:col>
      <xdr:colOff>96945</xdr:colOff>
      <xdr:row>132</xdr:row>
      <xdr:rowOff>131521</xdr:rowOff>
    </xdr:to>
    <xdr:sp macro="" textlink="">
      <xdr:nvSpPr>
        <xdr:cNvPr id="194" name="Стрелка вверх 193"/>
        <xdr:cNvSpPr/>
      </xdr:nvSpPr>
      <xdr:spPr>
        <a:xfrm rot="2700000">
          <a:off x="4596104" y="21127980"/>
          <a:ext cx="225929"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62520</xdr:colOff>
      <xdr:row>131</xdr:row>
      <xdr:rowOff>59316</xdr:rowOff>
    </xdr:from>
    <xdr:to>
      <xdr:col>9</xdr:col>
      <xdr:colOff>284245</xdr:colOff>
      <xdr:row>132</xdr:row>
      <xdr:rowOff>143732</xdr:rowOff>
    </xdr:to>
    <xdr:sp macro="" textlink="">
      <xdr:nvSpPr>
        <xdr:cNvPr id="195" name="Стрелка вверх 194"/>
        <xdr:cNvSpPr/>
      </xdr:nvSpPr>
      <xdr:spPr>
        <a:xfrm rot="18900000">
          <a:off x="5548920" y="21271491"/>
          <a:ext cx="221725"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123424</xdr:colOff>
      <xdr:row>129</xdr:row>
      <xdr:rowOff>87926</xdr:rowOff>
    </xdr:from>
    <xdr:to>
      <xdr:col>10</xdr:col>
      <xdr:colOff>48114</xdr:colOff>
      <xdr:row>130</xdr:row>
      <xdr:rowOff>150463</xdr:rowOff>
    </xdr:to>
    <xdr:sp macro="" textlink="">
      <xdr:nvSpPr>
        <xdr:cNvPr id="196" name="Стрелка вверх 195"/>
        <xdr:cNvSpPr/>
      </xdr:nvSpPr>
      <xdr:spPr>
        <a:xfrm rot="16200000">
          <a:off x="5764738" y="20821337"/>
          <a:ext cx="224462"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0</xdr:colOff>
      <xdr:row>132</xdr:row>
      <xdr:rowOff>161192</xdr:rowOff>
    </xdr:from>
    <xdr:to>
      <xdr:col>4</xdr:col>
      <xdr:colOff>14655</xdr:colOff>
      <xdr:row>137</xdr:row>
      <xdr:rowOff>23445</xdr:rowOff>
    </xdr:to>
    <xdr:pic>
      <xdr:nvPicPr>
        <xdr:cNvPr id="197" name="Picture 74"/>
        <xdr:cNvPicPr>
          <a:picLocks noChangeAspect="1" noChangeArrowheads="1"/>
        </xdr:cNvPicPr>
      </xdr:nvPicPr>
      <xdr:blipFill>
        <a:blip xmlns:r="http://schemas.openxmlformats.org/officeDocument/2006/relationships" r:embed="rId25" cstate="print"/>
        <a:srcRect/>
        <a:stretch>
          <a:fillRect/>
        </a:stretch>
      </xdr:blipFill>
      <xdr:spPr bwMode="auto">
        <a:xfrm>
          <a:off x="609600" y="21535292"/>
          <a:ext cx="1843455" cy="671878"/>
        </a:xfrm>
        <a:prstGeom prst="rect">
          <a:avLst/>
        </a:prstGeom>
        <a:noFill/>
      </xdr:spPr>
    </xdr:pic>
    <xdr:clientData/>
  </xdr:twoCellAnchor>
  <xdr:twoCellAnchor>
    <xdr:from>
      <xdr:col>2</xdr:col>
      <xdr:colOff>80596</xdr:colOff>
      <xdr:row>137</xdr:row>
      <xdr:rowOff>19351</xdr:rowOff>
    </xdr:from>
    <xdr:to>
      <xdr:col>2</xdr:col>
      <xdr:colOff>305792</xdr:colOff>
      <xdr:row>138</xdr:row>
      <xdr:rowOff>103767</xdr:rowOff>
    </xdr:to>
    <xdr:sp macro="" textlink="">
      <xdr:nvSpPr>
        <xdr:cNvPr id="198" name="Стрелка вверх 197"/>
        <xdr:cNvSpPr/>
      </xdr:nvSpPr>
      <xdr:spPr>
        <a:xfrm>
          <a:off x="1299796" y="22203076"/>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133231</xdr:colOff>
      <xdr:row>137</xdr:row>
      <xdr:rowOff>30880</xdr:rowOff>
    </xdr:from>
    <xdr:to>
      <xdr:col>2</xdr:col>
      <xdr:colOff>52984</xdr:colOff>
      <xdr:row>138</xdr:row>
      <xdr:rowOff>94884</xdr:rowOff>
    </xdr:to>
    <xdr:sp macro="" textlink="">
      <xdr:nvSpPr>
        <xdr:cNvPr id="199" name="Стрелка вверх 198"/>
        <xdr:cNvSpPr/>
      </xdr:nvSpPr>
      <xdr:spPr>
        <a:xfrm rot="2700000">
          <a:off x="894543" y="22062893"/>
          <a:ext cx="225929"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18559</xdr:colOff>
      <xdr:row>137</xdr:row>
      <xdr:rowOff>22679</xdr:rowOff>
    </xdr:from>
    <xdr:to>
      <xdr:col>3</xdr:col>
      <xdr:colOff>240284</xdr:colOff>
      <xdr:row>138</xdr:row>
      <xdr:rowOff>107095</xdr:rowOff>
    </xdr:to>
    <xdr:sp macro="" textlink="">
      <xdr:nvSpPr>
        <xdr:cNvPr id="200" name="Стрелка вверх 199"/>
        <xdr:cNvSpPr/>
      </xdr:nvSpPr>
      <xdr:spPr>
        <a:xfrm rot="18900000">
          <a:off x="1847359" y="22206404"/>
          <a:ext cx="221725"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65943</xdr:colOff>
      <xdr:row>135</xdr:row>
      <xdr:rowOff>55358</xdr:rowOff>
    </xdr:from>
    <xdr:to>
      <xdr:col>1</xdr:col>
      <xdr:colOff>313017</xdr:colOff>
      <xdr:row>136</xdr:row>
      <xdr:rowOff>117896</xdr:rowOff>
    </xdr:to>
    <xdr:sp macro="" textlink="">
      <xdr:nvSpPr>
        <xdr:cNvPr id="201" name="Стрелка вверх 200"/>
        <xdr:cNvSpPr/>
      </xdr:nvSpPr>
      <xdr:spPr>
        <a:xfrm rot="5400000">
          <a:off x="686848" y="21903928"/>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79463</xdr:colOff>
      <xdr:row>135</xdr:row>
      <xdr:rowOff>51289</xdr:rowOff>
    </xdr:from>
    <xdr:to>
      <xdr:col>4</xdr:col>
      <xdr:colOff>4153</xdr:colOff>
      <xdr:row>136</xdr:row>
      <xdr:rowOff>113827</xdr:rowOff>
    </xdr:to>
    <xdr:sp macro="" textlink="">
      <xdr:nvSpPr>
        <xdr:cNvPr id="202" name="Стрелка вверх 201"/>
        <xdr:cNvSpPr/>
      </xdr:nvSpPr>
      <xdr:spPr>
        <a:xfrm rot="16200000">
          <a:off x="2063176" y="21756251"/>
          <a:ext cx="224463"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0</xdr:colOff>
      <xdr:row>140</xdr:row>
      <xdr:rowOff>1</xdr:rowOff>
    </xdr:from>
    <xdr:to>
      <xdr:col>20</xdr:col>
      <xdr:colOff>7327</xdr:colOff>
      <xdr:row>149</xdr:row>
      <xdr:rowOff>157682</xdr:rowOff>
    </xdr:to>
    <xdr:pic>
      <xdr:nvPicPr>
        <xdr:cNvPr id="203" name="Picture 78"/>
        <xdr:cNvPicPr>
          <a:picLocks noChangeAspect="1" noChangeArrowheads="1"/>
        </xdr:cNvPicPr>
      </xdr:nvPicPr>
      <xdr:blipFill>
        <a:blip xmlns:r="http://schemas.openxmlformats.org/officeDocument/2006/relationships" r:embed="rId26" cstate="print"/>
        <a:srcRect/>
        <a:stretch>
          <a:fillRect/>
        </a:stretch>
      </xdr:blipFill>
      <xdr:spPr bwMode="auto">
        <a:xfrm>
          <a:off x="609600" y="22669501"/>
          <a:ext cx="11589727" cy="1615005"/>
        </a:xfrm>
        <a:prstGeom prst="rect">
          <a:avLst/>
        </a:prstGeom>
        <a:noFill/>
      </xdr:spPr>
    </xdr:pic>
    <xdr:clientData/>
  </xdr:twoCellAnchor>
  <xdr:twoCellAnchor>
    <xdr:from>
      <xdr:col>2</xdr:col>
      <xdr:colOff>21982</xdr:colOff>
      <xdr:row>143</xdr:row>
      <xdr:rowOff>136582</xdr:rowOff>
    </xdr:from>
    <xdr:to>
      <xdr:col>2</xdr:col>
      <xdr:colOff>247178</xdr:colOff>
      <xdr:row>145</xdr:row>
      <xdr:rowOff>59806</xdr:rowOff>
    </xdr:to>
    <xdr:sp macro="" textlink="">
      <xdr:nvSpPr>
        <xdr:cNvPr id="204" name="Стрелка вверх 203"/>
        <xdr:cNvSpPr/>
      </xdr:nvSpPr>
      <xdr:spPr>
        <a:xfrm>
          <a:off x="1241182" y="23291857"/>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74617</xdr:colOff>
      <xdr:row>143</xdr:row>
      <xdr:rowOff>148111</xdr:rowOff>
    </xdr:from>
    <xdr:to>
      <xdr:col>1</xdr:col>
      <xdr:colOff>316755</xdr:colOff>
      <xdr:row>145</xdr:row>
      <xdr:rowOff>50923</xdr:rowOff>
    </xdr:to>
    <xdr:sp macro="" textlink="">
      <xdr:nvSpPr>
        <xdr:cNvPr id="205" name="Стрелка вверх 204"/>
        <xdr:cNvSpPr/>
      </xdr:nvSpPr>
      <xdr:spPr>
        <a:xfrm rot="2700000">
          <a:off x="691955" y="23295648"/>
          <a:ext cx="226662"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282330</xdr:colOff>
      <xdr:row>143</xdr:row>
      <xdr:rowOff>139910</xdr:rowOff>
    </xdr:from>
    <xdr:to>
      <xdr:col>3</xdr:col>
      <xdr:colOff>181669</xdr:colOff>
      <xdr:row>145</xdr:row>
      <xdr:rowOff>63134</xdr:rowOff>
    </xdr:to>
    <xdr:sp macro="" textlink="">
      <xdr:nvSpPr>
        <xdr:cNvPr id="206" name="Стрелка вверх 205"/>
        <xdr:cNvSpPr/>
      </xdr:nvSpPr>
      <xdr:spPr>
        <a:xfrm rot="18900000">
          <a:off x="1501530" y="23295185"/>
          <a:ext cx="508939"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5</xdr:col>
      <xdr:colOff>58616</xdr:colOff>
      <xdr:row>143</xdr:row>
      <xdr:rowOff>136582</xdr:rowOff>
    </xdr:from>
    <xdr:to>
      <xdr:col>5</xdr:col>
      <xdr:colOff>283812</xdr:colOff>
      <xdr:row>145</xdr:row>
      <xdr:rowOff>59806</xdr:rowOff>
    </xdr:to>
    <xdr:sp macro="" textlink="">
      <xdr:nvSpPr>
        <xdr:cNvPr id="207" name="Стрелка вверх 206"/>
        <xdr:cNvSpPr/>
      </xdr:nvSpPr>
      <xdr:spPr>
        <a:xfrm>
          <a:off x="3106616" y="23291857"/>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4</xdr:col>
      <xdr:colOff>111251</xdr:colOff>
      <xdr:row>143</xdr:row>
      <xdr:rowOff>148111</xdr:rowOff>
    </xdr:from>
    <xdr:to>
      <xdr:col>5</xdr:col>
      <xdr:colOff>31004</xdr:colOff>
      <xdr:row>145</xdr:row>
      <xdr:rowOff>50923</xdr:rowOff>
    </xdr:to>
    <xdr:sp macro="" textlink="">
      <xdr:nvSpPr>
        <xdr:cNvPr id="208" name="Стрелка вверх 207"/>
        <xdr:cNvSpPr/>
      </xdr:nvSpPr>
      <xdr:spPr>
        <a:xfrm rot="2700000">
          <a:off x="2700997" y="23152040"/>
          <a:ext cx="226662"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5</xdr:col>
      <xdr:colOff>318964</xdr:colOff>
      <xdr:row>143</xdr:row>
      <xdr:rowOff>139910</xdr:rowOff>
    </xdr:from>
    <xdr:to>
      <xdr:col>6</xdr:col>
      <xdr:colOff>218304</xdr:colOff>
      <xdr:row>145</xdr:row>
      <xdr:rowOff>63134</xdr:rowOff>
    </xdr:to>
    <xdr:sp macro="" textlink="">
      <xdr:nvSpPr>
        <xdr:cNvPr id="209" name="Стрелка вверх 208"/>
        <xdr:cNvSpPr/>
      </xdr:nvSpPr>
      <xdr:spPr>
        <a:xfrm rot="18900000">
          <a:off x="3366964" y="23295185"/>
          <a:ext cx="50894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95251</xdr:colOff>
      <xdr:row>143</xdr:row>
      <xdr:rowOff>136582</xdr:rowOff>
    </xdr:from>
    <xdr:to>
      <xdr:col>8</xdr:col>
      <xdr:colOff>320447</xdr:colOff>
      <xdr:row>145</xdr:row>
      <xdr:rowOff>59806</xdr:rowOff>
    </xdr:to>
    <xdr:sp macro="" textlink="">
      <xdr:nvSpPr>
        <xdr:cNvPr id="210" name="Стрелка вверх 209"/>
        <xdr:cNvSpPr/>
      </xdr:nvSpPr>
      <xdr:spPr>
        <a:xfrm>
          <a:off x="4972051" y="23291857"/>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147886</xdr:colOff>
      <xdr:row>143</xdr:row>
      <xdr:rowOff>148111</xdr:rowOff>
    </xdr:from>
    <xdr:to>
      <xdr:col>8</xdr:col>
      <xdr:colOff>67639</xdr:colOff>
      <xdr:row>145</xdr:row>
      <xdr:rowOff>50923</xdr:rowOff>
    </xdr:to>
    <xdr:sp macro="" textlink="">
      <xdr:nvSpPr>
        <xdr:cNvPr id="211" name="Стрелка вверх 210"/>
        <xdr:cNvSpPr/>
      </xdr:nvSpPr>
      <xdr:spPr>
        <a:xfrm rot="2700000">
          <a:off x="4566432" y="23152040"/>
          <a:ext cx="226662"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33215</xdr:colOff>
      <xdr:row>143</xdr:row>
      <xdr:rowOff>139910</xdr:rowOff>
    </xdr:from>
    <xdr:to>
      <xdr:col>9</xdr:col>
      <xdr:colOff>254939</xdr:colOff>
      <xdr:row>145</xdr:row>
      <xdr:rowOff>63134</xdr:rowOff>
    </xdr:to>
    <xdr:sp macro="" textlink="">
      <xdr:nvSpPr>
        <xdr:cNvPr id="212" name="Стрелка вверх 211"/>
        <xdr:cNvSpPr/>
      </xdr:nvSpPr>
      <xdr:spPr>
        <a:xfrm rot="18900000">
          <a:off x="5519615" y="23295185"/>
          <a:ext cx="221724"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161193</xdr:colOff>
      <xdr:row>143</xdr:row>
      <xdr:rowOff>136582</xdr:rowOff>
    </xdr:from>
    <xdr:to>
      <xdr:col>12</xdr:col>
      <xdr:colOff>64005</xdr:colOff>
      <xdr:row>145</xdr:row>
      <xdr:rowOff>59806</xdr:rowOff>
    </xdr:to>
    <xdr:sp macro="" textlink="">
      <xdr:nvSpPr>
        <xdr:cNvPr id="213" name="Стрелка вверх 212"/>
        <xdr:cNvSpPr/>
      </xdr:nvSpPr>
      <xdr:spPr>
        <a:xfrm>
          <a:off x="6866793" y="23291857"/>
          <a:ext cx="51241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10</xdr:col>
      <xdr:colOff>213828</xdr:colOff>
      <xdr:row>143</xdr:row>
      <xdr:rowOff>148111</xdr:rowOff>
    </xdr:from>
    <xdr:to>
      <xdr:col>11</xdr:col>
      <xdr:colOff>133581</xdr:colOff>
      <xdr:row>145</xdr:row>
      <xdr:rowOff>50923</xdr:rowOff>
    </xdr:to>
    <xdr:sp macro="" textlink="">
      <xdr:nvSpPr>
        <xdr:cNvPr id="214" name="Стрелка вверх 213"/>
        <xdr:cNvSpPr/>
      </xdr:nvSpPr>
      <xdr:spPr>
        <a:xfrm rot="2700000">
          <a:off x="6461174" y="23152040"/>
          <a:ext cx="226662"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99157</xdr:colOff>
      <xdr:row>143</xdr:row>
      <xdr:rowOff>139910</xdr:rowOff>
    </xdr:from>
    <xdr:to>
      <xdr:col>12</xdr:col>
      <xdr:colOff>320881</xdr:colOff>
      <xdr:row>145</xdr:row>
      <xdr:rowOff>63134</xdr:rowOff>
    </xdr:to>
    <xdr:sp macro="" textlink="">
      <xdr:nvSpPr>
        <xdr:cNvPr id="215" name="Стрелка вверх 214"/>
        <xdr:cNvSpPr/>
      </xdr:nvSpPr>
      <xdr:spPr>
        <a:xfrm rot="18900000">
          <a:off x="7414357" y="23295185"/>
          <a:ext cx="221724"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183175</xdr:colOff>
      <xdr:row>143</xdr:row>
      <xdr:rowOff>136582</xdr:rowOff>
    </xdr:from>
    <xdr:to>
      <xdr:col>15</xdr:col>
      <xdr:colOff>85986</xdr:colOff>
      <xdr:row>145</xdr:row>
      <xdr:rowOff>59806</xdr:rowOff>
    </xdr:to>
    <xdr:sp macro="" textlink="">
      <xdr:nvSpPr>
        <xdr:cNvPr id="216" name="Стрелка вверх 215"/>
        <xdr:cNvSpPr/>
      </xdr:nvSpPr>
      <xdr:spPr>
        <a:xfrm>
          <a:off x="8717575" y="23291857"/>
          <a:ext cx="512411"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235809</xdr:colOff>
      <xdr:row>143</xdr:row>
      <xdr:rowOff>148111</xdr:rowOff>
    </xdr:from>
    <xdr:to>
      <xdr:col>14</xdr:col>
      <xdr:colOff>155563</xdr:colOff>
      <xdr:row>145</xdr:row>
      <xdr:rowOff>50923</xdr:rowOff>
    </xdr:to>
    <xdr:sp macro="" textlink="">
      <xdr:nvSpPr>
        <xdr:cNvPr id="217" name="Стрелка вверх 216"/>
        <xdr:cNvSpPr/>
      </xdr:nvSpPr>
      <xdr:spPr>
        <a:xfrm rot="2700000">
          <a:off x="8311955" y="23152040"/>
          <a:ext cx="226662" cy="52935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15</xdr:col>
      <xdr:colOff>121138</xdr:colOff>
      <xdr:row>143</xdr:row>
      <xdr:rowOff>139910</xdr:rowOff>
    </xdr:from>
    <xdr:to>
      <xdr:col>16</xdr:col>
      <xdr:colOff>20477</xdr:colOff>
      <xdr:row>145</xdr:row>
      <xdr:rowOff>63134</xdr:rowOff>
    </xdr:to>
    <xdr:sp macro="" textlink="">
      <xdr:nvSpPr>
        <xdr:cNvPr id="218" name="Стрелка вверх 217"/>
        <xdr:cNvSpPr/>
      </xdr:nvSpPr>
      <xdr:spPr>
        <a:xfrm rot="18900000">
          <a:off x="9265138" y="23295185"/>
          <a:ext cx="508939"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0</xdr:colOff>
      <xdr:row>151</xdr:row>
      <xdr:rowOff>0</xdr:rowOff>
    </xdr:from>
    <xdr:to>
      <xdr:col>3</xdr:col>
      <xdr:colOff>306265</xdr:colOff>
      <xdr:row>154</xdr:row>
      <xdr:rowOff>51289</xdr:rowOff>
    </xdr:to>
    <xdr:pic>
      <xdr:nvPicPr>
        <xdr:cNvPr id="219" name="Picture 80"/>
        <xdr:cNvPicPr>
          <a:picLocks noChangeAspect="1" noChangeArrowheads="1"/>
        </xdr:cNvPicPr>
      </xdr:nvPicPr>
      <xdr:blipFill>
        <a:blip xmlns:r="http://schemas.openxmlformats.org/officeDocument/2006/relationships" r:embed="rId27" cstate="print"/>
        <a:srcRect/>
        <a:stretch>
          <a:fillRect/>
        </a:stretch>
      </xdr:blipFill>
      <xdr:spPr bwMode="auto">
        <a:xfrm>
          <a:off x="609600" y="24450675"/>
          <a:ext cx="1525465" cy="537063"/>
        </a:xfrm>
        <a:prstGeom prst="rect">
          <a:avLst/>
        </a:prstGeom>
        <a:noFill/>
      </xdr:spPr>
    </xdr:pic>
    <xdr:clientData/>
  </xdr:twoCellAnchor>
  <xdr:twoCellAnchor>
    <xdr:from>
      <xdr:col>2</xdr:col>
      <xdr:colOff>36636</xdr:colOff>
      <xdr:row>154</xdr:row>
      <xdr:rowOff>63312</xdr:rowOff>
    </xdr:from>
    <xdr:to>
      <xdr:col>2</xdr:col>
      <xdr:colOff>261832</xdr:colOff>
      <xdr:row>155</xdr:row>
      <xdr:rowOff>147728</xdr:rowOff>
    </xdr:to>
    <xdr:sp macro="" textlink="">
      <xdr:nvSpPr>
        <xdr:cNvPr id="220" name="Стрелка вверх 219"/>
        <xdr:cNvSpPr/>
      </xdr:nvSpPr>
      <xdr:spPr>
        <a:xfrm>
          <a:off x="1255836" y="24999762"/>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89271</xdr:colOff>
      <xdr:row>154</xdr:row>
      <xdr:rowOff>74841</xdr:rowOff>
    </xdr:from>
    <xdr:to>
      <xdr:col>2</xdr:col>
      <xdr:colOff>9024</xdr:colOff>
      <xdr:row>155</xdr:row>
      <xdr:rowOff>138845</xdr:rowOff>
    </xdr:to>
    <xdr:sp macro="" textlink="">
      <xdr:nvSpPr>
        <xdr:cNvPr id="221" name="Стрелка вверх 220"/>
        <xdr:cNvSpPr/>
      </xdr:nvSpPr>
      <xdr:spPr>
        <a:xfrm rot="2700000">
          <a:off x="850583" y="24859579"/>
          <a:ext cx="225929"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296984</xdr:colOff>
      <xdr:row>154</xdr:row>
      <xdr:rowOff>66640</xdr:rowOff>
    </xdr:from>
    <xdr:to>
      <xdr:col>3</xdr:col>
      <xdr:colOff>196323</xdr:colOff>
      <xdr:row>155</xdr:row>
      <xdr:rowOff>151056</xdr:rowOff>
    </xdr:to>
    <xdr:sp macro="" textlink="">
      <xdr:nvSpPr>
        <xdr:cNvPr id="222" name="Стрелка вверх 221"/>
        <xdr:cNvSpPr/>
      </xdr:nvSpPr>
      <xdr:spPr>
        <a:xfrm rot="18900000">
          <a:off x="1516184" y="25003090"/>
          <a:ext cx="508939"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0</xdr:colOff>
      <xdr:row>156</xdr:row>
      <xdr:rowOff>21981</xdr:rowOff>
    </xdr:from>
    <xdr:to>
      <xdr:col>3</xdr:col>
      <xdr:colOff>315790</xdr:colOff>
      <xdr:row>160</xdr:row>
      <xdr:rowOff>139213</xdr:rowOff>
    </xdr:to>
    <xdr:pic>
      <xdr:nvPicPr>
        <xdr:cNvPr id="223" name="Picture 82"/>
        <xdr:cNvPicPr>
          <a:picLocks noChangeAspect="1" noChangeArrowheads="1"/>
        </xdr:cNvPicPr>
      </xdr:nvPicPr>
      <xdr:blipFill>
        <a:blip xmlns:r="http://schemas.openxmlformats.org/officeDocument/2006/relationships" r:embed="rId28" cstate="print"/>
        <a:srcRect/>
        <a:stretch>
          <a:fillRect/>
        </a:stretch>
      </xdr:blipFill>
      <xdr:spPr bwMode="auto">
        <a:xfrm>
          <a:off x="609600" y="25282281"/>
          <a:ext cx="1534990" cy="764931"/>
        </a:xfrm>
        <a:prstGeom prst="rect">
          <a:avLst/>
        </a:prstGeom>
        <a:noFill/>
      </xdr:spPr>
    </xdr:pic>
    <xdr:clientData/>
  </xdr:twoCellAnchor>
  <xdr:twoCellAnchor>
    <xdr:from>
      <xdr:col>3</xdr:col>
      <xdr:colOff>14653</xdr:colOff>
      <xdr:row>160</xdr:row>
      <xdr:rowOff>151235</xdr:rowOff>
    </xdr:from>
    <xdr:to>
      <xdr:col>3</xdr:col>
      <xdr:colOff>239849</xdr:colOff>
      <xdr:row>162</xdr:row>
      <xdr:rowOff>74459</xdr:rowOff>
    </xdr:to>
    <xdr:sp macro="" textlink="">
      <xdr:nvSpPr>
        <xdr:cNvPr id="224" name="Стрелка вверх 223"/>
        <xdr:cNvSpPr/>
      </xdr:nvSpPr>
      <xdr:spPr>
        <a:xfrm>
          <a:off x="1843453" y="26059235"/>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67287</xdr:colOff>
      <xdr:row>161</xdr:row>
      <xdr:rowOff>1572</xdr:rowOff>
    </xdr:from>
    <xdr:to>
      <xdr:col>2</xdr:col>
      <xdr:colOff>309426</xdr:colOff>
      <xdr:row>162</xdr:row>
      <xdr:rowOff>65576</xdr:rowOff>
    </xdr:to>
    <xdr:sp macro="" textlink="">
      <xdr:nvSpPr>
        <xdr:cNvPr id="225" name="Стрелка вверх 224"/>
        <xdr:cNvSpPr/>
      </xdr:nvSpPr>
      <xdr:spPr>
        <a:xfrm rot="2700000">
          <a:off x="1294592" y="26063392"/>
          <a:ext cx="225929" cy="24213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275001</xdr:colOff>
      <xdr:row>160</xdr:row>
      <xdr:rowOff>154563</xdr:rowOff>
    </xdr:from>
    <xdr:to>
      <xdr:col>4</xdr:col>
      <xdr:colOff>174342</xdr:colOff>
      <xdr:row>162</xdr:row>
      <xdr:rowOff>77787</xdr:rowOff>
    </xdr:to>
    <xdr:sp macro="" textlink="">
      <xdr:nvSpPr>
        <xdr:cNvPr id="226" name="Стрелка вверх 225"/>
        <xdr:cNvSpPr/>
      </xdr:nvSpPr>
      <xdr:spPr>
        <a:xfrm rot="18900000">
          <a:off x="2103801" y="26062563"/>
          <a:ext cx="508941"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4</xdr:col>
      <xdr:colOff>13521</xdr:colOff>
      <xdr:row>159</xdr:row>
      <xdr:rowOff>21980</xdr:rowOff>
    </xdr:from>
    <xdr:to>
      <xdr:col>4</xdr:col>
      <xdr:colOff>260595</xdr:colOff>
      <xdr:row>160</xdr:row>
      <xdr:rowOff>84518</xdr:rowOff>
    </xdr:to>
    <xdr:sp macro="" textlink="">
      <xdr:nvSpPr>
        <xdr:cNvPr id="227" name="Стрелка вверх 226"/>
        <xdr:cNvSpPr/>
      </xdr:nvSpPr>
      <xdr:spPr>
        <a:xfrm rot="16200000">
          <a:off x="2463226" y="25756750"/>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14</xdr:col>
      <xdr:colOff>14338</xdr:colOff>
      <xdr:row>158</xdr:row>
      <xdr:rowOff>146541</xdr:rowOff>
    </xdr:from>
    <xdr:to>
      <xdr:col>15</xdr:col>
      <xdr:colOff>26794</xdr:colOff>
      <xdr:row>161</xdr:row>
      <xdr:rowOff>6597</xdr:rowOff>
    </xdr:to>
    <xdr:pic>
      <xdr:nvPicPr>
        <xdr:cNvPr id="234" name="Picture 86"/>
        <xdr:cNvPicPr>
          <a:picLocks noChangeAspect="1" noChangeArrowheads="1"/>
        </xdr:cNvPicPr>
      </xdr:nvPicPr>
      <xdr:blipFill>
        <a:blip xmlns:r="http://schemas.openxmlformats.org/officeDocument/2006/relationships" r:embed="rId29" cstate="print"/>
        <a:srcRect/>
        <a:stretch>
          <a:fillRect/>
        </a:stretch>
      </xdr:blipFill>
      <xdr:spPr bwMode="auto">
        <a:xfrm>
          <a:off x="4462099" y="28216302"/>
          <a:ext cx="335478" cy="357012"/>
        </a:xfrm>
        <a:prstGeom prst="rect">
          <a:avLst/>
        </a:prstGeom>
        <a:noFill/>
      </xdr:spPr>
    </xdr:pic>
    <xdr:clientData/>
  </xdr:twoCellAnchor>
  <xdr:twoCellAnchor>
    <xdr:from>
      <xdr:col>13</xdr:col>
      <xdr:colOff>103636</xdr:colOff>
      <xdr:row>161</xdr:row>
      <xdr:rowOff>53197</xdr:rowOff>
    </xdr:from>
    <xdr:to>
      <xdr:col>14</xdr:col>
      <xdr:colOff>24217</xdr:colOff>
      <xdr:row>162</xdr:row>
      <xdr:rowOff>117201</xdr:rowOff>
    </xdr:to>
    <xdr:sp macro="" textlink="">
      <xdr:nvSpPr>
        <xdr:cNvPr id="235" name="Стрелка вверх 234"/>
        <xdr:cNvSpPr/>
      </xdr:nvSpPr>
      <xdr:spPr>
        <a:xfrm rot="2700000">
          <a:off x="4235348" y="28612941"/>
          <a:ext cx="229657"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15</xdr:col>
      <xdr:colOff>32289</xdr:colOff>
      <xdr:row>161</xdr:row>
      <xdr:rowOff>44996</xdr:rowOff>
    </xdr:from>
    <xdr:to>
      <xdr:col>15</xdr:col>
      <xdr:colOff>254651</xdr:colOff>
      <xdr:row>162</xdr:row>
      <xdr:rowOff>129412</xdr:rowOff>
    </xdr:to>
    <xdr:sp macro="" textlink="">
      <xdr:nvSpPr>
        <xdr:cNvPr id="236" name="Стрелка вверх 235"/>
        <xdr:cNvSpPr/>
      </xdr:nvSpPr>
      <xdr:spPr>
        <a:xfrm rot="18900000">
          <a:off x="4803072" y="28611713"/>
          <a:ext cx="222362" cy="25006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77423</xdr:colOff>
      <xdr:row>157</xdr:row>
      <xdr:rowOff>21983</xdr:rowOff>
    </xdr:from>
    <xdr:to>
      <xdr:col>14</xdr:col>
      <xdr:colOff>302619</xdr:colOff>
      <xdr:row>158</xdr:row>
      <xdr:rowOff>106400</xdr:rowOff>
    </xdr:to>
    <xdr:sp macro="" textlink="">
      <xdr:nvSpPr>
        <xdr:cNvPr id="237" name="Стрелка вверх 236"/>
        <xdr:cNvSpPr/>
      </xdr:nvSpPr>
      <xdr:spPr>
        <a:xfrm rot="10800000">
          <a:off x="4525184" y="27926092"/>
          <a:ext cx="225196" cy="25006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136633</xdr:colOff>
      <xdr:row>157</xdr:row>
      <xdr:rowOff>26937</xdr:rowOff>
    </xdr:from>
    <xdr:to>
      <xdr:col>14</xdr:col>
      <xdr:colOff>42598</xdr:colOff>
      <xdr:row>158</xdr:row>
      <xdr:rowOff>104093</xdr:rowOff>
    </xdr:to>
    <xdr:sp macro="" textlink="">
      <xdr:nvSpPr>
        <xdr:cNvPr id="238" name="Стрелка вверх 237"/>
        <xdr:cNvSpPr/>
      </xdr:nvSpPr>
      <xdr:spPr>
        <a:xfrm rot="8100000">
          <a:off x="4261372" y="27931046"/>
          <a:ext cx="228987" cy="24280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15</xdr:col>
      <xdr:colOff>7254</xdr:colOff>
      <xdr:row>157</xdr:row>
      <xdr:rowOff>38163</xdr:rowOff>
    </xdr:from>
    <xdr:to>
      <xdr:col>15</xdr:col>
      <xdr:colOff>257291</xdr:colOff>
      <xdr:row>158</xdr:row>
      <xdr:rowOff>96877</xdr:rowOff>
    </xdr:to>
    <xdr:sp macro="" textlink="">
      <xdr:nvSpPr>
        <xdr:cNvPr id="239" name="Стрелка вверх 238"/>
        <xdr:cNvSpPr/>
      </xdr:nvSpPr>
      <xdr:spPr>
        <a:xfrm rot="13500000">
          <a:off x="4790873" y="27929436"/>
          <a:ext cx="224366" cy="250037"/>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15</xdr:col>
      <xdr:colOff>48375</xdr:colOff>
      <xdr:row>159</xdr:row>
      <xdr:rowOff>49323</xdr:rowOff>
    </xdr:from>
    <xdr:to>
      <xdr:col>15</xdr:col>
      <xdr:colOff>296087</xdr:colOff>
      <xdr:row>160</xdr:row>
      <xdr:rowOff>111861</xdr:rowOff>
    </xdr:to>
    <xdr:sp macro="" textlink="">
      <xdr:nvSpPr>
        <xdr:cNvPr id="240" name="Стрелка вверх 239"/>
        <xdr:cNvSpPr/>
      </xdr:nvSpPr>
      <xdr:spPr>
        <a:xfrm rot="16200000">
          <a:off x="4828919" y="28274975"/>
          <a:ext cx="228190" cy="24771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66264</xdr:colOff>
      <xdr:row>159</xdr:row>
      <xdr:rowOff>47530</xdr:rowOff>
    </xdr:from>
    <xdr:to>
      <xdr:col>13</xdr:col>
      <xdr:colOff>313338</xdr:colOff>
      <xdr:row>160</xdr:row>
      <xdr:rowOff>110068</xdr:rowOff>
    </xdr:to>
    <xdr:sp macro="" textlink="">
      <xdr:nvSpPr>
        <xdr:cNvPr id="241" name="Стрелка вверх 240"/>
        <xdr:cNvSpPr/>
      </xdr:nvSpPr>
      <xdr:spPr>
        <a:xfrm rot="5400000">
          <a:off x="4200445" y="28273501"/>
          <a:ext cx="22819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75958</xdr:colOff>
      <xdr:row>161</xdr:row>
      <xdr:rowOff>42499</xdr:rowOff>
    </xdr:from>
    <xdr:to>
      <xdr:col>14</xdr:col>
      <xdr:colOff>301154</xdr:colOff>
      <xdr:row>162</xdr:row>
      <xdr:rowOff>126916</xdr:rowOff>
    </xdr:to>
    <xdr:sp macro="" textlink="">
      <xdr:nvSpPr>
        <xdr:cNvPr id="242" name="Стрелка вверх 241"/>
        <xdr:cNvSpPr/>
      </xdr:nvSpPr>
      <xdr:spPr>
        <a:xfrm>
          <a:off x="4523719" y="28609216"/>
          <a:ext cx="225196" cy="25007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7</xdr:col>
      <xdr:colOff>0</xdr:colOff>
      <xdr:row>151</xdr:row>
      <xdr:rowOff>0</xdr:rowOff>
    </xdr:from>
    <xdr:to>
      <xdr:col>8</xdr:col>
      <xdr:colOff>315790</xdr:colOff>
      <xdr:row>153</xdr:row>
      <xdr:rowOff>126756</xdr:rowOff>
    </xdr:to>
    <xdr:pic>
      <xdr:nvPicPr>
        <xdr:cNvPr id="243" name="Picture 88"/>
        <xdr:cNvPicPr>
          <a:picLocks noChangeAspect="1" noChangeArrowheads="1"/>
        </xdr:cNvPicPr>
      </xdr:nvPicPr>
      <xdr:blipFill>
        <a:blip xmlns:r="http://schemas.openxmlformats.org/officeDocument/2006/relationships" r:embed="rId30" cstate="print"/>
        <a:srcRect/>
        <a:stretch>
          <a:fillRect/>
        </a:stretch>
      </xdr:blipFill>
      <xdr:spPr bwMode="auto">
        <a:xfrm>
          <a:off x="4267200" y="24450675"/>
          <a:ext cx="925390" cy="450605"/>
        </a:xfrm>
        <a:prstGeom prst="rect">
          <a:avLst/>
        </a:prstGeom>
        <a:noFill/>
      </xdr:spPr>
    </xdr:pic>
    <xdr:clientData/>
  </xdr:twoCellAnchor>
  <xdr:twoCellAnchor>
    <xdr:from>
      <xdr:col>8</xdr:col>
      <xdr:colOff>36633</xdr:colOff>
      <xdr:row>153</xdr:row>
      <xdr:rowOff>151234</xdr:rowOff>
    </xdr:from>
    <xdr:to>
      <xdr:col>8</xdr:col>
      <xdr:colOff>261829</xdr:colOff>
      <xdr:row>155</xdr:row>
      <xdr:rowOff>74458</xdr:rowOff>
    </xdr:to>
    <xdr:sp macro="" textlink="">
      <xdr:nvSpPr>
        <xdr:cNvPr id="244" name="Стрелка вверх 243"/>
        <xdr:cNvSpPr/>
      </xdr:nvSpPr>
      <xdr:spPr>
        <a:xfrm>
          <a:off x="4913433" y="24925759"/>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89267</xdr:colOff>
      <xdr:row>154</xdr:row>
      <xdr:rowOff>1571</xdr:rowOff>
    </xdr:from>
    <xdr:to>
      <xdr:col>8</xdr:col>
      <xdr:colOff>9021</xdr:colOff>
      <xdr:row>155</xdr:row>
      <xdr:rowOff>65575</xdr:rowOff>
    </xdr:to>
    <xdr:sp macro="" textlink="">
      <xdr:nvSpPr>
        <xdr:cNvPr id="245" name="Стрелка вверх 244"/>
        <xdr:cNvSpPr/>
      </xdr:nvSpPr>
      <xdr:spPr>
        <a:xfrm rot="2700000">
          <a:off x="4508179" y="24786309"/>
          <a:ext cx="225929" cy="52935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296981</xdr:colOff>
      <xdr:row>153</xdr:row>
      <xdr:rowOff>154562</xdr:rowOff>
    </xdr:from>
    <xdr:to>
      <xdr:col>9</xdr:col>
      <xdr:colOff>196322</xdr:colOff>
      <xdr:row>155</xdr:row>
      <xdr:rowOff>77786</xdr:rowOff>
    </xdr:to>
    <xdr:sp macro="" textlink="">
      <xdr:nvSpPr>
        <xdr:cNvPr id="246" name="Стрелка вверх 245"/>
        <xdr:cNvSpPr/>
      </xdr:nvSpPr>
      <xdr:spPr>
        <a:xfrm rot="18900000">
          <a:off x="5173781" y="24929087"/>
          <a:ext cx="508941"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35501</xdr:colOff>
      <xdr:row>152</xdr:row>
      <xdr:rowOff>21980</xdr:rowOff>
    </xdr:from>
    <xdr:to>
      <xdr:col>9</xdr:col>
      <xdr:colOff>282575</xdr:colOff>
      <xdr:row>153</xdr:row>
      <xdr:rowOff>84517</xdr:rowOff>
    </xdr:to>
    <xdr:sp macro="" textlink="">
      <xdr:nvSpPr>
        <xdr:cNvPr id="247" name="Стрелка вверх 246"/>
        <xdr:cNvSpPr/>
      </xdr:nvSpPr>
      <xdr:spPr>
        <a:xfrm rot="16200000">
          <a:off x="5533207" y="24623274"/>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20</xdr:col>
      <xdr:colOff>263768</xdr:colOff>
      <xdr:row>158</xdr:row>
      <xdr:rowOff>124554</xdr:rowOff>
    </xdr:from>
    <xdr:to>
      <xdr:col>21</xdr:col>
      <xdr:colOff>276223</xdr:colOff>
      <xdr:row>160</xdr:row>
      <xdr:rowOff>136277</xdr:rowOff>
    </xdr:to>
    <xdr:pic>
      <xdr:nvPicPr>
        <xdr:cNvPr id="248" name="Picture 2"/>
        <xdr:cNvPicPr>
          <a:picLocks noChangeAspect="1" noChangeArrowheads="1"/>
        </xdr:cNvPicPr>
      </xdr:nvPicPr>
      <xdr:blipFill>
        <a:blip xmlns:r="http://schemas.openxmlformats.org/officeDocument/2006/relationships" r:embed="rId31" cstate="print"/>
        <a:srcRect/>
        <a:stretch>
          <a:fillRect/>
        </a:stretch>
      </xdr:blipFill>
      <xdr:spPr bwMode="auto">
        <a:xfrm>
          <a:off x="12455768" y="25708704"/>
          <a:ext cx="622055" cy="335573"/>
        </a:xfrm>
        <a:prstGeom prst="rect">
          <a:avLst/>
        </a:prstGeom>
        <a:noFill/>
      </xdr:spPr>
    </xdr:pic>
    <xdr:clientData/>
  </xdr:twoCellAnchor>
  <xdr:twoCellAnchor>
    <xdr:from>
      <xdr:col>20</xdr:col>
      <xdr:colOff>37372</xdr:colOff>
      <xdr:row>161</xdr:row>
      <xdr:rowOff>31214</xdr:rowOff>
    </xdr:from>
    <xdr:to>
      <xdr:col>20</xdr:col>
      <xdr:colOff>280975</xdr:colOff>
      <xdr:row>162</xdr:row>
      <xdr:rowOff>95218</xdr:rowOff>
    </xdr:to>
    <xdr:sp macro="" textlink="">
      <xdr:nvSpPr>
        <xdr:cNvPr id="249" name="Стрелка вверх 248"/>
        <xdr:cNvSpPr/>
      </xdr:nvSpPr>
      <xdr:spPr>
        <a:xfrm rot="2700000">
          <a:off x="12238209" y="26092302"/>
          <a:ext cx="225929"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289046</xdr:colOff>
      <xdr:row>161</xdr:row>
      <xdr:rowOff>23013</xdr:rowOff>
    </xdr:from>
    <xdr:to>
      <xdr:col>22</xdr:col>
      <xdr:colOff>188387</xdr:colOff>
      <xdr:row>162</xdr:row>
      <xdr:rowOff>107429</xdr:rowOff>
    </xdr:to>
    <xdr:sp macro="" textlink="">
      <xdr:nvSpPr>
        <xdr:cNvPr id="250" name="Стрелка вверх 249"/>
        <xdr:cNvSpPr/>
      </xdr:nvSpPr>
      <xdr:spPr>
        <a:xfrm rot="18900000">
          <a:off x="13090646" y="26092938"/>
          <a:ext cx="508941"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11158</xdr:colOff>
      <xdr:row>157</xdr:row>
      <xdr:rowOff>0</xdr:rowOff>
    </xdr:from>
    <xdr:to>
      <xdr:col>21</xdr:col>
      <xdr:colOff>236354</xdr:colOff>
      <xdr:row>158</xdr:row>
      <xdr:rowOff>84417</xdr:rowOff>
    </xdr:to>
    <xdr:sp macro="" textlink="">
      <xdr:nvSpPr>
        <xdr:cNvPr id="251" name="Стрелка вверх 250"/>
        <xdr:cNvSpPr/>
      </xdr:nvSpPr>
      <xdr:spPr>
        <a:xfrm rot="10800000">
          <a:off x="12812758" y="25422225"/>
          <a:ext cx="225196" cy="24634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20</xdr:col>
      <xdr:colOff>70369</xdr:colOff>
      <xdr:row>157</xdr:row>
      <xdr:rowOff>4954</xdr:rowOff>
    </xdr:from>
    <xdr:to>
      <xdr:col>20</xdr:col>
      <xdr:colOff>299356</xdr:colOff>
      <xdr:row>158</xdr:row>
      <xdr:rowOff>82110</xdr:rowOff>
    </xdr:to>
    <xdr:sp macro="" textlink="">
      <xdr:nvSpPr>
        <xdr:cNvPr id="252" name="Стрелка вверх 251"/>
        <xdr:cNvSpPr/>
      </xdr:nvSpPr>
      <xdr:spPr>
        <a:xfrm rot="8100000">
          <a:off x="12262369" y="25427179"/>
          <a:ext cx="228987" cy="23908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264011</xdr:colOff>
      <xdr:row>157</xdr:row>
      <xdr:rowOff>16180</xdr:rowOff>
    </xdr:from>
    <xdr:to>
      <xdr:col>22</xdr:col>
      <xdr:colOff>191027</xdr:colOff>
      <xdr:row>158</xdr:row>
      <xdr:rowOff>74894</xdr:rowOff>
    </xdr:to>
    <xdr:sp macro="" textlink="">
      <xdr:nvSpPr>
        <xdr:cNvPr id="253" name="Стрелка вверх 252"/>
        <xdr:cNvSpPr/>
      </xdr:nvSpPr>
      <xdr:spPr>
        <a:xfrm rot="13500000">
          <a:off x="13223599" y="25280417"/>
          <a:ext cx="220639" cy="53661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305132</xdr:colOff>
      <xdr:row>159</xdr:row>
      <xdr:rowOff>27340</xdr:rowOff>
    </xdr:from>
    <xdr:to>
      <xdr:col>22</xdr:col>
      <xdr:colOff>229823</xdr:colOff>
      <xdr:row>160</xdr:row>
      <xdr:rowOff>89878</xdr:rowOff>
    </xdr:to>
    <xdr:sp macro="" textlink="">
      <xdr:nvSpPr>
        <xdr:cNvPr id="254" name="Стрелка вверх 253"/>
        <xdr:cNvSpPr/>
      </xdr:nvSpPr>
      <xdr:spPr>
        <a:xfrm rot="16200000">
          <a:off x="13261646" y="25618501"/>
          <a:ext cx="224463" cy="53429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20</xdr:col>
      <xdr:colOff>0</xdr:colOff>
      <xdr:row>159</xdr:row>
      <xdr:rowOff>25547</xdr:rowOff>
    </xdr:from>
    <xdr:to>
      <xdr:col>20</xdr:col>
      <xdr:colOff>247074</xdr:colOff>
      <xdr:row>160</xdr:row>
      <xdr:rowOff>88085</xdr:rowOff>
    </xdr:to>
    <xdr:sp macro="" textlink="">
      <xdr:nvSpPr>
        <xdr:cNvPr id="255" name="Стрелка вверх 254"/>
        <xdr:cNvSpPr/>
      </xdr:nvSpPr>
      <xdr:spPr>
        <a:xfrm rot="5400000">
          <a:off x="12203305" y="25760317"/>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9693</xdr:colOff>
      <xdr:row>161</xdr:row>
      <xdr:rowOff>20516</xdr:rowOff>
    </xdr:from>
    <xdr:to>
      <xdr:col>21</xdr:col>
      <xdr:colOff>234889</xdr:colOff>
      <xdr:row>162</xdr:row>
      <xdr:rowOff>104933</xdr:rowOff>
    </xdr:to>
    <xdr:sp macro="" textlink="">
      <xdr:nvSpPr>
        <xdr:cNvPr id="256" name="Стрелка вверх 255"/>
        <xdr:cNvSpPr/>
      </xdr:nvSpPr>
      <xdr:spPr>
        <a:xfrm>
          <a:off x="12811293" y="26090441"/>
          <a:ext cx="225196" cy="24634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xdr:col>
      <xdr:colOff>7327</xdr:colOff>
      <xdr:row>165</xdr:row>
      <xdr:rowOff>29308</xdr:rowOff>
    </xdr:from>
    <xdr:to>
      <xdr:col>19</xdr:col>
      <xdr:colOff>313593</xdr:colOff>
      <xdr:row>167</xdr:row>
      <xdr:rowOff>12456</xdr:rowOff>
    </xdr:to>
    <xdr:pic>
      <xdr:nvPicPr>
        <xdr:cNvPr id="257" name="Picture 4"/>
        <xdr:cNvPicPr>
          <a:picLocks noChangeAspect="1" noChangeArrowheads="1"/>
        </xdr:cNvPicPr>
      </xdr:nvPicPr>
      <xdr:blipFill>
        <a:blip xmlns:r="http://schemas.openxmlformats.org/officeDocument/2006/relationships" r:embed="rId32" cstate="print"/>
        <a:srcRect/>
        <a:stretch>
          <a:fillRect/>
        </a:stretch>
      </xdr:blipFill>
      <xdr:spPr bwMode="auto">
        <a:xfrm>
          <a:off x="1226527" y="26746933"/>
          <a:ext cx="10669466" cy="306998"/>
        </a:xfrm>
        <a:prstGeom prst="rect">
          <a:avLst/>
        </a:prstGeom>
        <a:noFill/>
      </xdr:spPr>
    </xdr:pic>
    <xdr:clientData/>
  </xdr:twoCellAnchor>
  <xdr:twoCellAnchor>
    <xdr:from>
      <xdr:col>1</xdr:col>
      <xdr:colOff>81334</xdr:colOff>
      <xdr:row>167</xdr:row>
      <xdr:rowOff>89832</xdr:rowOff>
    </xdr:from>
    <xdr:to>
      <xdr:col>2</xdr:col>
      <xdr:colOff>2553</xdr:colOff>
      <xdr:row>168</xdr:row>
      <xdr:rowOff>153836</xdr:rowOff>
    </xdr:to>
    <xdr:sp macro="" textlink="">
      <xdr:nvSpPr>
        <xdr:cNvPr id="258" name="Стрелка вверх 257"/>
        <xdr:cNvSpPr/>
      </xdr:nvSpPr>
      <xdr:spPr>
        <a:xfrm rot="2700000">
          <a:off x="843379" y="26978862"/>
          <a:ext cx="225929" cy="53081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10624</xdr:colOff>
      <xdr:row>167</xdr:row>
      <xdr:rowOff>81632</xdr:rowOff>
    </xdr:from>
    <xdr:to>
      <xdr:col>3</xdr:col>
      <xdr:colOff>232349</xdr:colOff>
      <xdr:row>169</xdr:row>
      <xdr:rowOff>4854</xdr:rowOff>
    </xdr:to>
    <xdr:sp macro="" textlink="">
      <xdr:nvSpPr>
        <xdr:cNvPr id="259" name="Стрелка вверх 258"/>
        <xdr:cNvSpPr/>
      </xdr:nvSpPr>
      <xdr:spPr>
        <a:xfrm rot="18900000">
          <a:off x="1839424" y="27123107"/>
          <a:ext cx="221725"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55121</xdr:colOff>
      <xdr:row>163</xdr:row>
      <xdr:rowOff>58618</xdr:rowOff>
    </xdr:from>
    <xdr:to>
      <xdr:col>2</xdr:col>
      <xdr:colOff>280317</xdr:colOff>
      <xdr:row>164</xdr:row>
      <xdr:rowOff>143035</xdr:rowOff>
    </xdr:to>
    <xdr:sp macro="" textlink="">
      <xdr:nvSpPr>
        <xdr:cNvPr id="260" name="Стрелка вверх 259"/>
        <xdr:cNvSpPr/>
      </xdr:nvSpPr>
      <xdr:spPr>
        <a:xfrm rot="10800000">
          <a:off x="1274321" y="26452393"/>
          <a:ext cx="225196" cy="24634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114331</xdr:colOff>
      <xdr:row>163</xdr:row>
      <xdr:rowOff>63572</xdr:rowOff>
    </xdr:from>
    <xdr:to>
      <xdr:col>2</xdr:col>
      <xdr:colOff>20934</xdr:colOff>
      <xdr:row>164</xdr:row>
      <xdr:rowOff>140728</xdr:rowOff>
    </xdr:to>
    <xdr:sp macro="" textlink="">
      <xdr:nvSpPr>
        <xdr:cNvPr id="261" name="Стрелка вверх 260"/>
        <xdr:cNvSpPr/>
      </xdr:nvSpPr>
      <xdr:spPr>
        <a:xfrm rot="8100000">
          <a:off x="723931" y="26457347"/>
          <a:ext cx="516203" cy="23908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307974</xdr:colOff>
      <xdr:row>163</xdr:row>
      <xdr:rowOff>74798</xdr:rowOff>
    </xdr:from>
    <xdr:to>
      <xdr:col>3</xdr:col>
      <xdr:colOff>234989</xdr:colOff>
      <xdr:row>164</xdr:row>
      <xdr:rowOff>133512</xdr:rowOff>
    </xdr:to>
    <xdr:sp macro="" textlink="">
      <xdr:nvSpPr>
        <xdr:cNvPr id="262" name="Стрелка вверх 261"/>
        <xdr:cNvSpPr/>
      </xdr:nvSpPr>
      <xdr:spPr>
        <a:xfrm rot="13500000">
          <a:off x="1685162" y="26310585"/>
          <a:ext cx="220639" cy="53661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26710</xdr:colOff>
      <xdr:row>165</xdr:row>
      <xdr:rowOff>85959</xdr:rowOff>
    </xdr:from>
    <xdr:to>
      <xdr:col>3</xdr:col>
      <xdr:colOff>273785</xdr:colOff>
      <xdr:row>166</xdr:row>
      <xdr:rowOff>148497</xdr:rowOff>
    </xdr:to>
    <xdr:sp macro="" textlink="">
      <xdr:nvSpPr>
        <xdr:cNvPr id="263" name="Стрелка вверх 262"/>
        <xdr:cNvSpPr/>
      </xdr:nvSpPr>
      <xdr:spPr>
        <a:xfrm rot="16200000">
          <a:off x="1866816" y="26792278"/>
          <a:ext cx="224463" cy="24707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43962</xdr:colOff>
      <xdr:row>165</xdr:row>
      <xdr:rowOff>84166</xdr:rowOff>
    </xdr:from>
    <xdr:to>
      <xdr:col>1</xdr:col>
      <xdr:colOff>291036</xdr:colOff>
      <xdr:row>166</xdr:row>
      <xdr:rowOff>146704</xdr:rowOff>
    </xdr:to>
    <xdr:sp macro="" textlink="">
      <xdr:nvSpPr>
        <xdr:cNvPr id="264" name="Стрелка вверх 263"/>
        <xdr:cNvSpPr/>
      </xdr:nvSpPr>
      <xdr:spPr>
        <a:xfrm rot="5400000">
          <a:off x="664867" y="26790486"/>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53656</xdr:colOff>
      <xdr:row>167</xdr:row>
      <xdr:rowOff>79135</xdr:rowOff>
    </xdr:from>
    <xdr:to>
      <xdr:col>2</xdr:col>
      <xdr:colOff>278852</xdr:colOff>
      <xdr:row>169</xdr:row>
      <xdr:rowOff>2358</xdr:rowOff>
    </xdr:to>
    <xdr:sp macro="" textlink="">
      <xdr:nvSpPr>
        <xdr:cNvPr id="265" name="Стрелка вверх 264"/>
        <xdr:cNvSpPr/>
      </xdr:nvSpPr>
      <xdr:spPr>
        <a:xfrm>
          <a:off x="1272856" y="27120610"/>
          <a:ext cx="225196"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4</xdr:col>
      <xdr:colOff>37374</xdr:colOff>
      <xdr:row>167</xdr:row>
      <xdr:rowOff>89833</xdr:rowOff>
    </xdr:from>
    <xdr:to>
      <xdr:col>4</xdr:col>
      <xdr:colOff>280977</xdr:colOff>
      <xdr:row>168</xdr:row>
      <xdr:rowOff>153837</xdr:rowOff>
    </xdr:to>
    <xdr:sp macro="" textlink="">
      <xdr:nvSpPr>
        <xdr:cNvPr id="266" name="Стрелка вверх 265"/>
        <xdr:cNvSpPr/>
      </xdr:nvSpPr>
      <xdr:spPr>
        <a:xfrm rot="2700000">
          <a:off x="2484611" y="27122471"/>
          <a:ext cx="225929"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5</xdr:col>
      <xdr:colOff>289048</xdr:colOff>
      <xdr:row>167</xdr:row>
      <xdr:rowOff>81633</xdr:rowOff>
    </xdr:from>
    <xdr:to>
      <xdr:col>6</xdr:col>
      <xdr:colOff>188388</xdr:colOff>
      <xdr:row>169</xdr:row>
      <xdr:rowOff>4855</xdr:rowOff>
    </xdr:to>
    <xdr:sp macro="" textlink="">
      <xdr:nvSpPr>
        <xdr:cNvPr id="267" name="Стрелка вверх 266"/>
        <xdr:cNvSpPr/>
      </xdr:nvSpPr>
      <xdr:spPr>
        <a:xfrm rot="18900000">
          <a:off x="3337048" y="27123108"/>
          <a:ext cx="508940"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5</xdr:col>
      <xdr:colOff>11160</xdr:colOff>
      <xdr:row>163</xdr:row>
      <xdr:rowOff>58619</xdr:rowOff>
    </xdr:from>
    <xdr:to>
      <xdr:col>5</xdr:col>
      <xdr:colOff>236356</xdr:colOff>
      <xdr:row>164</xdr:row>
      <xdr:rowOff>143036</xdr:rowOff>
    </xdr:to>
    <xdr:sp macro="" textlink="">
      <xdr:nvSpPr>
        <xdr:cNvPr id="268" name="Стрелка вверх 267"/>
        <xdr:cNvSpPr/>
      </xdr:nvSpPr>
      <xdr:spPr>
        <a:xfrm rot="10800000">
          <a:off x="3059160" y="26452394"/>
          <a:ext cx="225196" cy="24634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4</xdr:col>
      <xdr:colOff>70371</xdr:colOff>
      <xdr:row>163</xdr:row>
      <xdr:rowOff>63573</xdr:rowOff>
    </xdr:from>
    <xdr:to>
      <xdr:col>4</xdr:col>
      <xdr:colOff>299358</xdr:colOff>
      <xdr:row>164</xdr:row>
      <xdr:rowOff>140729</xdr:rowOff>
    </xdr:to>
    <xdr:sp macro="" textlink="">
      <xdr:nvSpPr>
        <xdr:cNvPr id="269" name="Стрелка вверх 268"/>
        <xdr:cNvSpPr/>
      </xdr:nvSpPr>
      <xdr:spPr>
        <a:xfrm rot="8100000">
          <a:off x="2508771" y="26457348"/>
          <a:ext cx="228987" cy="23908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5</xdr:col>
      <xdr:colOff>264013</xdr:colOff>
      <xdr:row>163</xdr:row>
      <xdr:rowOff>74799</xdr:rowOff>
    </xdr:from>
    <xdr:to>
      <xdr:col>6</xdr:col>
      <xdr:colOff>191028</xdr:colOff>
      <xdr:row>164</xdr:row>
      <xdr:rowOff>133513</xdr:rowOff>
    </xdr:to>
    <xdr:sp macro="" textlink="">
      <xdr:nvSpPr>
        <xdr:cNvPr id="270" name="Стрелка вверх 269"/>
        <xdr:cNvSpPr/>
      </xdr:nvSpPr>
      <xdr:spPr>
        <a:xfrm rot="13500000">
          <a:off x="3470001" y="26310586"/>
          <a:ext cx="220639" cy="53661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5</xdr:col>
      <xdr:colOff>305134</xdr:colOff>
      <xdr:row>165</xdr:row>
      <xdr:rowOff>85960</xdr:rowOff>
    </xdr:from>
    <xdr:to>
      <xdr:col>6</xdr:col>
      <xdr:colOff>229824</xdr:colOff>
      <xdr:row>166</xdr:row>
      <xdr:rowOff>148498</xdr:rowOff>
    </xdr:to>
    <xdr:sp macro="" textlink="">
      <xdr:nvSpPr>
        <xdr:cNvPr id="271" name="Стрелка вверх 270"/>
        <xdr:cNvSpPr/>
      </xdr:nvSpPr>
      <xdr:spPr>
        <a:xfrm rot="16200000">
          <a:off x="3508047" y="26648672"/>
          <a:ext cx="224463"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4</xdr:col>
      <xdr:colOff>2</xdr:colOff>
      <xdr:row>165</xdr:row>
      <xdr:rowOff>84167</xdr:rowOff>
    </xdr:from>
    <xdr:to>
      <xdr:col>4</xdr:col>
      <xdr:colOff>247076</xdr:colOff>
      <xdr:row>166</xdr:row>
      <xdr:rowOff>146705</xdr:rowOff>
    </xdr:to>
    <xdr:sp macro="" textlink="">
      <xdr:nvSpPr>
        <xdr:cNvPr id="272" name="Стрелка вверх 271"/>
        <xdr:cNvSpPr/>
      </xdr:nvSpPr>
      <xdr:spPr>
        <a:xfrm rot="5400000">
          <a:off x="2449707" y="26790487"/>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5</xdr:col>
      <xdr:colOff>9695</xdr:colOff>
      <xdr:row>167</xdr:row>
      <xdr:rowOff>79136</xdr:rowOff>
    </xdr:from>
    <xdr:to>
      <xdr:col>5</xdr:col>
      <xdr:colOff>234891</xdr:colOff>
      <xdr:row>169</xdr:row>
      <xdr:rowOff>2359</xdr:rowOff>
    </xdr:to>
    <xdr:sp macro="" textlink="">
      <xdr:nvSpPr>
        <xdr:cNvPr id="273" name="Стрелка вверх 272"/>
        <xdr:cNvSpPr/>
      </xdr:nvSpPr>
      <xdr:spPr>
        <a:xfrm>
          <a:off x="3057695" y="27120611"/>
          <a:ext cx="225196"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6</xdr:col>
      <xdr:colOff>301144</xdr:colOff>
      <xdr:row>167</xdr:row>
      <xdr:rowOff>89834</xdr:rowOff>
    </xdr:from>
    <xdr:to>
      <xdr:col>7</xdr:col>
      <xdr:colOff>222363</xdr:colOff>
      <xdr:row>168</xdr:row>
      <xdr:rowOff>153838</xdr:rowOff>
    </xdr:to>
    <xdr:sp macro="" textlink="">
      <xdr:nvSpPr>
        <xdr:cNvPr id="274" name="Стрелка вверх 273"/>
        <xdr:cNvSpPr/>
      </xdr:nvSpPr>
      <xdr:spPr>
        <a:xfrm rot="2700000">
          <a:off x="4111189" y="26978864"/>
          <a:ext cx="225929" cy="53081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230434</xdr:colOff>
      <xdr:row>167</xdr:row>
      <xdr:rowOff>81634</xdr:rowOff>
    </xdr:from>
    <xdr:to>
      <xdr:col>9</xdr:col>
      <xdr:colOff>129774</xdr:colOff>
      <xdr:row>169</xdr:row>
      <xdr:rowOff>4856</xdr:rowOff>
    </xdr:to>
    <xdr:sp macro="" textlink="">
      <xdr:nvSpPr>
        <xdr:cNvPr id="275" name="Стрелка вверх 274"/>
        <xdr:cNvSpPr/>
      </xdr:nvSpPr>
      <xdr:spPr>
        <a:xfrm rot="18900000">
          <a:off x="5107234" y="27123109"/>
          <a:ext cx="508940"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274931</xdr:colOff>
      <xdr:row>163</xdr:row>
      <xdr:rowOff>58620</xdr:rowOff>
    </xdr:from>
    <xdr:to>
      <xdr:col>8</xdr:col>
      <xdr:colOff>177742</xdr:colOff>
      <xdr:row>164</xdr:row>
      <xdr:rowOff>143037</xdr:rowOff>
    </xdr:to>
    <xdr:sp macro="" textlink="">
      <xdr:nvSpPr>
        <xdr:cNvPr id="276" name="Стрелка вверх 275"/>
        <xdr:cNvSpPr/>
      </xdr:nvSpPr>
      <xdr:spPr>
        <a:xfrm rot="10800000">
          <a:off x="4542131" y="26452395"/>
          <a:ext cx="512411" cy="24634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11757</xdr:colOff>
      <xdr:row>163</xdr:row>
      <xdr:rowOff>63574</xdr:rowOff>
    </xdr:from>
    <xdr:to>
      <xdr:col>7</xdr:col>
      <xdr:colOff>240744</xdr:colOff>
      <xdr:row>164</xdr:row>
      <xdr:rowOff>140730</xdr:rowOff>
    </xdr:to>
    <xdr:sp macro="" textlink="">
      <xdr:nvSpPr>
        <xdr:cNvPr id="277" name="Стрелка вверх 276"/>
        <xdr:cNvSpPr/>
      </xdr:nvSpPr>
      <xdr:spPr>
        <a:xfrm rot="8100000">
          <a:off x="4278957" y="26457349"/>
          <a:ext cx="228987" cy="23908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205399</xdr:colOff>
      <xdr:row>163</xdr:row>
      <xdr:rowOff>74800</xdr:rowOff>
    </xdr:from>
    <xdr:to>
      <xdr:col>9</xdr:col>
      <xdr:colOff>132414</xdr:colOff>
      <xdr:row>164</xdr:row>
      <xdr:rowOff>133514</xdr:rowOff>
    </xdr:to>
    <xdr:sp macro="" textlink="">
      <xdr:nvSpPr>
        <xdr:cNvPr id="278" name="Стрелка вверх 277"/>
        <xdr:cNvSpPr/>
      </xdr:nvSpPr>
      <xdr:spPr>
        <a:xfrm rot="13500000">
          <a:off x="5240187" y="26310587"/>
          <a:ext cx="220639" cy="53661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246520</xdr:colOff>
      <xdr:row>165</xdr:row>
      <xdr:rowOff>85961</xdr:rowOff>
    </xdr:from>
    <xdr:to>
      <xdr:col>9</xdr:col>
      <xdr:colOff>171210</xdr:colOff>
      <xdr:row>166</xdr:row>
      <xdr:rowOff>148499</xdr:rowOff>
    </xdr:to>
    <xdr:sp macro="" textlink="">
      <xdr:nvSpPr>
        <xdr:cNvPr id="279" name="Стрелка вверх 278"/>
        <xdr:cNvSpPr/>
      </xdr:nvSpPr>
      <xdr:spPr>
        <a:xfrm rot="16200000">
          <a:off x="5278233" y="26648673"/>
          <a:ext cx="224463"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6</xdr:col>
      <xdr:colOff>263772</xdr:colOff>
      <xdr:row>165</xdr:row>
      <xdr:rowOff>84168</xdr:rowOff>
    </xdr:from>
    <xdr:to>
      <xdr:col>7</xdr:col>
      <xdr:colOff>188462</xdr:colOff>
      <xdr:row>166</xdr:row>
      <xdr:rowOff>146706</xdr:rowOff>
    </xdr:to>
    <xdr:sp macro="" textlink="">
      <xdr:nvSpPr>
        <xdr:cNvPr id="280" name="Стрелка вверх 279"/>
        <xdr:cNvSpPr/>
      </xdr:nvSpPr>
      <xdr:spPr>
        <a:xfrm rot="5400000">
          <a:off x="4076285" y="26646880"/>
          <a:ext cx="224463"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273466</xdr:colOff>
      <xdr:row>167</xdr:row>
      <xdr:rowOff>79137</xdr:rowOff>
    </xdr:from>
    <xdr:to>
      <xdr:col>8</xdr:col>
      <xdr:colOff>176277</xdr:colOff>
      <xdr:row>169</xdr:row>
      <xdr:rowOff>2360</xdr:rowOff>
    </xdr:to>
    <xdr:sp macro="" textlink="">
      <xdr:nvSpPr>
        <xdr:cNvPr id="281" name="Стрелка вверх 280"/>
        <xdr:cNvSpPr/>
      </xdr:nvSpPr>
      <xdr:spPr>
        <a:xfrm>
          <a:off x="4540666" y="27120612"/>
          <a:ext cx="512411"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242529</xdr:colOff>
      <xdr:row>167</xdr:row>
      <xdr:rowOff>89835</xdr:rowOff>
    </xdr:from>
    <xdr:to>
      <xdr:col>10</xdr:col>
      <xdr:colOff>163748</xdr:colOff>
      <xdr:row>168</xdr:row>
      <xdr:rowOff>153839</xdr:rowOff>
    </xdr:to>
    <xdr:sp macro="" textlink="">
      <xdr:nvSpPr>
        <xdr:cNvPr id="282" name="Стрелка вверх 281"/>
        <xdr:cNvSpPr/>
      </xdr:nvSpPr>
      <xdr:spPr>
        <a:xfrm rot="2700000">
          <a:off x="5881374" y="26978865"/>
          <a:ext cx="225929" cy="53081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171819</xdr:colOff>
      <xdr:row>167</xdr:row>
      <xdr:rowOff>81635</xdr:rowOff>
    </xdr:from>
    <xdr:to>
      <xdr:col>12</xdr:col>
      <xdr:colOff>71160</xdr:colOff>
      <xdr:row>169</xdr:row>
      <xdr:rowOff>4857</xdr:rowOff>
    </xdr:to>
    <xdr:sp macro="" textlink="">
      <xdr:nvSpPr>
        <xdr:cNvPr id="283" name="Стрелка вверх 282"/>
        <xdr:cNvSpPr/>
      </xdr:nvSpPr>
      <xdr:spPr>
        <a:xfrm rot="18900000">
          <a:off x="6877419" y="27123110"/>
          <a:ext cx="508941"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10</xdr:col>
      <xdr:colOff>216316</xdr:colOff>
      <xdr:row>163</xdr:row>
      <xdr:rowOff>58621</xdr:rowOff>
    </xdr:from>
    <xdr:to>
      <xdr:col>11</xdr:col>
      <xdr:colOff>119127</xdr:colOff>
      <xdr:row>164</xdr:row>
      <xdr:rowOff>143038</xdr:rowOff>
    </xdr:to>
    <xdr:sp macro="" textlink="">
      <xdr:nvSpPr>
        <xdr:cNvPr id="284" name="Стрелка вверх 283"/>
        <xdr:cNvSpPr/>
      </xdr:nvSpPr>
      <xdr:spPr>
        <a:xfrm rot="10800000">
          <a:off x="6312316" y="26452396"/>
          <a:ext cx="512411" cy="24634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275526</xdr:colOff>
      <xdr:row>163</xdr:row>
      <xdr:rowOff>63575</xdr:rowOff>
    </xdr:from>
    <xdr:to>
      <xdr:col>10</xdr:col>
      <xdr:colOff>182129</xdr:colOff>
      <xdr:row>164</xdr:row>
      <xdr:rowOff>140731</xdr:rowOff>
    </xdr:to>
    <xdr:sp macro="" textlink="">
      <xdr:nvSpPr>
        <xdr:cNvPr id="285" name="Стрелка вверх 284"/>
        <xdr:cNvSpPr/>
      </xdr:nvSpPr>
      <xdr:spPr>
        <a:xfrm rot="8100000">
          <a:off x="5761926" y="26457350"/>
          <a:ext cx="516203" cy="23908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146784</xdr:colOff>
      <xdr:row>163</xdr:row>
      <xdr:rowOff>74801</xdr:rowOff>
    </xdr:from>
    <xdr:to>
      <xdr:col>12</xdr:col>
      <xdr:colOff>73800</xdr:colOff>
      <xdr:row>164</xdr:row>
      <xdr:rowOff>133515</xdr:rowOff>
    </xdr:to>
    <xdr:sp macro="" textlink="">
      <xdr:nvSpPr>
        <xdr:cNvPr id="286" name="Стрелка вверх 285"/>
        <xdr:cNvSpPr/>
      </xdr:nvSpPr>
      <xdr:spPr>
        <a:xfrm rot="13500000">
          <a:off x="7010372" y="26310588"/>
          <a:ext cx="220639" cy="53661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187905</xdr:colOff>
      <xdr:row>165</xdr:row>
      <xdr:rowOff>85962</xdr:rowOff>
    </xdr:from>
    <xdr:to>
      <xdr:col>12</xdr:col>
      <xdr:colOff>112596</xdr:colOff>
      <xdr:row>166</xdr:row>
      <xdr:rowOff>148500</xdr:rowOff>
    </xdr:to>
    <xdr:sp macro="" textlink="">
      <xdr:nvSpPr>
        <xdr:cNvPr id="287" name="Стрелка вверх 286"/>
        <xdr:cNvSpPr/>
      </xdr:nvSpPr>
      <xdr:spPr>
        <a:xfrm rot="16200000">
          <a:off x="7048419" y="26648673"/>
          <a:ext cx="224463" cy="53429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205157</xdr:colOff>
      <xdr:row>165</xdr:row>
      <xdr:rowOff>84169</xdr:rowOff>
    </xdr:from>
    <xdr:to>
      <xdr:col>10</xdr:col>
      <xdr:colOff>129847</xdr:colOff>
      <xdr:row>166</xdr:row>
      <xdr:rowOff>146707</xdr:rowOff>
    </xdr:to>
    <xdr:sp macro="" textlink="">
      <xdr:nvSpPr>
        <xdr:cNvPr id="288" name="Стрелка вверх 287"/>
        <xdr:cNvSpPr/>
      </xdr:nvSpPr>
      <xdr:spPr>
        <a:xfrm rot="5400000">
          <a:off x="5846470" y="26646881"/>
          <a:ext cx="224463"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10</xdr:col>
      <xdr:colOff>214851</xdr:colOff>
      <xdr:row>167</xdr:row>
      <xdr:rowOff>79138</xdr:rowOff>
    </xdr:from>
    <xdr:to>
      <xdr:col>11</xdr:col>
      <xdr:colOff>117662</xdr:colOff>
      <xdr:row>169</xdr:row>
      <xdr:rowOff>2361</xdr:rowOff>
    </xdr:to>
    <xdr:sp macro="" textlink="">
      <xdr:nvSpPr>
        <xdr:cNvPr id="289" name="Стрелка вверх 288"/>
        <xdr:cNvSpPr/>
      </xdr:nvSpPr>
      <xdr:spPr>
        <a:xfrm>
          <a:off x="6310851" y="27120613"/>
          <a:ext cx="512411"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183916</xdr:colOff>
      <xdr:row>167</xdr:row>
      <xdr:rowOff>89836</xdr:rowOff>
    </xdr:from>
    <xdr:to>
      <xdr:col>13</xdr:col>
      <xdr:colOff>105134</xdr:colOff>
      <xdr:row>168</xdr:row>
      <xdr:rowOff>153840</xdr:rowOff>
    </xdr:to>
    <xdr:sp macro="" textlink="">
      <xdr:nvSpPr>
        <xdr:cNvPr id="290" name="Стрелка вверх 289"/>
        <xdr:cNvSpPr/>
      </xdr:nvSpPr>
      <xdr:spPr>
        <a:xfrm rot="2700000">
          <a:off x="7651560" y="26978867"/>
          <a:ext cx="225929" cy="53081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113205</xdr:colOff>
      <xdr:row>167</xdr:row>
      <xdr:rowOff>81636</xdr:rowOff>
    </xdr:from>
    <xdr:to>
      <xdr:col>15</xdr:col>
      <xdr:colOff>12546</xdr:colOff>
      <xdr:row>169</xdr:row>
      <xdr:rowOff>4858</xdr:rowOff>
    </xdr:to>
    <xdr:sp macro="" textlink="">
      <xdr:nvSpPr>
        <xdr:cNvPr id="291" name="Стрелка вверх 290"/>
        <xdr:cNvSpPr/>
      </xdr:nvSpPr>
      <xdr:spPr>
        <a:xfrm rot="18900000">
          <a:off x="8647605" y="27123111"/>
          <a:ext cx="508941"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157702</xdr:colOff>
      <xdr:row>163</xdr:row>
      <xdr:rowOff>58622</xdr:rowOff>
    </xdr:from>
    <xdr:to>
      <xdr:col>14</xdr:col>
      <xdr:colOff>60513</xdr:colOff>
      <xdr:row>164</xdr:row>
      <xdr:rowOff>143039</xdr:rowOff>
    </xdr:to>
    <xdr:sp macro="" textlink="">
      <xdr:nvSpPr>
        <xdr:cNvPr id="292" name="Стрелка вверх 291"/>
        <xdr:cNvSpPr/>
      </xdr:nvSpPr>
      <xdr:spPr>
        <a:xfrm rot="10800000">
          <a:off x="8082502" y="26452397"/>
          <a:ext cx="512411" cy="24634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216913</xdr:colOff>
      <xdr:row>163</xdr:row>
      <xdr:rowOff>63576</xdr:rowOff>
    </xdr:from>
    <xdr:to>
      <xdr:col>13</xdr:col>
      <xdr:colOff>123515</xdr:colOff>
      <xdr:row>164</xdr:row>
      <xdr:rowOff>140732</xdr:rowOff>
    </xdr:to>
    <xdr:sp macro="" textlink="">
      <xdr:nvSpPr>
        <xdr:cNvPr id="293" name="Стрелка вверх 292"/>
        <xdr:cNvSpPr/>
      </xdr:nvSpPr>
      <xdr:spPr>
        <a:xfrm rot="8100000">
          <a:off x="7532113" y="26457351"/>
          <a:ext cx="516202" cy="23908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88170</xdr:colOff>
      <xdr:row>163</xdr:row>
      <xdr:rowOff>74802</xdr:rowOff>
    </xdr:from>
    <xdr:to>
      <xdr:col>15</xdr:col>
      <xdr:colOff>15186</xdr:colOff>
      <xdr:row>164</xdr:row>
      <xdr:rowOff>133516</xdr:rowOff>
    </xdr:to>
    <xdr:sp macro="" textlink="">
      <xdr:nvSpPr>
        <xdr:cNvPr id="294" name="Стрелка вверх 293"/>
        <xdr:cNvSpPr/>
      </xdr:nvSpPr>
      <xdr:spPr>
        <a:xfrm rot="13500000">
          <a:off x="8780558" y="26310589"/>
          <a:ext cx="220639" cy="53661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129291</xdr:colOff>
      <xdr:row>165</xdr:row>
      <xdr:rowOff>85963</xdr:rowOff>
    </xdr:from>
    <xdr:to>
      <xdr:col>15</xdr:col>
      <xdr:colOff>53982</xdr:colOff>
      <xdr:row>166</xdr:row>
      <xdr:rowOff>148501</xdr:rowOff>
    </xdr:to>
    <xdr:sp macro="" textlink="">
      <xdr:nvSpPr>
        <xdr:cNvPr id="295" name="Стрелка вверх 294"/>
        <xdr:cNvSpPr/>
      </xdr:nvSpPr>
      <xdr:spPr>
        <a:xfrm rot="16200000">
          <a:off x="8818605" y="26648674"/>
          <a:ext cx="224463" cy="53429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146544</xdr:colOff>
      <xdr:row>165</xdr:row>
      <xdr:rowOff>84170</xdr:rowOff>
    </xdr:from>
    <xdr:to>
      <xdr:col>13</xdr:col>
      <xdr:colOff>71233</xdr:colOff>
      <xdr:row>166</xdr:row>
      <xdr:rowOff>146708</xdr:rowOff>
    </xdr:to>
    <xdr:sp macro="" textlink="">
      <xdr:nvSpPr>
        <xdr:cNvPr id="296" name="Стрелка вверх 295"/>
        <xdr:cNvSpPr/>
      </xdr:nvSpPr>
      <xdr:spPr>
        <a:xfrm rot="5400000">
          <a:off x="7616657" y="26646882"/>
          <a:ext cx="224463" cy="53428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156237</xdr:colOff>
      <xdr:row>167</xdr:row>
      <xdr:rowOff>79139</xdr:rowOff>
    </xdr:from>
    <xdr:to>
      <xdr:col>14</xdr:col>
      <xdr:colOff>59048</xdr:colOff>
      <xdr:row>169</xdr:row>
      <xdr:rowOff>2362</xdr:rowOff>
    </xdr:to>
    <xdr:sp macro="" textlink="">
      <xdr:nvSpPr>
        <xdr:cNvPr id="297" name="Стрелка вверх 296"/>
        <xdr:cNvSpPr/>
      </xdr:nvSpPr>
      <xdr:spPr>
        <a:xfrm>
          <a:off x="8081037" y="27120614"/>
          <a:ext cx="512411"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15</xdr:col>
      <xdr:colOff>139955</xdr:colOff>
      <xdr:row>167</xdr:row>
      <xdr:rowOff>89837</xdr:rowOff>
    </xdr:from>
    <xdr:to>
      <xdr:col>16</xdr:col>
      <xdr:colOff>61173</xdr:colOff>
      <xdr:row>168</xdr:row>
      <xdr:rowOff>153841</xdr:rowOff>
    </xdr:to>
    <xdr:sp macro="" textlink="">
      <xdr:nvSpPr>
        <xdr:cNvPr id="298" name="Стрелка вверх 297"/>
        <xdr:cNvSpPr/>
      </xdr:nvSpPr>
      <xdr:spPr>
        <a:xfrm rot="2700000">
          <a:off x="9436399" y="26978868"/>
          <a:ext cx="225929" cy="53081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69245</xdr:colOff>
      <xdr:row>167</xdr:row>
      <xdr:rowOff>81637</xdr:rowOff>
    </xdr:from>
    <xdr:to>
      <xdr:col>17</xdr:col>
      <xdr:colOff>290970</xdr:colOff>
      <xdr:row>169</xdr:row>
      <xdr:rowOff>4859</xdr:rowOff>
    </xdr:to>
    <xdr:sp macro="" textlink="">
      <xdr:nvSpPr>
        <xdr:cNvPr id="299" name="Стрелка вверх 298"/>
        <xdr:cNvSpPr/>
      </xdr:nvSpPr>
      <xdr:spPr>
        <a:xfrm rot="18900000">
          <a:off x="10432445" y="27123112"/>
          <a:ext cx="221725"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16</xdr:col>
      <xdr:colOff>113741</xdr:colOff>
      <xdr:row>163</xdr:row>
      <xdr:rowOff>58623</xdr:rowOff>
    </xdr:from>
    <xdr:to>
      <xdr:col>17</xdr:col>
      <xdr:colOff>16553</xdr:colOff>
      <xdr:row>164</xdr:row>
      <xdr:rowOff>143040</xdr:rowOff>
    </xdr:to>
    <xdr:sp macro="" textlink="">
      <xdr:nvSpPr>
        <xdr:cNvPr id="300" name="Стрелка вверх 299"/>
        <xdr:cNvSpPr/>
      </xdr:nvSpPr>
      <xdr:spPr>
        <a:xfrm rot="10800000">
          <a:off x="9867341" y="26452398"/>
          <a:ext cx="512412" cy="24634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15</xdr:col>
      <xdr:colOff>172952</xdr:colOff>
      <xdr:row>163</xdr:row>
      <xdr:rowOff>63577</xdr:rowOff>
    </xdr:from>
    <xdr:to>
      <xdr:col>16</xdr:col>
      <xdr:colOff>79554</xdr:colOff>
      <xdr:row>164</xdr:row>
      <xdr:rowOff>140733</xdr:rowOff>
    </xdr:to>
    <xdr:sp macro="" textlink="">
      <xdr:nvSpPr>
        <xdr:cNvPr id="301" name="Стрелка вверх 300"/>
        <xdr:cNvSpPr/>
      </xdr:nvSpPr>
      <xdr:spPr>
        <a:xfrm rot="8100000">
          <a:off x="9316952" y="26457352"/>
          <a:ext cx="516202" cy="23908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44210</xdr:colOff>
      <xdr:row>163</xdr:row>
      <xdr:rowOff>74803</xdr:rowOff>
    </xdr:from>
    <xdr:to>
      <xdr:col>17</xdr:col>
      <xdr:colOff>293610</xdr:colOff>
      <xdr:row>164</xdr:row>
      <xdr:rowOff>133517</xdr:rowOff>
    </xdr:to>
    <xdr:sp macro="" textlink="">
      <xdr:nvSpPr>
        <xdr:cNvPr id="302" name="Стрелка вверх 301"/>
        <xdr:cNvSpPr/>
      </xdr:nvSpPr>
      <xdr:spPr>
        <a:xfrm rot="13500000">
          <a:off x="10421790" y="26454198"/>
          <a:ext cx="220639" cy="24940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85331</xdr:colOff>
      <xdr:row>165</xdr:row>
      <xdr:rowOff>85964</xdr:rowOff>
    </xdr:from>
    <xdr:to>
      <xdr:col>18</xdr:col>
      <xdr:colOff>10021</xdr:colOff>
      <xdr:row>166</xdr:row>
      <xdr:rowOff>148502</xdr:rowOff>
    </xdr:to>
    <xdr:sp macro="" textlink="">
      <xdr:nvSpPr>
        <xdr:cNvPr id="303" name="Стрелка вверх 302"/>
        <xdr:cNvSpPr/>
      </xdr:nvSpPr>
      <xdr:spPr>
        <a:xfrm rot="16200000">
          <a:off x="10603444" y="26648676"/>
          <a:ext cx="224463"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15</xdr:col>
      <xdr:colOff>102583</xdr:colOff>
      <xdr:row>165</xdr:row>
      <xdr:rowOff>84171</xdr:rowOff>
    </xdr:from>
    <xdr:to>
      <xdr:col>16</xdr:col>
      <xdr:colOff>27272</xdr:colOff>
      <xdr:row>166</xdr:row>
      <xdr:rowOff>146709</xdr:rowOff>
    </xdr:to>
    <xdr:sp macro="" textlink="">
      <xdr:nvSpPr>
        <xdr:cNvPr id="304" name="Стрелка вверх 303"/>
        <xdr:cNvSpPr/>
      </xdr:nvSpPr>
      <xdr:spPr>
        <a:xfrm rot="5400000">
          <a:off x="9401496" y="26646883"/>
          <a:ext cx="224463" cy="53428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16</xdr:col>
      <xdr:colOff>112276</xdr:colOff>
      <xdr:row>167</xdr:row>
      <xdr:rowOff>79140</xdr:rowOff>
    </xdr:from>
    <xdr:to>
      <xdr:col>17</xdr:col>
      <xdr:colOff>15088</xdr:colOff>
      <xdr:row>169</xdr:row>
      <xdr:rowOff>2363</xdr:rowOff>
    </xdr:to>
    <xdr:sp macro="" textlink="">
      <xdr:nvSpPr>
        <xdr:cNvPr id="305" name="Стрелка вверх 304"/>
        <xdr:cNvSpPr/>
      </xdr:nvSpPr>
      <xdr:spPr>
        <a:xfrm>
          <a:off x="9865876" y="27120615"/>
          <a:ext cx="512412"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74014</xdr:colOff>
      <xdr:row>167</xdr:row>
      <xdr:rowOff>89838</xdr:rowOff>
    </xdr:from>
    <xdr:to>
      <xdr:col>18</xdr:col>
      <xdr:colOff>317617</xdr:colOff>
      <xdr:row>168</xdr:row>
      <xdr:rowOff>153842</xdr:rowOff>
    </xdr:to>
    <xdr:sp macro="" textlink="">
      <xdr:nvSpPr>
        <xdr:cNvPr id="306" name="Стрелка вверх 305"/>
        <xdr:cNvSpPr/>
      </xdr:nvSpPr>
      <xdr:spPr>
        <a:xfrm rot="2700000">
          <a:off x="11055651" y="27122476"/>
          <a:ext cx="225929"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20</xdr:col>
      <xdr:colOff>3304</xdr:colOff>
      <xdr:row>167</xdr:row>
      <xdr:rowOff>81638</xdr:rowOff>
    </xdr:from>
    <xdr:to>
      <xdr:col>20</xdr:col>
      <xdr:colOff>225029</xdr:colOff>
      <xdr:row>169</xdr:row>
      <xdr:rowOff>4860</xdr:rowOff>
    </xdr:to>
    <xdr:sp macro="" textlink="">
      <xdr:nvSpPr>
        <xdr:cNvPr id="307" name="Стрелка вверх 306"/>
        <xdr:cNvSpPr/>
      </xdr:nvSpPr>
      <xdr:spPr>
        <a:xfrm rot="18900000">
          <a:off x="12195304" y="27123113"/>
          <a:ext cx="221725"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19</xdr:col>
      <xdr:colOff>47800</xdr:colOff>
      <xdr:row>163</xdr:row>
      <xdr:rowOff>58624</xdr:rowOff>
    </xdr:from>
    <xdr:to>
      <xdr:col>19</xdr:col>
      <xdr:colOff>272996</xdr:colOff>
      <xdr:row>164</xdr:row>
      <xdr:rowOff>143041</xdr:rowOff>
    </xdr:to>
    <xdr:sp macro="" textlink="">
      <xdr:nvSpPr>
        <xdr:cNvPr id="308" name="Стрелка вверх 307"/>
        <xdr:cNvSpPr/>
      </xdr:nvSpPr>
      <xdr:spPr>
        <a:xfrm rot="10800000">
          <a:off x="11630200" y="26452399"/>
          <a:ext cx="225196" cy="24634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107011</xdr:colOff>
      <xdr:row>163</xdr:row>
      <xdr:rowOff>63578</xdr:rowOff>
    </xdr:from>
    <xdr:to>
      <xdr:col>19</xdr:col>
      <xdr:colOff>13613</xdr:colOff>
      <xdr:row>164</xdr:row>
      <xdr:rowOff>140734</xdr:rowOff>
    </xdr:to>
    <xdr:sp macro="" textlink="">
      <xdr:nvSpPr>
        <xdr:cNvPr id="309" name="Стрелка вверх 308"/>
        <xdr:cNvSpPr/>
      </xdr:nvSpPr>
      <xdr:spPr>
        <a:xfrm rot="8100000">
          <a:off x="11079811" y="26457353"/>
          <a:ext cx="516202" cy="23908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19</xdr:col>
      <xdr:colOff>300653</xdr:colOff>
      <xdr:row>163</xdr:row>
      <xdr:rowOff>74804</xdr:rowOff>
    </xdr:from>
    <xdr:to>
      <xdr:col>20</xdr:col>
      <xdr:colOff>227669</xdr:colOff>
      <xdr:row>164</xdr:row>
      <xdr:rowOff>133518</xdr:rowOff>
    </xdr:to>
    <xdr:sp macro="" textlink="">
      <xdr:nvSpPr>
        <xdr:cNvPr id="310" name="Стрелка вверх 309"/>
        <xdr:cNvSpPr/>
      </xdr:nvSpPr>
      <xdr:spPr>
        <a:xfrm rot="13500000">
          <a:off x="12041041" y="26310591"/>
          <a:ext cx="220639" cy="53661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20</xdr:col>
      <xdr:colOff>19390</xdr:colOff>
      <xdr:row>165</xdr:row>
      <xdr:rowOff>85965</xdr:rowOff>
    </xdr:from>
    <xdr:to>
      <xdr:col>20</xdr:col>
      <xdr:colOff>266465</xdr:colOff>
      <xdr:row>166</xdr:row>
      <xdr:rowOff>148503</xdr:rowOff>
    </xdr:to>
    <xdr:sp macro="" textlink="">
      <xdr:nvSpPr>
        <xdr:cNvPr id="311" name="Стрелка вверх 310"/>
        <xdr:cNvSpPr/>
      </xdr:nvSpPr>
      <xdr:spPr>
        <a:xfrm rot="16200000">
          <a:off x="12222696" y="26792284"/>
          <a:ext cx="224463" cy="24707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36642</xdr:colOff>
      <xdr:row>165</xdr:row>
      <xdr:rowOff>84172</xdr:rowOff>
    </xdr:from>
    <xdr:to>
      <xdr:col>18</xdr:col>
      <xdr:colOff>283716</xdr:colOff>
      <xdr:row>166</xdr:row>
      <xdr:rowOff>146710</xdr:rowOff>
    </xdr:to>
    <xdr:sp macro="" textlink="">
      <xdr:nvSpPr>
        <xdr:cNvPr id="312" name="Стрелка вверх 311"/>
        <xdr:cNvSpPr/>
      </xdr:nvSpPr>
      <xdr:spPr>
        <a:xfrm rot="5400000">
          <a:off x="11020747" y="26790492"/>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19</xdr:col>
      <xdr:colOff>46335</xdr:colOff>
      <xdr:row>167</xdr:row>
      <xdr:rowOff>79141</xdr:rowOff>
    </xdr:from>
    <xdr:to>
      <xdr:col>19</xdr:col>
      <xdr:colOff>271531</xdr:colOff>
      <xdr:row>169</xdr:row>
      <xdr:rowOff>2364</xdr:rowOff>
    </xdr:to>
    <xdr:sp macro="" textlink="">
      <xdr:nvSpPr>
        <xdr:cNvPr id="313" name="Стрелка вверх 312"/>
        <xdr:cNvSpPr/>
      </xdr:nvSpPr>
      <xdr:spPr>
        <a:xfrm>
          <a:off x="11628735" y="27120616"/>
          <a:ext cx="225196"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0</xdr:colOff>
      <xdr:row>169</xdr:row>
      <xdr:rowOff>51288</xdr:rowOff>
    </xdr:from>
    <xdr:to>
      <xdr:col>3</xdr:col>
      <xdr:colOff>69605</xdr:colOff>
      <xdr:row>173</xdr:row>
      <xdr:rowOff>155331</xdr:rowOff>
    </xdr:to>
    <xdr:pic>
      <xdr:nvPicPr>
        <xdr:cNvPr id="314" name="Picture 6"/>
        <xdr:cNvPicPr>
          <a:picLocks noChangeAspect="1" noChangeArrowheads="1"/>
        </xdr:cNvPicPr>
      </xdr:nvPicPr>
      <xdr:blipFill>
        <a:blip xmlns:r="http://schemas.openxmlformats.org/officeDocument/2006/relationships" r:embed="rId33" cstate="print"/>
        <a:srcRect/>
        <a:stretch>
          <a:fillRect/>
        </a:stretch>
      </xdr:blipFill>
      <xdr:spPr bwMode="auto">
        <a:xfrm>
          <a:off x="609600" y="27416613"/>
          <a:ext cx="1288805" cy="751743"/>
        </a:xfrm>
        <a:prstGeom prst="rect">
          <a:avLst/>
        </a:prstGeom>
        <a:noFill/>
      </xdr:spPr>
    </xdr:pic>
    <xdr:clientData/>
  </xdr:twoCellAnchor>
  <xdr:twoCellAnchor>
    <xdr:from>
      <xdr:col>2</xdr:col>
      <xdr:colOff>95249</xdr:colOff>
      <xdr:row>174</xdr:row>
      <xdr:rowOff>12024</xdr:rowOff>
    </xdr:from>
    <xdr:to>
      <xdr:col>2</xdr:col>
      <xdr:colOff>320445</xdr:colOff>
      <xdr:row>175</xdr:row>
      <xdr:rowOff>96440</xdr:rowOff>
    </xdr:to>
    <xdr:sp macro="" textlink="">
      <xdr:nvSpPr>
        <xdr:cNvPr id="315" name="Стрелка вверх 314"/>
        <xdr:cNvSpPr/>
      </xdr:nvSpPr>
      <xdr:spPr>
        <a:xfrm>
          <a:off x="1314449" y="28186974"/>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147883</xdr:colOff>
      <xdr:row>174</xdr:row>
      <xdr:rowOff>23553</xdr:rowOff>
    </xdr:from>
    <xdr:to>
      <xdr:col>2</xdr:col>
      <xdr:colOff>67637</xdr:colOff>
      <xdr:row>175</xdr:row>
      <xdr:rowOff>87557</xdr:rowOff>
    </xdr:to>
    <xdr:sp macro="" textlink="">
      <xdr:nvSpPr>
        <xdr:cNvPr id="316" name="Стрелка вверх 315"/>
        <xdr:cNvSpPr/>
      </xdr:nvSpPr>
      <xdr:spPr>
        <a:xfrm rot="2700000">
          <a:off x="909195" y="28046791"/>
          <a:ext cx="225929" cy="52935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33212</xdr:colOff>
      <xdr:row>174</xdr:row>
      <xdr:rowOff>15352</xdr:rowOff>
    </xdr:from>
    <xdr:to>
      <xdr:col>3</xdr:col>
      <xdr:colOff>254937</xdr:colOff>
      <xdr:row>175</xdr:row>
      <xdr:rowOff>99768</xdr:rowOff>
    </xdr:to>
    <xdr:sp macro="" textlink="">
      <xdr:nvSpPr>
        <xdr:cNvPr id="317" name="Стрелка вверх 316"/>
        <xdr:cNvSpPr/>
      </xdr:nvSpPr>
      <xdr:spPr>
        <a:xfrm rot="18900000">
          <a:off x="1862012" y="28190302"/>
          <a:ext cx="221725"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94116</xdr:colOff>
      <xdr:row>172</xdr:row>
      <xdr:rowOff>43961</xdr:rowOff>
    </xdr:from>
    <xdr:to>
      <xdr:col>4</xdr:col>
      <xdr:colOff>18806</xdr:colOff>
      <xdr:row>173</xdr:row>
      <xdr:rowOff>106499</xdr:rowOff>
    </xdr:to>
    <xdr:sp macro="" textlink="">
      <xdr:nvSpPr>
        <xdr:cNvPr id="318" name="Стрелка вверх 317"/>
        <xdr:cNvSpPr/>
      </xdr:nvSpPr>
      <xdr:spPr>
        <a:xfrm rot="16200000">
          <a:off x="2077829" y="27740148"/>
          <a:ext cx="224463"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5</xdr:col>
      <xdr:colOff>322384</xdr:colOff>
      <xdr:row>169</xdr:row>
      <xdr:rowOff>29307</xdr:rowOff>
    </xdr:from>
    <xdr:to>
      <xdr:col>8</xdr:col>
      <xdr:colOff>306265</xdr:colOff>
      <xdr:row>173</xdr:row>
      <xdr:rowOff>153865</xdr:rowOff>
    </xdr:to>
    <xdr:pic>
      <xdr:nvPicPr>
        <xdr:cNvPr id="319" name="Picture 8"/>
        <xdr:cNvPicPr>
          <a:picLocks noChangeAspect="1" noChangeArrowheads="1"/>
        </xdr:cNvPicPr>
      </xdr:nvPicPr>
      <xdr:blipFill>
        <a:blip xmlns:r="http://schemas.openxmlformats.org/officeDocument/2006/relationships" r:embed="rId34" cstate="print"/>
        <a:srcRect/>
        <a:stretch>
          <a:fillRect/>
        </a:stretch>
      </xdr:blipFill>
      <xdr:spPr bwMode="auto">
        <a:xfrm>
          <a:off x="3370384" y="27394632"/>
          <a:ext cx="1812681" cy="772258"/>
        </a:xfrm>
        <a:prstGeom prst="rect">
          <a:avLst/>
        </a:prstGeom>
        <a:noFill/>
      </xdr:spPr>
    </xdr:pic>
    <xdr:clientData/>
  </xdr:twoCellAnchor>
  <xdr:twoCellAnchor>
    <xdr:from>
      <xdr:col>7</xdr:col>
      <xdr:colOff>51287</xdr:colOff>
      <xdr:row>174</xdr:row>
      <xdr:rowOff>4698</xdr:rowOff>
    </xdr:from>
    <xdr:to>
      <xdr:col>7</xdr:col>
      <xdr:colOff>276483</xdr:colOff>
      <xdr:row>175</xdr:row>
      <xdr:rowOff>89114</xdr:rowOff>
    </xdr:to>
    <xdr:sp macro="" textlink="">
      <xdr:nvSpPr>
        <xdr:cNvPr id="320" name="Стрелка вверх 319"/>
        <xdr:cNvSpPr/>
      </xdr:nvSpPr>
      <xdr:spPr>
        <a:xfrm>
          <a:off x="4318487" y="28179648"/>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6</xdr:col>
      <xdr:colOff>103921</xdr:colOff>
      <xdr:row>174</xdr:row>
      <xdr:rowOff>16227</xdr:rowOff>
    </xdr:from>
    <xdr:to>
      <xdr:col>7</xdr:col>
      <xdr:colOff>23675</xdr:colOff>
      <xdr:row>175</xdr:row>
      <xdr:rowOff>80231</xdr:rowOff>
    </xdr:to>
    <xdr:sp macro="" textlink="">
      <xdr:nvSpPr>
        <xdr:cNvPr id="321" name="Стрелка вверх 320"/>
        <xdr:cNvSpPr/>
      </xdr:nvSpPr>
      <xdr:spPr>
        <a:xfrm rot="2700000">
          <a:off x="3913233" y="28039465"/>
          <a:ext cx="225929" cy="52935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311635</xdr:colOff>
      <xdr:row>174</xdr:row>
      <xdr:rowOff>8026</xdr:rowOff>
    </xdr:from>
    <xdr:to>
      <xdr:col>8</xdr:col>
      <xdr:colOff>210975</xdr:colOff>
      <xdr:row>175</xdr:row>
      <xdr:rowOff>92442</xdr:rowOff>
    </xdr:to>
    <xdr:sp macro="" textlink="">
      <xdr:nvSpPr>
        <xdr:cNvPr id="322" name="Стрелка вверх 321"/>
        <xdr:cNvSpPr/>
      </xdr:nvSpPr>
      <xdr:spPr>
        <a:xfrm rot="18900000">
          <a:off x="4578835" y="28182976"/>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12</xdr:col>
      <xdr:colOff>278423</xdr:colOff>
      <xdr:row>169</xdr:row>
      <xdr:rowOff>153867</xdr:rowOff>
    </xdr:from>
    <xdr:to>
      <xdr:col>14</xdr:col>
      <xdr:colOff>262304</xdr:colOff>
      <xdr:row>173</xdr:row>
      <xdr:rowOff>110638</xdr:rowOff>
    </xdr:to>
    <xdr:pic>
      <xdr:nvPicPr>
        <xdr:cNvPr id="323" name="Picture 10"/>
        <xdr:cNvPicPr>
          <a:picLocks noChangeAspect="1" noChangeArrowheads="1"/>
        </xdr:cNvPicPr>
      </xdr:nvPicPr>
      <xdr:blipFill>
        <a:blip xmlns:r="http://schemas.openxmlformats.org/officeDocument/2006/relationships" r:embed="rId35" cstate="print"/>
        <a:srcRect/>
        <a:stretch>
          <a:fillRect/>
        </a:stretch>
      </xdr:blipFill>
      <xdr:spPr bwMode="auto">
        <a:xfrm>
          <a:off x="7593623" y="27519192"/>
          <a:ext cx="1203081" cy="604471"/>
        </a:xfrm>
        <a:prstGeom prst="rect">
          <a:avLst/>
        </a:prstGeom>
        <a:noFill/>
      </xdr:spPr>
    </xdr:pic>
    <xdr:clientData/>
  </xdr:twoCellAnchor>
  <xdr:twoCellAnchor>
    <xdr:from>
      <xdr:col>13</xdr:col>
      <xdr:colOff>14653</xdr:colOff>
      <xdr:row>173</xdr:row>
      <xdr:rowOff>139841</xdr:rowOff>
    </xdr:from>
    <xdr:to>
      <xdr:col>13</xdr:col>
      <xdr:colOff>239849</xdr:colOff>
      <xdr:row>175</xdr:row>
      <xdr:rowOff>63065</xdr:rowOff>
    </xdr:to>
    <xdr:sp macro="" textlink="">
      <xdr:nvSpPr>
        <xdr:cNvPr id="324" name="Стрелка вверх 323"/>
        <xdr:cNvSpPr/>
      </xdr:nvSpPr>
      <xdr:spPr>
        <a:xfrm>
          <a:off x="7939453" y="28152866"/>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67288</xdr:colOff>
      <xdr:row>173</xdr:row>
      <xdr:rowOff>151370</xdr:rowOff>
    </xdr:from>
    <xdr:to>
      <xdr:col>12</xdr:col>
      <xdr:colOff>309426</xdr:colOff>
      <xdr:row>175</xdr:row>
      <xdr:rowOff>54182</xdr:rowOff>
    </xdr:to>
    <xdr:sp macro="" textlink="">
      <xdr:nvSpPr>
        <xdr:cNvPr id="325" name="Стрелка вверх 324"/>
        <xdr:cNvSpPr/>
      </xdr:nvSpPr>
      <xdr:spPr>
        <a:xfrm rot="2700000">
          <a:off x="7390226" y="28156657"/>
          <a:ext cx="226662"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275001</xdr:colOff>
      <xdr:row>173</xdr:row>
      <xdr:rowOff>143169</xdr:rowOff>
    </xdr:from>
    <xdr:to>
      <xdr:col>14</xdr:col>
      <xdr:colOff>174342</xdr:colOff>
      <xdr:row>175</xdr:row>
      <xdr:rowOff>66393</xdr:rowOff>
    </xdr:to>
    <xdr:sp macro="" textlink="">
      <xdr:nvSpPr>
        <xdr:cNvPr id="326" name="Стрелка вверх 325"/>
        <xdr:cNvSpPr/>
      </xdr:nvSpPr>
      <xdr:spPr>
        <a:xfrm rot="18900000">
          <a:off x="8199801" y="28156194"/>
          <a:ext cx="508941"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0</xdr:colOff>
      <xdr:row>172</xdr:row>
      <xdr:rowOff>14655</xdr:rowOff>
    </xdr:from>
    <xdr:to>
      <xdr:col>12</xdr:col>
      <xdr:colOff>247074</xdr:colOff>
      <xdr:row>173</xdr:row>
      <xdr:rowOff>77193</xdr:rowOff>
    </xdr:to>
    <xdr:sp macro="" textlink="">
      <xdr:nvSpPr>
        <xdr:cNvPr id="327" name="Стрелка вверх 326"/>
        <xdr:cNvSpPr/>
      </xdr:nvSpPr>
      <xdr:spPr>
        <a:xfrm rot="5400000">
          <a:off x="7326505" y="27854450"/>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18</xdr:col>
      <xdr:colOff>249117</xdr:colOff>
      <xdr:row>169</xdr:row>
      <xdr:rowOff>124559</xdr:rowOff>
    </xdr:from>
    <xdr:to>
      <xdr:col>20</xdr:col>
      <xdr:colOff>271098</xdr:colOff>
      <xdr:row>173</xdr:row>
      <xdr:rowOff>90855</xdr:rowOff>
    </xdr:to>
    <xdr:pic>
      <xdr:nvPicPr>
        <xdr:cNvPr id="328" name="Picture 12"/>
        <xdr:cNvPicPr>
          <a:picLocks noChangeAspect="1" noChangeArrowheads="1"/>
        </xdr:cNvPicPr>
      </xdr:nvPicPr>
      <xdr:blipFill>
        <a:blip xmlns:r="http://schemas.openxmlformats.org/officeDocument/2006/relationships" r:embed="rId36" cstate="print"/>
        <a:srcRect/>
        <a:stretch>
          <a:fillRect/>
        </a:stretch>
      </xdr:blipFill>
      <xdr:spPr bwMode="auto">
        <a:xfrm>
          <a:off x="11221917" y="27489884"/>
          <a:ext cx="1241181" cy="613996"/>
        </a:xfrm>
        <a:prstGeom prst="rect">
          <a:avLst/>
        </a:prstGeom>
        <a:noFill/>
      </xdr:spPr>
    </xdr:pic>
    <xdr:clientData/>
  </xdr:twoCellAnchor>
  <xdr:twoCellAnchor>
    <xdr:from>
      <xdr:col>19</xdr:col>
      <xdr:colOff>14654</xdr:colOff>
      <xdr:row>173</xdr:row>
      <xdr:rowOff>117861</xdr:rowOff>
    </xdr:from>
    <xdr:to>
      <xdr:col>19</xdr:col>
      <xdr:colOff>239850</xdr:colOff>
      <xdr:row>175</xdr:row>
      <xdr:rowOff>41085</xdr:rowOff>
    </xdr:to>
    <xdr:sp macro="" textlink="">
      <xdr:nvSpPr>
        <xdr:cNvPr id="329" name="Стрелка вверх 328"/>
        <xdr:cNvSpPr/>
      </xdr:nvSpPr>
      <xdr:spPr>
        <a:xfrm>
          <a:off x="11597054" y="28130886"/>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67288</xdr:colOff>
      <xdr:row>173</xdr:row>
      <xdr:rowOff>129390</xdr:rowOff>
    </xdr:from>
    <xdr:to>
      <xdr:col>18</xdr:col>
      <xdr:colOff>309426</xdr:colOff>
      <xdr:row>175</xdr:row>
      <xdr:rowOff>32202</xdr:rowOff>
    </xdr:to>
    <xdr:sp macro="" textlink="">
      <xdr:nvSpPr>
        <xdr:cNvPr id="330" name="Стрелка вверх 329"/>
        <xdr:cNvSpPr/>
      </xdr:nvSpPr>
      <xdr:spPr>
        <a:xfrm rot="2700000">
          <a:off x="11047826" y="28134677"/>
          <a:ext cx="226662"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19</xdr:col>
      <xdr:colOff>275002</xdr:colOff>
      <xdr:row>173</xdr:row>
      <xdr:rowOff>121189</xdr:rowOff>
    </xdr:from>
    <xdr:to>
      <xdr:col>20</xdr:col>
      <xdr:colOff>174342</xdr:colOff>
      <xdr:row>175</xdr:row>
      <xdr:rowOff>44413</xdr:rowOff>
    </xdr:to>
    <xdr:sp macro="" textlink="">
      <xdr:nvSpPr>
        <xdr:cNvPr id="331" name="Стрелка вверх 330"/>
        <xdr:cNvSpPr/>
      </xdr:nvSpPr>
      <xdr:spPr>
        <a:xfrm rot="18900000">
          <a:off x="11857402" y="28134214"/>
          <a:ext cx="50894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0</xdr:colOff>
      <xdr:row>171</xdr:row>
      <xdr:rowOff>153868</xdr:rowOff>
    </xdr:from>
    <xdr:to>
      <xdr:col>18</xdr:col>
      <xdr:colOff>247074</xdr:colOff>
      <xdr:row>173</xdr:row>
      <xdr:rowOff>55213</xdr:rowOff>
    </xdr:to>
    <xdr:sp macro="" textlink="">
      <xdr:nvSpPr>
        <xdr:cNvPr id="332" name="Стрелка вверх 331"/>
        <xdr:cNvSpPr/>
      </xdr:nvSpPr>
      <xdr:spPr>
        <a:xfrm rot="5400000">
          <a:off x="10983739" y="27832104"/>
          <a:ext cx="225195"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23</xdr:col>
      <xdr:colOff>234461</xdr:colOff>
      <xdr:row>169</xdr:row>
      <xdr:rowOff>87924</xdr:rowOff>
    </xdr:from>
    <xdr:to>
      <xdr:col>25</xdr:col>
      <xdr:colOff>285017</xdr:colOff>
      <xdr:row>173</xdr:row>
      <xdr:rowOff>149470</xdr:rowOff>
    </xdr:to>
    <xdr:pic>
      <xdr:nvPicPr>
        <xdr:cNvPr id="333" name="Picture 14"/>
        <xdr:cNvPicPr>
          <a:picLocks noChangeAspect="1" noChangeArrowheads="1"/>
        </xdr:cNvPicPr>
      </xdr:nvPicPr>
      <xdr:blipFill>
        <a:blip xmlns:r="http://schemas.openxmlformats.org/officeDocument/2006/relationships" r:embed="rId37" cstate="print"/>
        <a:srcRect/>
        <a:stretch>
          <a:fillRect/>
        </a:stretch>
      </xdr:blipFill>
      <xdr:spPr bwMode="auto">
        <a:xfrm>
          <a:off x="14255261" y="27453249"/>
          <a:ext cx="1269756" cy="709246"/>
        </a:xfrm>
        <a:prstGeom prst="rect">
          <a:avLst/>
        </a:prstGeom>
        <a:noFill/>
      </xdr:spPr>
    </xdr:pic>
    <xdr:clientData/>
  </xdr:twoCellAnchor>
  <xdr:twoCellAnchor>
    <xdr:from>
      <xdr:col>24</xdr:col>
      <xdr:colOff>14653</xdr:colOff>
      <xdr:row>174</xdr:row>
      <xdr:rowOff>15286</xdr:rowOff>
    </xdr:from>
    <xdr:to>
      <xdr:col>24</xdr:col>
      <xdr:colOff>239849</xdr:colOff>
      <xdr:row>175</xdr:row>
      <xdr:rowOff>99702</xdr:rowOff>
    </xdr:to>
    <xdr:sp macro="" textlink="">
      <xdr:nvSpPr>
        <xdr:cNvPr id="334" name="Стрелка вверх 333"/>
        <xdr:cNvSpPr/>
      </xdr:nvSpPr>
      <xdr:spPr>
        <a:xfrm>
          <a:off x="14645053" y="28190236"/>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67288</xdr:colOff>
      <xdr:row>174</xdr:row>
      <xdr:rowOff>26815</xdr:rowOff>
    </xdr:from>
    <xdr:to>
      <xdr:col>23</xdr:col>
      <xdr:colOff>309426</xdr:colOff>
      <xdr:row>175</xdr:row>
      <xdr:rowOff>90819</xdr:rowOff>
    </xdr:to>
    <xdr:sp macro="" textlink="">
      <xdr:nvSpPr>
        <xdr:cNvPr id="335" name="Стрелка вверх 334"/>
        <xdr:cNvSpPr/>
      </xdr:nvSpPr>
      <xdr:spPr>
        <a:xfrm rot="2700000">
          <a:off x="14096192" y="28193661"/>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24</xdr:col>
      <xdr:colOff>275001</xdr:colOff>
      <xdr:row>174</xdr:row>
      <xdr:rowOff>18614</xdr:rowOff>
    </xdr:from>
    <xdr:to>
      <xdr:col>25</xdr:col>
      <xdr:colOff>174342</xdr:colOff>
      <xdr:row>175</xdr:row>
      <xdr:rowOff>103030</xdr:rowOff>
    </xdr:to>
    <xdr:sp macro="" textlink="">
      <xdr:nvSpPr>
        <xdr:cNvPr id="336" name="Стрелка вверх 335"/>
        <xdr:cNvSpPr/>
      </xdr:nvSpPr>
      <xdr:spPr>
        <a:xfrm rot="18900000">
          <a:off x="14905401" y="28193564"/>
          <a:ext cx="508941"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0</xdr:colOff>
      <xdr:row>172</xdr:row>
      <xdr:rowOff>51292</xdr:rowOff>
    </xdr:from>
    <xdr:to>
      <xdr:col>23</xdr:col>
      <xdr:colOff>247074</xdr:colOff>
      <xdr:row>173</xdr:row>
      <xdr:rowOff>113830</xdr:rowOff>
    </xdr:to>
    <xdr:sp macro="" textlink="">
      <xdr:nvSpPr>
        <xdr:cNvPr id="337" name="Стрелка вверх 336"/>
        <xdr:cNvSpPr/>
      </xdr:nvSpPr>
      <xdr:spPr>
        <a:xfrm rot="5400000">
          <a:off x="14032105" y="27891087"/>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12</xdr:col>
      <xdr:colOff>0</xdr:colOff>
      <xdr:row>151</xdr:row>
      <xdr:rowOff>0</xdr:rowOff>
    </xdr:from>
    <xdr:to>
      <xdr:col>14</xdr:col>
      <xdr:colOff>36635</xdr:colOff>
      <xdr:row>154</xdr:row>
      <xdr:rowOff>27843</xdr:rowOff>
    </xdr:to>
    <xdr:pic>
      <xdr:nvPicPr>
        <xdr:cNvPr id="338" name="Picture 16"/>
        <xdr:cNvPicPr>
          <a:picLocks noChangeAspect="1" noChangeArrowheads="1"/>
        </xdr:cNvPicPr>
      </xdr:nvPicPr>
      <xdr:blipFill>
        <a:blip xmlns:r="http://schemas.openxmlformats.org/officeDocument/2006/relationships" r:embed="rId38" cstate="print"/>
        <a:srcRect/>
        <a:stretch>
          <a:fillRect/>
        </a:stretch>
      </xdr:blipFill>
      <xdr:spPr bwMode="auto">
        <a:xfrm>
          <a:off x="7315200" y="24450675"/>
          <a:ext cx="1255835" cy="513617"/>
        </a:xfrm>
        <a:prstGeom prst="rect">
          <a:avLst/>
        </a:prstGeom>
        <a:noFill/>
      </xdr:spPr>
    </xdr:pic>
    <xdr:clientData/>
  </xdr:twoCellAnchor>
  <xdr:twoCellAnchor>
    <xdr:from>
      <xdr:col>13</xdr:col>
      <xdr:colOff>80594</xdr:colOff>
      <xdr:row>154</xdr:row>
      <xdr:rowOff>55985</xdr:rowOff>
    </xdr:from>
    <xdr:to>
      <xdr:col>13</xdr:col>
      <xdr:colOff>305790</xdr:colOff>
      <xdr:row>155</xdr:row>
      <xdr:rowOff>140401</xdr:rowOff>
    </xdr:to>
    <xdr:sp macro="" textlink="">
      <xdr:nvSpPr>
        <xdr:cNvPr id="339" name="Стрелка вверх 338"/>
        <xdr:cNvSpPr/>
      </xdr:nvSpPr>
      <xdr:spPr>
        <a:xfrm>
          <a:off x="8005394" y="24992435"/>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133228</xdr:colOff>
      <xdr:row>154</xdr:row>
      <xdr:rowOff>67514</xdr:rowOff>
    </xdr:from>
    <xdr:to>
      <xdr:col>13</xdr:col>
      <xdr:colOff>52982</xdr:colOff>
      <xdr:row>155</xdr:row>
      <xdr:rowOff>131518</xdr:rowOff>
    </xdr:to>
    <xdr:sp macro="" textlink="">
      <xdr:nvSpPr>
        <xdr:cNvPr id="340" name="Стрелка вверх 339"/>
        <xdr:cNvSpPr/>
      </xdr:nvSpPr>
      <xdr:spPr>
        <a:xfrm rot="2700000">
          <a:off x="7600140" y="24852252"/>
          <a:ext cx="225929" cy="52935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18558</xdr:colOff>
      <xdr:row>154</xdr:row>
      <xdr:rowOff>59313</xdr:rowOff>
    </xdr:from>
    <xdr:to>
      <xdr:col>14</xdr:col>
      <xdr:colOff>240283</xdr:colOff>
      <xdr:row>155</xdr:row>
      <xdr:rowOff>143729</xdr:rowOff>
    </xdr:to>
    <xdr:sp macro="" textlink="">
      <xdr:nvSpPr>
        <xdr:cNvPr id="341" name="Стрелка вверх 340"/>
        <xdr:cNvSpPr/>
      </xdr:nvSpPr>
      <xdr:spPr>
        <a:xfrm rot="18900000">
          <a:off x="8552958" y="24995763"/>
          <a:ext cx="221725"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79462</xdr:colOff>
      <xdr:row>152</xdr:row>
      <xdr:rowOff>87923</xdr:rowOff>
    </xdr:from>
    <xdr:to>
      <xdr:col>15</xdr:col>
      <xdr:colOff>4151</xdr:colOff>
      <xdr:row>153</xdr:row>
      <xdr:rowOff>150460</xdr:rowOff>
    </xdr:to>
    <xdr:sp macro="" textlink="">
      <xdr:nvSpPr>
        <xdr:cNvPr id="342" name="Стрелка вверх 341"/>
        <xdr:cNvSpPr/>
      </xdr:nvSpPr>
      <xdr:spPr>
        <a:xfrm rot="16200000">
          <a:off x="8768776" y="24545609"/>
          <a:ext cx="224462" cy="53428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17</xdr:col>
      <xdr:colOff>0</xdr:colOff>
      <xdr:row>151</xdr:row>
      <xdr:rowOff>0</xdr:rowOff>
    </xdr:from>
    <xdr:to>
      <xdr:col>19</xdr:col>
      <xdr:colOff>241789</xdr:colOff>
      <xdr:row>154</xdr:row>
      <xdr:rowOff>92320</xdr:rowOff>
    </xdr:to>
    <xdr:pic>
      <xdr:nvPicPr>
        <xdr:cNvPr id="343" name="Picture 18"/>
        <xdr:cNvPicPr>
          <a:picLocks noChangeAspect="1" noChangeArrowheads="1"/>
        </xdr:cNvPicPr>
      </xdr:nvPicPr>
      <xdr:blipFill>
        <a:blip xmlns:r="http://schemas.openxmlformats.org/officeDocument/2006/relationships" r:embed="rId39" cstate="print"/>
        <a:srcRect/>
        <a:stretch>
          <a:fillRect/>
        </a:stretch>
      </xdr:blipFill>
      <xdr:spPr bwMode="auto">
        <a:xfrm>
          <a:off x="10363200" y="24450675"/>
          <a:ext cx="1460989" cy="578094"/>
        </a:xfrm>
        <a:prstGeom prst="rect">
          <a:avLst/>
        </a:prstGeom>
        <a:noFill/>
      </xdr:spPr>
    </xdr:pic>
    <xdr:clientData/>
  </xdr:twoCellAnchor>
  <xdr:twoCellAnchor>
    <xdr:from>
      <xdr:col>18</xdr:col>
      <xdr:colOff>43959</xdr:colOff>
      <xdr:row>154</xdr:row>
      <xdr:rowOff>107275</xdr:rowOff>
    </xdr:from>
    <xdr:to>
      <xdr:col>18</xdr:col>
      <xdr:colOff>269155</xdr:colOff>
      <xdr:row>156</xdr:row>
      <xdr:rowOff>30498</xdr:rowOff>
    </xdr:to>
    <xdr:sp macro="" textlink="">
      <xdr:nvSpPr>
        <xdr:cNvPr id="344" name="Стрелка вверх 343"/>
        <xdr:cNvSpPr/>
      </xdr:nvSpPr>
      <xdr:spPr>
        <a:xfrm>
          <a:off x="11016759" y="25043725"/>
          <a:ext cx="225196"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96593</xdr:colOff>
      <xdr:row>154</xdr:row>
      <xdr:rowOff>118804</xdr:rowOff>
    </xdr:from>
    <xdr:to>
      <xdr:col>18</xdr:col>
      <xdr:colOff>16347</xdr:colOff>
      <xdr:row>156</xdr:row>
      <xdr:rowOff>21615</xdr:rowOff>
    </xdr:to>
    <xdr:sp macro="" textlink="">
      <xdr:nvSpPr>
        <xdr:cNvPr id="345" name="Стрелка вверх 344"/>
        <xdr:cNvSpPr/>
      </xdr:nvSpPr>
      <xdr:spPr>
        <a:xfrm rot="2700000">
          <a:off x="10611139" y="24903908"/>
          <a:ext cx="226661" cy="52935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304307</xdr:colOff>
      <xdr:row>154</xdr:row>
      <xdr:rowOff>110603</xdr:rowOff>
    </xdr:from>
    <xdr:to>
      <xdr:col>19</xdr:col>
      <xdr:colOff>203648</xdr:colOff>
      <xdr:row>156</xdr:row>
      <xdr:rowOff>33826</xdr:rowOff>
    </xdr:to>
    <xdr:sp macro="" textlink="">
      <xdr:nvSpPr>
        <xdr:cNvPr id="346" name="Стрелка вверх 345"/>
        <xdr:cNvSpPr/>
      </xdr:nvSpPr>
      <xdr:spPr>
        <a:xfrm rot="18900000">
          <a:off x="11277107" y="25047053"/>
          <a:ext cx="508941"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205154</xdr:colOff>
      <xdr:row>177</xdr:row>
      <xdr:rowOff>0</xdr:rowOff>
    </xdr:from>
    <xdr:to>
      <xdr:col>2</xdr:col>
      <xdr:colOff>293809</xdr:colOff>
      <xdr:row>179</xdr:row>
      <xdr:rowOff>155329</xdr:rowOff>
    </xdr:to>
    <xdr:pic>
      <xdr:nvPicPr>
        <xdr:cNvPr id="347" name="Picture 2"/>
        <xdr:cNvPicPr>
          <a:picLocks noChangeAspect="1" noChangeArrowheads="1"/>
        </xdr:cNvPicPr>
      </xdr:nvPicPr>
      <xdr:blipFill>
        <a:blip xmlns:r="http://schemas.openxmlformats.org/officeDocument/2006/relationships" r:embed="rId40" cstate="print"/>
        <a:srcRect/>
        <a:stretch>
          <a:fillRect/>
        </a:stretch>
      </xdr:blipFill>
      <xdr:spPr bwMode="auto">
        <a:xfrm>
          <a:off x="814754" y="28660725"/>
          <a:ext cx="698255" cy="479180"/>
        </a:xfrm>
        <a:prstGeom prst="rect">
          <a:avLst/>
        </a:prstGeom>
        <a:noFill/>
      </xdr:spPr>
    </xdr:pic>
    <xdr:clientData/>
  </xdr:twoCellAnchor>
  <xdr:twoCellAnchor>
    <xdr:from>
      <xdr:col>2</xdr:col>
      <xdr:colOff>14653</xdr:colOff>
      <xdr:row>180</xdr:row>
      <xdr:rowOff>19351</xdr:rowOff>
    </xdr:from>
    <xdr:to>
      <xdr:col>2</xdr:col>
      <xdr:colOff>239849</xdr:colOff>
      <xdr:row>181</xdr:row>
      <xdr:rowOff>103767</xdr:rowOff>
    </xdr:to>
    <xdr:sp macro="" textlink="">
      <xdr:nvSpPr>
        <xdr:cNvPr id="348" name="Стрелка вверх 347"/>
        <xdr:cNvSpPr/>
      </xdr:nvSpPr>
      <xdr:spPr>
        <a:xfrm>
          <a:off x="1233853" y="29165851"/>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67288</xdr:colOff>
      <xdr:row>180</xdr:row>
      <xdr:rowOff>30880</xdr:rowOff>
    </xdr:from>
    <xdr:to>
      <xdr:col>1</xdr:col>
      <xdr:colOff>309426</xdr:colOff>
      <xdr:row>181</xdr:row>
      <xdr:rowOff>94884</xdr:rowOff>
    </xdr:to>
    <xdr:sp macro="" textlink="">
      <xdr:nvSpPr>
        <xdr:cNvPr id="349" name="Стрелка вверх 348"/>
        <xdr:cNvSpPr/>
      </xdr:nvSpPr>
      <xdr:spPr>
        <a:xfrm rot="2700000">
          <a:off x="684992" y="29169276"/>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275001</xdr:colOff>
      <xdr:row>180</xdr:row>
      <xdr:rowOff>22679</xdr:rowOff>
    </xdr:from>
    <xdr:to>
      <xdr:col>3</xdr:col>
      <xdr:colOff>174341</xdr:colOff>
      <xdr:row>181</xdr:row>
      <xdr:rowOff>107095</xdr:rowOff>
    </xdr:to>
    <xdr:sp macro="" textlink="">
      <xdr:nvSpPr>
        <xdr:cNvPr id="350" name="Стрелка вверх 349"/>
        <xdr:cNvSpPr/>
      </xdr:nvSpPr>
      <xdr:spPr>
        <a:xfrm rot="18900000">
          <a:off x="1494201" y="29169179"/>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0</xdr:colOff>
      <xdr:row>178</xdr:row>
      <xdr:rowOff>55358</xdr:rowOff>
    </xdr:from>
    <xdr:to>
      <xdr:col>1</xdr:col>
      <xdr:colOff>247074</xdr:colOff>
      <xdr:row>179</xdr:row>
      <xdr:rowOff>117895</xdr:rowOff>
    </xdr:to>
    <xdr:sp macro="" textlink="">
      <xdr:nvSpPr>
        <xdr:cNvPr id="351" name="Стрелка вверх 350"/>
        <xdr:cNvSpPr/>
      </xdr:nvSpPr>
      <xdr:spPr>
        <a:xfrm rot="5400000">
          <a:off x="620906" y="28866702"/>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13520</xdr:colOff>
      <xdr:row>178</xdr:row>
      <xdr:rowOff>51289</xdr:rowOff>
    </xdr:from>
    <xdr:to>
      <xdr:col>3</xdr:col>
      <xdr:colOff>260594</xdr:colOff>
      <xdr:row>179</xdr:row>
      <xdr:rowOff>113826</xdr:rowOff>
    </xdr:to>
    <xdr:sp macro="" textlink="">
      <xdr:nvSpPr>
        <xdr:cNvPr id="352" name="Стрелка вверх 351"/>
        <xdr:cNvSpPr/>
      </xdr:nvSpPr>
      <xdr:spPr>
        <a:xfrm rot="16200000">
          <a:off x="1853626" y="28862633"/>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6</xdr:col>
      <xdr:colOff>322384</xdr:colOff>
      <xdr:row>177</xdr:row>
      <xdr:rowOff>0</xdr:rowOff>
    </xdr:from>
    <xdr:to>
      <xdr:col>10</xdr:col>
      <xdr:colOff>12455</xdr:colOff>
      <xdr:row>180</xdr:row>
      <xdr:rowOff>54953</xdr:rowOff>
    </xdr:to>
    <xdr:pic>
      <xdr:nvPicPr>
        <xdr:cNvPr id="353" name="Picture 6"/>
        <xdr:cNvPicPr>
          <a:picLocks noChangeAspect="1" noChangeArrowheads="1"/>
        </xdr:cNvPicPr>
      </xdr:nvPicPr>
      <xdr:blipFill>
        <a:blip xmlns:r="http://schemas.openxmlformats.org/officeDocument/2006/relationships" r:embed="rId41" cstate="print"/>
        <a:srcRect/>
        <a:stretch>
          <a:fillRect/>
        </a:stretch>
      </xdr:blipFill>
      <xdr:spPr bwMode="auto">
        <a:xfrm>
          <a:off x="3979984" y="28660725"/>
          <a:ext cx="2128471" cy="540729"/>
        </a:xfrm>
        <a:prstGeom prst="rect">
          <a:avLst/>
        </a:prstGeom>
        <a:noFill/>
      </xdr:spPr>
    </xdr:pic>
    <xdr:clientData/>
  </xdr:twoCellAnchor>
  <xdr:twoCellAnchor>
    <xdr:from>
      <xdr:col>8</xdr:col>
      <xdr:colOff>80595</xdr:colOff>
      <xdr:row>180</xdr:row>
      <xdr:rowOff>70644</xdr:rowOff>
    </xdr:from>
    <xdr:to>
      <xdr:col>8</xdr:col>
      <xdr:colOff>305791</xdr:colOff>
      <xdr:row>181</xdr:row>
      <xdr:rowOff>155060</xdr:rowOff>
    </xdr:to>
    <xdr:sp macro="" textlink="">
      <xdr:nvSpPr>
        <xdr:cNvPr id="354" name="Стрелка вверх 353"/>
        <xdr:cNvSpPr/>
      </xdr:nvSpPr>
      <xdr:spPr>
        <a:xfrm>
          <a:off x="4957395" y="29217144"/>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133229</xdr:colOff>
      <xdr:row>180</xdr:row>
      <xdr:rowOff>82173</xdr:rowOff>
    </xdr:from>
    <xdr:to>
      <xdr:col>8</xdr:col>
      <xdr:colOff>52983</xdr:colOff>
      <xdr:row>181</xdr:row>
      <xdr:rowOff>146177</xdr:rowOff>
    </xdr:to>
    <xdr:sp macro="" textlink="">
      <xdr:nvSpPr>
        <xdr:cNvPr id="355" name="Стрелка вверх 354"/>
        <xdr:cNvSpPr/>
      </xdr:nvSpPr>
      <xdr:spPr>
        <a:xfrm rot="2700000">
          <a:off x="4552141" y="29076961"/>
          <a:ext cx="225929" cy="52935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18558</xdr:colOff>
      <xdr:row>180</xdr:row>
      <xdr:rowOff>73972</xdr:rowOff>
    </xdr:from>
    <xdr:to>
      <xdr:col>9</xdr:col>
      <xdr:colOff>240283</xdr:colOff>
      <xdr:row>181</xdr:row>
      <xdr:rowOff>158388</xdr:rowOff>
    </xdr:to>
    <xdr:sp macro="" textlink="">
      <xdr:nvSpPr>
        <xdr:cNvPr id="356" name="Стрелка вверх 355"/>
        <xdr:cNvSpPr/>
      </xdr:nvSpPr>
      <xdr:spPr>
        <a:xfrm rot="18900000">
          <a:off x="5504958" y="29220472"/>
          <a:ext cx="221725"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14</xdr:col>
      <xdr:colOff>0</xdr:colOff>
      <xdr:row>177</xdr:row>
      <xdr:rowOff>0</xdr:rowOff>
    </xdr:from>
    <xdr:to>
      <xdr:col>16</xdr:col>
      <xdr:colOff>31505</xdr:colOff>
      <xdr:row>180</xdr:row>
      <xdr:rowOff>33702</xdr:rowOff>
    </xdr:to>
    <xdr:pic>
      <xdr:nvPicPr>
        <xdr:cNvPr id="357" name="Picture 8"/>
        <xdr:cNvPicPr>
          <a:picLocks noChangeAspect="1" noChangeArrowheads="1"/>
        </xdr:cNvPicPr>
      </xdr:nvPicPr>
      <xdr:blipFill>
        <a:blip xmlns:r="http://schemas.openxmlformats.org/officeDocument/2006/relationships" r:embed="rId42" cstate="print"/>
        <a:srcRect/>
        <a:stretch>
          <a:fillRect/>
        </a:stretch>
      </xdr:blipFill>
      <xdr:spPr bwMode="auto">
        <a:xfrm>
          <a:off x="8534400" y="28660725"/>
          <a:ext cx="1250705" cy="519478"/>
        </a:xfrm>
        <a:prstGeom prst="rect">
          <a:avLst/>
        </a:prstGeom>
        <a:noFill/>
      </xdr:spPr>
    </xdr:pic>
    <xdr:clientData/>
  </xdr:twoCellAnchor>
  <xdr:twoCellAnchor>
    <xdr:from>
      <xdr:col>15</xdr:col>
      <xdr:colOff>65942</xdr:colOff>
      <xdr:row>180</xdr:row>
      <xdr:rowOff>55985</xdr:rowOff>
    </xdr:from>
    <xdr:to>
      <xdr:col>15</xdr:col>
      <xdr:colOff>291138</xdr:colOff>
      <xdr:row>181</xdr:row>
      <xdr:rowOff>140401</xdr:rowOff>
    </xdr:to>
    <xdr:sp macro="" textlink="">
      <xdr:nvSpPr>
        <xdr:cNvPr id="358" name="Стрелка вверх 357"/>
        <xdr:cNvSpPr/>
      </xdr:nvSpPr>
      <xdr:spPr>
        <a:xfrm>
          <a:off x="9209942" y="29202485"/>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118575</xdr:colOff>
      <xdr:row>180</xdr:row>
      <xdr:rowOff>67514</xdr:rowOff>
    </xdr:from>
    <xdr:to>
      <xdr:col>15</xdr:col>
      <xdr:colOff>38330</xdr:colOff>
      <xdr:row>181</xdr:row>
      <xdr:rowOff>131518</xdr:rowOff>
    </xdr:to>
    <xdr:sp macro="" textlink="">
      <xdr:nvSpPr>
        <xdr:cNvPr id="359" name="Стрелка вверх 358"/>
        <xdr:cNvSpPr/>
      </xdr:nvSpPr>
      <xdr:spPr>
        <a:xfrm rot="2700000">
          <a:off x="8804688" y="29062301"/>
          <a:ext cx="225929" cy="52935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16</xdr:col>
      <xdr:colOff>3905</xdr:colOff>
      <xdr:row>180</xdr:row>
      <xdr:rowOff>59313</xdr:rowOff>
    </xdr:from>
    <xdr:to>
      <xdr:col>16</xdr:col>
      <xdr:colOff>225630</xdr:colOff>
      <xdr:row>181</xdr:row>
      <xdr:rowOff>143729</xdr:rowOff>
    </xdr:to>
    <xdr:sp macro="" textlink="">
      <xdr:nvSpPr>
        <xdr:cNvPr id="360" name="Стрелка вверх 359"/>
        <xdr:cNvSpPr/>
      </xdr:nvSpPr>
      <xdr:spPr>
        <a:xfrm rot="18900000">
          <a:off x="9757505" y="29205813"/>
          <a:ext cx="221725"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16</xdr:col>
      <xdr:colOff>64809</xdr:colOff>
      <xdr:row>178</xdr:row>
      <xdr:rowOff>87923</xdr:rowOff>
    </xdr:from>
    <xdr:to>
      <xdr:col>16</xdr:col>
      <xdr:colOff>311883</xdr:colOff>
      <xdr:row>179</xdr:row>
      <xdr:rowOff>150460</xdr:rowOff>
    </xdr:to>
    <xdr:sp macro="" textlink="">
      <xdr:nvSpPr>
        <xdr:cNvPr id="361" name="Стрелка вверх 360"/>
        <xdr:cNvSpPr/>
      </xdr:nvSpPr>
      <xdr:spPr>
        <a:xfrm rot="16200000">
          <a:off x="9829715" y="28899267"/>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21</xdr:col>
      <xdr:colOff>161193</xdr:colOff>
      <xdr:row>177</xdr:row>
      <xdr:rowOff>0</xdr:rowOff>
    </xdr:from>
    <xdr:to>
      <xdr:col>22</xdr:col>
      <xdr:colOff>288681</xdr:colOff>
      <xdr:row>180</xdr:row>
      <xdr:rowOff>54950</xdr:rowOff>
    </xdr:to>
    <xdr:pic>
      <xdr:nvPicPr>
        <xdr:cNvPr id="362" name="Picture 4"/>
        <xdr:cNvPicPr>
          <a:picLocks noChangeAspect="1" noChangeArrowheads="1"/>
        </xdr:cNvPicPr>
      </xdr:nvPicPr>
      <xdr:blipFill>
        <a:blip xmlns:r="http://schemas.openxmlformats.org/officeDocument/2006/relationships" r:embed="rId43" cstate="print"/>
        <a:srcRect/>
        <a:stretch>
          <a:fillRect/>
        </a:stretch>
      </xdr:blipFill>
      <xdr:spPr bwMode="auto">
        <a:xfrm>
          <a:off x="12962793" y="28660725"/>
          <a:ext cx="1079988" cy="540726"/>
        </a:xfrm>
        <a:prstGeom prst="rect">
          <a:avLst/>
        </a:prstGeom>
        <a:noFill/>
      </xdr:spPr>
    </xdr:pic>
    <xdr:clientData/>
  </xdr:twoCellAnchor>
  <xdr:twoCellAnchor>
    <xdr:from>
      <xdr:col>22</xdr:col>
      <xdr:colOff>14653</xdr:colOff>
      <xdr:row>180</xdr:row>
      <xdr:rowOff>72837</xdr:rowOff>
    </xdr:from>
    <xdr:to>
      <xdr:col>22</xdr:col>
      <xdr:colOff>239849</xdr:colOff>
      <xdr:row>181</xdr:row>
      <xdr:rowOff>157253</xdr:rowOff>
    </xdr:to>
    <xdr:sp macro="" textlink="">
      <xdr:nvSpPr>
        <xdr:cNvPr id="363" name="Стрелка вверх 362"/>
        <xdr:cNvSpPr/>
      </xdr:nvSpPr>
      <xdr:spPr>
        <a:xfrm>
          <a:off x="13425853" y="29219337"/>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67288</xdr:colOff>
      <xdr:row>180</xdr:row>
      <xdr:rowOff>84366</xdr:rowOff>
    </xdr:from>
    <xdr:to>
      <xdr:col>21</xdr:col>
      <xdr:colOff>309426</xdr:colOff>
      <xdr:row>181</xdr:row>
      <xdr:rowOff>148370</xdr:rowOff>
    </xdr:to>
    <xdr:sp macro="" textlink="">
      <xdr:nvSpPr>
        <xdr:cNvPr id="364" name="Стрелка вверх 363"/>
        <xdr:cNvSpPr/>
      </xdr:nvSpPr>
      <xdr:spPr>
        <a:xfrm rot="2700000">
          <a:off x="12876992" y="29222762"/>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22</xdr:col>
      <xdr:colOff>275001</xdr:colOff>
      <xdr:row>180</xdr:row>
      <xdr:rowOff>76165</xdr:rowOff>
    </xdr:from>
    <xdr:to>
      <xdr:col>23</xdr:col>
      <xdr:colOff>174342</xdr:colOff>
      <xdr:row>181</xdr:row>
      <xdr:rowOff>160581</xdr:rowOff>
    </xdr:to>
    <xdr:sp macro="" textlink="">
      <xdr:nvSpPr>
        <xdr:cNvPr id="365" name="Стрелка вверх 364"/>
        <xdr:cNvSpPr/>
      </xdr:nvSpPr>
      <xdr:spPr>
        <a:xfrm rot="18900000">
          <a:off x="13686201" y="29222665"/>
          <a:ext cx="508941"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0</xdr:colOff>
      <xdr:row>178</xdr:row>
      <xdr:rowOff>108844</xdr:rowOff>
    </xdr:from>
    <xdr:to>
      <xdr:col>21</xdr:col>
      <xdr:colOff>247074</xdr:colOff>
      <xdr:row>180</xdr:row>
      <xdr:rowOff>10189</xdr:rowOff>
    </xdr:to>
    <xdr:sp macro="" textlink="">
      <xdr:nvSpPr>
        <xdr:cNvPr id="366" name="Стрелка вверх 365"/>
        <xdr:cNvSpPr/>
      </xdr:nvSpPr>
      <xdr:spPr>
        <a:xfrm rot="5400000">
          <a:off x="12812539" y="28920555"/>
          <a:ext cx="225195"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13521</xdr:colOff>
      <xdr:row>178</xdr:row>
      <xdr:rowOff>104775</xdr:rowOff>
    </xdr:from>
    <xdr:to>
      <xdr:col>23</xdr:col>
      <xdr:colOff>260595</xdr:colOff>
      <xdr:row>180</xdr:row>
      <xdr:rowOff>6120</xdr:rowOff>
    </xdr:to>
    <xdr:sp macro="" textlink="">
      <xdr:nvSpPr>
        <xdr:cNvPr id="367" name="Стрелка вверх 366"/>
        <xdr:cNvSpPr/>
      </xdr:nvSpPr>
      <xdr:spPr>
        <a:xfrm rot="16200000">
          <a:off x="14045260" y="28916486"/>
          <a:ext cx="225195"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271098</xdr:colOff>
      <xdr:row>183</xdr:row>
      <xdr:rowOff>0</xdr:rowOff>
    </xdr:from>
    <xdr:to>
      <xdr:col>3</xdr:col>
      <xdr:colOff>293078</xdr:colOff>
      <xdr:row>186</xdr:row>
      <xdr:rowOff>22713</xdr:rowOff>
    </xdr:to>
    <xdr:pic>
      <xdr:nvPicPr>
        <xdr:cNvPr id="368" name="Picture 10"/>
        <xdr:cNvPicPr>
          <a:picLocks noChangeAspect="1" noChangeArrowheads="1"/>
        </xdr:cNvPicPr>
      </xdr:nvPicPr>
      <xdr:blipFill>
        <a:blip xmlns:r="http://schemas.openxmlformats.org/officeDocument/2006/relationships" r:embed="rId44" cstate="print"/>
        <a:srcRect/>
        <a:stretch>
          <a:fillRect/>
        </a:stretch>
      </xdr:blipFill>
      <xdr:spPr bwMode="auto">
        <a:xfrm>
          <a:off x="880698" y="29632275"/>
          <a:ext cx="1241180" cy="508488"/>
        </a:xfrm>
        <a:prstGeom prst="rect">
          <a:avLst/>
        </a:prstGeom>
        <a:noFill/>
      </xdr:spPr>
    </xdr:pic>
    <xdr:clientData/>
  </xdr:twoCellAnchor>
  <xdr:twoCellAnchor>
    <xdr:from>
      <xdr:col>2</xdr:col>
      <xdr:colOff>14653</xdr:colOff>
      <xdr:row>186</xdr:row>
      <xdr:rowOff>41331</xdr:rowOff>
    </xdr:from>
    <xdr:to>
      <xdr:col>2</xdr:col>
      <xdr:colOff>239849</xdr:colOff>
      <xdr:row>187</xdr:row>
      <xdr:rowOff>125747</xdr:rowOff>
    </xdr:to>
    <xdr:sp macro="" textlink="">
      <xdr:nvSpPr>
        <xdr:cNvPr id="369" name="Стрелка вверх 368"/>
        <xdr:cNvSpPr/>
      </xdr:nvSpPr>
      <xdr:spPr>
        <a:xfrm>
          <a:off x="1233853" y="30159381"/>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67288</xdr:colOff>
      <xdr:row>186</xdr:row>
      <xdr:rowOff>52860</xdr:rowOff>
    </xdr:from>
    <xdr:to>
      <xdr:col>1</xdr:col>
      <xdr:colOff>309426</xdr:colOff>
      <xdr:row>187</xdr:row>
      <xdr:rowOff>116864</xdr:rowOff>
    </xdr:to>
    <xdr:sp macro="" textlink="">
      <xdr:nvSpPr>
        <xdr:cNvPr id="370" name="Стрелка вверх 369"/>
        <xdr:cNvSpPr/>
      </xdr:nvSpPr>
      <xdr:spPr>
        <a:xfrm rot="2700000">
          <a:off x="684992" y="30162806"/>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275001</xdr:colOff>
      <xdr:row>186</xdr:row>
      <xdr:rowOff>44659</xdr:rowOff>
    </xdr:from>
    <xdr:to>
      <xdr:col>3</xdr:col>
      <xdr:colOff>174341</xdr:colOff>
      <xdr:row>187</xdr:row>
      <xdr:rowOff>129075</xdr:rowOff>
    </xdr:to>
    <xdr:sp macro="" textlink="">
      <xdr:nvSpPr>
        <xdr:cNvPr id="371" name="Стрелка вверх 370"/>
        <xdr:cNvSpPr/>
      </xdr:nvSpPr>
      <xdr:spPr>
        <a:xfrm rot="18900000">
          <a:off x="1494201" y="30162709"/>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0</xdr:colOff>
      <xdr:row>184</xdr:row>
      <xdr:rowOff>77338</xdr:rowOff>
    </xdr:from>
    <xdr:to>
      <xdr:col>1</xdr:col>
      <xdr:colOff>247074</xdr:colOff>
      <xdr:row>185</xdr:row>
      <xdr:rowOff>139875</xdr:rowOff>
    </xdr:to>
    <xdr:sp macro="" textlink="">
      <xdr:nvSpPr>
        <xdr:cNvPr id="372" name="Стрелка вверх 371"/>
        <xdr:cNvSpPr/>
      </xdr:nvSpPr>
      <xdr:spPr>
        <a:xfrm rot="5400000">
          <a:off x="620906" y="29860232"/>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7</xdr:col>
      <xdr:colOff>212482</xdr:colOff>
      <xdr:row>183</xdr:row>
      <xdr:rowOff>0</xdr:rowOff>
    </xdr:from>
    <xdr:to>
      <xdr:col>8</xdr:col>
      <xdr:colOff>291612</xdr:colOff>
      <xdr:row>186</xdr:row>
      <xdr:rowOff>32238</xdr:rowOff>
    </xdr:to>
    <xdr:pic>
      <xdr:nvPicPr>
        <xdr:cNvPr id="373" name="Picture 12"/>
        <xdr:cNvPicPr>
          <a:picLocks noChangeAspect="1" noChangeArrowheads="1"/>
        </xdr:cNvPicPr>
      </xdr:nvPicPr>
      <xdr:blipFill>
        <a:blip xmlns:r="http://schemas.openxmlformats.org/officeDocument/2006/relationships" r:embed="rId45" cstate="print"/>
        <a:srcRect/>
        <a:stretch>
          <a:fillRect/>
        </a:stretch>
      </xdr:blipFill>
      <xdr:spPr bwMode="auto">
        <a:xfrm>
          <a:off x="4479682" y="29632275"/>
          <a:ext cx="688730" cy="518013"/>
        </a:xfrm>
        <a:prstGeom prst="rect">
          <a:avLst/>
        </a:prstGeom>
        <a:noFill/>
      </xdr:spPr>
    </xdr:pic>
    <xdr:clientData/>
  </xdr:twoCellAnchor>
  <xdr:twoCellAnchor>
    <xdr:from>
      <xdr:col>8</xdr:col>
      <xdr:colOff>14653</xdr:colOff>
      <xdr:row>186</xdr:row>
      <xdr:rowOff>41332</xdr:rowOff>
    </xdr:from>
    <xdr:to>
      <xdr:col>8</xdr:col>
      <xdr:colOff>239849</xdr:colOff>
      <xdr:row>187</xdr:row>
      <xdr:rowOff>125748</xdr:rowOff>
    </xdr:to>
    <xdr:sp macro="" textlink="">
      <xdr:nvSpPr>
        <xdr:cNvPr id="374" name="Стрелка вверх 373"/>
        <xdr:cNvSpPr/>
      </xdr:nvSpPr>
      <xdr:spPr>
        <a:xfrm>
          <a:off x="4891453" y="30159382"/>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67288</xdr:colOff>
      <xdr:row>186</xdr:row>
      <xdr:rowOff>52861</xdr:rowOff>
    </xdr:from>
    <xdr:to>
      <xdr:col>7</xdr:col>
      <xdr:colOff>309426</xdr:colOff>
      <xdr:row>187</xdr:row>
      <xdr:rowOff>116865</xdr:rowOff>
    </xdr:to>
    <xdr:sp macro="" textlink="">
      <xdr:nvSpPr>
        <xdr:cNvPr id="375" name="Стрелка вверх 374"/>
        <xdr:cNvSpPr/>
      </xdr:nvSpPr>
      <xdr:spPr>
        <a:xfrm rot="2700000">
          <a:off x="4342592" y="30162807"/>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275001</xdr:colOff>
      <xdr:row>186</xdr:row>
      <xdr:rowOff>44660</xdr:rowOff>
    </xdr:from>
    <xdr:to>
      <xdr:col>9</xdr:col>
      <xdr:colOff>174341</xdr:colOff>
      <xdr:row>187</xdr:row>
      <xdr:rowOff>129076</xdr:rowOff>
    </xdr:to>
    <xdr:sp macro="" textlink="">
      <xdr:nvSpPr>
        <xdr:cNvPr id="376" name="Стрелка вверх 375"/>
        <xdr:cNvSpPr/>
      </xdr:nvSpPr>
      <xdr:spPr>
        <a:xfrm rot="18900000">
          <a:off x="5151801" y="30162710"/>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6</xdr:col>
      <xdr:colOff>322384</xdr:colOff>
      <xdr:row>184</xdr:row>
      <xdr:rowOff>77339</xdr:rowOff>
    </xdr:from>
    <xdr:to>
      <xdr:col>7</xdr:col>
      <xdr:colOff>247074</xdr:colOff>
      <xdr:row>185</xdr:row>
      <xdr:rowOff>139876</xdr:rowOff>
    </xdr:to>
    <xdr:sp macro="" textlink="">
      <xdr:nvSpPr>
        <xdr:cNvPr id="377" name="Стрелка вверх 376"/>
        <xdr:cNvSpPr/>
      </xdr:nvSpPr>
      <xdr:spPr>
        <a:xfrm rot="5400000">
          <a:off x="4134898" y="29716625"/>
          <a:ext cx="224462"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13520</xdr:colOff>
      <xdr:row>184</xdr:row>
      <xdr:rowOff>73270</xdr:rowOff>
    </xdr:from>
    <xdr:to>
      <xdr:col>9</xdr:col>
      <xdr:colOff>260594</xdr:colOff>
      <xdr:row>185</xdr:row>
      <xdr:rowOff>135807</xdr:rowOff>
    </xdr:to>
    <xdr:sp macro="" textlink="">
      <xdr:nvSpPr>
        <xdr:cNvPr id="378" name="Стрелка вверх 377"/>
        <xdr:cNvSpPr/>
      </xdr:nvSpPr>
      <xdr:spPr>
        <a:xfrm rot="16200000">
          <a:off x="5511226" y="29856164"/>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0</xdr:colOff>
      <xdr:row>188</xdr:row>
      <xdr:rowOff>36635</xdr:rowOff>
    </xdr:from>
    <xdr:to>
      <xdr:col>3</xdr:col>
      <xdr:colOff>145805</xdr:colOff>
      <xdr:row>193</xdr:row>
      <xdr:rowOff>21248</xdr:rowOff>
    </xdr:to>
    <xdr:pic>
      <xdr:nvPicPr>
        <xdr:cNvPr id="379" name="Picture 14"/>
        <xdr:cNvPicPr>
          <a:picLocks noChangeAspect="1" noChangeArrowheads="1"/>
        </xdr:cNvPicPr>
      </xdr:nvPicPr>
      <xdr:blipFill>
        <a:blip xmlns:r="http://schemas.openxmlformats.org/officeDocument/2006/relationships" r:embed="rId46" cstate="print"/>
        <a:srcRect/>
        <a:stretch>
          <a:fillRect/>
        </a:stretch>
      </xdr:blipFill>
      <xdr:spPr bwMode="auto">
        <a:xfrm>
          <a:off x="609600" y="30478535"/>
          <a:ext cx="1365005" cy="794238"/>
        </a:xfrm>
        <a:prstGeom prst="rect">
          <a:avLst/>
        </a:prstGeom>
        <a:noFill/>
      </xdr:spPr>
    </xdr:pic>
    <xdr:clientData/>
  </xdr:twoCellAnchor>
  <xdr:twoCellAnchor>
    <xdr:from>
      <xdr:col>2</xdr:col>
      <xdr:colOff>175845</xdr:colOff>
      <xdr:row>193</xdr:row>
      <xdr:rowOff>41332</xdr:rowOff>
    </xdr:from>
    <xdr:to>
      <xdr:col>3</xdr:col>
      <xdr:colOff>78656</xdr:colOff>
      <xdr:row>194</xdr:row>
      <xdr:rowOff>125748</xdr:rowOff>
    </xdr:to>
    <xdr:sp macro="" textlink="">
      <xdr:nvSpPr>
        <xdr:cNvPr id="380" name="Стрелка вверх 379"/>
        <xdr:cNvSpPr/>
      </xdr:nvSpPr>
      <xdr:spPr>
        <a:xfrm>
          <a:off x="1395045" y="31292857"/>
          <a:ext cx="512411"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228480</xdr:colOff>
      <xdr:row>193</xdr:row>
      <xdr:rowOff>52861</xdr:rowOff>
    </xdr:from>
    <xdr:to>
      <xdr:col>2</xdr:col>
      <xdr:colOff>148233</xdr:colOff>
      <xdr:row>194</xdr:row>
      <xdr:rowOff>116865</xdr:rowOff>
    </xdr:to>
    <xdr:sp macro="" textlink="">
      <xdr:nvSpPr>
        <xdr:cNvPr id="381" name="Стрелка вверх 380"/>
        <xdr:cNvSpPr/>
      </xdr:nvSpPr>
      <xdr:spPr>
        <a:xfrm rot="2700000">
          <a:off x="989792" y="31152674"/>
          <a:ext cx="225929" cy="52935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113808</xdr:colOff>
      <xdr:row>193</xdr:row>
      <xdr:rowOff>44660</xdr:rowOff>
    </xdr:from>
    <xdr:to>
      <xdr:col>4</xdr:col>
      <xdr:colOff>13149</xdr:colOff>
      <xdr:row>194</xdr:row>
      <xdr:rowOff>129076</xdr:rowOff>
    </xdr:to>
    <xdr:sp macro="" textlink="">
      <xdr:nvSpPr>
        <xdr:cNvPr id="382" name="Стрелка вверх 381"/>
        <xdr:cNvSpPr/>
      </xdr:nvSpPr>
      <xdr:spPr>
        <a:xfrm rot="18900000">
          <a:off x="1942608" y="31296185"/>
          <a:ext cx="508941"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174712</xdr:colOff>
      <xdr:row>191</xdr:row>
      <xdr:rowOff>73270</xdr:rowOff>
    </xdr:from>
    <xdr:to>
      <xdr:col>4</xdr:col>
      <xdr:colOff>99402</xdr:colOff>
      <xdr:row>192</xdr:row>
      <xdr:rowOff>135807</xdr:rowOff>
    </xdr:to>
    <xdr:sp macro="" textlink="">
      <xdr:nvSpPr>
        <xdr:cNvPr id="383" name="Стрелка вверх 382"/>
        <xdr:cNvSpPr/>
      </xdr:nvSpPr>
      <xdr:spPr>
        <a:xfrm rot="16200000">
          <a:off x="2158426" y="30846031"/>
          <a:ext cx="224462"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13</xdr:col>
      <xdr:colOff>256442</xdr:colOff>
      <xdr:row>183</xdr:row>
      <xdr:rowOff>124559</xdr:rowOff>
    </xdr:from>
    <xdr:to>
      <xdr:col>15</xdr:col>
      <xdr:colOff>278423</xdr:colOff>
      <xdr:row>185</xdr:row>
      <xdr:rowOff>136281</xdr:rowOff>
    </xdr:to>
    <xdr:pic>
      <xdr:nvPicPr>
        <xdr:cNvPr id="384" name="Picture 16"/>
        <xdr:cNvPicPr>
          <a:picLocks noChangeAspect="1" noChangeArrowheads="1"/>
        </xdr:cNvPicPr>
      </xdr:nvPicPr>
      <xdr:blipFill>
        <a:blip xmlns:r="http://schemas.openxmlformats.org/officeDocument/2006/relationships" r:embed="rId47" cstate="print"/>
        <a:srcRect/>
        <a:stretch>
          <a:fillRect/>
        </a:stretch>
      </xdr:blipFill>
      <xdr:spPr bwMode="auto">
        <a:xfrm>
          <a:off x="8181242" y="29756834"/>
          <a:ext cx="1241181" cy="335573"/>
        </a:xfrm>
        <a:prstGeom prst="rect">
          <a:avLst/>
        </a:prstGeom>
        <a:noFill/>
      </xdr:spPr>
    </xdr:pic>
    <xdr:clientData/>
  </xdr:twoCellAnchor>
  <xdr:twoCellAnchor>
    <xdr:from>
      <xdr:col>14</xdr:col>
      <xdr:colOff>14654</xdr:colOff>
      <xdr:row>186</xdr:row>
      <xdr:rowOff>4698</xdr:rowOff>
    </xdr:from>
    <xdr:to>
      <xdr:col>14</xdr:col>
      <xdr:colOff>239850</xdr:colOff>
      <xdr:row>187</xdr:row>
      <xdr:rowOff>89114</xdr:rowOff>
    </xdr:to>
    <xdr:sp macro="" textlink="">
      <xdr:nvSpPr>
        <xdr:cNvPr id="385" name="Стрелка вверх 384"/>
        <xdr:cNvSpPr/>
      </xdr:nvSpPr>
      <xdr:spPr>
        <a:xfrm>
          <a:off x="8549054" y="30122748"/>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67288</xdr:colOff>
      <xdr:row>186</xdr:row>
      <xdr:rowOff>16227</xdr:rowOff>
    </xdr:from>
    <xdr:to>
      <xdr:col>13</xdr:col>
      <xdr:colOff>309426</xdr:colOff>
      <xdr:row>187</xdr:row>
      <xdr:rowOff>80231</xdr:rowOff>
    </xdr:to>
    <xdr:sp macro="" textlink="">
      <xdr:nvSpPr>
        <xdr:cNvPr id="386" name="Стрелка вверх 385"/>
        <xdr:cNvSpPr/>
      </xdr:nvSpPr>
      <xdr:spPr>
        <a:xfrm rot="2700000">
          <a:off x="8000192" y="30126173"/>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275002</xdr:colOff>
      <xdr:row>186</xdr:row>
      <xdr:rowOff>8026</xdr:rowOff>
    </xdr:from>
    <xdr:to>
      <xdr:col>15</xdr:col>
      <xdr:colOff>174342</xdr:colOff>
      <xdr:row>187</xdr:row>
      <xdr:rowOff>92442</xdr:rowOff>
    </xdr:to>
    <xdr:sp macro="" textlink="">
      <xdr:nvSpPr>
        <xdr:cNvPr id="387" name="Стрелка вверх 386"/>
        <xdr:cNvSpPr/>
      </xdr:nvSpPr>
      <xdr:spPr>
        <a:xfrm rot="18900000">
          <a:off x="8809402" y="30126076"/>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0</xdr:colOff>
      <xdr:row>184</xdr:row>
      <xdr:rowOff>40705</xdr:rowOff>
    </xdr:from>
    <xdr:to>
      <xdr:col>13</xdr:col>
      <xdr:colOff>247074</xdr:colOff>
      <xdr:row>185</xdr:row>
      <xdr:rowOff>103242</xdr:rowOff>
    </xdr:to>
    <xdr:sp macro="" textlink="">
      <xdr:nvSpPr>
        <xdr:cNvPr id="388" name="Стрелка вверх 387"/>
        <xdr:cNvSpPr/>
      </xdr:nvSpPr>
      <xdr:spPr>
        <a:xfrm rot="5400000">
          <a:off x="7936106" y="29823599"/>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18</xdr:col>
      <xdr:colOff>307731</xdr:colOff>
      <xdr:row>183</xdr:row>
      <xdr:rowOff>0</xdr:rowOff>
    </xdr:from>
    <xdr:to>
      <xdr:col>21</xdr:col>
      <xdr:colOff>54952</xdr:colOff>
      <xdr:row>185</xdr:row>
      <xdr:rowOff>136279</xdr:rowOff>
    </xdr:to>
    <xdr:pic>
      <xdr:nvPicPr>
        <xdr:cNvPr id="389" name="Picture 18"/>
        <xdr:cNvPicPr>
          <a:picLocks noChangeAspect="1" noChangeArrowheads="1"/>
        </xdr:cNvPicPr>
      </xdr:nvPicPr>
      <xdr:blipFill>
        <a:blip xmlns:r="http://schemas.openxmlformats.org/officeDocument/2006/relationships" r:embed="rId48" cstate="print"/>
        <a:srcRect/>
        <a:stretch>
          <a:fillRect/>
        </a:stretch>
      </xdr:blipFill>
      <xdr:spPr bwMode="auto">
        <a:xfrm>
          <a:off x="11280531" y="29632275"/>
          <a:ext cx="1576021" cy="460130"/>
        </a:xfrm>
        <a:prstGeom prst="rect">
          <a:avLst/>
        </a:prstGeom>
        <a:noFill/>
      </xdr:spPr>
    </xdr:pic>
    <xdr:clientData/>
  </xdr:twoCellAnchor>
  <xdr:twoCellAnchor>
    <xdr:from>
      <xdr:col>20</xdr:col>
      <xdr:colOff>87923</xdr:colOff>
      <xdr:row>186</xdr:row>
      <xdr:rowOff>12025</xdr:rowOff>
    </xdr:from>
    <xdr:to>
      <xdr:col>20</xdr:col>
      <xdr:colOff>313119</xdr:colOff>
      <xdr:row>187</xdr:row>
      <xdr:rowOff>96441</xdr:rowOff>
    </xdr:to>
    <xdr:sp macro="" textlink="">
      <xdr:nvSpPr>
        <xdr:cNvPr id="390" name="Стрелка вверх 389"/>
        <xdr:cNvSpPr/>
      </xdr:nvSpPr>
      <xdr:spPr>
        <a:xfrm>
          <a:off x="12279923" y="30130075"/>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19</xdr:col>
      <xdr:colOff>140557</xdr:colOff>
      <xdr:row>186</xdr:row>
      <xdr:rowOff>23554</xdr:rowOff>
    </xdr:from>
    <xdr:to>
      <xdr:col>20</xdr:col>
      <xdr:colOff>60311</xdr:colOff>
      <xdr:row>187</xdr:row>
      <xdr:rowOff>87558</xdr:rowOff>
    </xdr:to>
    <xdr:sp macro="" textlink="">
      <xdr:nvSpPr>
        <xdr:cNvPr id="391" name="Стрелка вверх 390"/>
        <xdr:cNvSpPr/>
      </xdr:nvSpPr>
      <xdr:spPr>
        <a:xfrm rot="2700000">
          <a:off x="11874669" y="29989892"/>
          <a:ext cx="225929" cy="52935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25886</xdr:colOff>
      <xdr:row>186</xdr:row>
      <xdr:rowOff>15353</xdr:rowOff>
    </xdr:from>
    <xdr:to>
      <xdr:col>21</xdr:col>
      <xdr:colOff>247611</xdr:colOff>
      <xdr:row>187</xdr:row>
      <xdr:rowOff>99769</xdr:rowOff>
    </xdr:to>
    <xdr:sp macro="" textlink="">
      <xdr:nvSpPr>
        <xdr:cNvPr id="392" name="Стрелка вверх 391"/>
        <xdr:cNvSpPr/>
      </xdr:nvSpPr>
      <xdr:spPr>
        <a:xfrm rot="18900000">
          <a:off x="12827486" y="30133403"/>
          <a:ext cx="221725"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86790</xdr:colOff>
      <xdr:row>184</xdr:row>
      <xdr:rowOff>43963</xdr:rowOff>
    </xdr:from>
    <xdr:to>
      <xdr:col>22</xdr:col>
      <xdr:colOff>11480</xdr:colOff>
      <xdr:row>185</xdr:row>
      <xdr:rowOff>106500</xdr:rowOff>
    </xdr:to>
    <xdr:sp macro="" textlink="">
      <xdr:nvSpPr>
        <xdr:cNvPr id="393" name="Стрелка вверх 392"/>
        <xdr:cNvSpPr/>
      </xdr:nvSpPr>
      <xdr:spPr>
        <a:xfrm rot="16200000">
          <a:off x="13043304" y="29683249"/>
          <a:ext cx="224462"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25</xdr:col>
      <xdr:colOff>300405</xdr:colOff>
      <xdr:row>183</xdr:row>
      <xdr:rowOff>0</xdr:rowOff>
    </xdr:from>
    <xdr:to>
      <xdr:col>27</xdr:col>
      <xdr:colOff>274761</xdr:colOff>
      <xdr:row>185</xdr:row>
      <xdr:rowOff>155329</xdr:rowOff>
    </xdr:to>
    <xdr:pic>
      <xdr:nvPicPr>
        <xdr:cNvPr id="394" name="Picture 20"/>
        <xdr:cNvPicPr>
          <a:picLocks noChangeAspect="1" noChangeArrowheads="1"/>
        </xdr:cNvPicPr>
      </xdr:nvPicPr>
      <xdr:blipFill>
        <a:blip xmlns:r="http://schemas.openxmlformats.org/officeDocument/2006/relationships" r:embed="rId49" cstate="print"/>
        <a:srcRect/>
        <a:stretch>
          <a:fillRect/>
        </a:stretch>
      </xdr:blipFill>
      <xdr:spPr bwMode="auto">
        <a:xfrm>
          <a:off x="15540405" y="29632275"/>
          <a:ext cx="1193556" cy="479180"/>
        </a:xfrm>
        <a:prstGeom prst="rect">
          <a:avLst/>
        </a:prstGeom>
        <a:noFill/>
      </xdr:spPr>
    </xdr:pic>
    <xdr:clientData/>
  </xdr:twoCellAnchor>
  <xdr:twoCellAnchor>
    <xdr:from>
      <xdr:col>26</xdr:col>
      <xdr:colOff>14654</xdr:colOff>
      <xdr:row>186</xdr:row>
      <xdr:rowOff>12023</xdr:rowOff>
    </xdr:from>
    <xdr:to>
      <xdr:col>26</xdr:col>
      <xdr:colOff>239850</xdr:colOff>
      <xdr:row>187</xdr:row>
      <xdr:rowOff>96439</xdr:rowOff>
    </xdr:to>
    <xdr:sp macro="" textlink="">
      <xdr:nvSpPr>
        <xdr:cNvPr id="395" name="Стрелка вверх 394"/>
        <xdr:cNvSpPr/>
      </xdr:nvSpPr>
      <xdr:spPr>
        <a:xfrm>
          <a:off x="15864254" y="30130073"/>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67288</xdr:colOff>
      <xdr:row>186</xdr:row>
      <xdr:rowOff>23552</xdr:rowOff>
    </xdr:from>
    <xdr:to>
      <xdr:col>25</xdr:col>
      <xdr:colOff>309426</xdr:colOff>
      <xdr:row>187</xdr:row>
      <xdr:rowOff>87556</xdr:rowOff>
    </xdr:to>
    <xdr:sp macro="" textlink="">
      <xdr:nvSpPr>
        <xdr:cNvPr id="396" name="Стрелка вверх 395"/>
        <xdr:cNvSpPr/>
      </xdr:nvSpPr>
      <xdr:spPr>
        <a:xfrm rot="2700000">
          <a:off x="15315392" y="30133498"/>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26</xdr:col>
      <xdr:colOff>275002</xdr:colOff>
      <xdr:row>186</xdr:row>
      <xdr:rowOff>15351</xdr:rowOff>
    </xdr:from>
    <xdr:to>
      <xdr:col>27</xdr:col>
      <xdr:colOff>174342</xdr:colOff>
      <xdr:row>187</xdr:row>
      <xdr:rowOff>99767</xdr:rowOff>
    </xdr:to>
    <xdr:sp macro="" textlink="">
      <xdr:nvSpPr>
        <xdr:cNvPr id="397" name="Стрелка вверх 396"/>
        <xdr:cNvSpPr/>
      </xdr:nvSpPr>
      <xdr:spPr>
        <a:xfrm rot="18900000">
          <a:off x="16124602" y="30133401"/>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0</xdr:colOff>
      <xdr:row>184</xdr:row>
      <xdr:rowOff>48030</xdr:rowOff>
    </xdr:from>
    <xdr:to>
      <xdr:col>25</xdr:col>
      <xdr:colOff>247074</xdr:colOff>
      <xdr:row>185</xdr:row>
      <xdr:rowOff>110567</xdr:rowOff>
    </xdr:to>
    <xdr:sp macro="" textlink="">
      <xdr:nvSpPr>
        <xdr:cNvPr id="398" name="Стрелка вверх 397"/>
        <xdr:cNvSpPr/>
      </xdr:nvSpPr>
      <xdr:spPr>
        <a:xfrm rot="5400000">
          <a:off x="15251306" y="29830924"/>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220541</xdr:colOff>
      <xdr:row>195</xdr:row>
      <xdr:rowOff>0</xdr:rowOff>
    </xdr:from>
    <xdr:to>
      <xdr:col>2</xdr:col>
      <xdr:colOff>287216</xdr:colOff>
      <xdr:row>197</xdr:row>
      <xdr:rowOff>104774</xdr:rowOff>
    </xdr:to>
    <xdr:pic>
      <xdr:nvPicPr>
        <xdr:cNvPr id="399" name="Picture 2"/>
        <xdr:cNvPicPr>
          <a:picLocks noChangeAspect="1" noChangeArrowheads="1"/>
        </xdr:cNvPicPr>
      </xdr:nvPicPr>
      <xdr:blipFill>
        <a:blip xmlns:r="http://schemas.openxmlformats.org/officeDocument/2006/relationships" r:embed="rId50" cstate="print"/>
        <a:srcRect/>
        <a:stretch>
          <a:fillRect/>
        </a:stretch>
      </xdr:blipFill>
      <xdr:spPr bwMode="auto">
        <a:xfrm>
          <a:off x="830141" y="31575375"/>
          <a:ext cx="676275" cy="428625"/>
        </a:xfrm>
        <a:prstGeom prst="rect">
          <a:avLst/>
        </a:prstGeom>
        <a:noFill/>
      </xdr:spPr>
    </xdr:pic>
    <xdr:clientData/>
  </xdr:twoCellAnchor>
  <xdr:twoCellAnchor>
    <xdr:from>
      <xdr:col>2</xdr:col>
      <xdr:colOff>16119</xdr:colOff>
      <xdr:row>197</xdr:row>
      <xdr:rowOff>127057</xdr:rowOff>
    </xdr:from>
    <xdr:to>
      <xdr:col>2</xdr:col>
      <xdr:colOff>241315</xdr:colOff>
      <xdr:row>199</xdr:row>
      <xdr:rowOff>49548</xdr:rowOff>
    </xdr:to>
    <xdr:sp macro="" textlink="">
      <xdr:nvSpPr>
        <xdr:cNvPr id="400" name="Стрелка вверх 399"/>
        <xdr:cNvSpPr/>
      </xdr:nvSpPr>
      <xdr:spPr>
        <a:xfrm>
          <a:off x="1235319" y="32026282"/>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68754</xdr:colOff>
      <xdr:row>197</xdr:row>
      <xdr:rowOff>138586</xdr:rowOff>
    </xdr:from>
    <xdr:to>
      <xdr:col>1</xdr:col>
      <xdr:colOff>310892</xdr:colOff>
      <xdr:row>199</xdr:row>
      <xdr:rowOff>40665</xdr:rowOff>
    </xdr:to>
    <xdr:sp macro="" textlink="">
      <xdr:nvSpPr>
        <xdr:cNvPr id="401" name="Стрелка вверх 400"/>
        <xdr:cNvSpPr/>
      </xdr:nvSpPr>
      <xdr:spPr>
        <a:xfrm rot="2700000">
          <a:off x="686458" y="32029707"/>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276467</xdr:colOff>
      <xdr:row>197</xdr:row>
      <xdr:rowOff>130385</xdr:rowOff>
    </xdr:from>
    <xdr:to>
      <xdr:col>3</xdr:col>
      <xdr:colOff>175807</xdr:colOff>
      <xdr:row>199</xdr:row>
      <xdr:rowOff>52876</xdr:rowOff>
    </xdr:to>
    <xdr:sp macro="" textlink="">
      <xdr:nvSpPr>
        <xdr:cNvPr id="402" name="Стрелка вверх 401"/>
        <xdr:cNvSpPr/>
      </xdr:nvSpPr>
      <xdr:spPr>
        <a:xfrm rot="18900000">
          <a:off x="1495667" y="32029610"/>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0</xdr:colOff>
      <xdr:row>196</xdr:row>
      <xdr:rowOff>1139</xdr:rowOff>
    </xdr:from>
    <xdr:to>
      <xdr:col>1</xdr:col>
      <xdr:colOff>248540</xdr:colOff>
      <xdr:row>197</xdr:row>
      <xdr:rowOff>63676</xdr:rowOff>
    </xdr:to>
    <xdr:sp macro="" textlink="">
      <xdr:nvSpPr>
        <xdr:cNvPr id="403" name="Стрелка вверх 402"/>
        <xdr:cNvSpPr/>
      </xdr:nvSpPr>
      <xdr:spPr>
        <a:xfrm rot="5400000">
          <a:off x="621639" y="31726400"/>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14986</xdr:colOff>
      <xdr:row>195</xdr:row>
      <xdr:rowOff>158995</xdr:rowOff>
    </xdr:from>
    <xdr:to>
      <xdr:col>3</xdr:col>
      <xdr:colOff>262060</xdr:colOff>
      <xdr:row>197</xdr:row>
      <xdr:rowOff>59607</xdr:rowOff>
    </xdr:to>
    <xdr:sp macro="" textlink="">
      <xdr:nvSpPr>
        <xdr:cNvPr id="404" name="Стрелка вверх 403"/>
        <xdr:cNvSpPr/>
      </xdr:nvSpPr>
      <xdr:spPr>
        <a:xfrm rot="16200000">
          <a:off x="1855092" y="31723064"/>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6</xdr:col>
      <xdr:colOff>276225</xdr:colOff>
      <xdr:row>195</xdr:row>
      <xdr:rowOff>0</xdr:rowOff>
    </xdr:from>
    <xdr:to>
      <xdr:col>10</xdr:col>
      <xdr:colOff>209550</xdr:colOff>
      <xdr:row>198</xdr:row>
      <xdr:rowOff>38100</xdr:rowOff>
    </xdr:to>
    <xdr:pic>
      <xdr:nvPicPr>
        <xdr:cNvPr id="405" name="Picture 4"/>
        <xdr:cNvPicPr>
          <a:picLocks noChangeAspect="1" noChangeArrowheads="1"/>
        </xdr:cNvPicPr>
      </xdr:nvPicPr>
      <xdr:blipFill>
        <a:blip xmlns:r="http://schemas.openxmlformats.org/officeDocument/2006/relationships" r:embed="rId51" cstate="print"/>
        <a:srcRect/>
        <a:stretch>
          <a:fillRect/>
        </a:stretch>
      </xdr:blipFill>
      <xdr:spPr bwMode="auto">
        <a:xfrm>
          <a:off x="3933825" y="31575375"/>
          <a:ext cx="2371725" cy="523875"/>
        </a:xfrm>
        <a:prstGeom prst="rect">
          <a:avLst/>
        </a:prstGeom>
        <a:noFill/>
      </xdr:spPr>
    </xdr:pic>
    <xdr:clientData/>
  </xdr:twoCellAnchor>
  <xdr:twoCellAnchor>
    <xdr:from>
      <xdr:col>7</xdr:col>
      <xdr:colOff>16119</xdr:colOff>
      <xdr:row>198</xdr:row>
      <xdr:rowOff>60383</xdr:rowOff>
    </xdr:from>
    <xdr:to>
      <xdr:col>7</xdr:col>
      <xdr:colOff>241315</xdr:colOff>
      <xdr:row>199</xdr:row>
      <xdr:rowOff>144799</xdr:rowOff>
    </xdr:to>
    <xdr:sp macro="" textlink="">
      <xdr:nvSpPr>
        <xdr:cNvPr id="406" name="Стрелка вверх 405"/>
        <xdr:cNvSpPr/>
      </xdr:nvSpPr>
      <xdr:spPr>
        <a:xfrm>
          <a:off x="4283319" y="32121533"/>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6</xdr:col>
      <xdr:colOff>68754</xdr:colOff>
      <xdr:row>198</xdr:row>
      <xdr:rowOff>71912</xdr:rowOff>
    </xdr:from>
    <xdr:to>
      <xdr:col>6</xdr:col>
      <xdr:colOff>310892</xdr:colOff>
      <xdr:row>199</xdr:row>
      <xdr:rowOff>135916</xdr:rowOff>
    </xdr:to>
    <xdr:sp macro="" textlink="">
      <xdr:nvSpPr>
        <xdr:cNvPr id="407" name="Стрелка вверх 406"/>
        <xdr:cNvSpPr/>
      </xdr:nvSpPr>
      <xdr:spPr>
        <a:xfrm rot="2700000">
          <a:off x="3734458" y="32124958"/>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6</xdr:col>
      <xdr:colOff>0</xdr:colOff>
      <xdr:row>196</xdr:row>
      <xdr:rowOff>96390</xdr:rowOff>
    </xdr:from>
    <xdr:to>
      <xdr:col>6</xdr:col>
      <xdr:colOff>248540</xdr:colOff>
      <xdr:row>197</xdr:row>
      <xdr:rowOff>158927</xdr:rowOff>
    </xdr:to>
    <xdr:sp macro="" textlink="">
      <xdr:nvSpPr>
        <xdr:cNvPr id="408" name="Стрелка вверх 407"/>
        <xdr:cNvSpPr/>
      </xdr:nvSpPr>
      <xdr:spPr>
        <a:xfrm rot="5400000">
          <a:off x="3669639" y="31821651"/>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311394</xdr:colOff>
      <xdr:row>198</xdr:row>
      <xdr:rowOff>60383</xdr:rowOff>
    </xdr:from>
    <xdr:to>
      <xdr:col>8</xdr:col>
      <xdr:colOff>212740</xdr:colOff>
      <xdr:row>199</xdr:row>
      <xdr:rowOff>144799</xdr:rowOff>
    </xdr:to>
    <xdr:sp macro="" textlink="">
      <xdr:nvSpPr>
        <xdr:cNvPr id="409" name="Стрелка вверх 408"/>
        <xdr:cNvSpPr/>
      </xdr:nvSpPr>
      <xdr:spPr>
        <a:xfrm>
          <a:off x="4578594" y="32121533"/>
          <a:ext cx="51094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282819</xdr:colOff>
      <xdr:row>198</xdr:row>
      <xdr:rowOff>60383</xdr:rowOff>
    </xdr:from>
    <xdr:to>
      <xdr:col>9</xdr:col>
      <xdr:colOff>184165</xdr:colOff>
      <xdr:row>199</xdr:row>
      <xdr:rowOff>144799</xdr:rowOff>
    </xdr:to>
    <xdr:sp macro="" textlink="">
      <xdr:nvSpPr>
        <xdr:cNvPr id="410" name="Стрелка вверх 409"/>
        <xdr:cNvSpPr/>
      </xdr:nvSpPr>
      <xdr:spPr>
        <a:xfrm>
          <a:off x="5159619" y="32121533"/>
          <a:ext cx="51094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254244</xdr:colOff>
      <xdr:row>198</xdr:row>
      <xdr:rowOff>69908</xdr:rowOff>
    </xdr:from>
    <xdr:to>
      <xdr:col>10</xdr:col>
      <xdr:colOff>155590</xdr:colOff>
      <xdr:row>199</xdr:row>
      <xdr:rowOff>154324</xdr:rowOff>
    </xdr:to>
    <xdr:sp macro="" textlink="">
      <xdr:nvSpPr>
        <xdr:cNvPr id="411" name="Стрелка вверх 410"/>
        <xdr:cNvSpPr/>
      </xdr:nvSpPr>
      <xdr:spPr>
        <a:xfrm>
          <a:off x="5740644" y="32131058"/>
          <a:ext cx="51094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10</xdr:col>
      <xdr:colOff>190742</xdr:colOff>
      <xdr:row>198</xdr:row>
      <xdr:rowOff>73236</xdr:rowOff>
    </xdr:from>
    <xdr:to>
      <xdr:col>11</xdr:col>
      <xdr:colOff>90082</xdr:colOff>
      <xdr:row>199</xdr:row>
      <xdr:rowOff>157652</xdr:rowOff>
    </xdr:to>
    <xdr:sp macro="" textlink="">
      <xdr:nvSpPr>
        <xdr:cNvPr id="412" name="Стрелка вверх 411"/>
        <xdr:cNvSpPr/>
      </xdr:nvSpPr>
      <xdr:spPr>
        <a:xfrm rot="18900000">
          <a:off x="6286742" y="32134386"/>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10</xdr:col>
      <xdr:colOff>253111</xdr:colOff>
      <xdr:row>196</xdr:row>
      <xdr:rowOff>101846</xdr:rowOff>
    </xdr:from>
    <xdr:to>
      <xdr:col>11</xdr:col>
      <xdr:colOff>176335</xdr:colOff>
      <xdr:row>198</xdr:row>
      <xdr:rowOff>2458</xdr:rowOff>
    </xdr:to>
    <xdr:sp macro="" textlink="">
      <xdr:nvSpPr>
        <xdr:cNvPr id="413" name="Стрелка вверх 412"/>
        <xdr:cNvSpPr/>
      </xdr:nvSpPr>
      <xdr:spPr>
        <a:xfrm rot="16200000">
          <a:off x="6503292" y="31684965"/>
          <a:ext cx="224462" cy="53282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7</xdr:col>
      <xdr:colOff>171450</xdr:colOff>
      <xdr:row>188</xdr:row>
      <xdr:rowOff>28575</xdr:rowOff>
    </xdr:from>
    <xdr:to>
      <xdr:col>9</xdr:col>
      <xdr:colOff>257175</xdr:colOff>
      <xdr:row>192</xdr:row>
      <xdr:rowOff>57150</xdr:rowOff>
    </xdr:to>
    <xdr:pic>
      <xdr:nvPicPr>
        <xdr:cNvPr id="414" name="Picture 6"/>
        <xdr:cNvPicPr>
          <a:picLocks noChangeAspect="1" noChangeArrowheads="1"/>
        </xdr:cNvPicPr>
      </xdr:nvPicPr>
      <xdr:blipFill>
        <a:blip xmlns:r="http://schemas.openxmlformats.org/officeDocument/2006/relationships" r:embed="rId52" cstate="print"/>
        <a:srcRect/>
        <a:stretch>
          <a:fillRect/>
        </a:stretch>
      </xdr:blipFill>
      <xdr:spPr bwMode="auto">
        <a:xfrm>
          <a:off x="4438650" y="30470475"/>
          <a:ext cx="1304925" cy="676275"/>
        </a:xfrm>
        <a:prstGeom prst="rect">
          <a:avLst/>
        </a:prstGeom>
        <a:noFill/>
      </xdr:spPr>
    </xdr:pic>
    <xdr:clientData/>
  </xdr:twoCellAnchor>
  <xdr:twoCellAnchor>
    <xdr:from>
      <xdr:col>8</xdr:col>
      <xdr:colOff>16119</xdr:colOff>
      <xdr:row>192</xdr:row>
      <xdr:rowOff>79433</xdr:rowOff>
    </xdr:from>
    <xdr:to>
      <xdr:col>8</xdr:col>
      <xdr:colOff>241315</xdr:colOff>
      <xdr:row>194</xdr:row>
      <xdr:rowOff>1924</xdr:rowOff>
    </xdr:to>
    <xdr:sp macro="" textlink="">
      <xdr:nvSpPr>
        <xdr:cNvPr id="415" name="Стрелка вверх 414"/>
        <xdr:cNvSpPr/>
      </xdr:nvSpPr>
      <xdr:spPr>
        <a:xfrm>
          <a:off x="4892919" y="31169033"/>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68754</xdr:colOff>
      <xdr:row>192</xdr:row>
      <xdr:rowOff>90962</xdr:rowOff>
    </xdr:from>
    <xdr:to>
      <xdr:col>7</xdr:col>
      <xdr:colOff>310892</xdr:colOff>
      <xdr:row>193</xdr:row>
      <xdr:rowOff>154966</xdr:rowOff>
    </xdr:to>
    <xdr:sp macro="" textlink="">
      <xdr:nvSpPr>
        <xdr:cNvPr id="416" name="Стрелка вверх 415"/>
        <xdr:cNvSpPr/>
      </xdr:nvSpPr>
      <xdr:spPr>
        <a:xfrm rot="2700000">
          <a:off x="4344058" y="31172458"/>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0</xdr:colOff>
      <xdr:row>190</xdr:row>
      <xdr:rowOff>115440</xdr:rowOff>
    </xdr:from>
    <xdr:to>
      <xdr:col>7</xdr:col>
      <xdr:colOff>248540</xdr:colOff>
      <xdr:row>192</xdr:row>
      <xdr:rowOff>16052</xdr:rowOff>
    </xdr:to>
    <xdr:sp macro="" textlink="">
      <xdr:nvSpPr>
        <xdr:cNvPr id="417" name="Стрелка вверх 416"/>
        <xdr:cNvSpPr/>
      </xdr:nvSpPr>
      <xdr:spPr>
        <a:xfrm rot="5400000">
          <a:off x="4279239" y="30869151"/>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292344</xdr:colOff>
      <xdr:row>192</xdr:row>
      <xdr:rowOff>88957</xdr:rowOff>
    </xdr:from>
    <xdr:to>
      <xdr:col>9</xdr:col>
      <xdr:colOff>193690</xdr:colOff>
      <xdr:row>194</xdr:row>
      <xdr:rowOff>11448</xdr:rowOff>
    </xdr:to>
    <xdr:sp macro="" textlink="">
      <xdr:nvSpPr>
        <xdr:cNvPr id="418" name="Стрелка вверх 417"/>
        <xdr:cNvSpPr/>
      </xdr:nvSpPr>
      <xdr:spPr>
        <a:xfrm>
          <a:off x="5169144" y="31178557"/>
          <a:ext cx="51094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228842</xdr:colOff>
      <xdr:row>192</xdr:row>
      <xdr:rowOff>92285</xdr:rowOff>
    </xdr:from>
    <xdr:to>
      <xdr:col>10</xdr:col>
      <xdr:colOff>128182</xdr:colOff>
      <xdr:row>194</xdr:row>
      <xdr:rowOff>14776</xdr:rowOff>
    </xdr:to>
    <xdr:sp macro="" textlink="">
      <xdr:nvSpPr>
        <xdr:cNvPr id="419" name="Стрелка вверх 418"/>
        <xdr:cNvSpPr/>
      </xdr:nvSpPr>
      <xdr:spPr>
        <a:xfrm rot="18900000">
          <a:off x="5715242" y="31181885"/>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291211</xdr:colOff>
      <xdr:row>190</xdr:row>
      <xdr:rowOff>120895</xdr:rowOff>
    </xdr:from>
    <xdr:to>
      <xdr:col>10</xdr:col>
      <xdr:colOff>214435</xdr:colOff>
      <xdr:row>192</xdr:row>
      <xdr:rowOff>21507</xdr:rowOff>
    </xdr:to>
    <xdr:sp macro="" textlink="">
      <xdr:nvSpPr>
        <xdr:cNvPr id="420" name="Стрелка вверх 419"/>
        <xdr:cNvSpPr/>
      </xdr:nvSpPr>
      <xdr:spPr>
        <a:xfrm rot="16200000">
          <a:off x="5931792" y="30732464"/>
          <a:ext cx="224462" cy="53282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19</xdr:col>
      <xdr:colOff>47626</xdr:colOff>
      <xdr:row>188</xdr:row>
      <xdr:rowOff>47625</xdr:rowOff>
    </xdr:from>
    <xdr:to>
      <xdr:col>20</xdr:col>
      <xdr:colOff>264796</xdr:colOff>
      <xdr:row>192</xdr:row>
      <xdr:rowOff>104775</xdr:rowOff>
    </xdr:to>
    <xdr:pic>
      <xdr:nvPicPr>
        <xdr:cNvPr id="421" name="Picture 8"/>
        <xdr:cNvPicPr>
          <a:picLocks noChangeAspect="1" noChangeArrowheads="1"/>
        </xdr:cNvPicPr>
      </xdr:nvPicPr>
      <xdr:blipFill>
        <a:blip xmlns:r="http://schemas.openxmlformats.org/officeDocument/2006/relationships" r:embed="rId53" cstate="print"/>
        <a:srcRect/>
        <a:stretch>
          <a:fillRect/>
        </a:stretch>
      </xdr:blipFill>
      <xdr:spPr bwMode="auto">
        <a:xfrm>
          <a:off x="11630026" y="30489525"/>
          <a:ext cx="826770" cy="704850"/>
        </a:xfrm>
        <a:prstGeom prst="rect">
          <a:avLst/>
        </a:prstGeom>
        <a:noFill/>
      </xdr:spPr>
    </xdr:pic>
    <xdr:clientData/>
  </xdr:twoCellAnchor>
  <xdr:twoCellAnchor>
    <xdr:from>
      <xdr:col>20</xdr:col>
      <xdr:colOff>16119</xdr:colOff>
      <xdr:row>193</xdr:row>
      <xdr:rowOff>3232</xdr:rowOff>
    </xdr:from>
    <xdr:to>
      <xdr:col>20</xdr:col>
      <xdr:colOff>241315</xdr:colOff>
      <xdr:row>194</xdr:row>
      <xdr:rowOff>87648</xdr:rowOff>
    </xdr:to>
    <xdr:sp macro="" textlink="">
      <xdr:nvSpPr>
        <xdr:cNvPr id="422" name="Стрелка вверх 421"/>
        <xdr:cNvSpPr/>
      </xdr:nvSpPr>
      <xdr:spPr>
        <a:xfrm>
          <a:off x="12208119" y="31254757"/>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19</xdr:col>
      <xdr:colOff>68754</xdr:colOff>
      <xdr:row>193</xdr:row>
      <xdr:rowOff>14761</xdr:rowOff>
    </xdr:from>
    <xdr:to>
      <xdr:col>19</xdr:col>
      <xdr:colOff>310892</xdr:colOff>
      <xdr:row>194</xdr:row>
      <xdr:rowOff>78765</xdr:rowOff>
    </xdr:to>
    <xdr:sp macro="" textlink="">
      <xdr:nvSpPr>
        <xdr:cNvPr id="423" name="Стрелка вверх 422"/>
        <xdr:cNvSpPr/>
      </xdr:nvSpPr>
      <xdr:spPr>
        <a:xfrm rot="2700000">
          <a:off x="11659258" y="31258182"/>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20</xdr:col>
      <xdr:colOff>276467</xdr:colOff>
      <xdr:row>193</xdr:row>
      <xdr:rowOff>6560</xdr:rowOff>
    </xdr:from>
    <xdr:to>
      <xdr:col>21</xdr:col>
      <xdr:colOff>175807</xdr:colOff>
      <xdr:row>194</xdr:row>
      <xdr:rowOff>90976</xdr:rowOff>
    </xdr:to>
    <xdr:sp macro="" textlink="">
      <xdr:nvSpPr>
        <xdr:cNvPr id="424" name="Стрелка вверх 423"/>
        <xdr:cNvSpPr/>
      </xdr:nvSpPr>
      <xdr:spPr>
        <a:xfrm rot="18900000">
          <a:off x="12468467" y="31258085"/>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19</xdr:col>
      <xdr:colOff>0</xdr:colOff>
      <xdr:row>191</xdr:row>
      <xdr:rowOff>39239</xdr:rowOff>
    </xdr:from>
    <xdr:to>
      <xdr:col>19</xdr:col>
      <xdr:colOff>248540</xdr:colOff>
      <xdr:row>192</xdr:row>
      <xdr:rowOff>101776</xdr:rowOff>
    </xdr:to>
    <xdr:sp macro="" textlink="">
      <xdr:nvSpPr>
        <xdr:cNvPr id="425" name="Стрелка вверх 424"/>
        <xdr:cNvSpPr/>
      </xdr:nvSpPr>
      <xdr:spPr>
        <a:xfrm rot="5400000">
          <a:off x="11594439" y="30954875"/>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14986</xdr:colOff>
      <xdr:row>191</xdr:row>
      <xdr:rowOff>35170</xdr:rowOff>
    </xdr:from>
    <xdr:to>
      <xdr:col>21</xdr:col>
      <xdr:colOff>262060</xdr:colOff>
      <xdr:row>192</xdr:row>
      <xdr:rowOff>97707</xdr:rowOff>
    </xdr:to>
    <xdr:sp macro="" textlink="">
      <xdr:nvSpPr>
        <xdr:cNvPr id="426" name="Стрелка вверх 425"/>
        <xdr:cNvSpPr/>
      </xdr:nvSpPr>
      <xdr:spPr>
        <a:xfrm rot="16200000">
          <a:off x="12827892" y="30951539"/>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24</xdr:col>
      <xdr:colOff>277683</xdr:colOff>
      <xdr:row>190</xdr:row>
      <xdr:rowOff>74726</xdr:rowOff>
    </xdr:from>
    <xdr:to>
      <xdr:col>25</xdr:col>
      <xdr:colOff>277683</xdr:colOff>
      <xdr:row>192</xdr:row>
      <xdr:rowOff>74726</xdr:rowOff>
    </xdr:to>
    <xdr:pic>
      <xdr:nvPicPr>
        <xdr:cNvPr id="427" name="Picture 10"/>
        <xdr:cNvPicPr>
          <a:picLocks noChangeAspect="1" noChangeArrowheads="1"/>
        </xdr:cNvPicPr>
      </xdr:nvPicPr>
      <xdr:blipFill>
        <a:blip xmlns:r="http://schemas.openxmlformats.org/officeDocument/2006/relationships" r:embed="rId54" cstate="print"/>
        <a:srcRect/>
        <a:stretch>
          <a:fillRect/>
        </a:stretch>
      </xdr:blipFill>
      <xdr:spPr bwMode="auto">
        <a:xfrm>
          <a:off x="14908083" y="30840476"/>
          <a:ext cx="609600" cy="323850"/>
        </a:xfrm>
        <a:prstGeom prst="rect">
          <a:avLst/>
        </a:prstGeom>
        <a:noFill/>
      </xdr:spPr>
    </xdr:pic>
    <xdr:clientData/>
  </xdr:twoCellAnchor>
  <xdr:twoCellAnchor>
    <xdr:from>
      <xdr:col>24</xdr:col>
      <xdr:colOff>37372</xdr:colOff>
      <xdr:row>192</xdr:row>
      <xdr:rowOff>145514</xdr:rowOff>
    </xdr:from>
    <xdr:to>
      <xdr:col>24</xdr:col>
      <xdr:colOff>280975</xdr:colOff>
      <xdr:row>194</xdr:row>
      <xdr:rowOff>47593</xdr:rowOff>
    </xdr:to>
    <xdr:sp macro="" textlink="">
      <xdr:nvSpPr>
        <xdr:cNvPr id="428" name="Стрелка вверх 427"/>
        <xdr:cNvSpPr/>
      </xdr:nvSpPr>
      <xdr:spPr>
        <a:xfrm rot="2700000">
          <a:off x="14676609" y="31226277"/>
          <a:ext cx="225929"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290512</xdr:colOff>
      <xdr:row>192</xdr:row>
      <xdr:rowOff>137314</xdr:rowOff>
    </xdr:from>
    <xdr:to>
      <xdr:col>26</xdr:col>
      <xdr:colOff>188387</xdr:colOff>
      <xdr:row>194</xdr:row>
      <xdr:rowOff>60536</xdr:rowOff>
    </xdr:to>
    <xdr:sp macro="" textlink="">
      <xdr:nvSpPr>
        <xdr:cNvPr id="429" name="Стрелка вверх 428"/>
        <xdr:cNvSpPr/>
      </xdr:nvSpPr>
      <xdr:spPr>
        <a:xfrm rot="18900000">
          <a:off x="15530512" y="31226914"/>
          <a:ext cx="507475"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11158</xdr:colOff>
      <xdr:row>188</xdr:row>
      <xdr:rowOff>114300</xdr:rowOff>
    </xdr:from>
    <xdr:to>
      <xdr:col>25</xdr:col>
      <xdr:colOff>236354</xdr:colOff>
      <xdr:row>190</xdr:row>
      <xdr:rowOff>36792</xdr:rowOff>
    </xdr:to>
    <xdr:sp macro="" textlink="">
      <xdr:nvSpPr>
        <xdr:cNvPr id="430" name="Стрелка вверх 429"/>
        <xdr:cNvSpPr/>
      </xdr:nvSpPr>
      <xdr:spPr>
        <a:xfrm rot="10800000">
          <a:off x="15251158" y="30556200"/>
          <a:ext cx="225196" cy="24634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24</xdr:col>
      <xdr:colOff>70369</xdr:colOff>
      <xdr:row>188</xdr:row>
      <xdr:rowOff>119254</xdr:rowOff>
    </xdr:from>
    <xdr:to>
      <xdr:col>24</xdr:col>
      <xdr:colOff>300821</xdr:colOff>
      <xdr:row>190</xdr:row>
      <xdr:rowOff>34485</xdr:rowOff>
    </xdr:to>
    <xdr:sp macro="" textlink="">
      <xdr:nvSpPr>
        <xdr:cNvPr id="431" name="Стрелка вверх 430"/>
        <xdr:cNvSpPr/>
      </xdr:nvSpPr>
      <xdr:spPr>
        <a:xfrm rot="8100000">
          <a:off x="14700769" y="30561154"/>
          <a:ext cx="230452" cy="23908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264011</xdr:colOff>
      <xdr:row>188</xdr:row>
      <xdr:rowOff>130480</xdr:rowOff>
    </xdr:from>
    <xdr:to>
      <xdr:col>26</xdr:col>
      <xdr:colOff>191027</xdr:colOff>
      <xdr:row>190</xdr:row>
      <xdr:rowOff>27269</xdr:rowOff>
    </xdr:to>
    <xdr:sp macro="" textlink="">
      <xdr:nvSpPr>
        <xdr:cNvPr id="432" name="Стрелка вверх 431"/>
        <xdr:cNvSpPr/>
      </xdr:nvSpPr>
      <xdr:spPr>
        <a:xfrm rot="13500000">
          <a:off x="15661999" y="30414392"/>
          <a:ext cx="220639" cy="53661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306598</xdr:colOff>
      <xdr:row>190</xdr:row>
      <xdr:rowOff>141641</xdr:rowOff>
    </xdr:from>
    <xdr:to>
      <xdr:col>26</xdr:col>
      <xdr:colOff>229823</xdr:colOff>
      <xdr:row>192</xdr:row>
      <xdr:rowOff>42254</xdr:rowOff>
    </xdr:to>
    <xdr:sp macro="" textlink="">
      <xdr:nvSpPr>
        <xdr:cNvPr id="433" name="Стрелка вверх 432"/>
        <xdr:cNvSpPr/>
      </xdr:nvSpPr>
      <xdr:spPr>
        <a:xfrm rot="16200000">
          <a:off x="15700779" y="30753210"/>
          <a:ext cx="224463" cy="53282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24</xdr:col>
      <xdr:colOff>0</xdr:colOff>
      <xdr:row>190</xdr:row>
      <xdr:rowOff>139848</xdr:rowOff>
    </xdr:from>
    <xdr:to>
      <xdr:col>24</xdr:col>
      <xdr:colOff>247074</xdr:colOff>
      <xdr:row>192</xdr:row>
      <xdr:rowOff>40461</xdr:rowOff>
    </xdr:to>
    <xdr:sp macro="" textlink="">
      <xdr:nvSpPr>
        <xdr:cNvPr id="434" name="Стрелка вверх 433"/>
        <xdr:cNvSpPr/>
      </xdr:nvSpPr>
      <xdr:spPr>
        <a:xfrm rot="5400000">
          <a:off x="14641705" y="30894293"/>
          <a:ext cx="224463"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9693</xdr:colOff>
      <xdr:row>192</xdr:row>
      <xdr:rowOff>134817</xdr:rowOff>
    </xdr:from>
    <xdr:to>
      <xdr:col>25</xdr:col>
      <xdr:colOff>234889</xdr:colOff>
      <xdr:row>194</xdr:row>
      <xdr:rowOff>58040</xdr:rowOff>
    </xdr:to>
    <xdr:sp macro="" textlink="">
      <xdr:nvSpPr>
        <xdr:cNvPr id="435" name="Стрелка вверх 434"/>
        <xdr:cNvSpPr/>
      </xdr:nvSpPr>
      <xdr:spPr>
        <a:xfrm>
          <a:off x="15249693" y="31224417"/>
          <a:ext cx="225196"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20</xdr:col>
      <xdr:colOff>0</xdr:colOff>
      <xdr:row>195</xdr:row>
      <xdr:rowOff>0</xdr:rowOff>
    </xdr:from>
    <xdr:to>
      <xdr:col>22</xdr:col>
      <xdr:colOff>228600</xdr:colOff>
      <xdr:row>198</xdr:row>
      <xdr:rowOff>19050</xdr:rowOff>
    </xdr:to>
    <xdr:pic>
      <xdr:nvPicPr>
        <xdr:cNvPr id="436" name="Picture 12"/>
        <xdr:cNvPicPr>
          <a:picLocks noChangeAspect="1" noChangeArrowheads="1"/>
        </xdr:cNvPicPr>
      </xdr:nvPicPr>
      <xdr:blipFill>
        <a:blip xmlns:r="http://schemas.openxmlformats.org/officeDocument/2006/relationships" r:embed="rId55" cstate="print"/>
        <a:srcRect/>
        <a:stretch>
          <a:fillRect/>
        </a:stretch>
      </xdr:blipFill>
      <xdr:spPr bwMode="auto">
        <a:xfrm>
          <a:off x="12192000" y="31575375"/>
          <a:ext cx="1504950" cy="504825"/>
        </a:xfrm>
        <a:prstGeom prst="rect">
          <a:avLst/>
        </a:prstGeom>
        <a:noFill/>
      </xdr:spPr>
    </xdr:pic>
    <xdr:clientData/>
  </xdr:twoCellAnchor>
  <xdr:twoCellAnchor>
    <xdr:from>
      <xdr:col>20</xdr:col>
      <xdr:colOff>46897</xdr:colOff>
      <xdr:row>198</xdr:row>
      <xdr:rowOff>59789</xdr:rowOff>
    </xdr:from>
    <xdr:to>
      <xdr:col>20</xdr:col>
      <xdr:colOff>290500</xdr:colOff>
      <xdr:row>199</xdr:row>
      <xdr:rowOff>123793</xdr:rowOff>
    </xdr:to>
    <xdr:sp macro="" textlink="">
      <xdr:nvSpPr>
        <xdr:cNvPr id="437" name="Стрелка вверх 436"/>
        <xdr:cNvSpPr/>
      </xdr:nvSpPr>
      <xdr:spPr>
        <a:xfrm rot="2700000">
          <a:off x="12247734" y="32112102"/>
          <a:ext cx="225929"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300037</xdr:colOff>
      <xdr:row>198</xdr:row>
      <xdr:rowOff>51589</xdr:rowOff>
    </xdr:from>
    <xdr:to>
      <xdr:col>22</xdr:col>
      <xdr:colOff>197912</xdr:colOff>
      <xdr:row>199</xdr:row>
      <xdr:rowOff>136736</xdr:rowOff>
    </xdr:to>
    <xdr:sp macro="" textlink="">
      <xdr:nvSpPr>
        <xdr:cNvPr id="438" name="Стрелка вверх 437"/>
        <xdr:cNvSpPr/>
      </xdr:nvSpPr>
      <xdr:spPr>
        <a:xfrm rot="18900000">
          <a:off x="13101637" y="32112739"/>
          <a:ext cx="507475"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19218</xdr:colOff>
      <xdr:row>198</xdr:row>
      <xdr:rowOff>49092</xdr:rowOff>
    </xdr:from>
    <xdr:to>
      <xdr:col>21</xdr:col>
      <xdr:colOff>244414</xdr:colOff>
      <xdr:row>199</xdr:row>
      <xdr:rowOff>134240</xdr:rowOff>
    </xdr:to>
    <xdr:sp macro="" textlink="">
      <xdr:nvSpPr>
        <xdr:cNvPr id="439" name="Стрелка вверх 438"/>
        <xdr:cNvSpPr/>
      </xdr:nvSpPr>
      <xdr:spPr>
        <a:xfrm>
          <a:off x="12820818" y="32110242"/>
          <a:ext cx="225196"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238125</xdr:colOff>
      <xdr:row>200</xdr:row>
      <xdr:rowOff>104775</xdr:rowOff>
    </xdr:from>
    <xdr:to>
      <xdr:col>2</xdr:col>
      <xdr:colOff>304800</xdr:colOff>
      <xdr:row>202</xdr:row>
      <xdr:rowOff>142874</xdr:rowOff>
    </xdr:to>
    <xdr:pic>
      <xdr:nvPicPr>
        <xdr:cNvPr id="440" name="Picture 14"/>
        <xdr:cNvPicPr>
          <a:picLocks noChangeAspect="1" noChangeArrowheads="1"/>
        </xdr:cNvPicPr>
      </xdr:nvPicPr>
      <xdr:blipFill>
        <a:blip xmlns:r="http://schemas.openxmlformats.org/officeDocument/2006/relationships" r:embed="rId56" cstate="print"/>
        <a:srcRect/>
        <a:stretch>
          <a:fillRect/>
        </a:stretch>
      </xdr:blipFill>
      <xdr:spPr bwMode="auto">
        <a:xfrm>
          <a:off x="847725" y="32489775"/>
          <a:ext cx="676275" cy="361950"/>
        </a:xfrm>
        <a:prstGeom prst="rect">
          <a:avLst/>
        </a:prstGeom>
        <a:noFill/>
      </xdr:spPr>
    </xdr:pic>
    <xdr:clientData/>
  </xdr:twoCellAnchor>
  <xdr:twoCellAnchor>
    <xdr:from>
      <xdr:col>2</xdr:col>
      <xdr:colOff>16119</xdr:colOff>
      <xdr:row>203</xdr:row>
      <xdr:rowOff>3232</xdr:rowOff>
    </xdr:from>
    <xdr:to>
      <xdr:col>2</xdr:col>
      <xdr:colOff>241315</xdr:colOff>
      <xdr:row>204</xdr:row>
      <xdr:rowOff>87648</xdr:rowOff>
    </xdr:to>
    <xdr:sp macro="" textlink="">
      <xdr:nvSpPr>
        <xdr:cNvPr id="441" name="Стрелка вверх 440"/>
        <xdr:cNvSpPr/>
      </xdr:nvSpPr>
      <xdr:spPr>
        <a:xfrm>
          <a:off x="1235319" y="32874007"/>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68754</xdr:colOff>
      <xdr:row>203</xdr:row>
      <xdr:rowOff>14761</xdr:rowOff>
    </xdr:from>
    <xdr:to>
      <xdr:col>1</xdr:col>
      <xdr:colOff>310892</xdr:colOff>
      <xdr:row>204</xdr:row>
      <xdr:rowOff>78765</xdr:rowOff>
    </xdr:to>
    <xdr:sp macro="" textlink="">
      <xdr:nvSpPr>
        <xdr:cNvPr id="442" name="Стрелка вверх 441"/>
        <xdr:cNvSpPr/>
      </xdr:nvSpPr>
      <xdr:spPr>
        <a:xfrm rot="2700000">
          <a:off x="686458" y="32877432"/>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276467</xdr:colOff>
      <xdr:row>203</xdr:row>
      <xdr:rowOff>6560</xdr:rowOff>
    </xdr:from>
    <xdr:to>
      <xdr:col>3</xdr:col>
      <xdr:colOff>175807</xdr:colOff>
      <xdr:row>204</xdr:row>
      <xdr:rowOff>90976</xdr:rowOff>
    </xdr:to>
    <xdr:sp macro="" textlink="">
      <xdr:nvSpPr>
        <xdr:cNvPr id="443" name="Стрелка вверх 442"/>
        <xdr:cNvSpPr/>
      </xdr:nvSpPr>
      <xdr:spPr>
        <a:xfrm rot="18900000">
          <a:off x="1495667" y="32877335"/>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0</xdr:colOff>
      <xdr:row>201</xdr:row>
      <xdr:rowOff>39239</xdr:rowOff>
    </xdr:from>
    <xdr:to>
      <xdr:col>1</xdr:col>
      <xdr:colOff>248540</xdr:colOff>
      <xdr:row>202</xdr:row>
      <xdr:rowOff>101776</xdr:rowOff>
    </xdr:to>
    <xdr:sp macro="" textlink="">
      <xdr:nvSpPr>
        <xdr:cNvPr id="444" name="Стрелка вверх 443"/>
        <xdr:cNvSpPr/>
      </xdr:nvSpPr>
      <xdr:spPr>
        <a:xfrm rot="5400000">
          <a:off x="621639" y="32574125"/>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14986</xdr:colOff>
      <xdr:row>201</xdr:row>
      <xdr:rowOff>35170</xdr:rowOff>
    </xdr:from>
    <xdr:to>
      <xdr:col>3</xdr:col>
      <xdr:colOff>262060</xdr:colOff>
      <xdr:row>202</xdr:row>
      <xdr:rowOff>97707</xdr:rowOff>
    </xdr:to>
    <xdr:sp macro="" textlink="">
      <xdr:nvSpPr>
        <xdr:cNvPr id="445" name="Стрелка вверх 444"/>
        <xdr:cNvSpPr/>
      </xdr:nvSpPr>
      <xdr:spPr>
        <a:xfrm rot="16200000">
          <a:off x="1855092" y="32570789"/>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7</xdr:col>
      <xdr:colOff>142875</xdr:colOff>
      <xdr:row>200</xdr:row>
      <xdr:rowOff>0</xdr:rowOff>
    </xdr:from>
    <xdr:to>
      <xdr:col>9</xdr:col>
      <xdr:colOff>257175</xdr:colOff>
      <xdr:row>204</xdr:row>
      <xdr:rowOff>38100</xdr:rowOff>
    </xdr:to>
    <xdr:pic>
      <xdr:nvPicPr>
        <xdr:cNvPr id="446" name="Picture 16"/>
        <xdr:cNvPicPr>
          <a:picLocks noChangeAspect="1" noChangeArrowheads="1"/>
        </xdr:cNvPicPr>
      </xdr:nvPicPr>
      <xdr:blipFill>
        <a:blip xmlns:r="http://schemas.openxmlformats.org/officeDocument/2006/relationships" r:embed="rId57" cstate="print"/>
        <a:srcRect/>
        <a:stretch>
          <a:fillRect/>
        </a:stretch>
      </xdr:blipFill>
      <xdr:spPr bwMode="auto">
        <a:xfrm>
          <a:off x="4410075" y="32385000"/>
          <a:ext cx="1333500" cy="685800"/>
        </a:xfrm>
        <a:prstGeom prst="rect">
          <a:avLst/>
        </a:prstGeom>
        <a:noFill/>
      </xdr:spPr>
    </xdr:pic>
    <xdr:clientData/>
  </xdr:twoCellAnchor>
  <xdr:twoCellAnchor>
    <xdr:from>
      <xdr:col>8</xdr:col>
      <xdr:colOff>16119</xdr:colOff>
      <xdr:row>204</xdr:row>
      <xdr:rowOff>60383</xdr:rowOff>
    </xdr:from>
    <xdr:to>
      <xdr:col>8</xdr:col>
      <xdr:colOff>241315</xdr:colOff>
      <xdr:row>205</xdr:row>
      <xdr:rowOff>144799</xdr:rowOff>
    </xdr:to>
    <xdr:sp macro="" textlink="">
      <xdr:nvSpPr>
        <xdr:cNvPr id="447" name="Стрелка вверх 446"/>
        <xdr:cNvSpPr/>
      </xdr:nvSpPr>
      <xdr:spPr>
        <a:xfrm>
          <a:off x="4892919" y="33093083"/>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68754</xdr:colOff>
      <xdr:row>204</xdr:row>
      <xdr:rowOff>71912</xdr:rowOff>
    </xdr:from>
    <xdr:to>
      <xdr:col>7</xdr:col>
      <xdr:colOff>310892</xdr:colOff>
      <xdr:row>205</xdr:row>
      <xdr:rowOff>135916</xdr:rowOff>
    </xdr:to>
    <xdr:sp macro="" textlink="">
      <xdr:nvSpPr>
        <xdr:cNvPr id="448" name="Стрелка вверх 447"/>
        <xdr:cNvSpPr/>
      </xdr:nvSpPr>
      <xdr:spPr>
        <a:xfrm rot="2700000">
          <a:off x="4344058" y="33096508"/>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0</xdr:colOff>
      <xdr:row>202</xdr:row>
      <xdr:rowOff>96390</xdr:rowOff>
    </xdr:from>
    <xdr:to>
      <xdr:col>7</xdr:col>
      <xdr:colOff>248540</xdr:colOff>
      <xdr:row>203</xdr:row>
      <xdr:rowOff>158927</xdr:rowOff>
    </xdr:to>
    <xdr:sp macro="" textlink="">
      <xdr:nvSpPr>
        <xdr:cNvPr id="449" name="Стрелка вверх 448"/>
        <xdr:cNvSpPr/>
      </xdr:nvSpPr>
      <xdr:spPr>
        <a:xfrm rot="5400000">
          <a:off x="4279239" y="32793201"/>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292344</xdr:colOff>
      <xdr:row>204</xdr:row>
      <xdr:rowOff>69907</xdr:rowOff>
    </xdr:from>
    <xdr:to>
      <xdr:col>9</xdr:col>
      <xdr:colOff>193690</xdr:colOff>
      <xdr:row>205</xdr:row>
      <xdr:rowOff>154323</xdr:rowOff>
    </xdr:to>
    <xdr:sp macro="" textlink="">
      <xdr:nvSpPr>
        <xdr:cNvPr id="450" name="Стрелка вверх 449"/>
        <xdr:cNvSpPr/>
      </xdr:nvSpPr>
      <xdr:spPr>
        <a:xfrm>
          <a:off x="5169144" y="33102607"/>
          <a:ext cx="51094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228842</xdr:colOff>
      <xdr:row>204</xdr:row>
      <xdr:rowOff>73235</xdr:rowOff>
    </xdr:from>
    <xdr:to>
      <xdr:col>10</xdr:col>
      <xdr:colOff>128182</xdr:colOff>
      <xdr:row>205</xdr:row>
      <xdr:rowOff>157651</xdr:rowOff>
    </xdr:to>
    <xdr:sp macro="" textlink="">
      <xdr:nvSpPr>
        <xdr:cNvPr id="451" name="Стрелка вверх 450"/>
        <xdr:cNvSpPr/>
      </xdr:nvSpPr>
      <xdr:spPr>
        <a:xfrm rot="18900000">
          <a:off x="5715242" y="33105935"/>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291211</xdr:colOff>
      <xdr:row>202</xdr:row>
      <xdr:rowOff>101845</xdr:rowOff>
    </xdr:from>
    <xdr:to>
      <xdr:col>10</xdr:col>
      <xdr:colOff>214435</xdr:colOff>
      <xdr:row>204</xdr:row>
      <xdr:rowOff>2457</xdr:rowOff>
    </xdr:to>
    <xdr:sp macro="" textlink="">
      <xdr:nvSpPr>
        <xdr:cNvPr id="452" name="Стрелка вверх 451"/>
        <xdr:cNvSpPr/>
      </xdr:nvSpPr>
      <xdr:spPr>
        <a:xfrm rot="16200000">
          <a:off x="5931792" y="32656514"/>
          <a:ext cx="224462" cy="53282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190500</xdr:colOff>
      <xdr:row>207</xdr:row>
      <xdr:rowOff>0</xdr:rowOff>
    </xdr:from>
    <xdr:to>
      <xdr:col>3</xdr:col>
      <xdr:colOff>276225</xdr:colOff>
      <xdr:row>210</xdr:row>
      <xdr:rowOff>9525</xdr:rowOff>
    </xdr:to>
    <xdr:pic>
      <xdr:nvPicPr>
        <xdr:cNvPr id="453" name="Picture 2"/>
        <xdr:cNvPicPr>
          <a:picLocks noChangeAspect="1" noChangeArrowheads="1"/>
        </xdr:cNvPicPr>
      </xdr:nvPicPr>
      <xdr:blipFill>
        <a:blip xmlns:r="http://schemas.openxmlformats.org/officeDocument/2006/relationships" r:embed="rId58" cstate="print"/>
        <a:srcRect/>
        <a:stretch>
          <a:fillRect/>
        </a:stretch>
      </xdr:blipFill>
      <xdr:spPr bwMode="auto">
        <a:xfrm>
          <a:off x="800100" y="33518475"/>
          <a:ext cx="1304925" cy="495300"/>
        </a:xfrm>
        <a:prstGeom prst="rect">
          <a:avLst/>
        </a:prstGeom>
        <a:noFill/>
      </xdr:spPr>
    </xdr:pic>
    <xdr:clientData/>
  </xdr:twoCellAnchor>
  <xdr:twoCellAnchor>
    <xdr:from>
      <xdr:col>2</xdr:col>
      <xdr:colOff>16119</xdr:colOff>
      <xdr:row>210</xdr:row>
      <xdr:rowOff>31807</xdr:rowOff>
    </xdr:from>
    <xdr:to>
      <xdr:col>2</xdr:col>
      <xdr:colOff>241315</xdr:colOff>
      <xdr:row>211</xdr:row>
      <xdr:rowOff>116223</xdr:rowOff>
    </xdr:to>
    <xdr:sp macro="" textlink="">
      <xdr:nvSpPr>
        <xdr:cNvPr id="454" name="Стрелка вверх 453"/>
        <xdr:cNvSpPr/>
      </xdr:nvSpPr>
      <xdr:spPr>
        <a:xfrm>
          <a:off x="1235319" y="34036057"/>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68754</xdr:colOff>
      <xdr:row>210</xdr:row>
      <xdr:rowOff>43336</xdr:rowOff>
    </xdr:from>
    <xdr:to>
      <xdr:col>1</xdr:col>
      <xdr:colOff>310892</xdr:colOff>
      <xdr:row>211</xdr:row>
      <xdr:rowOff>107340</xdr:rowOff>
    </xdr:to>
    <xdr:sp macro="" textlink="">
      <xdr:nvSpPr>
        <xdr:cNvPr id="455" name="Стрелка вверх 454"/>
        <xdr:cNvSpPr/>
      </xdr:nvSpPr>
      <xdr:spPr>
        <a:xfrm rot="2700000">
          <a:off x="686458" y="34039482"/>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276467</xdr:colOff>
      <xdr:row>210</xdr:row>
      <xdr:rowOff>35135</xdr:rowOff>
    </xdr:from>
    <xdr:to>
      <xdr:col>3</xdr:col>
      <xdr:colOff>175807</xdr:colOff>
      <xdr:row>211</xdr:row>
      <xdr:rowOff>119551</xdr:rowOff>
    </xdr:to>
    <xdr:sp macro="" textlink="">
      <xdr:nvSpPr>
        <xdr:cNvPr id="456" name="Стрелка вверх 455"/>
        <xdr:cNvSpPr/>
      </xdr:nvSpPr>
      <xdr:spPr>
        <a:xfrm rot="18900000">
          <a:off x="1495667" y="34039385"/>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0</xdr:colOff>
      <xdr:row>208</xdr:row>
      <xdr:rowOff>67814</xdr:rowOff>
    </xdr:from>
    <xdr:to>
      <xdr:col>1</xdr:col>
      <xdr:colOff>248540</xdr:colOff>
      <xdr:row>209</xdr:row>
      <xdr:rowOff>130351</xdr:rowOff>
    </xdr:to>
    <xdr:sp macro="" textlink="">
      <xdr:nvSpPr>
        <xdr:cNvPr id="457" name="Стрелка вверх 456"/>
        <xdr:cNvSpPr/>
      </xdr:nvSpPr>
      <xdr:spPr>
        <a:xfrm rot="5400000">
          <a:off x="621639" y="33736175"/>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0</xdr:colOff>
      <xdr:row>212</xdr:row>
      <xdr:rowOff>0</xdr:rowOff>
    </xdr:from>
    <xdr:to>
      <xdr:col>4</xdr:col>
      <xdr:colOff>38100</xdr:colOff>
      <xdr:row>217</xdr:row>
      <xdr:rowOff>95250</xdr:rowOff>
    </xdr:to>
    <xdr:pic>
      <xdr:nvPicPr>
        <xdr:cNvPr id="458" name="Picture 4"/>
        <xdr:cNvPicPr>
          <a:picLocks noChangeAspect="1" noChangeArrowheads="1"/>
        </xdr:cNvPicPr>
      </xdr:nvPicPr>
      <xdr:blipFill>
        <a:blip xmlns:r="http://schemas.openxmlformats.org/officeDocument/2006/relationships" r:embed="rId59" cstate="print"/>
        <a:srcRect/>
        <a:stretch>
          <a:fillRect/>
        </a:stretch>
      </xdr:blipFill>
      <xdr:spPr bwMode="auto">
        <a:xfrm>
          <a:off x="609600" y="34328100"/>
          <a:ext cx="1866900" cy="904875"/>
        </a:xfrm>
        <a:prstGeom prst="rect">
          <a:avLst/>
        </a:prstGeom>
        <a:noFill/>
      </xdr:spPr>
    </xdr:pic>
    <xdr:clientData/>
  </xdr:twoCellAnchor>
  <xdr:twoCellAnchor>
    <xdr:from>
      <xdr:col>2</xdr:col>
      <xdr:colOff>101844</xdr:colOff>
      <xdr:row>217</xdr:row>
      <xdr:rowOff>108007</xdr:rowOff>
    </xdr:from>
    <xdr:to>
      <xdr:col>3</xdr:col>
      <xdr:colOff>3190</xdr:colOff>
      <xdr:row>219</xdr:row>
      <xdr:rowOff>30498</xdr:rowOff>
    </xdr:to>
    <xdr:sp macro="" textlink="">
      <xdr:nvSpPr>
        <xdr:cNvPr id="459" name="Стрелка вверх 458"/>
        <xdr:cNvSpPr/>
      </xdr:nvSpPr>
      <xdr:spPr>
        <a:xfrm>
          <a:off x="1321044" y="35245732"/>
          <a:ext cx="51094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154479</xdr:colOff>
      <xdr:row>217</xdr:row>
      <xdr:rowOff>119536</xdr:rowOff>
    </xdr:from>
    <xdr:to>
      <xdr:col>2</xdr:col>
      <xdr:colOff>72767</xdr:colOff>
      <xdr:row>219</xdr:row>
      <xdr:rowOff>21615</xdr:rowOff>
    </xdr:to>
    <xdr:sp macro="" textlink="">
      <xdr:nvSpPr>
        <xdr:cNvPr id="460" name="Стрелка вверх 459"/>
        <xdr:cNvSpPr/>
      </xdr:nvSpPr>
      <xdr:spPr>
        <a:xfrm rot="2700000">
          <a:off x="915058" y="35106282"/>
          <a:ext cx="225929" cy="52788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38342</xdr:colOff>
      <xdr:row>217</xdr:row>
      <xdr:rowOff>111335</xdr:rowOff>
    </xdr:from>
    <xdr:to>
      <xdr:col>3</xdr:col>
      <xdr:colOff>261532</xdr:colOff>
      <xdr:row>219</xdr:row>
      <xdr:rowOff>33826</xdr:rowOff>
    </xdr:to>
    <xdr:sp macro="" textlink="">
      <xdr:nvSpPr>
        <xdr:cNvPr id="461" name="Стрелка вверх 460"/>
        <xdr:cNvSpPr/>
      </xdr:nvSpPr>
      <xdr:spPr>
        <a:xfrm rot="18900000">
          <a:off x="1867142" y="35249060"/>
          <a:ext cx="22319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7</xdr:col>
      <xdr:colOff>142875</xdr:colOff>
      <xdr:row>212</xdr:row>
      <xdr:rowOff>95250</xdr:rowOff>
    </xdr:from>
    <xdr:to>
      <xdr:col>9</xdr:col>
      <xdr:colOff>266700</xdr:colOff>
      <xdr:row>216</xdr:row>
      <xdr:rowOff>57150</xdr:rowOff>
    </xdr:to>
    <xdr:pic>
      <xdr:nvPicPr>
        <xdr:cNvPr id="462" name="Picture 6"/>
        <xdr:cNvPicPr>
          <a:picLocks noChangeAspect="1" noChangeArrowheads="1"/>
        </xdr:cNvPicPr>
      </xdr:nvPicPr>
      <xdr:blipFill>
        <a:blip xmlns:r="http://schemas.openxmlformats.org/officeDocument/2006/relationships" r:embed="rId60" cstate="print"/>
        <a:srcRect/>
        <a:stretch>
          <a:fillRect/>
        </a:stretch>
      </xdr:blipFill>
      <xdr:spPr bwMode="auto">
        <a:xfrm>
          <a:off x="4410075" y="34423350"/>
          <a:ext cx="1343025" cy="609600"/>
        </a:xfrm>
        <a:prstGeom prst="rect">
          <a:avLst/>
        </a:prstGeom>
        <a:noFill/>
      </xdr:spPr>
    </xdr:pic>
    <xdr:clientData/>
  </xdr:twoCellAnchor>
  <xdr:twoCellAnchor>
    <xdr:from>
      <xdr:col>8</xdr:col>
      <xdr:colOff>16119</xdr:colOff>
      <xdr:row>216</xdr:row>
      <xdr:rowOff>88958</xdr:rowOff>
    </xdr:from>
    <xdr:to>
      <xdr:col>8</xdr:col>
      <xdr:colOff>241315</xdr:colOff>
      <xdr:row>218</xdr:row>
      <xdr:rowOff>11449</xdr:rowOff>
    </xdr:to>
    <xdr:sp macro="" textlink="">
      <xdr:nvSpPr>
        <xdr:cNvPr id="463" name="Стрелка вверх 462"/>
        <xdr:cNvSpPr/>
      </xdr:nvSpPr>
      <xdr:spPr>
        <a:xfrm>
          <a:off x="4892919" y="35064758"/>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68754</xdr:colOff>
      <xdr:row>216</xdr:row>
      <xdr:rowOff>100487</xdr:rowOff>
    </xdr:from>
    <xdr:to>
      <xdr:col>7</xdr:col>
      <xdr:colOff>310892</xdr:colOff>
      <xdr:row>218</xdr:row>
      <xdr:rowOff>2566</xdr:rowOff>
    </xdr:to>
    <xdr:sp macro="" textlink="">
      <xdr:nvSpPr>
        <xdr:cNvPr id="464" name="Стрелка вверх 463"/>
        <xdr:cNvSpPr/>
      </xdr:nvSpPr>
      <xdr:spPr>
        <a:xfrm rot="2700000">
          <a:off x="4344058" y="35068183"/>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0</xdr:colOff>
      <xdr:row>214</xdr:row>
      <xdr:rowOff>124965</xdr:rowOff>
    </xdr:from>
    <xdr:to>
      <xdr:col>7</xdr:col>
      <xdr:colOff>248540</xdr:colOff>
      <xdr:row>216</xdr:row>
      <xdr:rowOff>25577</xdr:rowOff>
    </xdr:to>
    <xdr:sp macro="" textlink="">
      <xdr:nvSpPr>
        <xdr:cNvPr id="465" name="Стрелка вверх 464"/>
        <xdr:cNvSpPr/>
      </xdr:nvSpPr>
      <xdr:spPr>
        <a:xfrm rot="5400000">
          <a:off x="4279239" y="34764876"/>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7</xdr:col>
      <xdr:colOff>276225</xdr:colOff>
      <xdr:row>207</xdr:row>
      <xdr:rowOff>28575</xdr:rowOff>
    </xdr:from>
    <xdr:to>
      <xdr:col>8</xdr:col>
      <xdr:colOff>276225</xdr:colOff>
      <xdr:row>209</xdr:row>
      <xdr:rowOff>152400</xdr:rowOff>
    </xdr:to>
    <xdr:pic>
      <xdr:nvPicPr>
        <xdr:cNvPr id="467" name="Picture 8"/>
        <xdr:cNvPicPr>
          <a:picLocks noChangeAspect="1" noChangeArrowheads="1"/>
        </xdr:cNvPicPr>
      </xdr:nvPicPr>
      <xdr:blipFill>
        <a:blip xmlns:r="http://schemas.openxmlformats.org/officeDocument/2006/relationships" r:embed="rId61" cstate="print"/>
        <a:srcRect/>
        <a:stretch>
          <a:fillRect/>
        </a:stretch>
      </xdr:blipFill>
      <xdr:spPr bwMode="auto">
        <a:xfrm>
          <a:off x="4543425" y="33547050"/>
          <a:ext cx="609600" cy="447675"/>
        </a:xfrm>
        <a:prstGeom prst="rect">
          <a:avLst/>
        </a:prstGeom>
        <a:noFill/>
      </xdr:spPr>
    </xdr:pic>
    <xdr:clientData/>
  </xdr:twoCellAnchor>
  <xdr:twoCellAnchor>
    <xdr:from>
      <xdr:col>8</xdr:col>
      <xdr:colOff>16119</xdr:colOff>
      <xdr:row>210</xdr:row>
      <xdr:rowOff>12757</xdr:rowOff>
    </xdr:from>
    <xdr:to>
      <xdr:col>8</xdr:col>
      <xdr:colOff>241315</xdr:colOff>
      <xdr:row>211</xdr:row>
      <xdr:rowOff>97173</xdr:rowOff>
    </xdr:to>
    <xdr:sp macro="" textlink="">
      <xdr:nvSpPr>
        <xdr:cNvPr id="468" name="Стрелка вверх 467"/>
        <xdr:cNvSpPr/>
      </xdr:nvSpPr>
      <xdr:spPr>
        <a:xfrm>
          <a:off x="4892919" y="34017007"/>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68754</xdr:colOff>
      <xdr:row>210</xdr:row>
      <xdr:rowOff>24286</xdr:rowOff>
    </xdr:from>
    <xdr:to>
      <xdr:col>7</xdr:col>
      <xdr:colOff>310892</xdr:colOff>
      <xdr:row>211</xdr:row>
      <xdr:rowOff>88290</xdr:rowOff>
    </xdr:to>
    <xdr:sp macro="" textlink="">
      <xdr:nvSpPr>
        <xdr:cNvPr id="469" name="Стрелка вверх 468"/>
        <xdr:cNvSpPr/>
      </xdr:nvSpPr>
      <xdr:spPr>
        <a:xfrm rot="2700000">
          <a:off x="4344058" y="34020432"/>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276467</xdr:colOff>
      <xdr:row>210</xdr:row>
      <xdr:rowOff>16085</xdr:rowOff>
    </xdr:from>
    <xdr:to>
      <xdr:col>9</xdr:col>
      <xdr:colOff>175807</xdr:colOff>
      <xdr:row>211</xdr:row>
      <xdr:rowOff>100501</xdr:rowOff>
    </xdr:to>
    <xdr:sp macro="" textlink="">
      <xdr:nvSpPr>
        <xdr:cNvPr id="470" name="Стрелка вверх 469"/>
        <xdr:cNvSpPr/>
      </xdr:nvSpPr>
      <xdr:spPr>
        <a:xfrm rot="18900000">
          <a:off x="5153267" y="34020335"/>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7</xdr:col>
      <xdr:colOff>0</xdr:colOff>
      <xdr:row>208</xdr:row>
      <xdr:rowOff>48764</xdr:rowOff>
    </xdr:from>
    <xdr:to>
      <xdr:col>7</xdr:col>
      <xdr:colOff>248540</xdr:colOff>
      <xdr:row>209</xdr:row>
      <xdr:rowOff>111301</xdr:rowOff>
    </xdr:to>
    <xdr:sp macro="" textlink="">
      <xdr:nvSpPr>
        <xdr:cNvPr id="471" name="Стрелка вверх 470"/>
        <xdr:cNvSpPr/>
      </xdr:nvSpPr>
      <xdr:spPr>
        <a:xfrm rot="5400000">
          <a:off x="4279239" y="33717125"/>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14986</xdr:colOff>
      <xdr:row>208</xdr:row>
      <xdr:rowOff>44695</xdr:rowOff>
    </xdr:from>
    <xdr:to>
      <xdr:col>9</xdr:col>
      <xdr:colOff>262060</xdr:colOff>
      <xdr:row>209</xdr:row>
      <xdr:rowOff>107232</xdr:rowOff>
    </xdr:to>
    <xdr:sp macro="" textlink="">
      <xdr:nvSpPr>
        <xdr:cNvPr id="472" name="Стрелка вверх 471"/>
        <xdr:cNvSpPr/>
      </xdr:nvSpPr>
      <xdr:spPr>
        <a:xfrm rot="16200000">
          <a:off x="5512692" y="33713789"/>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13</xdr:col>
      <xdr:colOff>209550</xdr:colOff>
      <xdr:row>212</xdr:row>
      <xdr:rowOff>0</xdr:rowOff>
    </xdr:from>
    <xdr:to>
      <xdr:col>15</xdr:col>
      <xdr:colOff>276225</xdr:colOff>
      <xdr:row>217</xdr:row>
      <xdr:rowOff>123825</xdr:rowOff>
    </xdr:to>
    <xdr:pic>
      <xdr:nvPicPr>
        <xdr:cNvPr id="473" name="Picture 10"/>
        <xdr:cNvPicPr>
          <a:picLocks noChangeAspect="1" noChangeArrowheads="1"/>
        </xdr:cNvPicPr>
      </xdr:nvPicPr>
      <xdr:blipFill>
        <a:blip xmlns:r="http://schemas.openxmlformats.org/officeDocument/2006/relationships" r:embed="rId62" cstate="print"/>
        <a:srcRect/>
        <a:stretch>
          <a:fillRect/>
        </a:stretch>
      </xdr:blipFill>
      <xdr:spPr bwMode="auto">
        <a:xfrm>
          <a:off x="8134350" y="34328100"/>
          <a:ext cx="1285875" cy="933450"/>
        </a:xfrm>
        <a:prstGeom prst="rect">
          <a:avLst/>
        </a:prstGeom>
        <a:noFill/>
      </xdr:spPr>
    </xdr:pic>
    <xdr:clientData/>
  </xdr:twoCellAnchor>
  <xdr:twoCellAnchor>
    <xdr:from>
      <xdr:col>14</xdr:col>
      <xdr:colOff>16119</xdr:colOff>
      <xdr:row>217</xdr:row>
      <xdr:rowOff>146107</xdr:rowOff>
    </xdr:from>
    <xdr:to>
      <xdr:col>14</xdr:col>
      <xdr:colOff>241315</xdr:colOff>
      <xdr:row>219</xdr:row>
      <xdr:rowOff>68598</xdr:rowOff>
    </xdr:to>
    <xdr:sp macro="" textlink="">
      <xdr:nvSpPr>
        <xdr:cNvPr id="474" name="Стрелка вверх 473"/>
        <xdr:cNvSpPr/>
      </xdr:nvSpPr>
      <xdr:spPr>
        <a:xfrm>
          <a:off x="8550519" y="35283832"/>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68754</xdr:colOff>
      <xdr:row>217</xdr:row>
      <xdr:rowOff>157636</xdr:rowOff>
    </xdr:from>
    <xdr:to>
      <xdr:col>13</xdr:col>
      <xdr:colOff>310892</xdr:colOff>
      <xdr:row>219</xdr:row>
      <xdr:rowOff>59715</xdr:rowOff>
    </xdr:to>
    <xdr:sp macro="" textlink="">
      <xdr:nvSpPr>
        <xdr:cNvPr id="475" name="Стрелка вверх 474"/>
        <xdr:cNvSpPr/>
      </xdr:nvSpPr>
      <xdr:spPr>
        <a:xfrm rot="2700000">
          <a:off x="8001658" y="35287257"/>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14</xdr:col>
      <xdr:colOff>276467</xdr:colOff>
      <xdr:row>217</xdr:row>
      <xdr:rowOff>149435</xdr:rowOff>
    </xdr:from>
    <xdr:to>
      <xdr:col>15</xdr:col>
      <xdr:colOff>175807</xdr:colOff>
      <xdr:row>219</xdr:row>
      <xdr:rowOff>71926</xdr:rowOff>
    </xdr:to>
    <xdr:sp macro="" textlink="">
      <xdr:nvSpPr>
        <xdr:cNvPr id="476" name="Стрелка вверх 475"/>
        <xdr:cNvSpPr/>
      </xdr:nvSpPr>
      <xdr:spPr>
        <a:xfrm rot="18900000">
          <a:off x="8810867" y="35287160"/>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0</xdr:colOff>
      <xdr:row>216</xdr:row>
      <xdr:rowOff>20189</xdr:rowOff>
    </xdr:from>
    <xdr:to>
      <xdr:col>13</xdr:col>
      <xdr:colOff>248540</xdr:colOff>
      <xdr:row>217</xdr:row>
      <xdr:rowOff>82726</xdr:rowOff>
    </xdr:to>
    <xdr:sp macro="" textlink="">
      <xdr:nvSpPr>
        <xdr:cNvPr id="477" name="Стрелка вверх 476"/>
        <xdr:cNvSpPr/>
      </xdr:nvSpPr>
      <xdr:spPr>
        <a:xfrm rot="5400000">
          <a:off x="7936839" y="34983950"/>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22</xdr:col>
      <xdr:colOff>133350</xdr:colOff>
      <xdr:row>212</xdr:row>
      <xdr:rowOff>66675</xdr:rowOff>
    </xdr:from>
    <xdr:to>
      <xdr:col>23</xdr:col>
      <xdr:colOff>314325</xdr:colOff>
      <xdr:row>217</xdr:row>
      <xdr:rowOff>95250</xdr:rowOff>
    </xdr:to>
    <xdr:pic>
      <xdr:nvPicPr>
        <xdr:cNvPr id="478" name="Picture 14"/>
        <xdr:cNvPicPr>
          <a:picLocks noChangeAspect="1" noChangeArrowheads="1"/>
        </xdr:cNvPicPr>
      </xdr:nvPicPr>
      <xdr:blipFill>
        <a:blip xmlns:r="http://schemas.openxmlformats.org/officeDocument/2006/relationships" r:embed="rId63" cstate="print"/>
        <a:srcRect/>
        <a:stretch>
          <a:fillRect/>
        </a:stretch>
      </xdr:blipFill>
      <xdr:spPr bwMode="auto">
        <a:xfrm>
          <a:off x="13544550" y="34394775"/>
          <a:ext cx="790575" cy="838200"/>
        </a:xfrm>
        <a:prstGeom prst="rect">
          <a:avLst/>
        </a:prstGeom>
        <a:noFill/>
      </xdr:spPr>
    </xdr:pic>
    <xdr:clientData/>
  </xdr:twoCellAnchor>
  <xdr:twoCellAnchor editAs="oneCell">
    <xdr:from>
      <xdr:col>19</xdr:col>
      <xdr:colOff>200025</xdr:colOff>
      <xdr:row>212</xdr:row>
      <xdr:rowOff>0</xdr:rowOff>
    </xdr:from>
    <xdr:to>
      <xdr:col>20</xdr:col>
      <xdr:colOff>276225</xdr:colOff>
      <xdr:row>217</xdr:row>
      <xdr:rowOff>95250</xdr:rowOff>
    </xdr:to>
    <xdr:pic>
      <xdr:nvPicPr>
        <xdr:cNvPr id="479" name="Picture 12"/>
        <xdr:cNvPicPr>
          <a:picLocks noChangeAspect="1" noChangeArrowheads="1"/>
        </xdr:cNvPicPr>
      </xdr:nvPicPr>
      <xdr:blipFill>
        <a:blip xmlns:r="http://schemas.openxmlformats.org/officeDocument/2006/relationships" r:embed="rId64" cstate="print"/>
        <a:srcRect/>
        <a:stretch>
          <a:fillRect/>
        </a:stretch>
      </xdr:blipFill>
      <xdr:spPr bwMode="auto">
        <a:xfrm>
          <a:off x="11782425" y="34328100"/>
          <a:ext cx="685800" cy="904875"/>
        </a:xfrm>
        <a:prstGeom prst="rect">
          <a:avLst/>
        </a:prstGeom>
        <a:noFill/>
      </xdr:spPr>
    </xdr:pic>
    <xdr:clientData/>
  </xdr:twoCellAnchor>
  <xdr:twoCellAnchor>
    <xdr:from>
      <xdr:col>20</xdr:col>
      <xdr:colOff>16119</xdr:colOff>
      <xdr:row>217</xdr:row>
      <xdr:rowOff>117532</xdr:rowOff>
    </xdr:from>
    <xdr:to>
      <xdr:col>20</xdr:col>
      <xdr:colOff>241315</xdr:colOff>
      <xdr:row>219</xdr:row>
      <xdr:rowOff>40023</xdr:rowOff>
    </xdr:to>
    <xdr:sp macro="" textlink="">
      <xdr:nvSpPr>
        <xdr:cNvPr id="480" name="Стрелка вверх 479"/>
        <xdr:cNvSpPr/>
      </xdr:nvSpPr>
      <xdr:spPr>
        <a:xfrm>
          <a:off x="12208119" y="35255257"/>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19</xdr:col>
      <xdr:colOff>68754</xdr:colOff>
      <xdr:row>217</xdr:row>
      <xdr:rowOff>129061</xdr:rowOff>
    </xdr:from>
    <xdr:to>
      <xdr:col>19</xdr:col>
      <xdr:colOff>310892</xdr:colOff>
      <xdr:row>219</xdr:row>
      <xdr:rowOff>31140</xdr:rowOff>
    </xdr:to>
    <xdr:sp macro="" textlink="">
      <xdr:nvSpPr>
        <xdr:cNvPr id="481" name="Стрелка вверх 480"/>
        <xdr:cNvSpPr/>
      </xdr:nvSpPr>
      <xdr:spPr>
        <a:xfrm rot="2700000">
          <a:off x="11659258" y="35258682"/>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20</xdr:col>
      <xdr:colOff>276467</xdr:colOff>
      <xdr:row>217</xdr:row>
      <xdr:rowOff>120860</xdr:rowOff>
    </xdr:from>
    <xdr:to>
      <xdr:col>21</xdr:col>
      <xdr:colOff>175807</xdr:colOff>
      <xdr:row>219</xdr:row>
      <xdr:rowOff>43351</xdr:rowOff>
    </xdr:to>
    <xdr:sp macro="" textlink="">
      <xdr:nvSpPr>
        <xdr:cNvPr id="482" name="Стрелка вверх 481"/>
        <xdr:cNvSpPr/>
      </xdr:nvSpPr>
      <xdr:spPr>
        <a:xfrm rot="18900000">
          <a:off x="12468467" y="35258585"/>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19</xdr:col>
      <xdr:colOff>0</xdr:colOff>
      <xdr:row>215</xdr:row>
      <xdr:rowOff>153539</xdr:rowOff>
    </xdr:from>
    <xdr:to>
      <xdr:col>19</xdr:col>
      <xdr:colOff>248540</xdr:colOff>
      <xdr:row>217</xdr:row>
      <xdr:rowOff>54151</xdr:rowOff>
    </xdr:to>
    <xdr:sp macro="" textlink="">
      <xdr:nvSpPr>
        <xdr:cNvPr id="483" name="Стрелка вверх 482"/>
        <xdr:cNvSpPr/>
      </xdr:nvSpPr>
      <xdr:spPr>
        <a:xfrm rot="5400000">
          <a:off x="11594439" y="34955375"/>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14986</xdr:colOff>
      <xdr:row>215</xdr:row>
      <xdr:rowOff>149470</xdr:rowOff>
    </xdr:from>
    <xdr:to>
      <xdr:col>21</xdr:col>
      <xdr:colOff>262060</xdr:colOff>
      <xdr:row>217</xdr:row>
      <xdr:rowOff>50082</xdr:rowOff>
    </xdr:to>
    <xdr:sp macro="" textlink="">
      <xdr:nvSpPr>
        <xdr:cNvPr id="484" name="Стрелка вверх 483"/>
        <xdr:cNvSpPr/>
      </xdr:nvSpPr>
      <xdr:spPr>
        <a:xfrm rot="16200000">
          <a:off x="12827892" y="34952039"/>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44693</xdr:colOff>
      <xdr:row>217</xdr:row>
      <xdr:rowOff>117531</xdr:rowOff>
    </xdr:from>
    <xdr:to>
      <xdr:col>23</xdr:col>
      <xdr:colOff>269889</xdr:colOff>
      <xdr:row>219</xdr:row>
      <xdr:rowOff>40022</xdr:rowOff>
    </xdr:to>
    <xdr:sp macro="" textlink="">
      <xdr:nvSpPr>
        <xdr:cNvPr id="485" name="Стрелка вверх 484"/>
        <xdr:cNvSpPr/>
      </xdr:nvSpPr>
      <xdr:spPr>
        <a:xfrm>
          <a:off x="14065493" y="35255256"/>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22</xdr:col>
      <xdr:colOff>97328</xdr:colOff>
      <xdr:row>217</xdr:row>
      <xdr:rowOff>129060</xdr:rowOff>
    </xdr:from>
    <xdr:to>
      <xdr:col>23</xdr:col>
      <xdr:colOff>15616</xdr:colOff>
      <xdr:row>219</xdr:row>
      <xdr:rowOff>31139</xdr:rowOff>
    </xdr:to>
    <xdr:sp macro="" textlink="">
      <xdr:nvSpPr>
        <xdr:cNvPr id="486" name="Стрелка вверх 485"/>
        <xdr:cNvSpPr/>
      </xdr:nvSpPr>
      <xdr:spPr>
        <a:xfrm rot="2700000">
          <a:off x="13659507" y="35115806"/>
          <a:ext cx="225929" cy="52788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305041</xdr:colOff>
      <xdr:row>217</xdr:row>
      <xdr:rowOff>120859</xdr:rowOff>
    </xdr:from>
    <xdr:to>
      <xdr:col>24</xdr:col>
      <xdr:colOff>204381</xdr:colOff>
      <xdr:row>219</xdr:row>
      <xdr:rowOff>43350</xdr:rowOff>
    </xdr:to>
    <xdr:sp macro="" textlink="">
      <xdr:nvSpPr>
        <xdr:cNvPr id="487" name="Стрелка вверх 486"/>
        <xdr:cNvSpPr/>
      </xdr:nvSpPr>
      <xdr:spPr>
        <a:xfrm rot="18900000">
          <a:off x="14325841" y="35258584"/>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22</xdr:col>
      <xdr:colOff>28574</xdr:colOff>
      <xdr:row>215</xdr:row>
      <xdr:rowOff>153538</xdr:rowOff>
    </xdr:from>
    <xdr:to>
      <xdr:col>22</xdr:col>
      <xdr:colOff>277114</xdr:colOff>
      <xdr:row>217</xdr:row>
      <xdr:rowOff>54150</xdr:rowOff>
    </xdr:to>
    <xdr:sp macro="" textlink="">
      <xdr:nvSpPr>
        <xdr:cNvPr id="488" name="Стрелка вверх 487"/>
        <xdr:cNvSpPr/>
      </xdr:nvSpPr>
      <xdr:spPr>
        <a:xfrm rot="5400000">
          <a:off x="13451813" y="34955374"/>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24</xdr:col>
      <xdr:colOff>43560</xdr:colOff>
      <xdr:row>215</xdr:row>
      <xdr:rowOff>149469</xdr:rowOff>
    </xdr:from>
    <xdr:to>
      <xdr:col>24</xdr:col>
      <xdr:colOff>290634</xdr:colOff>
      <xdr:row>217</xdr:row>
      <xdr:rowOff>50081</xdr:rowOff>
    </xdr:to>
    <xdr:sp macro="" textlink="">
      <xdr:nvSpPr>
        <xdr:cNvPr id="489" name="Стрелка вверх 488"/>
        <xdr:cNvSpPr/>
      </xdr:nvSpPr>
      <xdr:spPr>
        <a:xfrm rot="16200000">
          <a:off x="14685266" y="34952038"/>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15</xdr:col>
      <xdr:colOff>0</xdr:colOff>
      <xdr:row>207</xdr:row>
      <xdr:rowOff>0</xdr:rowOff>
    </xdr:from>
    <xdr:to>
      <xdr:col>17</xdr:col>
      <xdr:colOff>0</xdr:colOff>
      <xdr:row>210</xdr:row>
      <xdr:rowOff>66675</xdr:rowOff>
    </xdr:to>
    <xdr:pic>
      <xdr:nvPicPr>
        <xdr:cNvPr id="490" name="Picture 16"/>
        <xdr:cNvPicPr>
          <a:picLocks noChangeAspect="1" noChangeArrowheads="1"/>
        </xdr:cNvPicPr>
      </xdr:nvPicPr>
      <xdr:blipFill>
        <a:blip xmlns:r="http://schemas.openxmlformats.org/officeDocument/2006/relationships" r:embed="rId65" cstate="print"/>
        <a:srcRect/>
        <a:stretch>
          <a:fillRect/>
        </a:stretch>
      </xdr:blipFill>
      <xdr:spPr bwMode="auto">
        <a:xfrm>
          <a:off x="9144000" y="33518475"/>
          <a:ext cx="1219200" cy="552450"/>
        </a:xfrm>
        <a:prstGeom prst="rect">
          <a:avLst/>
        </a:prstGeom>
        <a:noFill/>
      </xdr:spPr>
    </xdr:pic>
    <xdr:clientData/>
  </xdr:twoCellAnchor>
  <xdr:twoCellAnchor>
    <xdr:from>
      <xdr:col>16</xdr:col>
      <xdr:colOff>35169</xdr:colOff>
      <xdr:row>210</xdr:row>
      <xdr:rowOff>98482</xdr:rowOff>
    </xdr:from>
    <xdr:to>
      <xdr:col>16</xdr:col>
      <xdr:colOff>260365</xdr:colOff>
      <xdr:row>212</xdr:row>
      <xdr:rowOff>20973</xdr:rowOff>
    </xdr:to>
    <xdr:sp macro="" textlink="">
      <xdr:nvSpPr>
        <xdr:cNvPr id="491" name="Стрелка вверх 490"/>
        <xdr:cNvSpPr/>
      </xdr:nvSpPr>
      <xdr:spPr>
        <a:xfrm>
          <a:off x="9788769" y="34102732"/>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15</xdr:col>
      <xdr:colOff>87804</xdr:colOff>
      <xdr:row>210</xdr:row>
      <xdr:rowOff>110011</xdr:rowOff>
    </xdr:from>
    <xdr:to>
      <xdr:col>16</xdr:col>
      <xdr:colOff>6092</xdr:colOff>
      <xdr:row>212</xdr:row>
      <xdr:rowOff>12090</xdr:rowOff>
    </xdr:to>
    <xdr:sp macro="" textlink="">
      <xdr:nvSpPr>
        <xdr:cNvPr id="492" name="Стрелка вверх 491"/>
        <xdr:cNvSpPr/>
      </xdr:nvSpPr>
      <xdr:spPr>
        <a:xfrm rot="2700000">
          <a:off x="9382783" y="33963282"/>
          <a:ext cx="225929" cy="52788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16</xdr:col>
      <xdr:colOff>295517</xdr:colOff>
      <xdr:row>210</xdr:row>
      <xdr:rowOff>101810</xdr:rowOff>
    </xdr:from>
    <xdr:to>
      <xdr:col>17</xdr:col>
      <xdr:colOff>194857</xdr:colOff>
      <xdr:row>212</xdr:row>
      <xdr:rowOff>24301</xdr:rowOff>
    </xdr:to>
    <xdr:sp macro="" textlink="">
      <xdr:nvSpPr>
        <xdr:cNvPr id="493" name="Стрелка вверх 492"/>
        <xdr:cNvSpPr/>
      </xdr:nvSpPr>
      <xdr:spPr>
        <a:xfrm rot="18900000">
          <a:off x="10049117" y="34106060"/>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34036</xdr:colOff>
      <xdr:row>208</xdr:row>
      <xdr:rowOff>130420</xdr:rowOff>
    </xdr:from>
    <xdr:to>
      <xdr:col>17</xdr:col>
      <xdr:colOff>281110</xdr:colOff>
      <xdr:row>210</xdr:row>
      <xdr:rowOff>31032</xdr:rowOff>
    </xdr:to>
    <xdr:sp macro="" textlink="">
      <xdr:nvSpPr>
        <xdr:cNvPr id="494" name="Стрелка вверх 493"/>
        <xdr:cNvSpPr/>
      </xdr:nvSpPr>
      <xdr:spPr>
        <a:xfrm rot="16200000">
          <a:off x="10408542" y="33799514"/>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4</xdr:col>
      <xdr:colOff>180975</xdr:colOff>
      <xdr:row>222</xdr:row>
      <xdr:rowOff>19050</xdr:rowOff>
    </xdr:from>
    <xdr:to>
      <xdr:col>5</xdr:col>
      <xdr:colOff>247650</xdr:colOff>
      <xdr:row>225</xdr:row>
      <xdr:rowOff>57149</xdr:rowOff>
    </xdr:to>
    <xdr:pic>
      <xdr:nvPicPr>
        <xdr:cNvPr id="495" name="Picture 22"/>
        <xdr:cNvPicPr>
          <a:picLocks noChangeAspect="1" noChangeArrowheads="1"/>
        </xdr:cNvPicPr>
      </xdr:nvPicPr>
      <xdr:blipFill>
        <a:blip xmlns:r="http://schemas.openxmlformats.org/officeDocument/2006/relationships" r:embed="rId66" cstate="print"/>
        <a:srcRect/>
        <a:stretch>
          <a:fillRect/>
        </a:stretch>
      </xdr:blipFill>
      <xdr:spPr bwMode="auto">
        <a:xfrm>
          <a:off x="2619375" y="35966400"/>
          <a:ext cx="676275" cy="523875"/>
        </a:xfrm>
        <a:prstGeom prst="rect">
          <a:avLst/>
        </a:prstGeom>
        <a:noFill/>
      </xdr:spPr>
    </xdr:pic>
    <xdr:clientData/>
  </xdr:twoCellAnchor>
  <xdr:twoCellAnchor editAs="oneCell">
    <xdr:from>
      <xdr:col>1</xdr:col>
      <xdr:colOff>47625</xdr:colOff>
      <xdr:row>220</xdr:row>
      <xdr:rowOff>0</xdr:rowOff>
    </xdr:from>
    <xdr:to>
      <xdr:col>3</xdr:col>
      <xdr:colOff>200025</xdr:colOff>
      <xdr:row>225</xdr:row>
      <xdr:rowOff>66675</xdr:rowOff>
    </xdr:to>
    <xdr:pic>
      <xdr:nvPicPr>
        <xdr:cNvPr id="496" name="Picture 20"/>
        <xdr:cNvPicPr>
          <a:picLocks noChangeAspect="1" noChangeArrowheads="1"/>
        </xdr:cNvPicPr>
      </xdr:nvPicPr>
      <xdr:blipFill>
        <a:blip xmlns:r="http://schemas.openxmlformats.org/officeDocument/2006/relationships" r:embed="rId67" cstate="print"/>
        <a:srcRect/>
        <a:stretch>
          <a:fillRect/>
        </a:stretch>
      </xdr:blipFill>
      <xdr:spPr bwMode="auto">
        <a:xfrm>
          <a:off x="657225" y="35623500"/>
          <a:ext cx="1371600" cy="876300"/>
        </a:xfrm>
        <a:prstGeom prst="rect">
          <a:avLst/>
        </a:prstGeom>
        <a:noFill/>
      </xdr:spPr>
    </xdr:pic>
    <xdr:clientData/>
  </xdr:twoCellAnchor>
  <xdr:twoCellAnchor>
    <xdr:from>
      <xdr:col>2</xdr:col>
      <xdr:colOff>16119</xdr:colOff>
      <xdr:row>225</xdr:row>
      <xdr:rowOff>88957</xdr:rowOff>
    </xdr:from>
    <xdr:to>
      <xdr:col>2</xdr:col>
      <xdr:colOff>241315</xdr:colOff>
      <xdr:row>227</xdr:row>
      <xdr:rowOff>11448</xdr:rowOff>
    </xdr:to>
    <xdr:sp macro="" textlink="">
      <xdr:nvSpPr>
        <xdr:cNvPr id="497" name="Стрелка вверх 496"/>
        <xdr:cNvSpPr/>
      </xdr:nvSpPr>
      <xdr:spPr>
        <a:xfrm>
          <a:off x="1235319" y="36522082"/>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68754</xdr:colOff>
      <xdr:row>225</xdr:row>
      <xdr:rowOff>100486</xdr:rowOff>
    </xdr:from>
    <xdr:to>
      <xdr:col>1</xdr:col>
      <xdr:colOff>310892</xdr:colOff>
      <xdr:row>227</xdr:row>
      <xdr:rowOff>2565</xdr:rowOff>
    </xdr:to>
    <xdr:sp macro="" textlink="">
      <xdr:nvSpPr>
        <xdr:cNvPr id="498" name="Стрелка вверх 497"/>
        <xdr:cNvSpPr/>
      </xdr:nvSpPr>
      <xdr:spPr>
        <a:xfrm rot="2700000">
          <a:off x="686458" y="36525507"/>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276467</xdr:colOff>
      <xdr:row>225</xdr:row>
      <xdr:rowOff>92285</xdr:rowOff>
    </xdr:from>
    <xdr:to>
      <xdr:col>3</xdr:col>
      <xdr:colOff>175807</xdr:colOff>
      <xdr:row>227</xdr:row>
      <xdr:rowOff>14776</xdr:rowOff>
    </xdr:to>
    <xdr:sp macro="" textlink="">
      <xdr:nvSpPr>
        <xdr:cNvPr id="499" name="Стрелка вверх 498"/>
        <xdr:cNvSpPr/>
      </xdr:nvSpPr>
      <xdr:spPr>
        <a:xfrm rot="18900000">
          <a:off x="1495667" y="36525410"/>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0</xdr:colOff>
      <xdr:row>223</xdr:row>
      <xdr:rowOff>124964</xdr:rowOff>
    </xdr:from>
    <xdr:to>
      <xdr:col>1</xdr:col>
      <xdr:colOff>248540</xdr:colOff>
      <xdr:row>225</xdr:row>
      <xdr:rowOff>25576</xdr:rowOff>
    </xdr:to>
    <xdr:sp macro="" textlink="">
      <xdr:nvSpPr>
        <xdr:cNvPr id="500" name="Стрелка вверх 499"/>
        <xdr:cNvSpPr/>
      </xdr:nvSpPr>
      <xdr:spPr>
        <a:xfrm rot="5400000">
          <a:off x="621639" y="36222200"/>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14986</xdr:colOff>
      <xdr:row>223</xdr:row>
      <xdr:rowOff>120895</xdr:rowOff>
    </xdr:from>
    <xdr:to>
      <xdr:col>3</xdr:col>
      <xdr:colOff>262060</xdr:colOff>
      <xdr:row>225</xdr:row>
      <xdr:rowOff>21507</xdr:rowOff>
    </xdr:to>
    <xdr:sp macro="" textlink="">
      <xdr:nvSpPr>
        <xdr:cNvPr id="501" name="Стрелка вверх 500"/>
        <xdr:cNvSpPr/>
      </xdr:nvSpPr>
      <xdr:spPr>
        <a:xfrm rot="16200000">
          <a:off x="1855092" y="36218864"/>
          <a:ext cx="224462"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4</xdr:col>
      <xdr:colOff>301869</xdr:colOff>
      <xdr:row>225</xdr:row>
      <xdr:rowOff>88957</xdr:rowOff>
    </xdr:from>
    <xdr:to>
      <xdr:col>5</xdr:col>
      <xdr:colOff>203215</xdr:colOff>
      <xdr:row>227</xdr:row>
      <xdr:rowOff>11448</xdr:rowOff>
    </xdr:to>
    <xdr:sp macro="" textlink="">
      <xdr:nvSpPr>
        <xdr:cNvPr id="502" name="Стрелка вверх 501"/>
        <xdr:cNvSpPr/>
      </xdr:nvSpPr>
      <xdr:spPr>
        <a:xfrm>
          <a:off x="2740269" y="36522082"/>
          <a:ext cx="51094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4</xdr:col>
      <xdr:colOff>30654</xdr:colOff>
      <xdr:row>225</xdr:row>
      <xdr:rowOff>100486</xdr:rowOff>
    </xdr:from>
    <xdr:to>
      <xdr:col>4</xdr:col>
      <xdr:colOff>272792</xdr:colOff>
      <xdr:row>227</xdr:row>
      <xdr:rowOff>2565</xdr:rowOff>
    </xdr:to>
    <xdr:sp macro="" textlink="">
      <xdr:nvSpPr>
        <xdr:cNvPr id="503" name="Стрелка вверх 502"/>
        <xdr:cNvSpPr/>
      </xdr:nvSpPr>
      <xdr:spPr>
        <a:xfrm rot="2700000">
          <a:off x="2477158" y="36525507"/>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5</xdr:col>
      <xdr:colOff>238367</xdr:colOff>
      <xdr:row>225</xdr:row>
      <xdr:rowOff>92285</xdr:rowOff>
    </xdr:from>
    <xdr:to>
      <xdr:col>6</xdr:col>
      <xdr:colOff>137707</xdr:colOff>
      <xdr:row>227</xdr:row>
      <xdr:rowOff>14776</xdr:rowOff>
    </xdr:to>
    <xdr:sp macro="" textlink="">
      <xdr:nvSpPr>
        <xdr:cNvPr id="504" name="Стрелка вверх 503"/>
        <xdr:cNvSpPr/>
      </xdr:nvSpPr>
      <xdr:spPr>
        <a:xfrm rot="18900000">
          <a:off x="3286367" y="36525410"/>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285750</xdr:colOff>
      <xdr:row>223</xdr:row>
      <xdr:rowOff>124964</xdr:rowOff>
    </xdr:from>
    <xdr:to>
      <xdr:col>4</xdr:col>
      <xdr:colOff>210440</xdr:colOff>
      <xdr:row>225</xdr:row>
      <xdr:rowOff>25576</xdr:rowOff>
    </xdr:to>
    <xdr:sp macro="" textlink="">
      <xdr:nvSpPr>
        <xdr:cNvPr id="505" name="Стрелка вверх 504"/>
        <xdr:cNvSpPr/>
      </xdr:nvSpPr>
      <xdr:spPr>
        <a:xfrm rot="5400000">
          <a:off x="2269464" y="36079325"/>
          <a:ext cx="224462" cy="53429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5</xdr:col>
      <xdr:colOff>300736</xdr:colOff>
      <xdr:row>223</xdr:row>
      <xdr:rowOff>120895</xdr:rowOff>
    </xdr:from>
    <xdr:to>
      <xdr:col>6</xdr:col>
      <xdr:colOff>223960</xdr:colOff>
      <xdr:row>225</xdr:row>
      <xdr:rowOff>21507</xdr:rowOff>
    </xdr:to>
    <xdr:sp macro="" textlink="">
      <xdr:nvSpPr>
        <xdr:cNvPr id="506" name="Стрелка вверх 505"/>
        <xdr:cNvSpPr/>
      </xdr:nvSpPr>
      <xdr:spPr>
        <a:xfrm rot="16200000">
          <a:off x="3502917" y="36075989"/>
          <a:ext cx="224462" cy="53282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10</xdr:col>
      <xdr:colOff>276225</xdr:colOff>
      <xdr:row>220</xdr:row>
      <xdr:rowOff>0</xdr:rowOff>
    </xdr:from>
    <xdr:to>
      <xdr:col>12</xdr:col>
      <xdr:colOff>266700</xdr:colOff>
      <xdr:row>225</xdr:row>
      <xdr:rowOff>133350</xdr:rowOff>
    </xdr:to>
    <xdr:pic>
      <xdr:nvPicPr>
        <xdr:cNvPr id="507" name="Picture 24"/>
        <xdr:cNvPicPr>
          <a:picLocks noChangeAspect="1" noChangeArrowheads="1"/>
        </xdr:cNvPicPr>
      </xdr:nvPicPr>
      <xdr:blipFill>
        <a:blip xmlns:r="http://schemas.openxmlformats.org/officeDocument/2006/relationships" r:embed="rId68" cstate="print"/>
        <a:srcRect/>
        <a:stretch>
          <a:fillRect/>
        </a:stretch>
      </xdr:blipFill>
      <xdr:spPr bwMode="auto">
        <a:xfrm>
          <a:off x="6372225" y="35623500"/>
          <a:ext cx="1209675" cy="942975"/>
        </a:xfrm>
        <a:prstGeom prst="rect">
          <a:avLst/>
        </a:prstGeom>
        <a:noFill/>
      </xdr:spPr>
    </xdr:pic>
    <xdr:clientData/>
  </xdr:twoCellAnchor>
  <xdr:twoCellAnchor>
    <xdr:from>
      <xdr:col>11</xdr:col>
      <xdr:colOff>16119</xdr:colOff>
      <xdr:row>225</xdr:row>
      <xdr:rowOff>155632</xdr:rowOff>
    </xdr:from>
    <xdr:to>
      <xdr:col>11</xdr:col>
      <xdr:colOff>241315</xdr:colOff>
      <xdr:row>227</xdr:row>
      <xdr:rowOff>78123</xdr:rowOff>
    </xdr:to>
    <xdr:sp macro="" textlink="">
      <xdr:nvSpPr>
        <xdr:cNvPr id="508" name="Стрелка вверх 507"/>
        <xdr:cNvSpPr/>
      </xdr:nvSpPr>
      <xdr:spPr>
        <a:xfrm>
          <a:off x="6721719" y="36588757"/>
          <a:ext cx="225196"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10</xdr:col>
      <xdr:colOff>68754</xdr:colOff>
      <xdr:row>226</xdr:row>
      <xdr:rowOff>5236</xdr:rowOff>
    </xdr:from>
    <xdr:to>
      <xdr:col>10</xdr:col>
      <xdr:colOff>310892</xdr:colOff>
      <xdr:row>227</xdr:row>
      <xdr:rowOff>69240</xdr:rowOff>
    </xdr:to>
    <xdr:sp macro="" textlink="">
      <xdr:nvSpPr>
        <xdr:cNvPr id="509" name="Стрелка вверх 508"/>
        <xdr:cNvSpPr/>
      </xdr:nvSpPr>
      <xdr:spPr>
        <a:xfrm rot="2700000">
          <a:off x="6172858" y="36592182"/>
          <a:ext cx="225929" cy="24213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276467</xdr:colOff>
      <xdr:row>225</xdr:row>
      <xdr:rowOff>158960</xdr:rowOff>
    </xdr:from>
    <xdr:to>
      <xdr:col>12</xdr:col>
      <xdr:colOff>175807</xdr:colOff>
      <xdr:row>227</xdr:row>
      <xdr:rowOff>81451</xdr:rowOff>
    </xdr:to>
    <xdr:sp macro="" textlink="">
      <xdr:nvSpPr>
        <xdr:cNvPr id="510" name="Стрелка вверх 509"/>
        <xdr:cNvSpPr/>
      </xdr:nvSpPr>
      <xdr:spPr>
        <a:xfrm rot="18900000">
          <a:off x="6982067" y="36592085"/>
          <a:ext cx="50894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10</xdr:col>
      <xdr:colOff>0</xdr:colOff>
      <xdr:row>224</xdr:row>
      <xdr:rowOff>29714</xdr:rowOff>
    </xdr:from>
    <xdr:to>
      <xdr:col>10</xdr:col>
      <xdr:colOff>248540</xdr:colOff>
      <xdr:row>225</xdr:row>
      <xdr:rowOff>92251</xdr:rowOff>
    </xdr:to>
    <xdr:sp macro="" textlink="">
      <xdr:nvSpPr>
        <xdr:cNvPr id="511" name="Стрелка вверх 510"/>
        <xdr:cNvSpPr/>
      </xdr:nvSpPr>
      <xdr:spPr>
        <a:xfrm rot="5400000">
          <a:off x="6108039" y="36288875"/>
          <a:ext cx="224462" cy="24854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20</xdr:col>
      <xdr:colOff>0</xdr:colOff>
      <xdr:row>207</xdr:row>
      <xdr:rowOff>12420</xdr:rowOff>
    </xdr:from>
    <xdr:to>
      <xdr:col>22</xdr:col>
      <xdr:colOff>237297</xdr:colOff>
      <xdr:row>210</xdr:row>
      <xdr:rowOff>58390</xdr:rowOff>
    </xdr:to>
    <xdr:pic>
      <xdr:nvPicPr>
        <xdr:cNvPr id="512" name="Picture 26"/>
        <xdr:cNvPicPr>
          <a:picLocks noChangeAspect="1" noChangeArrowheads="1"/>
        </xdr:cNvPicPr>
      </xdr:nvPicPr>
      <xdr:blipFill>
        <a:blip xmlns:r="http://schemas.openxmlformats.org/officeDocument/2006/relationships" r:embed="rId69" cstate="print"/>
        <a:srcRect/>
        <a:stretch>
          <a:fillRect/>
        </a:stretch>
      </xdr:blipFill>
      <xdr:spPr bwMode="auto">
        <a:xfrm>
          <a:off x="12192000" y="33530895"/>
          <a:ext cx="1513647" cy="531745"/>
        </a:xfrm>
        <a:prstGeom prst="rect">
          <a:avLst/>
        </a:prstGeom>
        <a:noFill/>
      </xdr:spPr>
    </xdr:pic>
    <xdr:clientData/>
  </xdr:twoCellAnchor>
  <xdr:twoCellAnchor>
    <xdr:from>
      <xdr:col>20</xdr:col>
      <xdr:colOff>56322</xdr:colOff>
      <xdr:row>210</xdr:row>
      <xdr:rowOff>97471</xdr:rowOff>
    </xdr:from>
    <xdr:to>
      <xdr:col>20</xdr:col>
      <xdr:colOff>299925</xdr:colOff>
      <xdr:row>211</xdr:row>
      <xdr:rowOff>161475</xdr:rowOff>
    </xdr:to>
    <xdr:sp macro="" textlink="">
      <xdr:nvSpPr>
        <xdr:cNvPr id="513" name="Стрелка вверх 512"/>
        <xdr:cNvSpPr/>
      </xdr:nvSpPr>
      <xdr:spPr>
        <a:xfrm rot="2700000">
          <a:off x="12257159" y="34092884"/>
          <a:ext cx="225929"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308633</xdr:colOff>
      <xdr:row>210</xdr:row>
      <xdr:rowOff>89271</xdr:rowOff>
    </xdr:from>
    <xdr:to>
      <xdr:col>22</xdr:col>
      <xdr:colOff>207336</xdr:colOff>
      <xdr:row>212</xdr:row>
      <xdr:rowOff>12492</xdr:rowOff>
    </xdr:to>
    <xdr:sp macro="" textlink="">
      <xdr:nvSpPr>
        <xdr:cNvPr id="514" name="Стрелка вверх 513"/>
        <xdr:cNvSpPr/>
      </xdr:nvSpPr>
      <xdr:spPr>
        <a:xfrm rot="18900000">
          <a:off x="13110233" y="34093521"/>
          <a:ext cx="508303" cy="24707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30108</xdr:colOff>
      <xdr:row>207</xdr:row>
      <xdr:rowOff>0</xdr:rowOff>
    </xdr:from>
    <xdr:to>
      <xdr:col>21</xdr:col>
      <xdr:colOff>255304</xdr:colOff>
      <xdr:row>208</xdr:row>
      <xdr:rowOff>84417</xdr:rowOff>
    </xdr:to>
    <xdr:sp macro="" textlink="">
      <xdr:nvSpPr>
        <xdr:cNvPr id="515" name="Стрелка вверх 514"/>
        <xdr:cNvSpPr/>
      </xdr:nvSpPr>
      <xdr:spPr>
        <a:xfrm rot="10800000">
          <a:off x="12831708" y="33518475"/>
          <a:ext cx="225196" cy="24634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20</xdr:col>
      <xdr:colOff>89319</xdr:colOff>
      <xdr:row>207</xdr:row>
      <xdr:rowOff>4954</xdr:rowOff>
    </xdr:from>
    <xdr:to>
      <xdr:col>20</xdr:col>
      <xdr:colOff>318943</xdr:colOff>
      <xdr:row>208</xdr:row>
      <xdr:rowOff>82110</xdr:rowOff>
    </xdr:to>
    <xdr:sp macro="" textlink="">
      <xdr:nvSpPr>
        <xdr:cNvPr id="516" name="Стрелка вверх 515"/>
        <xdr:cNvSpPr/>
      </xdr:nvSpPr>
      <xdr:spPr>
        <a:xfrm rot="8100000">
          <a:off x="12281319" y="33523429"/>
          <a:ext cx="229624" cy="23908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282961</xdr:colOff>
      <xdr:row>207</xdr:row>
      <xdr:rowOff>16180</xdr:rowOff>
    </xdr:from>
    <xdr:to>
      <xdr:col>22</xdr:col>
      <xdr:colOff>209976</xdr:colOff>
      <xdr:row>208</xdr:row>
      <xdr:rowOff>74894</xdr:rowOff>
    </xdr:to>
    <xdr:sp macro="" textlink="">
      <xdr:nvSpPr>
        <xdr:cNvPr id="517" name="Стрелка вверх 516"/>
        <xdr:cNvSpPr/>
      </xdr:nvSpPr>
      <xdr:spPr>
        <a:xfrm rot="13500000">
          <a:off x="13242549" y="33376667"/>
          <a:ext cx="220639" cy="53661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28643</xdr:colOff>
      <xdr:row>210</xdr:row>
      <xdr:rowOff>86774</xdr:rowOff>
    </xdr:from>
    <xdr:to>
      <xdr:col>21</xdr:col>
      <xdr:colOff>253839</xdr:colOff>
      <xdr:row>212</xdr:row>
      <xdr:rowOff>9996</xdr:rowOff>
    </xdr:to>
    <xdr:sp macro="" textlink="">
      <xdr:nvSpPr>
        <xdr:cNvPr id="518" name="Стрелка вверх 517"/>
        <xdr:cNvSpPr/>
      </xdr:nvSpPr>
      <xdr:spPr>
        <a:xfrm>
          <a:off x="12830243" y="34091024"/>
          <a:ext cx="225196"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16</xdr:col>
      <xdr:colOff>149086</xdr:colOff>
      <xdr:row>220</xdr:row>
      <xdr:rowOff>0</xdr:rowOff>
    </xdr:from>
    <xdr:to>
      <xdr:col>17</xdr:col>
      <xdr:colOff>274567</xdr:colOff>
      <xdr:row>227</xdr:row>
      <xdr:rowOff>81171</xdr:rowOff>
    </xdr:to>
    <xdr:pic>
      <xdr:nvPicPr>
        <xdr:cNvPr id="519" name="Picture 28"/>
        <xdr:cNvPicPr>
          <a:picLocks noChangeAspect="1" noChangeArrowheads="1"/>
        </xdr:cNvPicPr>
      </xdr:nvPicPr>
      <xdr:blipFill>
        <a:blip xmlns:r="http://schemas.openxmlformats.org/officeDocument/2006/relationships" r:embed="rId70" cstate="print"/>
        <a:srcRect/>
        <a:stretch>
          <a:fillRect/>
        </a:stretch>
      </xdr:blipFill>
      <xdr:spPr bwMode="auto">
        <a:xfrm>
          <a:off x="9902686" y="35623500"/>
          <a:ext cx="735081" cy="1214645"/>
        </a:xfrm>
        <a:prstGeom prst="rect">
          <a:avLst/>
        </a:prstGeom>
        <a:noFill/>
      </xdr:spPr>
    </xdr:pic>
    <xdr:clientData/>
  </xdr:twoCellAnchor>
  <xdr:twoCellAnchor>
    <xdr:from>
      <xdr:col>16</xdr:col>
      <xdr:colOff>37372</xdr:colOff>
      <xdr:row>226</xdr:row>
      <xdr:rowOff>9694</xdr:rowOff>
    </xdr:from>
    <xdr:to>
      <xdr:col>16</xdr:col>
      <xdr:colOff>280975</xdr:colOff>
      <xdr:row>227</xdr:row>
      <xdr:rowOff>77426</xdr:rowOff>
    </xdr:to>
    <xdr:sp macro="" textlink="">
      <xdr:nvSpPr>
        <xdr:cNvPr id="520" name="Стрелка вверх 519"/>
        <xdr:cNvSpPr/>
      </xdr:nvSpPr>
      <xdr:spPr>
        <a:xfrm rot="2700000">
          <a:off x="9797945" y="36597771"/>
          <a:ext cx="229657"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290512</xdr:colOff>
      <xdr:row>226</xdr:row>
      <xdr:rowOff>1494</xdr:rowOff>
    </xdr:from>
    <xdr:to>
      <xdr:col>18</xdr:col>
      <xdr:colOff>188387</xdr:colOff>
      <xdr:row>227</xdr:row>
      <xdr:rowOff>90369</xdr:rowOff>
    </xdr:to>
    <xdr:sp macro="" textlink="">
      <xdr:nvSpPr>
        <xdr:cNvPr id="521" name="Стрелка вверх 520"/>
        <xdr:cNvSpPr/>
      </xdr:nvSpPr>
      <xdr:spPr>
        <a:xfrm rot="18900000">
          <a:off x="10653712" y="36596544"/>
          <a:ext cx="507475" cy="25080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16</xdr:col>
      <xdr:colOff>70369</xdr:colOff>
      <xdr:row>221</xdr:row>
      <xdr:rowOff>149086</xdr:rowOff>
    </xdr:from>
    <xdr:to>
      <xdr:col>16</xdr:col>
      <xdr:colOff>300821</xdr:colOff>
      <xdr:row>223</xdr:row>
      <xdr:rowOff>64317</xdr:rowOff>
    </xdr:to>
    <xdr:sp macro="" textlink="">
      <xdr:nvSpPr>
        <xdr:cNvPr id="522" name="Стрелка вверх 521"/>
        <xdr:cNvSpPr/>
      </xdr:nvSpPr>
      <xdr:spPr>
        <a:xfrm rot="8100000">
          <a:off x="9823969" y="35934511"/>
          <a:ext cx="230452" cy="23908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264011</xdr:colOff>
      <xdr:row>221</xdr:row>
      <xdr:rowOff>160312</xdr:rowOff>
    </xdr:from>
    <xdr:to>
      <xdr:col>18</xdr:col>
      <xdr:colOff>191027</xdr:colOff>
      <xdr:row>223</xdr:row>
      <xdr:rowOff>57101</xdr:rowOff>
    </xdr:to>
    <xdr:sp macro="" textlink="">
      <xdr:nvSpPr>
        <xdr:cNvPr id="523" name="Стрелка вверх 522"/>
        <xdr:cNvSpPr/>
      </xdr:nvSpPr>
      <xdr:spPr>
        <a:xfrm rot="13500000">
          <a:off x="10785199" y="35787749"/>
          <a:ext cx="220639" cy="53661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306598</xdr:colOff>
      <xdr:row>224</xdr:row>
      <xdr:rowOff>5821</xdr:rowOff>
    </xdr:from>
    <xdr:to>
      <xdr:col>18</xdr:col>
      <xdr:colOff>229823</xdr:colOff>
      <xdr:row>225</xdr:row>
      <xdr:rowOff>72086</xdr:rowOff>
    </xdr:to>
    <xdr:sp macro="" textlink="">
      <xdr:nvSpPr>
        <xdr:cNvPr id="524" name="Стрелка вверх 523"/>
        <xdr:cNvSpPr/>
      </xdr:nvSpPr>
      <xdr:spPr>
        <a:xfrm rot="16200000">
          <a:off x="10822116" y="36124703"/>
          <a:ext cx="228190" cy="53282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16</xdr:col>
      <xdr:colOff>0</xdr:colOff>
      <xdr:row>224</xdr:row>
      <xdr:rowOff>4028</xdr:rowOff>
    </xdr:from>
    <xdr:to>
      <xdr:col>16</xdr:col>
      <xdr:colOff>247074</xdr:colOff>
      <xdr:row>225</xdr:row>
      <xdr:rowOff>70293</xdr:rowOff>
    </xdr:to>
    <xdr:sp macro="" textlink="">
      <xdr:nvSpPr>
        <xdr:cNvPr id="525" name="Стрелка вверх 524"/>
        <xdr:cNvSpPr/>
      </xdr:nvSpPr>
      <xdr:spPr>
        <a:xfrm rot="5400000">
          <a:off x="9763042" y="36265786"/>
          <a:ext cx="22819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231913</xdr:colOff>
      <xdr:row>228</xdr:row>
      <xdr:rowOff>91109</xdr:rowOff>
    </xdr:from>
    <xdr:to>
      <xdr:col>2</xdr:col>
      <xdr:colOff>290719</xdr:colOff>
      <xdr:row>231</xdr:row>
      <xdr:rowOff>155712</xdr:rowOff>
    </xdr:to>
    <xdr:pic>
      <xdr:nvPicPr>
        <xdr:cNvPr id="526" name="Picture 30"/>
        <xdr:cNvPicPr>
          <a:picLocks noChangeAspect="1" noChangeArrowheads="1"/>
        </xdr:cNvPicPr>
      </xdr:nvPicPr>
      <xdr:blipFill>
        <a:blip xmlns:r="http://schemas.openxmlformats.org/officeDocument/2006/relationships" r:embed="rId71" cstate="print"/>
        <a:srcRect/>
        <a:stretch>
          <a:fillRect/>
        </a:stretch>
      </xdr:blipFill>
      <xdr:spPr bwMode="auto">
        <a:xfrm>
          <a:off x="841513" y="37010009"/>
          <a:ext cx="668406" cy="550379"/>
        </a:xfrm>
        <a:prstGeom prst="rect">
          <a:avLst/>
        </a:prstGeom>
        <a:noFill/>
      </xdr:spPr>
    </xdr:pic>
    <xdr:clientData/>
  </xdr:twoCellAnchor>
  <xdr:twoCellAnchor>
    <xdr:from>
      <xdr:col>1</xdr:col>
      <xdr:colOff>37372</xdr:colOff>
      <xdr:row>232</xdr:row>
      <xdr:rowOff>47780</xdr:rowOff>
    </xdr:from>
    <xdr:to>
      <xdr:col>1</xdr:col>
      <xdr:colOff>280975</xdr:colOff>
      <xdr:row>233</xdr:row>
      <xdr:rowOff>115512</xdr:rowOff>
    </xdr:to>
    <xdr:sp macro="" textlink="">
      <xdr:nvSpPr>
        <xdr:cNvPr id="527" name="Стрелка вверх 526"/>
        <xdr:cNvSpPr/>
      </xdr:nvSpPr>
      <xdr:spPr>
        <a:xfrm rot="2700000">
          <a:off x="653945" y="37607407"/>
          <a:ext cx="229657"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290512</xdr:colOff>
      <xdr:row>232</xdr:row>
      <xdr:rowOff>39580</xdr:rowOff>
    </xdr:from>
    <xdr:to>
      <xdr:col>3</xdr:col>
      <xdr:colOff>188387</xdr:colOff>
      <xdr:row>233</xdr:row>
      <xdr:rowOff>128455</xdr:rowOff>
    </xdr:to>
    <xdr:sp macro="" textlink="">
      <xdr:nvSpPr>
        <xdr:cNvPr id="528" name="Стрелка вверх 527"/>
        <xdr:cNvSpPr/>
      </xdr:nvSpPr>
      <xdr:spPr>
        <a:xfrm rot="18900000">
          <a:off x="1509712" y="37606180"/>
          <a:ext cx="507475" cy="25080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11158</xdr:colOff>
      <xdr:row>228</xdr:row>
      <xdr:rowOff>16566</xdr:rowOff>
    </xdr:from>
    <xdr:to>
      <xdr:col>2</xdr:col>
      <xdr:colOff>236354</xdr:colOff>
      <xdr:row>229</xdr:row>
      <xdr:rowOff>104710</xdr:rowOff>
    </xdr:to>
    <xdr:sp macro="" textlink="">
      <xdr:nvSpPr>
        <xdr:cNvPr id="529" name="Стрелка вверх 528"/>
        <xdr:cNvSpPr/>
      </xdr:nvSpPr>
      <xdr:spPr>
        <a:xfrm rot="10800000">
          <a:off x="1230358" y="36935466"/>
          <a:ext cx="225196" cy="25006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70369</xdr:colOff>
      <xdr:row>228</xdr:row>
      <xdr:rowOff>21520</xdr:rowOff>
    </xdr:from>
    <xdr:to>
      <xdr:col>1</xdr:col>
      <xdr:colOff>300821</xdr:colOff>
      <xdr:row>229</xdr:row>
      <xdr:rowOff>102403</xdr:rowOff>
    </xdr:to>
    <xdr:sp macro="" textlink="">
      <xdr:nvSpPr>
        <xdr:cNvPr id="530" name="Стрелка вверх 529"/>
        <xdr:cNvSpPr/>
      </xdr:nvSpPr>
      <xdr:spPr>
        <a:xfrm rot="8100000">
          <a:off x="679969" y="36940420"/>
          <a:ext cx="230452" cy="24280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264011</xdr:colOff>
      <xdr:row>228</xdr:row>
      <xdr:rowOff>32746</xdr:rowOff>
    </xdr:from>
    <xdr:to>
      <xdr:col>3</xdr:col>
      <xdr:colOff>191027</xdr:colOff>
      <xdr:row>229</xdr:row>
      <xdr:rowOff>95187</xdr:rowOff>
    </xdr:to>
    <xdr:sp macro="" textlink="">
      <xdr:nvSpPr>
        <xdr:cNvPr id="531" name="Стрелка вверх 530"/>
        <xdr:cNvSpPr/>
      </xdr:nvSpPr>
      <xdr:spPr>
        <a:xfrm rot="13500000">
          <a:off x="1639336" y="36795521"/>
          <a:ext cx="224366" cy="53661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306598</xdr:colOff>
      <xdr:row>230</xdr:row>
      <xdr:rowOff>43907</xdr:rowOff>
    </xdr:from>
    <xdr:to>
      <xdr:col>3</xdr:col>
      <xdr:colOff>229823</xdr:colOff>
      <xdr:row>231</xdr:row>
      <xdr:rowOff>110172</xdr:rowOff>
    </xdr:to>
    <xdr:sp macro="" textlink="">
      <xdr:nvSpPr>
        <xdr:cNvPr id="532" name="Стрелка вверх 531"/>
        <xdr:cNvSpPr/>
      </xdr:nvSpPr>
      <xdr:spPr>
        <a:xfrm rot="16200000">
          <a:off x="1678116" y="37134339"/>
          <a:ext cx="228190" cy="53282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0</xdr:colOff>
      <xdr:row>230</xdr:row>
      <xdr:rowOff>42114</xdr:rowOff>
    </xdr:from>
    <xdr:to>
      <xdr:col>1</xdr:col>
      <xdr:colOff>247074</xdr:colOff>
      <xdr:row>231</xdr:row>
      <xdr:rowOff>108379</xdr:rowOff>
    </xdr:to>
    <xdr:sp macro="" textlink="">
      <xdr:nvSpPr>
        <xdr:cNvPr id="533" name="Стрелка вверх 532"/>
        <xdr:cNvSpPr/>
      </xdr:nvSpPr>
      <xdr:spPr>
        <a:xfrm rot="5400000">
          <a:off x="619042" y="37275422"/>
          <a:ext cx="22819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9693</xdr:colOff>
      <xdr:row>232</xdr:row>
      <xdr:rowOff>37083</xdr:rowOff>
    </xdr:from>
    <xdr:to>
      <xdr:col>2</xdr:col>
      <xdr:colOff>234889</xdr:colOff>
      <xdr:row>233</xdr:row>
      <xdr:rowOff>125959</xdr:rowOff>
    </xdr:to>
    <xdr:sp macro="" textlink="">
      <xdr:nvSpPr>
        <xdr:cNvPr id="534" name="Стрелка вверх 533"/>
        <xdr:cNvSpPr/>
      </xdr:nvSpPr>
      <xdr:spPr>
        <a:xfrm>
          <a:off x="1228893" y="37603683"/>
          <a:ext cx="225196" cy="25080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10</xdr:col>
      <xdr:colOff>0</xdr:colOff>
      <xdr:row>228</xdr:row>
      <xdr:rowOff>33132</xdr:rowOff>
    </xdr:from>
    <xdr:to>
      <xdr:col>12</xdr:col>
      <xdr:colOff>58807</xdr:colOff>
      <xdr:row>231</xdr:row>
      <xdr:rowOff>88210</xdr:rowOff>
    </xdr:to>
    <xdr:pic>
      <xdr:nvPicPr>
        <xdr:cNvPr id="535" name="Picture 32"/>
        <xdr:cNvPicPr>
          <a:picLocks noChangeAspect="1" noChangeArrowheads="1"/>
        </xdr:cNvPicPr>
      </xdr:nvPicPr>
      <xdr:blipFill>
        <a:blip xmlns:r="http://schemas.openxmlformats.org/officeDocument/2006/relationships" r:embed="rId72" cstate="print"/>
        <a:srcRect/>
        <a:stretch>
          <a:fillRect/>
        </a:stretch>
      </xdr:blipFill>
      <xdr:spPr bwMode="auto">
        <a:xfrm>
          <a:off x="6096000" y="36952032"/>
          <a:ext cx="1278007" cy="540854"/>
        </a:xfrm>
        <a:prstGeom prst="rect">
          <a:avLst/>
        </a:prstGeom>
        <a:noFill/>
      </xdr:spPr>
    </xdr:pic>
    <xdr:clientData/>
  </xdr:twoCellAnchor>
  <xdr:twoCellAnchor>
    <xdr:from>
      <xdr:col>10</xdr:col>
      <xdr:colOff>120199</xdr:colOff>
      <xdr:row>231</xdr:row>
      <xdr:rowOff>122323</xdr:rowOff>
    </xdr:from>
    <xdr:to>
      <xdr:col>11</xdr:col>
      <xdr:colOff>40781</xdr:colOff>
      <xdr:row>233</xdr:row>
      <xdr:rowOff>24403</xdr:rowOff>
    </xdr:to>
    <xdr:sp macro="" textlink="">
      <xdr:nvSpPr>
        <xdr:cNvPr id="536" name="Стрелка вверх 535"/>
        <xdr:cNvSpPr/>
      </xdr:nvSpPr>
      <xdr:spPr>
        <a:xfrm rot="2700000">
          <a:off x="6368325" y="37374872"/>
          <a:ext cx="225930" cy="53018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50318</xdr:colOff>
      <xdr:row>231</xdr:row>
      <xdr:rowOff>114123</xdr:rowOff>
    </xdr:from>
    <xdr:to>
      <xdr:col>12</xdr:col>
      <xdr:colOff>271215</xdr:colOff>
      <xdr:row>233</xdr:row>
      <xdr:rowOff>37346</xdr:rowOff>
    </xdr:to>
    <xdr:sp macro="" textlink="">
      <xdr:nvSpPr>
        <xdr:cNvPr id="537" name="Стрелка вверх 536"/>
        <xdr:cNvSpPr/>
      </xdr:nvSpPr>
      <xdr:spPr>
        <a:xfrm rot="18900000">
          <a:off x="7365518" y="37518798"/>
          <a:ext cx="220897"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66404</xdr:colOff>
      <xdr:row>229</xdr:row>
      <xdr:rowOff>118450</xdr:rowOff>
    </xdr:from>
    <xdr:to>
      <xdr:col>12</xdr:col>
      <xdr:colOff>312651</xdr:colOff>
      <xdr:row>231</xdr:row>
      <xdr:rowOff>19063</xdr:rowOff>
    </xdr:to>
    <xdr:sp macro="" textlink="">
      <xdr:nvSpPr>
        <xdr:cNvPr id="538" name="Стрелка вверх 537"/>
        <xdr:cNvSpPr/>
      </xdr:nvSpPr>
      <xdr:spPr>
        <a:xfrm rot="16200000">
          <a:off x="7392496" y="37188383"/>
          <a:ext cx="224463" cy="246247"/>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92521</xdr:colOff>
      <xdr:row>231</xdr:row>
      <xdr:rowOff>111626</xdr:rowOff>
    </xdr:from>
    <xdr:to>
      <xdr:col>11</xdr:col>
      <xdr:colOff>317717</xdr:colOff>
      <xdr:row>233</xdr:row>
      <xdr:rowOff>34850</xdr:rowOff>
    </xdr:to>
    <xdr:sp macro="" textlink="">
      <xdr:nvSpPr>
        <xdr:cNvPr id="539" name="Стрелка вверх 538"/>
        <xdr:cNvSpPr/>
      </xdr:nvSpPr>
      <xdr:spPr>
        <a:xfrm>
          <a:off x="6798121" y="37516301"/>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15</xdr:col>
      <xdr:colOff>298172</xdr:colOff>
      <xdr:row>228</xdr:row>
      <xdr:rowOff>57981</xdr:rowOff>
    </xdr:from>
    <xdr:to>
      <xdr:col>18</xdr:col>
      <xdr:colOff>43482</xdr:colOff>
      <xdr:row>232</xdr:row>
      <xdr:rowOff>54667</xdr:rowOff>
    </xdr:to>
    <xdr:pic>
      <xdr:nvPicPr>
        <xdr:cNvPr id="540" name="Picture 34"/>
        <xdr:cNvPicPr>
          <a:picLocks noChangeAspect="1" noChangeArrowheads="1"/>
        </xdr:cNvPicPr>
      </xdr:nvPicPr>
      <xdr:blipFill>
        <a:blip xmlns:r="http://schemas.openxmlformats.org/officeDocument/2006/relationships" r:embed="rId73" cstate="print"/>
        <a:srcRect/>
        <a:stretch>
          <a:fillRect/>
        </a:stretch>
      </xdr:blipFill>
      <xdr:spPr bwMode="auto">
        <a:xfrm>
          <a:off x="9442172" y="36976881"/>
          <a:ext cx="1574110" cy="644386"/>
        </a:xfrm>
        <a:prstGeom prst="rect">
          <a:avLst/>
        </a:prstGeom>
        <a:noFill/>
      </xdr:spPr>
    </xdr:pic>
    <xdr:clientData/>
  </xdr:twoCellAnchor>
  <xdr:twoCellAnchor>
    <xdr:from>
      <xdr:col>16</xdr:col>
      <xdr:colOff>128480</xdr:colOff>
      <xdr:row>232</xdr:row>
      <xdr:rowOff>89194</xdr:rowOff>
    </xdr:from>
    <xdr:to>
      <xdr:col>17</xdr:col>
      <xdr:colOff>49063</xdr:colOff>
      <xdr:row>233</xdr:row>
      <xdr:rowOff>156926</xdr:rowOff>
    </xdr:to>
    <xdr:sp macro="" textlink="">
      <xdr:nvSpPr>
        <xdr:cNvPr id="541" name="Стрелка вверх 540"/>
        <xdr:cNvSpPr/>
      </xdr:nvSpPr>
      <xdr:spPr>
        <a:xfrm rot="2700000">
          <a:off x="10032343" y="37505531"/>
          <a:ext cx="229657" cy="53018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58599</xdr:colOff>
      <xdr:row>232</xdr:row>
      <xdr:rowOff>80994</xdr:rowOff>
    </xdr:from>
    <xdr:to>
      <xdr:col>18</xdr:col>
      <xdr:colOff>279496</xdr:colOff>
      <xdr:row>234</xdr:row>
      <xdr:rowOff>4217</xdr:rowOff>
    </xdr:to>
    <xdr:sp macro="" textlink="">
      <xdr:nvSpPr>
        <xdr:cNvPr id="542" name="Стрелка вверх 541"/>
        <xdr:cNvSpPr/>
      </xdr:nvSpPr>
      <xdr:spPr>
        <a:xfrm rot="18900000">
          <a:off x="11031399" y="37647594"/>
          <a:ext cx="220897"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74685</xdr:colOff>
      <xdr:row>230</xdr:row>
      <xdr:rowOff>135016</xdr:rowOff>
    </xdr:from>
    <xdr:to>
      <xdr:col>18</xdr:col>
      <xdr:colOff>320932</xdr:colOff>
      <xdr:row>232</xdr:row>
      <xdr:rowOff>35629</xdr:rowOff>
    </xdr:to>
    <xdr:sp macro="" textlink="">
      <xdr:nvSpPr>
        <xdr:cNvPr id="543" name="Стрелка вверх 542"/>
        <xdr:cNvSpPr/>
      </xdr:nvSpPr>
      <xdr:spPr>
        <a:xfrm rot="16200000">
          <a:off x="11058377" y="37366874"/>
          <a:ext cx="224463" cy="246247"/>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100803</xdr:colOff>
      <xdr:row>232</xdr:row>
      <xdr:rowOff>78497</xdr:rowOff>
    </xdr:from>
    <xdr:to>
      <xdr:col>18</xdr:col>
      <xdr:colOff>2977</xdr:colOff>
      <xdr:row>234</xdr:row>
      <xdr:rowOff>1721</xdr:rowOff>
    </xdr:to>
    <xdr:sp macro="" textlink="">
      <xdr:nvSpPr>
        <xdr:cNvPr id="544" name="Стрелка вверх 543"/>
        <xdr:cNvSpPr/>
      </xdr:nvSpPr>
      <xdr:spPr>
        <a:xfrm>
          <a:off x="10464003" y="37645097"/>
          <a:ext cx="511774"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23</xdr:col>
      <xdr:colOff>0</xdr:colOff>
      <xdr:row>228</xdr:row>
      <xdr:rowOff>8283</xdr:rowOff>
    </xdr:from>
    <xdr:to>
      <xdr:col>25</xdr:col>
      <xdr:colOff>96907</xdr:colOff>
      <xdr:row>232</xdr:row>
      <xdr:rowOff>59635</xdr:rowOff>
    </xdr:to>
    <xdr:pic>
      <xdr:nvPicPr>
        <xdr:cNvPr id="545" name="Picture 36"/>
        <xdr:cNvPicPr>
          <a:picLocks noChangeAspect="1" noChangeArrowheads="1"/>
        </xdr:cNvPicPr>
      </xdr:nvPicPr>
      <xdr:blipFill>
        <a:blip xmlns:r="http://schemas.openxmlformats.org/officeDocument/2006/relationships" r:embed="rId74" cstate="print"/>
        <a:srcRect/>
        <a:stretch>
          <a:fillRect/>
        </a:stretch>
      </xdr:blipFill>
      <xdr:spPr bwMode="auto">
        <a:xfrm>
          <a:off x="14020800" y="36927183"/>
          <a:ext cx="1316107" cy="699052"/>
        </a:xfrm>
        <a:prstGeom prst="rect">
          <a:avLst/>
        </a:prstGeom>
        <a:noFill/>
      </xdr:spPr>
    </xdr:pic>
    <xdr:clientData/>
  </xdr:twoCellAnchor>
  <xdr:twoCellAnchor>
    <xdr:from>
      <xdr:col>24</xdr:col>
      <xdr:colOff>148640</xdr:colOff>
      <xdr:row>232</xdr:row>
      <xdr:rowOff>67836</xdr:rowOff>
    </xdr:from>
    <xdr:to>
      <xdr:col>25</xdr:col>
      <xdr:colOff>50815</xdr:colOff>
      <xdr:row>233</xdr:row>
      <xdr:rowOff>155979</xdr:rowOff>
    </xdr:to>
    <xdr:sp macro="" textlink="">
      <xdr:nvSpPr>
        <xdr:cNvPr id="546" name="Стрелка вверх 545"/>
        <xdr:cNvSpPr/>
      </xdr:nvSpPr>
      <xdr:spPr>
        <a:xfrm>
          <a:off x="14779040" y="37634436"/>
          <a:ext cx="511775" cy="25006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201276</xdr:colOff>
      <xdr:row>232</xdr:row>
      <xdr:rowOff>79365</xdr:rowOff>
    </xdr:from>
    <xdr:to>
      <xdr:col>24</xdr:col>
      <xdr:colOff>120392</xdr:colOff>
      <xdr:row>233</xdr:row>
      <xdr:rowOff>147096</xdr:rowOff>
    </xdr:to>
    <xdr:sp macro="" textlink="">
      <xdr:nvSpPr>
        <xdr:cNvPr id="547" name="Стрелка вверх 546"/>
        <xdr:cNvSpPr/>
      </xdr:nvSpPr>
      <xdr:spPr>
        <a:xfrm rot="2700000">
          <a:off x="14371606" y="37496435"/>
          <a:ext cx="229656" cy="52871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85967</xdr:colOff>
      <xdr:row>232</xdr:row>
      <xdr:rowOff>71164</xdr:rowOff>
    </xdr:from>
    <xdr:to>
      <xdr:col>25</xdr:col>
      <xdr:colOff>308329</xdr:colOff>
      <xdr:row>233</xdr:row>
      <xdr:rowOff>159307</xdr:rowOff>
    </xdr:to>
    <xdr:sp macro="" textlink="">
      <xdr:nvSpPr>
        <xdr:cNvPr id="548" name="Стрелка вверх 547"/>
        <xdr:cNvSpPr/>
      </xdr:nvSpPr>
      <xdr:spPr>
        <a:xfrm rot="18900000">
          <a:off x="15325967" y="37637764"/>
          <a:ext cx="222362" cy="250068"/>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147508</xdr:colOff>
      <xdr:row>230</xdr:row>
      <xdr:rowOff>99773</xdr:rowOff>
    </xdr:from>
    <xdr:to>
      <xdr:col>26</xdr:col>
      <xdr:colOff>71560</xdr:colOff>
      <xdr:row>232</xdr:row>
      <xdr:rowOff>386</xdr:rowOff>
    </xdr:to>
    <xdr:sp macro="" textlink="">
      <xdr:nvSpPr>
        <xdr:cNvPr id="549" name="Стрелка вверх 548"/>
        <xdr:cNvSpPr/>
      </xdr:nvSpPr>
      <xdr:spPr>
        <a:xfrm rot="16200000">
          <a:off x="15542102" y="37187929"/>
          <a:ext cx="224463" cy="53365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24</xdr:col>
      <xdr:colOff>82825</xdr:colOff>
      <xdr:row>220</xdr:row>
      <xdr:rowOff>0</xdr:rowOff>
    </xdr:from>
    <xdr:to>
      <xdr:col>26</xdr:col>
      <xdr:colOff>212823</xdr:colOff>
      <xdr:row>226</xdr:row>
      <xdr:rowOff>40171</xdr:rowOff>
    </xdr:to>
    <xdr:pic>
      <xdr:nvPicPr>
        <xdr:cNvPr id="550" name="Picture 38"/>
        <xdr:cNvPicPr>
          <a:picLocks noChangeAspect="1" noChangeArrowheads="1"/>
        </xdr:cNvPicPr>
      </xdr:nvPicPr>
      <xdr:blipFill>
        <a:blip xmlns:r="http://schemas.openxmlformats.org/officeDocument/2006/relationships" r:embed="rId75" cstate="print"/>
        <a:srcRect/>
        <a:stretch>
          <a:fillRect/>
        </a:stretch>
      </xdr:blipFill>
      <xdr:spPr bwMode="auto">
        <a:xfrm>
          <a:off x="14713225" y="35623500"/>
          <a:ext cx="1349198" cy="1011721"/>
        </a:xfrm>
        <a:prstGeom prst="rect">
          <a:avLst/>
        </a:prstGeom>
        <a:noFill/>
      </xdr:spPr>
    </xdr:pic>
    <xdr:clientData/>
  </xdr:twoCellAnchor>
  <xdr:twoCellAnchor>
    <xdr:from>
      <xdr:col>24</xdr:col>
      <xdr:colOff>12523</xdr:colOff>
      <xdr:row>226</xdr:row>
      <xdr:rowOff>80910</xdr:rowOff>
    </xdr:from>
    <xdr:to>
      <xdr:col>24</xdr:col>
      <xdr:colOff>256126</xdr:colOff>
      <xdr:row>227</xdr:row>
      <xdr:rowOff>148642</xdr:rowOff>
    </xdr:to>
    <xdr:sp macro="" textlink="">
      <xdr:nvSpPr>
        <xdr:cNvPr id="551" name="Стрелка вверх 550"/>
        <xdr:cNvSpPr/>
      </xdr:nvSpPr>
      <xdr:spPr>
        <a:xfrm rot="2700000">
          <a:off x="14649896" y="36668987"/>
          <a:ext cx="229657"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265663</xdr:colOff>
      <xdr:row>226</xdr:row>
      <xdr:rowOff>72710</xdr:rowOff>
    </xdr:from>
    <xdr:to>
      <xdr:col>26</xdr:col>
      <xdr:colOff>163538</xdr:colOff>
      <xdr:row>227</xdr:row>
      <xdr:rowOff>161585</xdr:rowOff>
    </xdr:to>
    <xdr:sp macro="" textlink="">
      <xdr:nvSpPr>
        <xdr:cNvPr id="552" name="Стрелка вверх 551"/>
        <xdr:cNvSpPr/>
      </xdr:nvSpPr>
      <xdr:spPr>
        <a:xfrm rot="18900000">
          <a:off x="15505663" y="36667760"/>
          <a:ext cx="507475" cy="25080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24</xdr:col>
      <xdr:colOff>0</xdr:colOff>
      <xdr:row>224</xdr:row>
      <xdr:rowOff>83527</xdr:rowOff>
    </xdr:from>
    <xdr:to>
      <xdr:col>24</xdr:col>
      <xdr:colOff>247074</xdr:colOff>
      <xdr:row>225</xdr:row>
      <xdr:rowOff>149792</xdr:rowOff>
    </xdr:to>
    <xdr:sp macro="" textlink="">
      <xdr:nvSpPr>
        <xdr:cNvPr id="553" name="Стрелка вверх 552"/>
        <xdr:cNvSpPr/>
      </xdr:nvSpPr>
      <xdr:spPr>
        <a:xfrm rot="5400000">
          <a:off x="14639842" y="36345285"/>
          <a:ext cx="22819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24</xdr:col>
      <xdr:colOff>307866</xdr:colOff>
      <xdr:row>226</xdr:row>
      <xdr:rowOff>70213</xdr:rowOff>
    </xdr:from>
    <xdr:to>
      <xdr:col>25</xdr:col>
      <xdr:colOff>210040</xdr:colOff>
      <xdr:row>227</xdr:row>
      <xdr:rowOff>159089</xdr:rowOff>
    </xdr:to>
    <xdr:sp macro="" textlink="">
      <xdr:nvSpPr>
        <xdr:cNvPr id="554" name="Стрелка вверх 553"/>
        <xdr:cNvSpPr/>
      </xdr:nvSpPr>
      <xdr:spPr>
        <a:xfrm>
          <a:off x="14938266" y="36665263"/>
          <a:ext cx="511774" cy="25080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107675</xdr:colOff>
      <xdr:row>235</xdr:row>
      <xdr:rowOff>57981</xdr:rowOff>
    </xdr:from>
    <xdr:to>
      <xdr:col>3</xdr:col>
      <xdr:colOff>14909</xdr:colOff>
      <xdr:row>238</xdr:row>
      <xdr:rowOff>132111</xdr:rowOff>
    </xdr:to>
    <xdr:pic>
      <xdr:nvPicPr>
        <xdr:cNvPr id="555" name="Picture 40"/>
        <xdr:cNvPicPr>
          <a:picLocks noChangeAspect="1" noChangeArrowheads="1"/>
        </xdr:cNvPicPr>
      </xdr:nvPicPr>
      <xdr:blipFill>
        <a:blip xmlns:r="http://schemas.openxmlformats.org/officeDocument/2006/relationships" r:embed="rId76" cstate="print"/>
        <a:srcRect/>
        <a:stretch>
          <a:fillRect/>
        </a:stretch>
      </xdr:blipFill>
      <xdr:spPr bwMode="auto">
        <a:xfrm>
          <a:off x="717275" y="38110356"/>
          <a:ext cx="1126434" cy="559905"/>
        </a:xfrm>
        <a:prstGeom prst="rect">
          <a:avLst/>
        </a:prstGeom>
        <a:noFill/>
      </xdr:spPr>
    </xdr:pic>
    <xdr:clientData/>
  </xdr:twoCellAnchor>
  <xdr:twoCellAnchor>
    <xdr:from>
      <xdr:col>1</xdr:col>
      <xdr:colOff>37372</xdr:colOff>
      <xdr:row>239</xdr:row>
      <xdr:rowOff>14653</xdr:rowOff>
    </xdr:from>
    <xdr:to>
      <xdr:col>1</xdr:col>
      <xdr:colOff>280975</xdr:colOff>
      <xdr:row>240</xdr:row>
      <xdr:rowOff>82384</xdr:rowOff>
    </xdr:to>
    <xdr:sp macro="" textlink="">
      <xdr:nvSpPr>
        <xdr:cNvPr id="556" name="Стрелка вверх 555"/>
        <xdr:cNvSpPr/>
      </xdr:nvSpPr>
      <xdr:spPr>
        <a:xfrm rot="2700000">
          <a:off x="653946" y="38707754"/>
          <a:ext cx="229656"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290512</xdr:colOff>
      <xdr:row>239</xdr:row>
      <xdr:rowOff>6453</xdr:rowOff>
    </xdr:from>
    <xdr:to>
      <xdr:col>3</xdr:col>
      <xdr:colOff>188387</xdr:colOff>
      <xdr:row>240</xdr:row>
      <xdr:rowOff>95327</xdr:rowOff>
    </xdr:to>
    <xdr:sp macro="" textlink="">
      <xdr:nvSpPr>
        <xdr:cNvPr id="557" name="Стрелка вверх 556"/>
        <xdr:cNvSpPr/>
      </xdr:nvSpPr>
      <xdr:spPr>
        <a:xfrm rot="18900000">
          <a:off x="1509712" y="38706528"/>
          <a:ext cx="507475" cy="25079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306598</xdr:colOff>
      <xdr:row>237</xdr:row>
      <xdr:rowOff>10780</xdr:rowOff>
    </xdr:from>
    <xdr:to>
      <xdr:col>3</xdr:col>
      <xdr:colOff>229823</xdr:colOff>
      <xdr:row>238</xdr:row>
      <xdr:rowOff>77045</xdr:rowOff>
    </xdr:to>
    <xdr:sp macro="" textlink="">
      <xdr:nvSpPr>
        <xdr:cNvPr id="558" name="Стрелка вверх 557"/>
        <xdr:cNvSpPr/>
      </xdr:nvSpPr>
      <xdr:spPr>
        <a:xfrm rot="16200000">
          <a:off x="1678116" y="38234687"/>
          <a:ext cx="228190" cy="53282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xdr:col>
      <xdr:colOff>0</xdr:colOff>
      <xdr:row>237</xdr:row>
      <xdr:rowOff>8987</xdr:rowOff>
    </xdr:from>
    <xdr:to>
      <xdr:col>1</xdr:col>
      <xdr:colOff>247074</xdr:colOff>
      <xdr:row>238</xdr:row>
      <xdr:rowOff>75252</xdr:rowOff>
    </xdr:to>
    <xdr:sp macro="" textlink="">
      <xdr:nvSpPr>
        <xdr:cNvPr id="559" name="Стрелка вверх 558"/>
        <xdr:cNvSpPr/>
      </xdr:nvSpPr>
      <xdr:spPr>
        <a:xfrm rot="5400000">
          <a:off x="619042" y="38375770"/>
          <a:ext cx="22819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xdr:col>
      <xdr:colOff>9693</xdr:colOff>
      <xdr:row>239</xdr:row>
      <xdr:rowOff>3956</xdr:rowOff>
    </xdr:from>
    <xdr:to>
      <xdr:col>2</xdr:col>
      <xdr:colOff>234889</xdr:colOff>
      <xdr:row>240</xdr:row>
      <xdr:rowOff>92831</xdr:rowOff>
    </xdr:to>
    <xdr:sp macro="" textlink="">
      <xdr:nvSpPr>
        <xdr:cNvPr id="560" name="Стрелка вверх 559"/>
        <xdr:cNvSpPr/>
      </xdr:nvSpPr>
      <xdr:spPr>
        <a:xfrm>
          <a:off x="1228893" y="38704031"/>
          <a:ext cx="225196" cy="25080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7</xdr:col>
      <xdr:colOff>0</xdr:colOff>
      <xdr:row>235</xdr:row>
      <xdr:rowOff>0</xdr:rowOff>
    </xdr:from>
    <xdr:to>
      <xdr:col>9</xdr:col>
      <xdr:colOff>286579</xdr:colOff>
      <xdr:row>239</xdr:row>
      <xdr:rowOff>49283</xdr:rowOff>
    </xdr:to>
    <xdr:pic>
      <xdr:nvPicPr>
        <xdr:cNvPr id="561" name="Picture 42"/>
        <xdr:cNvPicPr>
          <a:picLocks noChangeAspect="1" noChangeArrowheads="1"/>
        </xdr:cNvPicPr>
      </xdr:nvPicPr>
      <xdr:blipFill>
        <a:blip xmlns:r="http://schemas.openxmlformats.org/officeDocument/2006/relationships" r:embed="rId77" cstate="print"/>
        <a:srcRect/>
        <a:stretch>
          <a:fillRect/>
        </a:stretch>
      </xdr:blipFill>
      <xdr:spPr bwMode="auto">
        <a:xfrm>
          <a:off x="4267200" y="38052375"/>
          <a:ext cx="1505779" cy="696983"/>
        </a:xfrm>
        <a:prstGeom prst="rect">
          <a:avLst/>
        </a:prstGeom>
        <a:noFill/>
      </xdr:spPr>
    </xdr:pic>
    <xdr:clientData/>
  </xdr:twoCellAnchor>
  <xdr:twoCellAnchor>
    <xdr:from>
      <xdr:col>7</xdr:col>
      <xdr:colOff>53937</xdr:colOff>
      <xdr:row>239</xdr:row>
      <xdr:rowOff>80914</xdr:rowOff>
    </xdr:from>
    <xdr:to>
      <xdr:col>7</xdr:col>
      <xdr:colOff>297540</xdr:colOff>
      <xdr:row>240</xdr:row>
      <xdr:rowOff>148645</xdr:rowOff>
    </xdr:to>
    <xdr:sp macro="" textlink="">
      <xdr:nvSpPr>
        <xdr:cNvPr id="562" name="Стрелка вверх 561"/>
        <xdr:cNvSpPr/>
      </xdr:nvSpPr>
      <xdr:spPr>
        <a:xfrm rot="2700000">
          <a:off x="4328111" y="38774015"/>
          <a:ext cx="229656"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307078</xdr:colOff>
      <xdr:row>239</xdr:row>
      <xdr:rowOff>72714</xdr:rowOff>
    </xdr:from>
    <xdr:to>
      <xdr:col>9</xdr:col>
      <xdr:colOff>204953</xdr:colOff>
      <xdr:row>240</xdr:row>
      <xdr:rowOff>161588</xdr:rowOff>
    </xdr:to>
    <xdr:sp macro="" textlink="">
      <xdr:nvSpPr>
        <xdr:cNvPr id="563" name="Стрелка вверх 562"/>
        <xdr:cNvSpPr/>
      </xdr:nvSpPr>
      <xdr:spPr>
        <a:xfrm rot="18900000">
          <a:off x="5183878" y="38772789"/>
          <a:ext cx="507475" cy="25079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26259</xdr:colOff>
      <xdr:row>239</xdr:row>
      <xdr:rowOff>70217</xdr:rowOff>
    </xdr:from>
    <xdr:to>
      <xdr:col>8</xdr:col>
      <xdr:colOff>251455</xdr:colOff>
      <xdr:row>240</xdr:row>
      <xdr:rowOff>159092</xdr:rowOff>
    </xdr:to>
    <xdr:sp macro="" textlink="">
      <xdr:nvSpPr>
        <xdr:cNvPr id="564" name="Стрелка вверх 563"/>
        <xdr:cNvSpPr/>
      </xdr:nvSpPr>
      <xdr:spPr>
        <a:xfrm>
          <a:off x="4903059" y="38770292"/>
          <a:ext cx="225196" cy="25080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12</xdr:col>
      <xdr:colOff>265043</xdr:colOff>
      <xdr:row>236</xdr:row>
      <xdr:rowOff>8</xdr:rowOff>
    </xdr:from>
    <xdr:to>
      <xdr:col>13</xdr:col>
      <xdr:colOff>285749</xdr:colOff>
      <xdr:row>238</xdr:row>
      <xdr:rowOff>6635</xdr:rowOff>
    </xdr:to>
    <xdr:pic>
      <xdr:nvPicPr>
        <xdr:cNvPr id="565" name="Picture 44"/>
        <xdr:cNvPicPr>
          <a:picLocks noChangeAspect="1" noChangeArrowheads="1"/>
        </xdr:cNvPicPr>
      </xdr:nvPicPr>
      <xdr:blipFill>
        <a:blip xmlns:r="http://schemas.openxmlformats.org/officeDocument/2006/relationships" r:embed="rId78" cstate="print"/>
        <a:srcRect/>
        <a:stretch>
          <a:fillRect/>
        </a:stretch>
      </xdr:blipFill>
      <xdr:spPr bwMode="auto">
        <a:xfrm>
          <a:off x="7580243" y="38214308"/>
          <a:ext cx="630306" cy="330476"/>
        </a:xfrm>
        <a:prstGeom prst="rect">
          <a:avLst/>
        </a:prstGeom>
        <a:noFill/>
      </xdr:spPr>
    </xdr:pic>
    <xdr:clientData/>
  </xdr:twoCellAnchor>
  <xdr:twoCellAnchor>
    <xdr:from>
      <xdr:col>12</xdr:col>
      <xdr:colOff>37372</xdr:colOff>
      <xdr:row>238</xdr:row>
      <xdr:rowOff>72640</xdr:rowOff>
    </xdr:from>
    <xdr:to>
      <xdr:col>12</xdr:col>
      <xdr:colOff>280975</xdr:colOff>
      <xdr:row>239</xdr:row>
      <xdr:rowOff>140372</xdr:rowOff>
    </xdr:to>
    <xdr:sp macro="" textlink="">
      <xdr:nvSpPr>
        <xdr:cNvPr id="566" name="Стрелка вверх 565"/>
        <xdr:cNvSpPr/>
      </xdr:nvSpPr>
      <xdr:spPr>
        <a:xfrm rot="2700000">
          <a:off x="7359545" y="38603817"/>
          <a:ext cx="229657"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290512</xdr:colOff>
      <xdr:row>238</xdr:row>
      <xdr:rowOff>64440</xdr:rowOff>
    </xdr:from>
    <xdr:to>
      <xdr:col>14</xdr:col>
      <xdr:colOff>188387</xdr:colOff>
      <xdr:row>239</xdr:row>
      <xdr:rowOff>153315</xdr:rowOff>
    </xdr:to>
    <xdr:sp macro="" textlink="">
      <xdr:nvSpPr>
        <xdr:cNvPr id="567" name="Стрелка вверх 566"/>
        <xdr:cNvSpPr/>
      </xdr:nvSpPr>
      <xdr:spPr>
        <a:xfrm rot="18900000">
          <a:off x="8215312" y="38602590"/>
          <a:ext cx="507475" cy="25080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306598</xdr:colOff>
      <xdr:row>236</xdr:row>
      <xdr:rowOff>68767</xdr:rowOff>
    </xdr:from>
    <xdr:to>
      <xdr:col>14</xdr:col>
      <xdr:colOff>229823</xdr:colOff>
      <xdr:row>237</xdr:row>
      <xdr:rowOff>135032</xdr:rowOff>
    </xdr:to>
    <xdr:sp macro="" textlink="">
      <xdr:nvSpPr>
        <xdr:cNvPr id="568" name="Стрелка вверх 567"/>
        <xdr:cNvSpPr/>
      </xdr:nvSpPr>
      <xdr:spPr>
        <a:xfrm rot="16200000">
          <a:off x="8383716" y="38130749"/>
          <a:ext cx="228190" cy="53282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12</xdr:col>
      <xdr:colOff>0</xdr:colOff>
      <xdr:row>236</xdr:row>
      <xdr:rowOff>66974</xdr:rowOff>
    </xdr:from>
    <xdr:to>
      <xdr:col>12</xdr:col>
      <xdr:colOff>247074</xdr:colOff>
      <xdr:row>237</xdr:row>
      <xdr:rowOff>133239</xdr:rowOff>
    </xdr:to>
    <xdr:sp macro="" textlink="">
      <xdr:nvSpPr>
        <xdr:cNvPr id="569" name="Стрелка вверх 568"/>
        <xdr:cNvSpPr/>
      </xdr:nvSpPr>
      <xdr:spPr>
        <a:xfrm rot="5400000">
          <a:off x="7324642" y="38271832"/>
          <a:ext cx="22819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13</xdr:col>
      <xdr:colOff>9693</xdr:colOff>
      <xdr:row>238</xdr:row>
      <xdr:rowOff>61943</xdr:rowOff>
    </xdr:from>
    <xdr:to>
      <xdr:col>13</xdr:col>
      <xdr:colOff>234889</xdr:colOff>
      <xdr:row>239</xdr:row>
      <xdr:rowOff>150819</xdr:rowOff>
    </xdr:to>
    <xdr:sp macro="" textlink="">
      <xdr:nvSpPr>
        <xdr:cNvPr id="570" name="Стрелка вверх 569"/>
        <xdr:cNvSpPr/>
      </xdr:nvSpPr>
      <xdr:spPr>
        <a:xfrm>
          <a:off x="7934493" y="38600093"/>
          <a:ext cx="225196" cy="25080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17</xdr:col>
      <xdr:colOff>265043</xdr:colOff>
      <xdr:row>237</xdr:row>
      <xdr:rowOff>8283</xdr:rowOff>
    </xdr:from>
    <xdr:to>
      <xdr:col>18</xdr:col>
      <xdr:colOff>285749</xdr:colOff>
      <xdr:row>239</xdr:row>
      <xdr:rowOff>14909</xdr:rowOff>
    </xdr:to>
    <xdr:pic>
      <xdr:nvPicPr>
        <xdr:cNvPr id="571" name="Picture 46"/>
        <xdr:cNvPicPr>
          <a:picLocks noChangeAspect="1" noChangeArrowheads="1"/>
        </xdr:cNvPicPr>
      </xdr:nvPicPr>
      <xdr:blipFill>
        <a:blip xmlns:r="http://schemas.openxmlformats.org/officeDocument/2006/relationships" r:embed="rId79" cstate="print"/>
        <a:srcRect/>
        <a:stretch>
          <a:fillRect/>
        </a:stretch>
      </xdr:blipFill>
      <xdr:spPr bwMode="auto">
        <a:xfrm>
          <a:off x="10628243" y="38384508"/>
          <a:ext cx="630306" cy="330476"/>
        </a:xfrm>
        <a:prstGeom prst="rect">
          <a:avLst/>
        </a:prstGeom>
        <a:noFill/>
      </xdr:spPr>
    </xdr:pic>
    <xdr:clientData/>
  </xdr:twoCellAnchor>
  <xdr:twoCellAnchor>
    <xdr:from>
      <xdr:col>17</xdr:col>
      <xdr:colOff>37372</xdr:colOff>
      <xdr:row>239</xdr:row>
      <xdr:rowOff>64347</xdr:rowOff>
    </xdr:from>
    <xdr:to>
      <xdr:col>17</xdr:col>
      <xdr:colOff>280975</xdr:colOff>
      <xdr:row>240</xdr:row>
      <xdr:rowOff>132078</xdr:rowOff>
    </xdr:to>
    <xdr:sp macro="" textlink="">
      <xdr:nvSpPr>
        <xdr:cNvPr id="572" name="Стрелка вверх 571"/>
        <xdr:cNvSpPr/>
      </xdr:nvSpPr>
      <xdr:spPr>
        <a:xfrm rot="2700000">
          <a:off x="10407546" y="38757448"/>
          <a:ext cx="229656"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290512</xdr:colOff>
      <xdr:row>239</xdr:row>
      <xdr:rowOff>56147</xdr:rowOff>
    </xdr:from>
    <xdr:to>
      <xdr:col>19</xdr:col>
      <xdr:colOff>188387</xdr:colOff>
      <xdr:row>240</xdr:row>
      <xdr:rowOff>145021</xdr:rowOff>
    </xdr:to>
    <xdr:sp macro="" textlink="">
      <xdr:nvSpPr>
        <xdr:cNvPr id="573" name="Стрелка вверх 572"/>
        <xdr:cNvSpPr/>
      </xdr:nvSpPr>
      <xdr:spPr>
        <a:xfrm rot="18900000">
          <a:off x="11263312" y="38756222"/>
          <a:ext cx="507475" cy="25079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11158</xdr:colOff>
      <xdr:row>235</xdr:row>
      <xdr:rowOff>33132</xdr:rowOff>
    </xdr:from>
    <xdr:to>
      <xdr:col>18</xdr:col>
      <xdr:colOff>236354</xdr:colOff>
      <xdr:row>236</xdr:row>
      <xdr:rowOff>121277</xdr:rowOff>
    </xdr:to>
    <xdr:sp macro="" textlink="">
      <xdr:nvSpPr>
        <xdr:cNvPr id="574" name="Стрелка вверх 573"/>
        <xdr:cNvSpPr/>
      </xdr:nvSpPr>
      <xdr:spPr>
        <a:xfrm rot="10800000">
          <a:off x="10983958" y="38085507"/>
          <a:ext cx="225196" cy="25007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70369</xdr:colOff>
      <xdr:row>235</xdr:row>
      <xdr:rowOff>38086</xdr:rowOff>
    </xdr:from>
    <xdr:to>
      <xdr:col>17</xdr:col>
      <xdr:colOff>300821</xdr:colOff>
      <xdr:row>236</xdr:row>
      <xdr:rowOff>118970</xdr:rowOff>
    </xdr:to>
    <xdr:sp macro="" textlink="">
      <xdr:nvSpPr>
        <xdr:cNvPr id="575" name="Стрелка вверх 574"/>
        <xdr:cNvSpPr/>
      </xdr:nvSpPr>
      <xdr:spPr>
        <a:xfrm rot="8100000">
          <a:off x="10433569" y="38090461"/>
          <a:ext cx="230452" cy="24280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264011</xdr:colOff>
      <xdr:row>235</xdr:row>
      <xdr:rowOff>49312</xdr:rowOff>
    </xdr:from>
    <xdr:to>
      <xdr:col>19</xdr:col>
      <xdr:colOff>191027</xdr:colOff>
      <xdr:row>236</xdr:row>
      <xdr:rowOff>111754</xdr:rowOff>
    </xdr:to>
    <xdr:sp macro="" textlink="">
      <xdr:nvSpPr>
        <xdr:cNvPr id="576" name="Стрелка вверх 575"/>
        <xdr:cNvSpPr/>
      </xdr:nvSpPr>
      <xdr:spPr>
        <a:xfrm rot="13500000">
          <a:off x="11392935" y="37945563"/>
          <a:ext cx="224367" cy="53661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306598</xdr:colOff>
      <xdr:row>237</xdr:row>
      <xdr:rowOff>60474</xdr:rowOff>
    </xdr:from>
    <xdr:to>
      <xdr:col>19</xdr:col>
      <xdr:colOff>229823</xdr:colOff>
      <xdr:row>238</xdr:row>
      <xdr:rowOff>126739</xdr:rowOff>
    </xdr:to>
    <xdr:sp macro="" textlink="">
      <xdr:nvSpPr>
        <xdr:cNvPr id="577" name="Стрелка вверх 576"/>
        <xdr:cNvSpPr/>
      </xdr:nvSpPr>
      <xdr:spPr>
        <a:xfrm rot="16200000">
          <a:off x="11431716" y="38284381"/>
          <a:ext cx="228190" cy="53282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17</xdr:col>
      <xdr:colOff>0</xdr:colOff>
      <xdr:row>237</xdr:row>
      <xdr:rowOff>58681</xdr:rowOff>
    </xdr:from>
    <xdr:to>
      <xdr:col>17</xdr:col>
      <xdr:colOff>247074</xdr:colOff>
      <xdr:row>238</xdr:row>
      <xdr:rowOff>124946</xdr:rowOff>
    </xdr:to>
    <xdr:sp macro="" textlink="">
      <xdr:nvSpPr>
        <xdr:cNvPr id="578" name="Стрелка вверх 577"/>
        <xdr:cNvSpPr/>
      </xdr:nvSpPr>
      <xdr:spPr>
        <a:xfrm rot="5400000">
          <a:off x="10372642" y="38425464"/>
          <a:ext cx="22819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18</xdr:col>
      <xdr:colOff>9693</xdr:colOff>
      <xdr:row>239</xdr:row>
      <xdr:rowOff>53650</xdr:rowOff>
    </xdr:from>
    <xdr:to>
      <xdr:col>18</xdr:col>
      <xdr:colOff>234889</xdr:colOff>
      <xdr:row>240</xdr:row>
      <xdr:rowOff>142525</xdr:rowOff>
    </xdr:to>
    <xdr:sp macro="" textlink="">
      <xdr:nvSpPr>
        <xdr:cNvPr id="579" name="Стрелка вверх 578"/>
        <xdr:cNvSpPr/>
      </xdr:nvSpPr>
      <xdr:spPr>
        <a:xfrm>
          <a:off x="10982493" y="38753725"/>
          <a:ext cx="225196" cy="25080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24</xdr:col>
      <xdr:colOff>182218</xdr:colOff>
      <xdr:row>235</xdr:row>
      <xdr:rowOff>0</xdr:rowOff>
    </xdr:from>
    <xdr:to>
      <xdr:col>25</xdr:col>
      <xdr:colOff>269599</xdr:colOff>
      <xdr:row>238</xdr:row>
      <xdr:rowOff>131280</xdr:rowOff>
    </xdr:to>
    <xdr:pic>
      <xdr:nvPicPr>
        <xdr:cNvPr id="580" name="Picture 48"/>
        <xdr:cNvPicPr>
          <a:picLocks noChangeAspect="1" noChangeArrowheads="1"/>
        </xdr:cNvPicPr>
      </xdr:nvPicPr>
      <xdr:blipFill>
        <a:blip xmlns:r="http://schemas.openxmlformats.org/officeDocument/2006/relationships" r:embed="rId80" cstate="print"/>
        <a:srcRect/>
        <a:stretch>
          <a:fillRect/>
        </a:stretch>
      </xdr:blipFill>
      <xdr:spPr bwMode="auto">
        <a:xfrm>
          <a:off x="14812618" y="38052375"/>
          <a:ext cx="696981" cy="617055"/>
        </a:xfrm>
        <a:prstGeom prst="rect">
          <a:avLst/>
        </a:prstGeom>
        <a:noFill/>
      </xdr:spPr>
    </xdr:pic>
    <xdr:clientData/>
  </xdr:twoCellAnchor>
  <xdr:twoCellAnchor>
    <xdr:from>
      <xdr:col>24</xdr:col>
      <xdr:colOff>37372</xdr:colOff>
      <xdr:row>239</xdr:row>
      <xdr:rowOff>6369</xdr:rowOff>
    </xdr:from>
    <xdr:to>
      <xdr:col>24</xdr:col>
      <xdr:colOff>280975</xdr:colOff>
      <xdr:row>240</xdr:row>
      <xdr:rowOff>74100</xdr:rowOff>
    </xdr:to>
    <xdr:sp macro="" textlink="">
      <xdr:nvSpPr>
        <xdr:cNvPr id="581" name="Стрелка вверх 580"/>
        <xdr:cNvSpPr/>
      </xdr:nvSpPr>
      <xdr:spPr>
        <a:xfrm rot="2700000">
          <a:off x="14674746" y="38699470"/>
          <a:ext cx="229656"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290512</xdr:colOff>
      <xdr:row>238</xdr:row>
      <xdr:rowOff>163821</xdr:rowOff>
    </xdr:from>
    <xdr:to>
      <xdr:col>26</xdr:col>
      <xdr:colOff>188387</xdr:colOff>
      <xdr:row>240</xdr:row>
      <xdr:rowOff>87043</xdr:rowOff>
    </xdr:to>
    <xdr:sp macro="" textlink="">
      <xdr:nvSpPr>
        <xdr:cNvPr id="582" name="Стрелка вверх 581"/>
        <xdr:cNvSpPr/>
      </xdr:nvSpPr>
      <xdr:spPr>
        <a:xfrm rot="18900000">
          <a:off x="15530512" y="38701971"/>
          <a:ext cx="507475"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306598</xdr:colOff>
      <xdr:row>237</xdr:row>
      <xdr:rowOff>2496</xdr:rowOff>
    </xdr:from>
    <xdr:to>
      <xdr:col>26</xdr:col>
      <xdr:colOff>229823</xdr:colOff>
      <xdr:row>238</xdr:row>
      <xdr:rowOff>68761</xdr:rowOff>
    </xdr:to>
    <xdr:sp macro="" textlink="">
      <xdr:nvSpPr>
        <xdr:cNvPr id="583" name="Стрелка вверх 582"/>
        <xdr:cNvSpPr/>
      </xdr:nvSpPr>
      <xdr:spPr>
        <a:xfrm rot="16200000">
          <a:off x="15698916" y="38226403"/>
          <a:ext cx="228190" cy="53282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24</xdr:col>
      <xdr:colOff>0</xdr:colOff>
      <xdr:row>237</xdr:row>
      <xdr:rowOff>703</xdr:rowOff>
    </xdr:from>
    <xdr:to>
      <xdr:col>24</xdr:col>
      <xdr:colOff>247074</xdr:colOff>
      <xdr:row>238</xdr:row>
      <xdr:rowOff>66968</xdr:rowOff>
    </xdr:to>
    <xdr:sp macro="" textlink="">
      <xdr:nvSpPr>
        <xdr:cNvPr id="584" name="Стрелка вверх 583"/>
        <xdr:cNvSpPr/>
      </xdr:nvSpPr>
      <xdr:spPr>
        <a:xfrm rot="5400000">
          <a:off x="14639842" y="38367486"/>
          <a:ext cx="22819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9693</xdr:colOff>
      <xdr:row>238</xdr:row>
      <xdr:rowOff>161324</xdr:rowOff>
    </xdr:from>
    <xdr:to>
      <xdr:col>25</xdr:col>
      <xdr:colOff>234889</xdr:colOff>
      <xdr:row>240</xdr:row>
      <xdr:rowOff>84547</xdr:rowOff>
    </xdr:to>
    <xdr:sp macro="" textlink="">
      <xdr:nvSpPr>
        <xdr:cNvPr id="585" name="Стрелка вверх 584"/>
        <xdr:cNvSpPr/>
      </xdr:nvSpPr>
      <xdr:spPr>
        <a:xfrm>
          <a:off x="15249693" y="38699474"/>
          <a:ext cx="225196"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0</xdr:colOff>
      <xdr:row>241</xdr:row>
      <xdr:rowOff>0</xdr:rowOff>
    </xdr:from>
    <xdr:to>
      <xdr:col>5</xdr:col>
      <xdr:colOff>258003</xdr:colOff>
      <xdr:row>249</xdr:row>
      <xdr:rowOff>57565</xdr:rowOff>
    </xdr:to>
    <xdr:pic>
      <xdr:nvPicPr>
        <xdr:cNvPr id="586" name="Picture 50"/>
        <xdr:cNvPicPr>
          <a:picLocks noChangeAspect="1" noChangeArrowheads="1"/>
        </xdr:cNvPicPr>
      </xdr:nvPicPr>
      <xdr:blipFill>
        <a:blip xmlns:r="http://schemas.openxmlformats.org/officeDocument/2006/relationships" r:embed="rId81" cstate="print"/>
        <a:srcRect/>
        <a:stretch>
          <a:fillRect/>
        </a:stretch>
      </xdr:blipFill>
      <xdr:spPr bwMode="auto">
        <a:xfrm>
          <a:off x="609600" y="39023925"/>
          <a:ext cx="2696403" cy="1352965"/>
        </a:xfrm>
        <a:prstGeom prst="rect">
          <a:avLst/>
        </a:prstGeom>
        <a:noFill/>
      </xdr:spPr>
    </xdr:pic>
    <xdr:clientData/>
  </xdr:twoCellAnchor>
  <xdr:twoCellAnchor>
    <xdr:from>
      <xdr:col>2</xdr:col>
      <xdr:colOff>53937</xdr:colOff>
      <xdr:row>249</xdr:row>
      <xdr:rowOff>97480</xdr:rowOff>
    </xdr:from>
    <xdr:to>
      <xdr:col>2</xdr:col>
      <xdr:colOff>297540</xdr:colOff>
      <xdr:row>250</xdr:row>
      <xdr:rowOff>165212</xdr:rowOff>
    </xdr:to>
    <xdr:sp macro="" textlink="">
      <xdr:nvSpPr>
        <xdr:cNvPr id="587" name="Стрелка вверх 586"/>
        <xdr:cNvSpPr/>
      </xdr:nvSpPr>
      <xdr:spPr>
        <a:xfrm rot="2700000">
          <a:off x="1280110" y="40409832"/>
          <a:ext cx="229657"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307077</xdr:colOff>
      <xdr:row>249</xdr:row>
      <xdr:rowOff>89280</xdr:rowOff>
    </xdr:from>
    <xdr:to>
      <xdr:col>4</xdr:col>
      <xdr:colOff>204953</xdr:colOff>
      <xdr:row>251</xdr:row>
      <xdr:rowOff>12502</xdr:rowOff>
    </xdr:to>
    <xdr:sp macro="" textlink="">
      <xdr:nvSpPr>
        <xdr:cNvPr id="588" name="Стрелка вверх 587"/>
        <xdr:cNvSpPr/>
      </xdr:nvSpPr>
      <xdr:spPr>
        <a:xfrm rot="18900000">
          <a:off x="2135877" y="40408605"/>
          <a:ext cx="507476" cy="24707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3</xdr:col>
      <xdr:colOff>26258</xdr:colOff>
      <xdr:row>249</xdr:row>
      <xdr:rowOff>86783</xdr:rowOff>
    </xdr:from>
    <xdr:to>
      <xdr:col>3</xdr:col>
      <xdr:colOff>251454</xdr:colOff>
      <xdr:row>251</xdr:row>
      <xdr:rowOff>10006</xdr:rowOff>
    </xdr:to>
    <xdr:sp macro="" textlink="">
      <xdr:nvSpPr>
        <xdr:cNvPr id="589" name="Стрелка вверх 588"/>
        <xdr:cNvSpPr/>
      </xdr:nvSpPr>
      <xdr:spPr>
        <a:xfrm>
          <a:off x="1855058" y="40406108"/>
          <a:ext cx="225196"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8</xdr:col>
      <xdr:colOff>298173</xdr:colOff>
      <xdr:row>244</xdr:row>
      <xdr:rowOff>24858</xdr:rowOff>
    </xdr:from>
    <xdr:to>
      <xdr:col>11</xdr:col>
      <xdr:colOff>271254</xdr:colOff>
      <xdr:row>248</xdr:row>
      <xdr:rowOff>19059</xdr:rowOff>
    </xdr:to>
    <xdr:pic>
      <xdr:nvPicPr>
        <xdr:cNvPr id="590" name="Picture 52"/>
        <xdr:cNvPicPr>
          <a:picLocks noChangeAspect="1" noChangeArrowheads="1"/>
        </xdr:cNvPicPr>
      </xdr:nvPicPr>
      <xdr:blipFill>
        <a:blip xmlns:r="http://schemas.openxmlformats.org/officeDocument/2006/relationships" r:embed="rId82" cstate="print"/>
        <a:srcRect/>
        <a:stretch>
          <a:fillRect/>
        </a:stretch>
      </xdr:blipFill>
      <xdr:spPr bwMode="auto">
        <a:xfrm>
          <a:off x="5174973" y="39534558"/>
          <a:ext cx="1801881" cy="641902"/>
        </a:xfrm>
        <a:prstGeom prst="rect">
          <a:avLst/>
        </a:prstGeom>
        <a:noFill/>
      </xdr:spPr>
    </xdr:pic>
    <xdr:clientData/>
  </xdr:twoCellAnchor>
  <xdr:twoCellAnchor>
    <xdr:from>
      <xdr:col>8</xdr:col>
      <xdr:colOff>37372</xdr:colOff>
      <xdr:row>248</xdr:row>
      <xdr:rowOff>39510</xdr:rowOff>
    </xdr:from>
    <xdr:to>
      <xdr:col>8</xdr:col>
      <xdr:colOff>280975</xdr:colOff>
      <xdr:row>249</xdr:row>
      <xdr:rowOff>107242</xdr:rowOff>
    </xdr:to>
    <xdr:sp macro="" textlink="">
      <xdr:nvSpPr>
        <xdr:cNvPr id="591" name="Стрелка вверх 590"/>
        <xdr:cNvSpPr/>
      </xdr:nvSpPr>
      <xdr:spPr>
        <a:xfrm rot="2700000">
          <a:off x="4921145" y="40189937"/>
          <a:ext cx="229657"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0</xdr:colOff>
      <xdr:row>246</xdr:row>
      <xdr:rowOff>33844</xdr:rowOff>
    </xdr:from>
    <xdr:to>
      <xdr:col>8</xdr:col>
      <xdr:colOff>247074</xdr:colOff>
      <xdr:row>247</xdr:row>
      <xdr:rowOff>100109</xdr:rowOff>
    </xdr:to>
    <xdr:sp macro="" textlink="">
      <xdr:nvSpPr>
        <xdr:cNvPr id="592" name="Стрелка вверх 591"/>
        <xdr:cNvSpPr/>
      </xdr:nvSpPr>
      <xdr:spPr>
        <a:xfrm rot="5400000">
          <a:off x="4886242" y="39857952"/>
          <a:ext cx="22819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9693</xdr:colOff>
      <xdr:row>248</xdr:row>
      <xdr:rowOff>28813</xdr:rowOff>
    </xdr:from>
    <xdr:to>
      <xdr:col>9</xdr:col>
      <xdr:colOff>234889</xdr:colOff>
      <xdr:row>249</xdr:row>
      <xdr:rowOff>117689</xdr:rowOff>
    </xdr:to>
    <xdr:sp macro="" textlink="">
      <xdr:nvSpPr>
        <xdr:cNvPr id="593" name="Стрелка вверх 592"/>
        <xdr:cNvSpPr/>
      </xdr:nvSpPr>
      <xdr:spPr>
        <a:xfrm>
          <a:off x="5496093" y="40186213"/>
          <a:ext cx="225196" cy="25080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290512</xdr:colOff>
      <xdr:row>248</xdr:row>
      <xdr:rowOff>31307</xdr:rowOff>
    </xdr:from>
    <xdr:to>
      <xdr:col>12</xdr:col>
      <xdr:colOff>188388</xdr:colOff>
      <xdr:row>249</xdr:row>
      <xdr:rowOff>120182</xdr:rowOff>
    </xdr:to>
    <xdr:sp macro="" textlink="">
      <xdr:nvSpPr>
        <xdr:cNvPr id="594" name="Стрелка вверх 593"/>
        <xdr:cNvSpPr/>
      </xdr:nvSpPr>
      <xdr:spPr>
        <a:xfrm rot="18900000">
          <a:off x="6996112" y="40188707"/>
          <a:ext cx="507476" cy="25080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306598</xdr:colOff>
      <xdr:row>246</xdr:row>
      <xdr:rowOff>35634</xdr:rowOff>
    </xdr:from>
    <xdr:to>
      <xdr:col>12</xdr:col>
      <xdr:colOff>229824</xdr:colOff>
      <xdr:row>247</xdr:row>
      <xdr:rowOff>101899</xdr:rowOff>
    </xdr:to>
    <xdr:sp macro="" textlink="">
      <xdr:nvSpPr>
        <xdr:cNvPr id="595" name="Стрелка вверх 594"/>
        <xdr:cNvSpPr/>
      </xdr:nvSpPr>
      <xdr:spPr>
        <a:xfrm rot="16200000">
          <a:off x="7164516" y="39716866"/>
          <a:ext cx="228190" cy="53282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9693</xdr:colOff>
      <xdr:row>248</xdr:row>
      <xdr:rowOff>28810</xdr:rowOff>
    </xdr:from>
    <xdr:to>
      <xdr:col>11</xdr:col>
      <xdr:colOff>234889</xdr:colOff>
      <xdr:row>249</xdr:row>
      <xdr:rowOff>117686</xdr:rowOff>
    </xdr:to>
    <xdr:sp macro="" textlink="">
      <xdr:nvSpPr>
        <xdr:cNvPr id="596" name="Стрелка вверх 595"/>
        <xdr:cNvSpPr/>
      </xdr:nvSpPr>
      <xdr:spPr>
        <a:xfrm>
          <a:off x="6715293" y="40186210"/>
          <a:ext cx="225196" cy="25080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19440</xdr:colOff>
      <xdr:row>242</xdr:row>
      <xdr:rowOff>41423</xdr:rowOff>
    </xdr:from>
    <xdr:to>
      <xdr:col>11</xdr:col>
      <xdr:colOff>244636</xdr:colOff>
      <xdr:row>243</xdr:row>
      <xdr:rowOff>129568</xdr:rowOff>
    </xdr:to>
    <xdr:sp macro="" textlink="">
      <xdr:nvSpPr>
        <xdr:cNvPr id="597" name="Стрелка вверх 596"/>
        <xdr:cNvSpPr/>
      </xdr:nvSpPr>
      <xdr:spPr>
        <a:xfrm rot="10800000">
          <a:off x="6725040" y="39227273"/>
          <a:ext cx="225196" cy="25007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272293</xdr:colOff>
      <xdr:row>242</xdr:row>
      <xdr:rowOff>82452</xdr:rowOff>
    </xdr:from>
    <xdr:to>
      <xdr:col>12</xdr:col>
      <xdr:colOff>199310</xdr:colOff>
      <xdr:row>243</xdr:row>
      <xdr:rowOff>144894</xdr:rowOff>
    </xdr:to>
    <xdr:sp macro="" textlink="">
      <xdr:nvSpPr>
        <xdr:cNvPr id="598" name="Стрелка вверх 597"/>
        <xdr:cNvSpPr/>
      </xdr:nvSpPr>
      <xdr:spPr>
        <a:xfrm rot="13500000">
          <a:off x="7134018" y="39112177"/>
          <a:ext cx="224367" cy="536617"/>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11</xdr:col>
      <xdr:colOff>314880</xdr:colOff>
      <xdr:row>244</xdr:row>
      <xdr:rowOff>93614</xdr:rowOff>
    </xdr:from>
    <xdr:to>
      <xdr:col>12</xdr:col>
      <xdr:colOff>238106</xdr:colOff>
      <xdr:row>245</xdr:row>
      <xdr:rowOff>159878</xdr:rowOff>
    </xdr:to>
    <xdr:sp macro="" textlink="">
      <xdr:nvSpPr>
        <xdr:cNvPr id="599" name="Стрелка вверх 598"/>
        <xdr:cNvSpPr/>
      </xdr:nvSpPr>
      <xdr:spPr>
        <a:xfrm rot="16200000">
          <a:off x="7172798" y="39450996"/>
          <a:ext cx="228189" cy="53282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11158</xdr:colOff>
      <xdr:row>242</xdr:row>
      <xdr:rowOff>41425</xdr:rowOff>
    </xdr:from>
    <xdr:to>
      <xdr:col>9</xdr:col>
      <xdr:colOff>236354</xdr:colOff>
      <xdr:row>243</xdr:row>
      <xdr:rowOff>129570</xdr:rowOff>
    </xdr:to>
    <xdr:sp macro="" textlink="">
      <xdr:nvSpPr>
        <xdr:cNvPr id="600" name="Стрелка вверх 599"/>
        <xdr:cNvSpPr/>
      </xdr:nvSpPr>
      <xdr:spPr>
        <a:xfrm rot="10800000">
          <a:off x="5497558" y="39227275"/>
          <a:ext cx="225196" cy="25007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70369</xdr:colOff>
      <xdr:row>242</xdr:row>
      <xdr:rowOff>46379</xdr:rowOff>
    </xdr:from>
    <xdr:to>
      <xdr:col>8</xdr:col>
      <xdr:colOff>300821</xdr:colOff>
      <xdr:row>243</xdr:row>
      <xdr:rowOff>127263</xdr:rowOff>
    </xdr:to>
    <xdr:sp macro="" textlink="">
      <xdr:nvSpPr>
        <xdr:cNvPr id="601" name="Стрелка вверх 600"/>
        <xdr:cNvSpPr/>
      </xdr:nvSpPr>
      <xdr:spPr>
        <a:xfrm rot="8100000">
          <a:off x="4947169" y="39232229"/>
          <a:ext cx="230452" cy="24280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0</xdr:colOff>
      <xdr:row>244</xdr:row>
      <xdr:rowOff>66974</xdr:rowOff>
    </xdr:from>
    <xdr:to>
      <xdr:col>8</xdr:col>
      <xdr:colOff>247074</xdr:colOff>
      <xdr:row>245</xdr:row>
      <xdr:rowOff>133238</xdr:rowOff>
    </xdr:to>
    <xdr:sp macro="" textlink="">
      <xdr:nvSpPr>
        <xdr:cNvPr id="602" name="Стрелка вверх 601"/>
        <xdr:cNvSpPr/>
      </xdr:nvSpPr>
      <xdr:spPr>
        <a:xfrm rot="5400000">
          <a:off x="4886242" y="39567232"/>
          <a:ext cx="228189"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10</xdr:col>
      <xdr:colOff>27723</xdr:colOff>
      <xdr:row>242</xdr:row>
      <xdr:rowOff>41425</xdr:rowOff>
    </xdr:from>
    <xdr:to>
      <xdr:col>10</xdr:col>
      <xdr:colOff>252919</xdr:colOff>
      <xdr:row>243</xdr:row>
      <xdr:rowOff>129570</xdr:rowOff>
    </xdr:to>
    <xdr:sp macro="" textlink="">
      <xdr:nvSpPr>
        <xdr:cNvPr id="603" name="Стрелка вверх 602"/>
        <xdr:cNvSpPr/>
      </xdr:nvSpPr>
      <xdr:spPr>
        <a:xfrm rot="10800000">
          <a:off x="6123723" y="39227275"/>
          <a:ext cx="225196" cy="25007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10</xdr:col>
      <xdr:colOff>9692</xdr:colOff>
      <xdr:row>248</xdr:row>
      <xdr:rowOff>28813</xdr:rowOff>
    </xdr:from>
    <xdr:to>
      <xdr:col>10</xdr:col>
      <xdr:colOff>234888</xdr:colOff>
      <xdr:row>249</xdr:row>
      <xdr:rowOff>117689</xdr:rowOff>
    </xdr:to>
    <xdr:sp macro="" textlink="">
      <xdr:nvSpPr>
        <xdr:cNvPr id="604" name="Стрелка вверх 603"/>
        <xdr:cNvSpPr/>
      </xdr:nvSpPr>
      <xdr:spPr>
        <a:xfrm>
          <a:off x="6105692" y="40186213"/>
          <a:ext cx="225196" cy="25080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23</xdr:col>
      <xdr:colOff>182218</xdr:colOff>
      <xdr:row>245</xdr:row>
      <xdr:rowOff>24849</xdr:rowOff>
    </xdr:from>
    <xdr:to>
      <xdr:col>24</xdr:col>
      <xdr:colOff>231500</xdr:colOff>
      <xdr:row>247</xdr:row>
      <xdr:rowOff>21950</xdr:rowOff>
    </xdr:to>
    <xdr:pic>
      <xdr:nvPicPr>
        <xdr:cNvPr id="605" name="Picture 56"/>
        <xdr:cNvPicPr>
          <a:picLocks noChangeAspect="1" noChangeArrowheads="1"/>
        </xdr:cNvPicPr>
      </xdr:nvPicPr>
      <xdr:blipFill>
        <a:blip xmlns:r="http://schemas.openxmlformats.org/officeDocument/2006/relationships" r:embed="rId83" cstate="print"/>
        <a:srcRect/>
        <a:stretch>
          <a:fillRect/>
        </a:stretch>
      </xdr:blipFill>
      <xdr:spPr bwMode="auto">
        <a:xfrm>
          <a:off x="14203018" y="39696474"/>
          <a:ext cx="658882" cy="320951"/>
        </a:xfrm>
        <a:prstGeom prst="rect">
          <a:avLst/>
        </a:prstGeom>
        <a:noFill/>
      </xdr:spPr>
    </xdr:pic>
    <xdr:clientData/>
  </xdr:twoCellAnchor>
  <xdr:twoCellAnchor editAs="oneCell">
    <xdr:from>
      <xdr:col>20</xdr:col>
      <xdr:colOff>124240</xdr:colOff>
      <xdr:row>245</xdr:row>
      <xdr:rowOff>16566</xdr:rowOff>
    </xdr:from>
    <xdr:to>
      <xdr:col>21</xdr:col>
      <xdr:colOff>278296</xdr:colOff>
      <xdr:row>247</xdr:row>
      <xdr:rowOff>51767</xdr:rowOff>
    </xdr:to>
    <xdr:pic>
      <xdr:nvPicPr>
        <xdr:cNvPr id="606" name="Picture 54"/>
        <xdr:cNvPicPr>
          <a:picLocks noChangeAspect="1" noChangeArrowheads="1"/>
        </xdr:cNvPicPr>
      </xdr:nvPicPr>
      <xdr:blipFill>
        <a:blip xmlns:r="http://schemas.openxmlformats.org/officeDocument/2006/relationships" r:embed="rId84" cstate="print"/>
        <a:srcRect/>
        <a:stretch>
          <a:fillRect/>
        </a:stretch>
      </xdr:blipFill>
      <xdr:spPr bwMode="auto">
        <a:xfrm>
          <a:off x="12316240" y="39688191"/>
          <a:ext cx="763656" cy="359051"/>
        </a:xfrm>
        <a:prstGeom prst="rect">
          <a:avLst/>
        </a:prstGeom>
        <a:noFill/>
      </xdr:spPr>
    </xdr:pic>
    <xdr:clientData/>
  </xdr:twoCellAnchor>
  <xdr:twoCellAnchor>
    <xdr:from>
      <xdr:col>20</xdr:col>
      <xdr:colOff>37372</xdr:colOff>
      <xdr:row>247</xdr:row>
      <xdr:rowOff>89195</xdr:rowOff>
    </xdr:from>
    <xdr:to>
      <xdr:col>20</xdr:col>
      <xdr:colOff>280975</xdr:colOff>
      <xdr:row>248</xdr:row>
      <xdr:rowOff>156927</xdr:rowOff>
    </xdr:to>
    <xdr:sp macro="" textlink="">
      <xdr:nvSpPr>
        <xdr:cNvPr id="607" name="Стрелка вверх 606"/>
        <xdr:cNvSpPr/>
      </xdr:nvSpPr>
      <xdr:spPr>
        <a:xfrm rot="2700000">
          <a:off x="12236345" y="40077697"/>
          <a:ext cx="229657"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290512</xdr:colOff>
      <xdr:row>247</xdr:row>
      <xdr:rowOff>80995</xdr:rowOff>
    </xdr:from>
    <xdr:to>
      <xdr:col>22</xdr:col>
      <xdr:colOff>188387</xdr:colOff>
      <xdr:row>249</xdr:row>
      <xdr:rowOff>4218</xdr:rowOff>
    </xdr:to>
    <xdr:sp macro="" textlink="">
      <xdr:nvSpPr>
        <xdr:cNvPr id="608" name="Стрелка вверх 607"/>
        <xdr:cNvSpPr/>
      </xdr:nvSpPr>
      <xdr:spPr>
        <a:xfrm rot="18900000">
          <a:off x="13092112" y="40076470"/>
          <a:ext cx="507475"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11158</xdr:colOff>
      <xdr:row>243</xdr:row>
      <xdr:rowOff>57981</xdr:rowOff>
    </xdr:from>
    <xdr:to>
      <xdr:col>21</xdr:col>
      <xdr:colOff>236354</xdr:colOff>
      <xdr:row>244</xdr:row>
      <xdr:rowOff>146126</xdr:rowOff>
    </xdr:to>
    <xdr:sp macro="" textlink="">
      <xdr:nvSpPr>
        <xdr:cNvPr id="609" name="Стрелка вверх 608"/>
        <xdr:cNvSpPr/>
      </xdr:nvSpPr>
      <xdr:spPr>
        <a:xfrm rot="10800000">
          <a:off x="12812758" y="39405756"/>
          <a:ext cx="225196" cy="25007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20</xdr:col>
      <xdr:colOff>70369</xdr:colOff>
      <xdr:row>243</xdr:row>
      <xdr:rowOff>62935</xdr:rowOff>
    </xdr:from>
    <xdr:to>
      <xdr:col>20</xdr:col>
      <xdr:colOff>300821</xdr:colOff>
      <xdr:row>244</xdr:row>
      <xdr:rowOff>143819</xdr:rowOff>
    </xdr:to>
    <xdr:sp macro="" textlink="">
      <xdr:nvSpPr>
        <xdr:cNvPr id="610" name="Стрелка вверх 609"/>
        <xdr:cNvSpPr/>
      </xdr:nvSpPr>
      <xdr:spPr>
        <a:xfrm rot="8100000">
          <a:off x="12262369" y="39410710"/>
          <a:ext cx="230452" cy="24280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264011</xdr:colOff>
      <xdr:row>243</xdr:row>
      <xdr:rowOff>74161</xdr:rowOff>
    </xdr:from>
    <xdr:to>
      <xdr:col>22</xdr:col>
      <xdr:colOff>191027</xdr:colOff>
      <xdr:row>244</xdr:row>
      <xdr:rowOff>136603</xdr:rowOff>
    </xdr:to>
    <xdr:sp macro="" textlink="">
      <xdr:nvSpPr>
        <xdr:cNvPr id="611" name="Стрелка вверх 610"/>
        <xdr:cNvSpPr/>
      </xdr:nvSpPr>
      <xdr:spPr>
        <a:xfrm rot="13500000">
          <a:off x="13221735" y="39265812"/>
          <a:ext cx="224367" cy="53661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306598</xdr:colOff>
      <xdr:row>245</xdr:row>
      <xdr:rowOff>85322</xdr:rowOff>
    </xdr:from>
    <xdr:to>
      <xdr:col>22</xdr:col>
      <xdr:colOff>229823</xdr:colOff>
      <xdr:row>246</xdr:row>
      <xdr:rowOff>151587</xdr:rowOff>
    </xdr:to>
    <xdr:sp macro="" textlink="">
      <xdr:nvSpPr>
        <xdr:cNvPr id="612" name="Стрелка вверх 611"/>
        <xdr:cNvSpPr/>
      </xdr:nvSpPr>
      <xdr:spPr>
        <a:xfrm rot="16200000">
          <a:off x="13260516" y="39604629"/>
          <a:ext cx="228190" cy="53282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20</xdr:col>
      <xdr:colOff>0</xdr:colOff>
      <xdr:row>245</xdr:row>
      <xdr:rowOff>83529</xdr:rowOff>
    </xdr:from>
    <xdr:to>
      <xdr:col>20</xdr:col>
      <xdr:colOff>247074</xdr:colOff>
      <xdr:row>246</xdr:row>
      <xdr:rowOff>149794</xdr:rowOff>
    </xdr:to>
    <xdr:sp macro="" textlink="">
      <xdr:nvSpPr>
        <xdr:cNvPr id="613" name="Стрелка вверх 612"/>
        <xdr:cNvSpPr/>
      </xdr:nvSpPr>
      <xdr:spPr>
        <a:xfrm rot="5400000">
          <a:off x="12201442" y="39745712"/>
          <a:ext cx="22819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21</xdr:col>
      <xdr:colOff>9693</xdr:colOff>
      <xdr:row>247</xdr:row>
      <xdr:rowOff>78498</xdr:rowOff>
    </xdr:from>
    <xdr:to>
      <xdr:col>21</xdr:col>
      <xdr:colOff>234889</xdr:colOff>
      <xdr:row>249</xdr:row>
      <xdr:rowOff>1722</xdr:rowOff>
    </xdr:to>
    <xdr:sp macro="" textlink="">
      <xdr:nvSpPr>
        <xdr:cNvPr id="614" name="Стрелка вверх 613"/>
        <xdr:cNvSpPr/>
      </xdr:nvSpPr>
      <xdr:spPr>
        <a:xfrm>
          <a:off x="12811293" y="40073973"/>
          <a:ext cx="225196"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4241</xdr:colOff>
      <xdr:row>247</xdr:row>
      <xdr:rowOff>89195</xdr:rowOff>
    </xdr:from>
    <xdr:to>
      <xdr:col>23</xdr:col>
      <xdr:colOff>247844</xdr:colOff>
      <xdr:row>248</xdr:row>
      <xdr:rowOff>156927</xdr:rowOff>
    </xdr:to>
    <xdr:sp macro="" textlink="">
      <xdr:nvSpPr>
        <xdr:cNvPr id="615" name="Стрелка вверх 614"/>
        <xdr:cNvSpPr/>
      </xdr:nvSpPr>
      <xdr:spPr>
        <a:xfrm rot="2700000">
          <a:off x="14032014" y="40077697"/>
          <a:ext cx="229657" cy="24360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24</xdr:col>
      <xdr:colOff>257382</xdr:colOff>
      <xdr:row>247</xdr:row>
      <xdr:rowOff>80995</xdr:rowOff>
    </xdr:from>
    <xdr:to>
      <xdr:col>25</xdr:col>
      <xdr:colOff>155257</xdr:colOff>
      <xdr:row>249</xdr:row>
      <xdr:rowOff>4218</xdr:rowOff>
    </xdr:to>
    <xdr:sp macro="" textlink="">
      <xdr:nvSpPr>
        <xdr:cNvPr id="616" name="Стрелка вверх 615"/>
        <xdr:cNvSpPr/>
      </xdr:nvSpPr>
      <xdr:spPr>
        <a:xfrm rot="18900000">
          <a:off x="14887782" y="40076470"/>
          <a:ext cx="507475" cy="247073"/>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301049</xdr:colOff>
      <xdr:row>243</xdr:row>
      <xdr:rowOff>57981</xdr:rowOff>
    </xdr:from>
    <xdr:to>
      <xdr:col>24</xdr:col>
      <xdr:colOff>203224</xdr:colOff>
      <xdr:row>244</xdr:row>
      <xdr:rowOff>146126</xdr:rowOff>
    </xdr:to>
    <xdr:sp macro="" textlink="">
      <xdr:nvSpPr>
        <xdr:cNvPr id="617" name="Стрелка вверх 616"/>
        <xdr:cNvSpPr/>
      </xdr:nvSpPr>
      <xdr:spPr>
        <a:xfrm rot="10800000">
          <a:off x="14321849" y="39405756"/>
          <a:ext cx="511775" cy="25007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37238</xdr:colOff>
      <xdr:row>243</xdr:row>
      <xdr:rowOff>62935</xdr:rowOff>
    </xdr:from>
    <xdr:to>
      <xdr:col>23</xdr:col>
      <xdr:colOff>267690</xdr:colOff>
      <xdr:row>244</xdr:row>
      <xdr:rowOff>143819</xdr:rowOff>
    </xdr:to>
    <xdr:sp macro="" textlink="">
      <xdr:nvSpPr>
        <xdr:cNvPr id="618" name="Стрелка вверх 617"/>
        <xdr:cNvSpPr/>
      </xdr:nvSpPr>
      <xdr:spPr>
        <a:xfrm rot="8100000">
          <a:off x="14058038" y="39410710"/>
          <a:ext cx="230452" cy="24280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24</xdr:col>
      <xdr:colOff>230881</xdr:colOff>
      <xdr:row>243</xdr:row>
      <xdr:rowOff>74161</xdr:rowOff>
    </xdr:from>
    <xdr:to>
      <xdr:col>25</xdr:col>
      <xdr:colOff>157897</xdr:colOff>
      <xdr:row>244</xdr:row>
      <xdr:rowOff>136603</xdr:rowOff>
    </xdr:to>
    <xdr:sp macro="" textlink="">
      <xdr:nvSpPr>
        <xdr:cNvPr id="619" name="Стрелка вверх 618"/>
        <xdr:cNvSpPr/>
      </xdr:nvSpPr>
      <xdr:spPr>
        <a:xfrm rot="13500000">
          <a:off x="15017405" y="39265812"/>
          <a:ext cx="224367" cy="536616"/>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24</xdr:col>
      <xdr:colOff>273468</xdr:colOff>
      <xdr:row>245</xdr:row>
      <xdr:rowOff>85322</xdr:rowOff>
    </xdr:from>
    <xdr:to>
      <xdr:col>25</xdr:col>
      <xdr:colOff>196693</xdr:colOff>
      <xdr:row>246</xdr:row>
      <xdr:rowOff>151587</xdr:rowOff>
    </xdr:to>
    <xdr:sp macro="" textlink="">
      <xdr:nvSpPr>
        <xdr:cNvPr id="620" name="Стрелка вверх 619"/>
        <xdr:cNvSpPr/>
      </xdr:nvSpPr>
      <xdr:spPr>
        <a:xfrm rot="16200000">
          <a:off x="15056186" y="39604629"/>
          <a:ext cx="228190" cy="532825"/>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22</xdr:col>
      <xdr:colOff>289891</xdr:colOff>
      <xdr:row>245</xdr:row>
      <xdr:rowOff>83529</xdr:rowOff>
    </xdr:from>
    <xdr:to>
      <xdr:col>23</xdr:col>
      <xdr:colOff>213943</xdr:colOff>
      <xdr:row>246</xdr:row>
      <xdr:rowOff>149794</xdr:rowOff>
    </xdr:to>
    <xdr:sp macro="" textlink="">
      <xdr:nvSpPr>
        <xdr:cNvPr id="621" name="Стрелка вверх 620"/>
        <xdr:cNvSpPr/>
      </xdr:nvSpPr>
      <xdr:spPr>
        <a:xfrm rot="5400000">
          <a:off x="13853822" y="39602423"/>
          <a:ext cx="228190" cy="533652"/>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299584</xdr:colOff>
      <xdr:row>247</xdr:row>
      <xdr:rowOff>78498</xdr:rowOff>
    </xdr:from>
    <xdr:to>
      <xdr:col>24</xdr:col>
      <xdr:colOff>201759</xdr:colOff>
      <xdr:row>249</xdr:row>
      <xdr:rowOff>1722</xdr:rowOff>
    </xdr:to>
    <xdr:sp macro="" textlink="">
      <xdr:nvSpPr>
        <xdr:cNvPr id="622" name="Стрелка вверх 621"/>
        <xdr:cNvSpPr/>
      </xdr:nvSpPr>
      <xdr:spPr>
        <a:xfrm>
          <a:off x="14320384" y="40073973"/>
          <a:ext cx="511775"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6</xdr:col>
      <xdr:colOff>0</xdr:colOff>
      <xdr:row>252</xdr:row>
      <xdr:rowOff>0</xdr:rowOff>
    </xdr:from>
    <xdr:to>
      <xdr:col>10</xdr:col>
      <xdr:colOff>192156</xdr:colOff>
      <xdr:row>259</xdr:row>
      <xdr:rowOff>137491</xdr:rowOff>
    </xdr:to>
    <xdr:pic>
      <xdr:nvPicPr>
        <xdr:cNvPr id="623" name="Picture 58"/>
        <xdr:cNvPicPr>
          <a:picLocks noChangeAspect="1" noChangeArrowheads="1"/>
        </xdr:cNvPicPr>
      </xdr:nvPicPr>
      <xdr:blipFill>
        <a:blip xmlns:r="http://schemas.openxmlformats.org/officeDocument/2006/relationships" r:embed="rId85" cstate="print"/>
        <a:srcRect/>
        <a:stretch>
          <a:fillRect/>
        </a:stretch>
      </xdr:blipFill>
      <xdr:spPr bwMode="auto">
        <a:xfrm>
          <a:off x="3657600" y="40805100"/>
          <a:ext cx="2630556" cy="1270967"/>
        </a:xfrm>
        <a:prstGeom prst="rect">
          <a:avLst/>
        </a:prstGeom>
        <a:noFill/>
      </xdr:spPr>
    </xdr:pic>
    <xdr:clientData/>
  </xdr:twoCellAnchor>
  <xdr:twoCellAnchor editAs="oneCell">
    <xdr:from>
      <xdr:col>23</xdr:col>
      <xdr:colOff>0</xdr:colOff>
      <xdr:row>148</xdr:row>
      <xdr:rowOff>99378</xdr:rowOff>
    </xdr:from>
    <xdr:to>
      <xdr:col>26</xdr:col>
      <xdr:colOff>70694</xdr:colOff>
      <xdr:row>154</xdr:row>
      <xdr:rowOff>78035</xdr:rowOff>
    </xdr:to>
    <xdr:pic>
      <xdr:nvPicPr>
        <xdr:cNvPr id="625" name="Picture 84"/>
        <xdr:cNvPicPr>
          <a:picLocks noChangeAspect="1" noChangeArrowheads="1"/>
        </xdr:cNvPicPr>
      </xdr:nvPicPr>
      <xdr:blipFill>
        <a:blip xmlns:r="http://schemas.openxmlformats.org/officeDocument/2006/relationships" r:embed="rId86" cstate="print"/>
        <a:srcRect/>
        <a:stretch>
          <a:fillRect/>
        </a:stretch>
      </xdr:blipFill>
      <xdr:spPr bwMode="auto">
        <a:xfrm>
          <a:off x="7354957" y="26620291"/>
          <a:ext cx="1039759" cy="864896"/>
        </a:xfrm>
        <a:prstGeom prst="rect">
          <a:avLst/>
        </a:prstGeom>
        <a:noFill/>
      </xdr:spPr>
    </xdr:pic>
    <xdr:clientData/>
  </xdr:twoCellAnchor>
  <xdr:twoCellAnchor>
    <xdr:from>
      <xdr:col>24</xdr:col>
      <xdr:colOff>190498</xdr:colOff>
      <xdr:row>154</xdr:row>
      <xdr:rowOff>82731</xdr:rowOff>
    </xdr:from>
    <xdr:to>
      <xdr:col>25</xdr:col>
      <xdr:colOff>93310</xdr:colOff>
      <xdr:row>156</xdr:row>
      <xdr:rowOff>1495</xdr:rowOff>
    </xdr:to>
    <xdr:sp macro="" textlink="">
      <xdr:nvSpPr>
        <xdr:cNvPr id="626" name="Стрелка вверх 625"/>
        <xdr:cNvSpPr/>
      </xdr:nvSpPr>
      <xdr:spPr>
        <a:xfrm>
          <a:off x="7868476" y="27489883"/>
          <a:ext cx="225834" cy="25006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243133</xdr:colOff>
      <xdr:row>154</xdr:row>
      <xdr:rowOff>94260</xdr:rowOff>
    </xdr:from>
    <xdr:to>
      <xdr:col>24</xdr:col>
      <xdr:colOff>162886</xdr:colOff>
      <xdr:row>155</xdr:row>
      <xdr:rowOff>158265</xdr:rowOff>
    </xdr:to>
    <xdr:sp macro="" textlink="">
      <xdr:nvSpPr>
        <xdr:cNvPr id="627" name="Стрелка вверх 626"/>
        <xdr:cNvSpPr/>
      </xdr:nvSpPr>
      <xdr:spPr>
        <a:xfrm rot="2700000">
          <a:off x="7604648" y="27494854"/>
          <a:ext cx="229657" cy="2427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128462</xdr:colOff>
      <xdr:row>154</xdr:row>
      <xdr:rowOff>86059</xdr:rowOff>
    </xdr:from>
    <xdr:to>
      <xdr:col>26</xdr:col>
      <xdr:colOff>27802</xdr:colOff>
      <xdr:row>156</xdr:row>
      <xdr:rowOff>4823</xdr:rowOff>
    </xdr:to>
    <xdr:sp macro="" textlink="">
      <xdr:nvSpPr>
        <xdr:cNvPr id="628" name="Стрелка вверх 627"/>
        <xdr:cNvSpPr/>
      </xdr:nvSpPr>
      <xdr:spPr>
        <a:xfrm rot="18900000">
          <a:off x="8129462" y="27493211"/>
          <a:ext cx="222362" cy="25006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23</xdr:col>
      <xdr:colOff>175845</xdr:colOff>
      <xdr:row>152</xdr:row>
      <xdr:rowOff>118737</xdr:rowOff>
    </xdr:from>
    <xdr:to>
      <xdr:col>24</xdr:col>
      <xdr:colOff>100534</xdr:colOff>
      <xdr:row>154</xdr:row>
      <xdr:rowOff>15623</xdr:rowOff>
    </xdr:to>
    <xdr:sp macro="" textlink="">
      <xdr:nvSpPr>
        <xdr:cNvPr id="629" name="Стрелка вверх 628"/>
        <xdr:cNvSpPr/>
      </xdr:nvSpPr>
      <xdr:spPr>
        <a:xfrm rot="5400000">
          <a:off x="7540562" y="27184825"/>
          <a:ext cx="228190" cy="247710"/>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25</xdr:col>
      <xdr:colOff>189366</xdr:colOff>
      <xdr:row>152</xdr:row>
      <xdr:rowOff>114668</xdr:rowOff>
    </xdr:from>
    <xdr:to>
      <xdr:col>26</xdr:col>
      <xdr:colOff>114055</xdr:colOff>
      <xdr:row>154</xdr:row>
      <xdr:rowOff>11554</xdr:rowOff>
    </xdr:to>
    <xdr:sp macro="" textlink="">
      <xdr:nvSpPr>
        <xdr:cNvPr id="630" name="Стрелка вверх 629"/>
        <xdr:cNvSpPr/>
      </xdr:nvSpPr>
      <xdr:spPr>
        <a:xfrm rot="16200000">
          <a:off x="8200127" y="27180755"/>
          <a:ext cx="228190" cy="24771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7</xdr:col>
      <xdr:colOff>0</xdr:colOff>
      <xdr:row>156</xdr:row>
      <xdr:rowOff>33132</xdr:rowOff>
    </xdr:from>
    <xdr:to>
      <xdr:col>9</xdr:col>
      <xdr:colOff>305629</xdr:colOff>
      <xdr:row>160</xdr:row>
      <xdr:rowOff>122585</xdr:rowOff>
    </xdr:to>
    <xdr:pic>
      <xdr:nvPicPr>
        <xdr:cNvPr id="635" name="Picture 2"/>
        <xdr:cNvPicPr>
          <a:picLocks noChangeAspect="1" noChangeArrowheads="1"/>
        </xdr:cNvPicPr>
      </xdr:nvPicPr>
      <xdr:blipFill>
        <a:blip xmlns:r="http://schemas.openxmlformats.org/officeDocument/2006/relationships" r:embed="rId87" cstate="print"/>
        <a:srcRect/>
        <a:stretch>
          <a:fillRect/>
        </a:stretch>
      </xdr:blipFill>
      <xdr:spPr bwMode="auto">
        <a:xfrm>
          <a:off x="2186609" y="27771589"/>
          <a:ext cx="951672" cy="752061"/>
        </a:xfrm>
        <a:prstGeom prst="rect">
          <a:avLst/>
        </a:prstGeom>
        <a:noFill/>
      </xdr:spPr>
    </xdr:pic>
    <xdr:clientData/>
  </xdr:twoCellAnchor>
  <xdr:twoCellAnchor>
    <xdr:from>
      <xdr:col>9</xdr:col>
      <xdr:colOff>22936</xdr:colOff>
      <xdr:row>160</xdr:row>
      <xdr:rowOff>151237</xdr:rowOff>
    </xdr:from>
    <xdr:to>
      <xdr:col>9</xdr:col>
      <xdr:colOff>248132</xdr:colOff>
      <xdr:row>162</xdr:row>
      <xdr:rowOff>74461</xdr:rowOff>
    </xdr:to>
    <xdr:sp macro="" textlink="">
      <xdr:nvSpPr>
        <xdr:cNvPr id="636" name="Стрелка вверх 635"/>
        <xdr:cNvSpPr/>
      </xdr:nvSpPr>
      <xdr:spPr>
        <a:xfrm>
          <a:off x="2855588" y="28552302"/>
          <a:ext cx="225196" cy="25452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8</xdr:col>
      <xdr:colOff>75570</xdr:colOff>
      <xdr:row>161</xdr:row>
      <xdr:rowOff>1574</xdr:rowOff>
    </xdr:from>
    <xdr:to>
      <xdr:col>8</xdr:col>
      <xdr:colOff>317709</xdr:colOff>
      <xdr:row>162</xdr:row>
      <xdr:rowOff>65578</xdr:rowOff>
    </xdr:to>
    <xdr:sp macro="" textlink="">
      <xdr:nvSpPr>
        <xdr:cNvPr id="637" name="Стрелка вверх 636"/>
        <xdr:cNvSpPr/>
      </xdr:nvSpPr>
      <xdr:spPr>
        <a:xfrm rot="2700000">
          <a:off x="2591441" y="28562050"/>
          <a:ext cx="229657" cy="24213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9</xdr:col>
      <xdr:colOff>283284</xdr:colOff>
      <xdr:row>160</xdr:row>
      <xdr:rowOff>154565</xdr:rowOff>
    </xdr:from>
    <xdr:to>
      <xdr:col>10</xdr:col>
      <xdr:colOff>182624</xdr:colOff>
      <xdr:row>162</xdr:row>
      <xdr:rowOff>77789</xdr:rowOff>
    </xdr:to>
    <xdr:sp macro="" textlink="">
      <xdr:nvSpPr>
        <xdr:cNvPr id="638" name="Стрелка вверх 637"/>
        <xdr:cNvSpPr/>
      </xdr:nvSpPr>
      <xdr:spPr>
        <a:xfrm rot="18900000">
          <a:off x="3115936" y="28555630"/>
          <a:ext cx="222362" cy="254529"/>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xdr:from>
      <xdr:col>10</xdr:col>
      <xdr:colOff>21803</xdr:colOff>
      <xdr:row>159</xdr:row>
      <xdr:rowOff>21982</xdr:rowOff>
    </xdr:from>
    <xdr:to>
      <xdr:col>10</xdr:col>
      <xdr:colOff>268877</xdr:colOff>
      <xdr:row>160</xdr:row>
      <xdr:rowOff>84520</xdr:rowOff>
    </xdr:to>
    <xdr:sp macro="" textlink="">
      <xdr:nvSpPr>
        <xdr:cNvPr id="639" name="Стрелка вверх 638"/>
        <xdr:cNvSpPr/>
      </xdr:nvSpPr>
      <xdr:spPr>
        <a:xfrm rot="16200000">
          <a:off x="3186919" y="28247953"/>
          <a:ext cx="228190" cy="247074"/>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twoCellAnchor editAs="oneCell">
    <xdr:from>
      <xdr:col>1</xdr:col>
      <xdr:colOff>0</xdr:colOff>
      <xdr:row>17</xdr:row>
      <xdr:rowOff>0</xdr:rowOff>
    </xdr:from>
    <xdr:to>
      <xdr:col>4</xdr:col>
      <xdr:colOff>0</xdr:colOff>
      <xdr:row>20</xdr:row>
      <xdr:rowOff>57150</xdr:rowOff>
    </xdr:to>
    <xdr:pic>
      <xdr:nvPicPr>
        <xdr:cNvPr id="631" name="Picture 2"/>
        <xdr:cNvPicPr>
          <a:picLocks noChangeAspect="1" noChangeArrowheads="1"/>
        </xdr:cNvPicPr>
      </xdr:nvPicPr>
      <xdr:blipFill>
        <a:blip xmlns:r="http://schemas.openxmlformats.org/officeDocument/2006/relationships" r:embed="rId88" cstate="print"/>
        <a:srcRect/>
        <a:stretch>
          <a:fillRect/>
        </a:stretch>
      </xdr:blipFill>
      <xdr:spPr bwMode="auto">
        <a:xfrm>
          <a:off x="247650" y="3638550"/>
          <a:ext cx="971550" cy="914400"/>
        </a:xfrm>
        <a:prstGeom prst="rect">
          <a:avLst/>
        </a:prstGeom>
        <a:noFill/>
      </xdr:spPr>
    </xdr:pic>
    <xdr:clientData/>
  </xdr:twoCellAnchor>
  <xdr:twoCellAnchor editAs="oneCell">
    <xdr:from>
      <xdr:col>1</xdr:col>
      <xdr:colOff>0</xdr:colOff>
      <xdr:row>21</xdr:row>
      <xdr:rowOff>0</xdr:rowOff>
    </xdr:from>
    <xdr:to>
      <xdr:col>3</xdr:col>
      <xdr:colOff>295275</xdr:colOff>
      <xdr:row>23</xdr:row>
      <xdr:rowOff>85725</xdr:rowOff>
    </xdr:to>
    <xdr:pic>
      <xdr:nvPicPr>
        <xdr:cNvPr id="632" name="Picture 4"/>
        <xdr:cNvPicPr>
          <a:picLocks noChangeAspect="1" noChangeArrowheads="1"/>
        </xdr:cNvPicPr>
      </xdr:nvPicPr>
      <xdr:blipFill>
        <a:blip xmlns:r="http://schemas.openxmlformats.org/officeDocument/2006/relationships" r:embed="rId89" cstate="print"/>
        <a:srcRect/>
        <a:stretch>
          <a:fillRect/>
        </a:stretch>
      </xdr:blipFill>
      <xdr:spPr bwMode="auto">
        <a:xfrm>
          <a:off x="247650" y="4781550"/>
          <a:ext cx="942975" cy="657225"/>
        </a:xfrm>
        <a:prstGeom prst="rect">
          <a:avLst/>
        </a:prstGeom>
        <a:noFill/>
      </xdr:spPr>
    </xdr:pic>
    <xdr:clientData/>
  </xdr:twoCellAnchor>
  <xdr:twoCellAnchor editAs="oneCell">
    <xdr:from>
      <xdr:col>1</xdr:col>
      <xdr:colOff>0</xdr:colOff>
      <xdr:row>25</xdr:row>
      <xdr:rowOff>0</xdr:rowOff>
    </xdr:from>
    <xdr:to>
      <xdr:col>3</xdr:col>
      <xdr:colOff>304800</xdr:colOff>
      <xdr:row>27</xdr:row>
      <xdr:rowOff>171450</xdr:rowOff>
    </xdr:to>
    <xdr:pic>
      <xdr:nvPicPr>
        <xdr:cNvPr id="634" name="Picture 6"/>
        <xdr:cNvPicPr>
          <a:picLocks noChangeAspect="1" noChangeArrowheads="1"/>
        </xdr:cNvPicPr>
      </xdr:nvPicPr>
      <xdr:blipFill>
        <a:blip xmlns:r="http://schemas.openxmlformats.org/officeDocument/2006/relationships" r:embed="rId90" cstate="print"/>
        <a:srcRect/>
        <a:stretch>
          <a:fillRect/>
        </a:stretch>
      </xdr:blipFill>
      <xdr:spPr bwMode="auto">
        <a:xfrm>
          <a:off x="247650" y="5924550"/>
          <a:ext cx="952500" cy="742950"/>
        </a:xfrm>
        <a:prstGeom prst="rect">
          <a:avLst/>
        </a:prstGeom>
        <a:noFill/>
      </xdr:spPr>
    </xdr:pic>
    <xdr:clientData/>
  </xdr:twoCellAnchor>
  <xdr:twoCellAnchor editAs="oneCell">
    <xdr:from>
      <xdr:col>6</xdr:col>
      <xdr:colOff>0</xdr:colOff>
      <xdr:row>17</xdr:row>
      <xdr:rowOff>0</xdr:rowOff>
    </xdr:from>
    <xdr:to>
      <xdr:col>8</xdr:col>
      <xdr:colOff>285750</xdr:colOff>
      <xdr:row>23</xdr:row>
      <xdr:rowOff>180975</xdr:rowOff>
    </xdr:to>
    <xdr:pic>
      <xdr:nvPicPr>
        <xdr:cNvPr id="640" name="Picture 8"/>
        <xdr:cNvPicPr>
          <a:picLocks noChangeAspect="1" noChangeArrowheads="1"/>
        </xdr:cNvPicPr>
      </xdr:nvPicPr>
      <xdr:blipFill>
        <a:blip xmlns:r="http://schemas.openxmlformats.org/officeDocument/2006/relationships" r:embed="rId91" cstate="print"/>
        <a:srcRect/>
        <a:stretch>
          <a:fillRect/>
        </a:stretch>
      </xdr:blipFill>
      <xdr:spPr bwMode="auto">
        <a:xfrm>
          <a:off x="1866900" y="3638550"/>
          <a:ext cx="933450" cy="1895475"/>
        </a:xfrm>
        <a:prstGeom prst="rect">
          <a:avLst/>
        </a:prstGeom>
        <a:noFill/>
      </xdr:spPr>
    </xdr:pic>
    <xdr:clientData/>
  </xdr:twoCellAnchor>
  <xdr:twoCellAnchor editAs="oneCell">
    <xdr:from>
      <xdr:col>6</xdr:col>
      <xdr:colOff>276225</xdr:colOff>
      <xdr:row>23</xdr:row>
      <xdr:rowOff>180975</xdr:rowOff>
    </xdr:from>
    <xdr:to>
      <xdr:col>9</xdr:col>
      <xdr:colOff>257175</xdr:colOff>
      <xdr:row>27</xdr:row>
      <xdr:rowOff>19050</xdr:rowOff>
    </xdr:to>
    <xdr:pic>
      <xdr:nvPicPr>
        <xdr:cNvPr id="641" name="Picture 10"/>
        <xdr:cNvPicPr>
          <a:picLocks noChangeAspect="1" noChangeArrowheads="1"/>
        </xdr:cNvPicPr>
      </xdr:nvPicPr>
      <xdr:blipFill>
        <a:blip xmlns:r="http://schemas.openxmlformats.org/officeDocument/2006/relationships" r:embed="rId92" cstate="print"/>
        <a:srcRect/>
        <a:stretch>
          <a:fillRect/>
        </a:stretch>
      </xdr:blipFill>
      <xdr:spPr bwMode="auto">
        <a:xfrm>
          <a:off x="2143125" y="5534025"/>
          <a:ext cx="952500" cy="981075"/>
        </a:xfrm>
        <a:prstGeom prst="rect">
          <a:avLst/>
        </a:prstGeom>
        <a:noFill/>
      </xdr:spPr>
    </xdr:pic>
    <xdr:clientData/>
  </xdr:twoCellAnchor>
  <xdr:twoCellAnchor editAs="oneCell">
    <xdr:from>
      <xdr:col>14</xdr:col>
      <xdr:colOff>0</xdr:colOff>
      <xdr:row>17</xdr:row>
      <xdr:rowOff>0</xdr:rowOff>
    </xdr:from>
    <xdr:to>
      <xdr:col>19</xdr:col>
      <xdr:colOff>257175</xdr:colOff>
      <xdr:row>22</xdr:row>
      <xdr:rowOff>190500</xdr:rowOff>
    </xdr:to>
    <xdr:pic>
      <xdr:nvPicPr>
        <xdr:cNvPr id="642" name="Picture 12"/>
        <xdr:cNvPicPr>
          <a:picLocks noChangeAspect="1" noChangeArrowheads="1"/>
        </xdr:cNvPicPr>
      </xdr:nvPicPr>
      <xdr:blipFill>
        <a:blip xmlns:r="http://schemas.openxmlformats.org/officeDocument/2006/relationships" r:embed="rId93" cstate="print"/>
        <a:srcRect/>
        <a:stretch>
          <a:fillRect/>
        </a:stretch>
      </xdr:blipFill>
      <xdr:spPr bwMode="auto">
        <a:xfrm>
          <a:off x="4457700" y="3638550"/>
          <a:ext cx="1876425" cy="1619250"/>
        </a:xfrm>
        <a:prstGeom prst="rect">
          <a:avLst/>
        </a:prstGeom>
        <a:noFill/>
      </xdr:spPr>
    </xdr:pic>
    <xdr:clientData/>
  </xdr:twoCellAnchor>
  <xdr:twoCellAnchor editAs="oneCell">
    <xdr:from>
      <xdr:col>14</xdr:col>
      <xdr:colOff>0</xdr:colOff>
      <xdr:row>22</xdr:row>
      <xdr:rowOff>142875</xdr:rowOff>
    </xdr:from>
    <xdr:to>
      <xdr:col>16</xdr:col>
      <xdr:colOff>276225</xdr:colOff>
      <xdr:row>25</xdr:row>
      <xdr:rowOff>257175</xdr:rowOff>
    </xdr:to>
    <xdr:pic>
      <xdr:nvPicPr>
        <xdr:cNvPr id="644" name="Picture 14"/>
        <xdr:cNvPicPr>
          <a:picLocks noChangeAspect="1" noChangeArrowheads="1"/>
        </xdr:cNvPicPr>
      </xdr:nvPicPr>
      <xdr:blipFill>
        <a:blip xmlns:r="http://schemas.openxmlformats.org/officeDocument/2006/relationships" r:embed="rId94" cstate="print"/>
        <a:srcRect/>
        <a:stretch>
          <a:fillRect/>
        </a:stretch>
      </xdr:blipFill>
      <xdr:spPr bwMode="auto">
        <a:xfrm>
          <a:off x="4457700" y="5210175"/>
          <a:ext cx="923925" cy="971550"/>
        </a:xfrm>
        <a:prstGeom prst="rect">
          <a:avLst/>
        </a:prstGeom>
        <a:noFill/>
      </xdr:spPr>
    </xdr:pic>
    <xdr:clientData/>
  </xdr:twoCellAnchor>
  <xdr:twoCellAnchor editAs="oneCell">
    <xdr:from>
      <xdr:col>22</xdr:col>
      <xdr:colOff>0</xdr:colOff>
      <xdr:row>17</xdr:row>
      <xdr:rowOff>0</xdr:rowOff>
    </xdr:from>
    <xdr:to>
      <xdr:col>24</xdr:col>
      <xdr:colOff>314325</xdr:colOff>
      <xdr:row>20</xdr:row>
      <xdr:rowOff>142875</xdr:rowOff>
    </xdr:to>
    <xdr:pic>
      <xdr:nvPicPr>
        <xdr:cNvPr id="647" name="Picture 18"/>
        <xdr:cNvPicPr>
          <a:picLocks noChangeAspect="1" noChangeArrowheads="1"/>
        </xdr:cNvPicPr>
      </xdr:nvPicPr>
      <xdr:blipFill>
        <a:blip xmlns:r="http://schemas.openxmlformats.org/officeDocument/2006/relationships" r:embed="rId95" cstate="print"/>
        <a:srcRect/>
        <a:stretch>
          <a:fillRect/>
        </a:stretch>
      </xdr:blipFill>
      <xdr:spPr bwMode="auto">
        <a:xfrm>
          <a:off x="7048500" y="3638550"/>
          <a:ext cx="962025" cy="1000125"/>
        </a:xfrm>
        <a:prstGeom prst="rect">
          <a:avLst/>
        </a:prstGeom>
        <a:noFill/>
      </xdr:spPr>
    </xdr:pic>
    <xdr:clientData/>
  </xdr:twoCellAnchor>
  <xdr:twoCellAnchor editAs="oneCell">
    <xdr:from>
      <xdr:col>19</xdr:col>
      <xdr:colOff>314325</xdr:colOff>
      <xdr:row>24</xdr:row>
      <xdr:rowOff>152400</xdr:rowOff>
    </xdr:from>
    <xdr:to>
      <xdr:col>22</xdr:col>
      <xdr:colOff>209550</xdr:colOff>
      <xdr:row>27</xdr:row>
      <xdr:rowOff>266700</xdr:rowOff>
    </xdr:to>
    <xdr:pic>
      <xdr:nvPicPr>
        <xdr:cNvPr id="652" name="Picture 22"/>
        <xdr:cNvPicPr>
          <a:picLocks noChangeAspect="1" noChangeArrowheads="1"/>
        </xdr:cNvPicPr>
      </xdr:nvPicPr>
      <xdr:blipFill>
        <a:blip xmlns:r="http://schemas.openxmlformats.org/officeDocument/2006/relationships" r:embed="rId96" cstate="print"/>
        <a:srcRect/>
        <a:stretch>
          <a:fillRect/>
        </a:stretch>
      </xdr:blipFill>
      <xdr:spPr bwMode="auto">
        <a:xfrm>
          <a:off x="6391275" y="5791200"/>
          <a:ext cx="923925" cy="971550"/>
        </a:xfrm>
        <a:prstGeom prst="rect">
          <a:avLst/>
        </a:prstGeom>
        <a:noFill/>
      </xdr:spPr>
    </xdr:pic>
    <xdr:clientData/>
  </xdr:twoCellAnchor>
  <xdr:twoCellAnchor editAs="oneCell">
    <xdr:from>
      <xdr:col>1</xdr:col>
      <xdr:colOff>180975</xdr:colOff>
      <xdr:row>30</xdr:row>
      <xdr:rowOff>0</xdr:rowOff>
    </xdr:from>
    <xdr:to>
      <xdr:col>4</xdr:col>
      <xdr:colOff>295275</xdr:colOff>
      <xdr:row>35</xdr:row>
      <xdr:rowOff>19050</xdr:rowOff>
    </xdr:to>
    <xdr:pic>
      <xdr:nvPicPr>
        <xdr:cNvPr id="654" name="Picture 24"/>
        <xdr:cNvPicPr>
          <a:picLocks noChangeAspect="1" noChangeArrowheads="1"/>
        </xdr:cNvPicPr>
      </xdr:nvPicPr>
      <xdr:blipFill>
        <a:blip xmlns:r="http://schemas.openxmlformats.org/officeDocument/2006/relationships" r:embed="rId97" cstate="print"/>
        <a:srcRect/>
        <a:stretch>
          <a:fillRect/>
        </a:stretch>
      </xdr:blipFill>
      <xdr:spPr bwMode="auto">
        <a:xfrm>
          <a:off x="428625" y="7000875"/>
          <a:ext cx="1085850" cy="828675"/>
        </a:xfrm>
        <a:prstGeom prst="rect">
          <a:avLst/>
        </a:prstGeom>
        <a:noFill/>
      </xdr:spPr>
    </xdr:pic>
    <xdr:clientData/>
  </xdr:twoCellAnchor>
  <xdr:twoCellAnchor editAs="oneCell">
    <xdr:from>
      <xdr:col>0</xdr:col>
      <xdr:colOff>238125</xdr:colOff>
      <xdr:row>36</xdr:row>
      <xdr:rowOff>0</xdr:rowOff>
    </xdr:from>
    <xdr:to>
      <xdr:col>5</xdr:col>
      <xdr:colOff>19050</xdr:colOff>
      <xdr:row>41</xdr:row>
      <xdr:rowOff>104775</xdr:rowOff>
    </xdr:to>
    <xdr:pic>
      <xdr:nvPicPr>
        <xdr:cNvPr id="656" name="Picture 26"/>
        <xdr:cNvPicPr>
          <a:picLocks noChangeAspect="1" noChangeArrowheads="1"/>
        </xdr:cNvPicPr>
      </xdr:nvPicPr>
      <xdr:blipFill>
        <a:blip xmlns:r="http://schemas.openxmlformats.org/officeDocument/2006/relationships" r:embed="rId98" cstate="print"/>
        <a:srcRect/>
        <a:stretch>
          <a:fillRect/>
        </a:stretch>
      </xdr:blipFill>
      <xdr:spPr bwMode="auto">
        <a:xfrm>
          <a:off x="238125" y="7972425"/>
          <a:ext cx="1323975" cy="914400"/>
        </a:xfrm>
        <a:prstGeom prst="rect">
          <a:avLst/>
        </a:prstGeom>
        <a:noFill/>
      </xdr:spPr>
    </xdr:pic>
    <xdr:clientData/>
  </xdr:twoCellAnchor>
  <xdr:twoCellAnchor editAs="oneCell">
    <xdr:from>
      <xdr:col>8</xdr:col>
      <xdr:colOff>19050</xdr:colOff>
      <xdr:row>36</xdr:row>
      <xdr:rowOff>0</xdr:rowOff>
    </xdr:from>
    <xdr:to>
      <xdr:col>10</xdr:col>
      <xdr:colOff>285750</xdr:colOff>
      <xdr:row>41</xdr:row>
      <xdr:rowOff>133350</xdr:rowOff>
    </xdr:to>
    <xdr:pic>
      <xdr:nvPicPr>
        <xdr:cNvPr id="658" name="Picture 28"/>
        <xdr:cNvPicPr>
          <a:picLocks noChangeAspect="1" noChangeArrowheads="1"/>
        </xdr:cNvPicPr>
      </xdr:nvPicPr>
      <xdr:blipFill>
        <a:blip xmlns:r="http://schemas.openxmlformats.org/officeDocument/2006/relationships" r:embed="rId99" cstate="print"/>
        <a:srcRect/>
        <a:stretch>
          <a:fillRect/>
        </a:stretch>
      </xdr:blipFill>
      <xdr:spPr bwMode="auto">
        <a:xfrm>
          <a:off x="2533650" y="7972425"/>
          <a:ext cx="914400" cy="942975"/>
        </a:xfrm>
        <a:prstGeom prst="rect">
          <a:avLst/>
        </a:prstGeom>
        <a:noFill/>
      </xdr:spPr>
    </xdr:pic>
    <xdr:clientData/>
  </xdr:twoCellAnchor>
  <xdr:twoCellAnchor editAs="oneCell">
    <xdr:from>
      <xdr:col>15</xdr:col>
      <xdr:colOff>0</xdr:colOff>
      <xdr:row>36</xdr:row>
      <xdr:rowOff>0</xdr:rowOff>
    </xdr:from>
    <xdr:to>
      <xdr:col>18</xdr:col>
      <xdr:colOff>0</xdr:colOff>
      <xdr:row>41</xdr:row>
      <xdr:rowOff>152400</xdr:rowOff>
    </xdr:to>
    <xdr:pic>
      <xdr:nvPicPr>
        <xdr:cNvPr id="660" name="Picture 30"/>
        <xdr:cNvPicPr>
          <a:picLocks noChangeAspect="1" noChangeArrowheads="1"/>
        </xdr:cNvPicPr>
      </xdr:nvPicPr>
      <xdr:blipFill>
        <a:blip xmlns:r="http://schemas.openxmlformats.org/officeDocument/2006/relationships" r:embed="rId100" cstate="print"/>
        <a:srcRect/>
        <a:stretch>
          <a:fillRect/>
        </a:stretch>
      </xdr:blipFill>
      <xdr:spPr bwMode="auto">
        <a:xfrm>
          <a:off x="4781550" y="7972425"/>
          <a:ext cx="971550" cy="962025"/>
        </a:xfrm>
        <a:prstGeom prst="rect">
          <a:avLst/>
        </a:prstGeom>
        <a:noFill/>
      </xdr:spPr>
    </xdr:pic>
    <xdr:clientData/>
  </xdr:twoCellAnchor>
  <xdr:twoCellAnchor editAs="oneCell">
    <xdr:from>
      <xdr:col>20</xdr:col>
      <xdr:colOff>0</xdr:colOff>
      <xdr:row>36</xdr:row>
      <xdr:rowOff>0</xdr:rowOff>
    </xdr:from>
    <xdr:to>
      <xdr:col>22</xdr:col>
      <xdr:colOff>257175</xdr:colOff>
      <xdr:row>42</xdr:row>
      <xdr:rowOff>47625</xdr:rowOff>
    </xdr:to>
    <xdr:pic>
      <xdr:nvPicPr>
        <xdr:cNvPr id="662" name="Picture 32"/>
        <xdr:cNvPicPr>
          <a:picLocks noChangeAspect="1" noChangeArrowheads="1"/>
        </xdr:cNvPicPr>
      </xdr:nvPicPr>
      <xdr:blipFill>
        <a:blip xmlns:r="http://schemas.openxmlformats.org/officeDocument/2006/relationships" r:embed="rId101" cstate="print"/>
        <a:srcRect/>
        <a:stretch>
          <a:fillRect/>
        </a:stretch>
      </xdr:blipFill>
      <xdr:spPr bwMode="auto">
        <a:xfrm>
          <a:off x="6400800" y="7972425"/>
          <a:ext cx="962025" cy="1019175"/>
        </a:xfrm>
        <a:prstGeom prst="rect">
          <a:avLst/>
        </a:prstGeom>
        <a:noFill/>
      </xdr:spPr>
    </xdr:pic>
    <xdr:clientData/>
  </xdr:twoCellAnchor>
  <xdr:twoCellAnchor>
    <xdr:from>
      <xdr:col>8</xdr:col>
      <xdr:colOff>276467</xdr:colOff>
      <xdr:row>216</xdr:row>
      <xdr:rowOff>82759</xdr:rowOff>
    </xdr:from>
    <xdr:to>
      <xdr:col>9</xdr:col>
      <xdr:colOff>175807</xdr:colOff>
      <xdr:row>218</xdr:row>
      <xdr:rowOff>5250</xdr:rowOff>
    </xdr:to>
    <xdr:sp macro="" textlink="">
      <xdr:nvSpPr>
        <xdr:cNvPr id="624" name="Стрелка вверх 623"/>
        <xdr:cNvSpPr/>
      </xdr:nvSpPr>
      <xdr:spPr>
        <a:xfrm rot="18900000">
          <a:off x="2791067" y="36992134"/>
          <a:ext cx="223190" cy="246341"/>
        </a:xfrm>
        <a:prstGeom prst="upArrow">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ru-RU"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9525</xdr:colOff>
      <xdr:row>43</xdr:row>
      <xdr:rowOff>9525</xdr:rowOff>
    </xdr:from>
    <xdr:to>
      <xdr:col>1</xdr:col>
      <xdr:colOff>619125</xdr:colOff>
      <xdr:row>44</xdr:row>
      <xdr:rowOff>0</xdr:rowOff>
    </xdr:to>
    <xdr:pic>
      <xdr:nvPicPr>
        <xdr:cNvPr id="99641" name="Picture 13" descr="Dirt (Грязь)"/>
        <xdr:cNvPicPr>
          <a:picLocks noChangeAspect="1" noChangeArrowheads="1"/>
        </xdr:cNvPicPr>
      </xdr:nvPicPr>
      <xdr:blipFill>
        <a:blip xmlns:r="http://schemas.openxmlformats.org/officeDocument/2006/relationships" r:embed="rId1" cstate="print"/>
        <a:srcRect/>
        <a:stretch>
          <a:fillRect/>
        </a:stretch>
      </xdr:blipFill>
      <xdr:spPr bwMode="auto">
        <a:xfrm>
          <a:off x="257175" y="15906750"/>
          <a:ext cx="609600" cy="485775"/>
        </a:xfrm>
        <a:prstGeom prst="rect">
          <a:avLst/>
        </a:prstGeom>
        <a:noFill/>
        <a:ln w="9525">
          <a:noFill/>
          <a:miter lim="800000"/>
          <a:headEnd/>
          <a:tailEnd/>
        </a:ln>
      </xdr:spPr>
    </xdr:pic>
    <xdr:clientData/>
  </xdr:twoCellAnchor>
  <xdr:twoCellAnchor editAs="oneCell">
    <xdr:from>
      <xdr:col>1</xdr:col>
      <xdr:colOff>9525</xdr:colOff>
      <xdr:row>44</xdr:row>
      <xdr:rowOff>9525</xdr:rowOff>
    </xdr:from>
    <xdr:to>
      <xdr:col>1</xdr:col>
      <xdr:colOff>619125</xdr:colOff>
      <xdr:row>45</xdr:row>
      <xdr:rowOff>0</xdr:rowOff>
    </xdr:to>
    <xdr:pic>
      <xdr:nvPicPr>
        <xdr:cNvPr id="99642" name="Picture 14" descr="Grass (Трава)"/>
        <xdr:cNvPicPr>
          <a:picLocks noChangeAspect="1" noChangeArrowheads="1"/>
        </xdr:cNvPicPr>
      </xdr:nvPicPr>
      <xdr:blipFill>
        <a:blip xmlns:r="http://schemas.openxmlformats.org/officeDocument/2006/relationships" r:embed="rId2" cstate="print"/>
        <a:srcRect/>
        <a:stretch>
          <a:fillRect/>
        </a:stretch>
      </xdr:blipFill>
      <xdr:spPr bwMode="auto">
        <a:xfrm>
          <a:off x="257175" y="16402050"/>
          <a:ext cx="609600" cy="485775"/>
        </a:xfrm>
        <a:prstGeom prst="rect">
          <a:avLst/>
        </a:prstGeom>
        <a:noFill/>
        <a:ln w="9525">
          <a:noFill/>
          <a:miter lim="800000"/>
          <a:headEnd/>
          <a:tailEnd/>
        </a:ln>
      </xdr:spPr>
    </xdr:pic>
    <xdr:clientData/>
  </xdr:twoCellAnchor>
  <xdr:twoCellAnchor editAs="oneCell">
    <xdr:from>
      <xdr:col>1</xdr:col>
      <xdr:colOff>9525</xdr:colOff>
      <xdr:row>45</xdr:row>
      <xdr:rowOff>9525</xdr:rowOff>
    </xdr:from>
    <xdr:to>
      <xdr:col>1</xdr:col>
      <xdr:colOff>619125</xdr:colOff>
      <xdr:row>46</xdr:row>
      <xdr:rowOff>0</xdr:rowOff>
    </xdr:to>
    <xdr:pic>
      <xdr:nvPicPr>
        <xdr:cNvPr id="99643" name="Picture 15" descr="Lava (Лава)"/>
        <xdr:cNvPicPr>
          <a:picLocks noChangeAspect="1" noChangeArrowheads="1"/>
        </xdr:cNvPicPr>
      </xdr:nvPicPr>
      <xdr:blipFill>
        <a:blip xmlns:r="http://schemas.openxmlformats.org/officeDocument/2006/relationships" r:embed="rId3" cstate="print"/>
        <a:srcRect/>
        <a:stretch>
          <a:fillRect/>
        </a:stretch>
      </xdr:blipFill>
      <xdr:spPr bwMode="auto">
        <a:xfrm>
          <a:off x="257175" y="16897350"/>
          <a:ext cx="609600" cy="485775"/>
        </a:xfrm>
        <a:prstGeom prst="rect">
          <a:avLst/>
        </a:prstGeom>
        <a:noFill/>
        <a:ln w="9525">
          <a:noFill/>
          <a:miter lim="800000"/>
          <a:headEnd/>
          <a:tailEnd/>
        </a:ln>
      </xdr:spPr>
    </xdr:pic>
    <xdr:clientData/>
  </xdr:twoCellAnchor>
  <xdr:twoCellAnchor editAs="oneCell">
    <xdr:from>
      <xdr:col>1</xdr:col>
      <xdr:colOff>9525</xdr:colOff>
      <xdr:row>46</xdr:row>
      <xdr:rowOff>9525</xdr:rowOff>
    </xdr:from>
    <xdr:to>
      <xdr:col>1</xdr:col>
      <xdr:colOff>619125</xdr:colOff>
      <xdr:row>47</xdr:row>
      <xdr:rowOff>0</xdr:rowOff>
    </xdr:to>
    <xdr:pic>
      <xdr:nvPicPr>
        <xdr:cNvPr id="99644" name="Picture 16" descr="Subterranean (Подземный)"/>
        <xdr:cNvPicPr>
          <a:picLocks noChangeAspect="1" noChangeArrowheads="1"/>
        </xdr:cNvPicPr>
      </xdr:nvPicPr>
      <xdr:blipFill>
        <a:blip xmlns:r="http://schemas.openxmlformats.org/officeDocument/2006/relationships" r:embed="rId4" cstate="print"/>
        <a:srcRect/>
        <a:stretch>
          <a:fillRect/>
        </a:stretch>
      </xdr:blipFill>
      <xdr:spPr bwMode="auto">
        <a:xfrm>
          <a:off x="257175" y="17392650"/>
          <a:ext cx="609600" cy="485775"/>
        </a:xfrm>
        <a:prstGeom prst="rect">
          <a:avLst/>
        </a:prstGeom>
        <a:noFill/>
        <a:ln w="9525">
          <a:noFill/>
          <a:miter lim="800000"/>
          <a:headEnd/>
          <a:tailEnd/>
        </a:ln>
      </xdr:spPr>
    </xdr:pic>
    <xdr:clientData/>
  </xdr:twoCellAnchor>
  <xdr:twoCellAnchor editAs="oneCell">
    <xdr:from>
      <xdr:col>1</xdr:col>
      <xdr:colOff>9525</xdr:colOff>
      <xdr:row>47</xdr:row>
      <xdr:rowOff>9524</xdr:rowOff>
    </xdr:from>
    <xdr:to>
      <xdr:col>1</xdr:col>
      <xdr:colOff>619125</xdr:colOff>
      <xdr:row>48</xdr:row>
      <xdr:rowOff>3174</xdr:rowOff>
    </xdr:to>
    <xdr:pic>
      <xdr:nvPicPr>
        <xdr:cNvPr id="99645" name="Picture 17" descr="Rough (Каменистый)"/>
        <xdr:cNvPicPr>
          <a:picLocks noChangeAspect="1" noChangeArrowheads="1"/>
        </xdr:cNvPicPr>
      </xdr:nvPicPr>
      <xdr:blipFill>
        <a:blip xmlns:r="http://schemas.openxmlformats.org/officeDocument/2006/relationships" r:embed="rId5" cstate="print"/>
        <a:srcRect/>
        <a:stretch>
          <a:fillRect/>
        </a:stretch>
      </xdr:blipFill>
      <xdr:spPr bwMode="auto">
        <a:xfrm>
          <a:off x="257175" y="17887949"/>
          <a:ext cx="609600" cy="485775"/>
        </a:xfrm>
        <a:prstGeom prst="rect">
          <a:avLst/>
        </a:prstGeom>
        <a:noFill/>
        <a:ln w="9525">
          <a:noFill/>
          <a:miter lim="800000"/>
          <a:headEnd/>
          <a:tailEnd/>
        </a:ln>
      </xdr:spPr>
    </xdr:pic>
    <xdr:clientData/>
  </xdr:twoCellAnchor>
  <xdr:twoCellAnchor editAs="oneCell">
    <xdr:from>
      <xdr:col>1</xdr:col>
      <xdr:colOff>9525</xdr:colOff>
      <xdr:row>48</xdr:row>
      <xdr:rowOff>9524</xdr:rowOff>
    </xdr:from>
    <xdr:to>
      <xdr:col>1</xdr:col>
      <xdr:colOff>619125</xdr:colOff>
      <xdr:row>49</xdr:row>
      <xdr:rowOff>3174</xdr:rowOff>
    </xdr:to>
    <xdr:pic>
      <xdr:nvPicPr>
        <xdr:cNvPr id="99646" name="Picture 18" descr="Sand (Пески)"/>
        <xdr:cNvPicPr>
          <a:picLocks noChangeAspect="1" noChangeArrowheads="1"/>
        </xdr:cNvPicPr>
      </xdr:nvPicPr>
      <xdr:blipFill>
        <a:blip xmlns:r="http://schemas.openxmlformats.org/officeDocument/2006/relationships" r:embed="rId6" cstate="print"/>
        <a:srcRect/>
        <a:stretch>
          <a:fillRect/>
        </a:stretch>
      </xdr:blipFill>
      <xdr:spPr bwMode="auto">
        <a:xfrm>
          <a:off x="257175" y="18383249"/>
          <a:ext cx="609600" cy="485775"/>
        </a:xfrm>
        <a:prstGeom prst="rect">
          <a:avLst/>
        </a:prstGeom>
        <a:noFill/>
        <a:ln w="9525">
          <a:noFill/>
          <a:miter lim="800000"/>
          <a:headEnd/>
          <a:tailEnd/>
        </a:ln>
      </xdr:spPr>
    </xdr:pic>
    <xdr:clientData/>
  </xdr:twoCellAnchor>
  <xdr:twoCellAnchor editAs="oneCell">
    <xdr:from>
      <xdr:col>1</xdr:col>
      <xdr:colOff>9525</xdr:colOff>
      <xdr:row>50</xdr:row>
      <xdr:rowOff>0</xdr:rowOff>
    </xdr:from>
    <xdr:to>
      <xdr:col>1</xdr:col>
      <xdr:colOff>619125</xdr:colOff>
      <xdr:row>51</xdr:row>
      <xdr:rowOff>0</xdr:rowOff>
    </xdr:to>
    <xdr:pic>
      <xdr:nvPicPr>
        <xdr:cNvPr id="99648" name="Picture 20" descr="Swamp (Болото)"/>
        <xdr:cNvPicPr>
          <a:picLocks noChangeAspect="1" noChangeArrowheads="1"/>
        </xdr:cNvPicPr>
      </xdr:nvPicPr>
      <xdr:blipFill>
        <a:blip xmlns:r="http://schemas.openxmlformats.org/officeDocument/2006/relationships" r:embed="rId7" cstate="print"/>
        <a:srcRect/>
        <a:stretch>
          <a:fillRect/>
        </a:stretch>
      </xdr:blipFill>
      <xdr:spPr bwMode="auto">
        <a:xfrm>
          <a:off x="257175" y="19364325"/>
          <a:ext cx="609600" cy="495300"/>
        </a:xfrm>
        <a:prstGeom prst="rect">
          <a:avLst/>
        </a:prstGeom>
        <a:noFill/>
        <a:ln w="9525">
          <a:noFill/>
          <a:miter lim="800000"/>
          <a:headEnd/>
          <a:tailEnd/>
        </a:ln>
      </xdr:spPr>
    </xdr:pic>
    <xdr:clientData/>
  </xdr:twoCellAnchor>
  <xdr:twoCellAnchor editAs="oneCell">
    <xdr:from>
      <xdr:col>1</xdr:col>
      <xdr:colOff>9525</xdr:colOff>
      <xdr:row>51</xdr:row>
      <xdr:rowOff>19051</xdr:rowOff>
    </xdr:from>
    <xdr:to>
      <xdr:col>1</xdr:col>
      <xdr:colOff>619125</xdr:colOff>
      <xdr:row>52</xdr:row>
      <xdr:rowOff>0</xdr:rowOff>
    </xdr:to>
    <xdr:pic>
      <xdr:nvPicPr>
        <xdr:cNvPr id="99649" name="Picture 21" descr="Dirt Road (земляная дорога)"/>
        <xdr:cNvPicPr>
          <a:picLocks noChangeAspect="1" noChangeArrowheads="1"/>
        </xdr:cNvPicPr>
      </xdr:nvPicPr>
      <xdr:blipFill>
        <a:blip xmlns:r="http://schemas.openxmlformats.org/officeDocument/2006/relationships" r:embed="rId8" cstate="print"/>
        <a:srcRect/>
        <a:stretch>
          <a:fillRect/>
        </a:stretch>
      </xdr:blipFill>
      <xdr:spPr bwMode="auto">
        <a:xfrm>
          <a:off x="257175" y="17726026"/>
          <a:ext cx="609600" cy="485774"/>
        </a:xfrm>
        <a:prstGeom prst="rect">
          <a:avLst/>
        </a:prstGeom>
        <a:noFill/>
        <a:ln w="9525">
          <a:noFill/>
          <a:miter lim="800000"/>
          <a:headEnd/>
          <a:tailEnd/>
        </a:ln>
      </xdr:spPr>
    </xdr:pic>
    <xdr:clientData/>
  </xdr:twoCellAnchor>
  <xdr:twoCellAnchor editAs="oneCell">
    <xdr:from>
      <xdr:col>1</xdr:col>
      <xdr:colOff>9525</xdr:colOff>
      <xdr:row>52</xdr:row>
      <xdr:rowOff>9526</xdr:rowOff>
    </xdr:from>
    <xdr:to>
      <xdr:col>1</xdr:col>
      <xdr:colOff>619125</xdr:colOff>
      <xdr:row>53</xdr:row>
      <xdr:rowOff>0</xdr:rowOff>
    </xdr:to>
    <xdr:pic>
      <xdr:nvPicPr>
        <xdr:cNvPr id="99650" name="Picture 22" descr="Gravel Road (гравийная дорога)"/>
        <xdr:cNvPicPr>
          <a:picLocks noChangeAspect="1" noChangeArrowheads="1"/>
        </xdr:cNvPicPr>
      </xdr:nvPicPr>
      <xdr:blipFill>
        <a:blip xmlns:r="http://schemas.openxmlformats.org/officeDocument/2006/relationships" r:embed="rId9" cstate="print"/>
        <a:srcRect/>
        <a:stretch>
          <a:fillRect/>
        </a:stretch>
      </xdr:blipFill>
      <xdr:spPr bwMode="auto">
        <a:xfrm>
          <a:off x="257175" y="20364451"/>
          <a:ext cx="609600" cy="485774"/>
        </a:xfrm>
        <a:prstGeom prst="rect">
          <a:avLst/>
        </a:prstGeom>
        <a:noFill/>
        <a:ln w="9525">
          <a:noFill/>
          <a:miter lim="800000"/>
          <a:headEnd/>
          <a:tailEnd/>
        </a:ln>
      </xdr:spPr>
    </xdr:pic>
    <xdr:clientData/>
  </xdr:twoCellAnchor>
  <xdr:twoCellAnchor editAs="oneCell">
    <xdr:from>
      <xdr:col>1</xdr:col>
      <xdr:colOff>9525</xdr:colOff>
      <xdr:row>53</xdr:row>
      <xdr:rowOff>9525</xdr:rowOff>
    </xdr:from>
    <xdr:to>
      <xdr:col>1</xdr:col>
      <xdr:colOff>590550</xdr:colOff>
      <xdr:row>53</xdr:row>
      <xdr:rowOff>485775</xdr:rowOff>
    </xdr:to>
    <xdr:pic>
      <xdr:nvPicPr>
        <xdr:cNvPr id="99651" name="Picture 23" descr="Cobblestone Road (мощеная дорога)"/>
        <xdr:cNvPicPr>
          <a:picLocks noChangeAspect="1" noChangeArrowheads="1"/>
        </xdr:cNvPicPr>
      </xdr:nvPicPr>
      <xdr:blipFill>
        <a:blip xmlns:r="http://schemas.openxmlformats.org/officeDocument/2006/relationships" r:embed="rId10" cstate="print"/>
        <a:srcRect/>
        <a:stretch>
          <a:fillRect/>
        </a:stretch>
      </xdr:blipFill>
      <xdr:spPr bwMode="auto">
        <a:xfrm>
          <a:off x="257175" y="20859750"/>
          <a:ext cx="581025" cy="476250"/>
        </a:xfrm>
        <a:prstGeom prst="rect">
          <a:avLst/>
        </a:prstGeom>
        <a:noFill/>
        <a:ln w="9525">
          <a:noFill/>
          <a:miter lim="800000"/>
          <a:headEnd/>
          <a:tailEnd/>
        </a:ln>
      </xdr:spPr>
    </xdr:pic>
    <xdr:clientData/>
  </xdr:twoCellAnchor>
  <xdr:twoCellAnchor editAs="oneCell">
    <xdr:from>
      <xdr:col>2</xdr:col>
      <xdr:colOff>9525</xdr:colOff>
      <xdr:row>12</xdr:row>
      <xdr:rowOff>9525</xdr:rowOff>
    </xdr:from>
    <xdr:to>
      <xdr:col>3</xdr:col>
      <xdr:colOff>0</xdr:colOff>
      <xdr:row>13</xdr:row>
      <xdr:rowOff>0</xdr:rowOff>
    </xdr:to>
    <xdr:pic>
      <xdr:nvPicPr>
        <xdr:cNvPr id="29" name="Picture 9" descr="Clover Field (Клеверное поле)"/>
        <xdr:cNvPicPr>
          <a:picLocks noChangeAspect="1" noChangeArrowheads="1"/>
        </xdr:cNvPicPr>
      </xdr:nvPicPr>
      <xdr:blipFill>
        <a:blip xmlns:r="http://schemas.openxmlformats.org/officeDocument/2006/relationships" r:embed="rId11" cstate="print"/>
        <a:srcRect/>
        <a:stretch>
          <a:fillRect/>
        </a:stretch>
      </xdr:blipFill>
      <xdr:spPr bwMode="auto">
        <a:xfrm>
          <a:off x="2362200" y="3914775"/>
          <a:ext cx="571500" cy="647700"/>
        </a:xfrm>
        <a:prstGeom prst="rect">
          <a:avLst/>
        </a:prstGeom>
        <a:noFill/>
        <a:ln w="9525">
          <a:noFill/>
          <a:miter lim="800000"/>
          <a:headEnd/>
          <a:tailEnd/>
        </a:ln>
      </xdr:spPr>
    </xdr:pic>
    <xdr:clientData/>
  </xdr:twoCellAnchor>
  <xdr:twoCellAnchor editAs="oneCell">
    <xdr:from>
      <xdr:col>2</xdr:col>
      <xdr:colOff>9525</xdr:colOff>
      <xdr:row>5</xdr:row>
      <xdr:rowOff>161924</xdr:rowOff>
    </xdr:from>
    <xdr:to>
      <xdr:col>3</xdr:col>
      <xdr:colOff>0</xdr:colOff>
      <xdr:row>7</xdr:row>
      <xdr:rowOff>0</xdr:rowOff>
    </xdr:to>
    <xdr:pic>
      <xdr:nvPicPr>
        <xdr:cNvPr id="32" name="Picture 8" descr="procl_earth"/>
        <xdr:cNvPicPr>
          <a:picLocks noChangeAspect="1" noChangeArrowheads="1"/>
        </xdr:cNvPicPr>
      </xdr:nvPicPr>
      <xdr:blipFill>
        <a:blip xmlns:r="http://schemas.openxmlformats.org/officeDocument/2006/relationships" r:embed="rId12" cstate="print"/>
        <a:srcRect/>
        <a:stretch>
          <a:fillRect/>
        </a:stretch>
      </xdr:blipFill>
      <xdr:spPr bwMode="auto">
        <a:xfrm>
          <a:off x="2362200" y="761999"/>
          <a:ext cx="571500" cy="657226"/>
        </a:xfrm>
        <a:prstGeom prst="rect">
          <a:avLst/>
        </a:prstGeom>
        <a:noFill/>
        <a:ln w="9525">
          <a:noFill/>
          <a:miter lim="800000"/>
          <a:headEnd/>
          <a:tailEnd/>
        </a:ln>
      </xdr:spPr>
    </xdr:pic>
    <xdr:clientData/>
  </xdr:twoCellAnchor>
  <xdr:twoCellAnchor editAs="oneCell">
    <xdr:from>
      <xdr:col>2</xdr:col>
      <xdr:colOff>9525</xdr:colOff>
      <xdr:row>7</xdr:row>
      <xdr:rowOff>9525</xdr:rowOff>
    </xdr:from>
    <xdr:to>
      <xdr:col>3</xdr:col>
      <xdr:colOff>0</xdr:colOff>
      <xdr:row>8</xdr:row>
      <xdr:rowOff>0</xdr:rowOff>
    </xdr:to>
    <xdr:pic>
      <xdr:nvPicPr>
        <xdr:cNvPr id="34" name="Picture 7" descr="magic_field"/>
        <xdr:cNvPicPr>
          <a:picLocks noChangeAspect="1" noChangeArrowheads="1"/>
        </xdr:cNvPicPr>
      </xdr:nvPicPr>
      <xdr:blipFill>
        <a:blip xmlns:r="http://schemas.openxmlformats.org/officeDocument/2006/relationships" r:embed="rId13" cstate="print"/>
        <a:srcRect/>
        <a:stretch>
          <a:fillRect/>
        </a:stretch>
      </xdr:blipFill>
      <xdr:spPr bwMode="auto">
        <a:xfrm>
          <a:off x="2628900" y="1266825"/>
          <a:ext cx="571500" cy="495300"/>
        </a:xfrm>
        <a:prstGeom prst="rect">
          <a:avLst/>
        </a:prstGeom>
        <a:noFill/>
        <a:ln w="9525">
          <a:noFill/>
          <a:miter lim="800000"/>
          <a:headEnd/>
          <a:tailEnd/>
        </a:ln>
      </xdr:spPr>
    </xdr:pic>
    <xdr:clientData/>
  </xdr:twoCellAnchor>
  <xdr:twoCellAnchor editAs="oneCell">
    <xdr:from>
      <xdr:col>2</xdr:col>
      <xdr:colOff>9525</xdr:colOff>
      <xdr:row>8</xdr:row>
      <xdr:rowOff>9524</xdr:rowOff>
    </xdr:from>
    <xdr:to>
      <xdr:col>3</xdr:col>
      <xdr:colOff>0</xdr:colOff>
      <xdr:row>9</xdr:row>
      <xdr:rowOff>3174</xdr:rowOff>
    </xdr:to>
    <xdr:pic>
      <xdr:nvPicPr>
        <xdr:cNvPr id="35" name="Picture 6" descr="fire_fields"/>
        <xdr:cNvPicPr>
          <a:picLocks noChangeAspect="1" noChangeArrowheads="1"/>
        </xdr:cNvPicPr>
      </xdr:nvPicPr>
      <xdr:blipFill>
        <a:blip xmlns:r="http://schemas.openxmlformats.org/officeDocument/2006/relationships" r:embed="rId14" cstate="print"/>
        <a:srcRect/>
        <a:stretch>
          <a:fillRect/>
        </a:stretch>
      </xdr:blipFill>
      <xdr:spPr bwMode="auto">
        <a:xfrm>
          <a:off x="2628900" y="1762124"/>
          <a:ext cx="571500" cy="485775"/>
        </a:xfrm>
        <a:prstGeom prst="rect">
          <a:avLst/>
        </a:prstGeom>
        <a:noFill/>
        <a:ln w="9525">
          <a:noFill/>
          <a:miter lim="800000"/>
          <a:headEnd/>
          <a:tailEnd/>
        </a:ln>
      </xdr:spPr>
    </xdr:pic>
    <xdr:clientData/>
  </xdr:twoCellAnchor>
  <xdr:twoCellAnchor editAs="oneCell">
    <xdr:from>
      <xdr:col>2</xdr:col>
      <xdr:colOff>9525</xdr:colOff>
      <xdr:row>9</xdr:row>
      <xdr:rowOff>9524</xdr:rowOff>
    </xdr:from>
    <xdr:to>
      <xdr:col>3</xdr:col>
      <xdr:colOff>0</xdr:colOff>
      <xdr:row>10</xdr:row>
      <xdr:rowOff>3174</xdr:rowOff>
    </xdr:to>
    <xdr:pic>
      <xdr:nvPicPr>
        <xdr:cNvPr id="36" name="Picture 5" descr="prozr_lakes"/>
        <xdr:cNvPicPr>
          <a:picLocks noChangeAspect="1" noChangeArrowheads="1"/>
        </xdr:cNvPicPr>
      </xdr:nvPicPr>
      <xdr:blipFill>
        <a:blip xmlns:r="http://schemas.openxmlformats.org/officeDocument/2006/relationships" r:embed="rId15" cstate="print"/>
        <a:srcRect/>
        <a:stretch>
          <a:fillRect/>
        </a:stretch>
      </xdr:blipFill>
      <xdr:spPr bwMode="auto">
        <a:xfrm>
          <a:off x="2628900" y="2257424"/>
          <a:ext cx="571500" cy="485775"/>
        </a:xfrm>
        <a:prstGeom prst="rect">
          <a:avLst/>
        </a:prstGeom>
        <a:noFill/>
        <a:ln w="9525">
          <a:noFill/>
          <a:miter lim="800000"/>
          <a:headEnd/>
          <a:tailEnd/>
        </a:ln>
      </xdr:spPr>
    </xdr:pic>
    <xdr:clientData/>
  </xdr:twoCellAnchor>
  <xdr:twoCellAnchor editAs="oneCell">
    <xdr:from>
      <xdr:col>2</xdr:col>
      <xdr:colOff>9525</xdr:colOff>
      <xdr:row>10</xdr:row>
      <xdr:rowOff>9526</xdr:rowOff>
    </xdr:from>
    <xdr:to>
      <xdr:col>3</xdr:col>
      <xdr:colOff>0</xdr:colOff>
      <xdr:row>11</xdr:row>
      <xdr:rowOff>0</xdr:rowOff>
    </xdr:to>
    <xdr:pic>
      <xdr:nvPicPr>
        <xdr:cNvPr id="37" name="Picture 3" descr="magic_clouds"/>
        <xdr:cNvPicPr>
          <a:picLocks noChangeAspect="1" noChangeArrowheads="1"/>
        </xdr:cNvPicPr>
      </xdr:nvPicPr>
      <xdr:blipFill>
        <a:blip xmlns:r="http://schemas.openxmlformats.org/officeDocument/2006/relationships" r:embed="rId16" cstate="print"/>
        <a:srcRect/>
        <a:stretch>
          <a:fillRect/>
        </a:stretch>
      </xdr:blipFill>
      <xdr:spPr bwMode="auto">
        <a:xfrm>
          <a:off x="2628900" y="2752726"/>
          <a:ext cx="571500" cy="485774"/>
        </a:xfrm>
        <a:prstGeom prst="rect">
          <a:avLst/>
        </a:prstGeom>
        <a:noFill/>
        <a:ln w="9525">
          <a:noFill/>
          <a:miter lim="800000"/>
          <a:headEnd/>
          <a:tailEnd/>
        </a:ln>
      </xdr:spPr>
    </xdr:pic>
    <xdr:clientData/>
  </xdr:twoCellAnchor>
  <xdr:twoCellAnchor editAs="oneCell">
    <xdr:from>
      <xdr:col>2</xdr:col>
      <xdr:colOff>9525</xdr:colOff>
      <xdr:row>11</xdr:row>
      <xdr:rowOff>9524</xdr:rowOff>
    </xdr:from>
    <xdr:to>
      <xdr:col>3</xdr:col>
      <xdr:colOff>0</xdr:colOff>
      <xdr:row>12</xdr:row>
      <xdr:rowOff>3174</xdr:rowOff>
    </xdr:to>
    <xdr:pic>
      <xdr:nvPicPr>
        <xdr:cNvPr id="38" name="Picture 4" descr="stone_earth"/>
        <xdr:cNvPicPr>
          <a:picLocks noChangeAspect="1" noChangeArrowheads="1"/>
        </xdr:cNvPicPr>
      </xdr:nvPicPr>
      <xdr:blipFill>
        <a:blip xmlns:r="http://schemas.openxmlformats.org/officeDocument/2006/relationships" r:embed="rId17" cstate="print"/>
        <a:srcRect/>
        <a:stretch>
          <a:fillRect/>
        </a:stretch>
      </xdr:blipFill>
      <xdr:spPr bwMode="auto">
        <a:xfrm>
          <a:off x="2628900" y="3248024"/>
          <a:ext cx="571500" cy="485775"/>
        </a:xfrm>
        <a:prstGeom prst="rect">
          <a:avLst/>
        </a:prstGeom>
        <a:noFill/>
        <a:ln w="9525">
          <a:noFill/>
          <a:miter lim="800000"/>
          <a:headEnd/>
          <a:tailEnd/>
        </a:ln>
      </xdr:spPr>
    </xdr:pic>
    <xdr:clientData/>
  </xdr:twoCellAnchor>
  <xdr:twoCellAnchor editAs="oneCell">
    <xdr:from>
      <xdr:col>2</xdr:col>
      <xdr:colOff>9525</xdr:colOff>
      <xdr:row>13</xdr:row>
      <xdr:rowOff>9525</xdr:rowOff>
    </xdr:from>
    <xdr:to>
      <xdr:col>3</xdr:col>
      <xdr:colOff>0</xdr:colOff>
      <xdr:row>14</xdr:row>
      <xdr:rowOff>0</xdr:rowOff>
    </xdr:to>
    <xdr:pic>
      <xdr:nvPicPr>
        <xdr:cNvPr id="39" name="Picture 10" descr="Evil Fog (Дьявольский туман)"/>
        <xdr:cNvPicPr>
          <a:picLocks noChangeAspect="1" noChangeArrowheads="1"/>
        </xdr:cNvPicPr>
      </xdr:nvPicPr>
      <xdr:blipFill>
        <a:blip xmlns:r="http://schemas.openxmlformats.org/officeDocument/2006/relationships" r:embed="rId18" cstate="print"/>
        <a:srcRect/>
        <a:stretch>
          <a:fillRect/>
        </a:stretch>
      </xdr:blipFill>
      <xdr:spPr bwMode="auto">
        <a:xfrm>
          <a:off x="2628900" y="4562475"/>
          <a:ext cx="571500" cy="485775"/>
        </a:xfrm>
        <a:prstGeom prst="rect">
          <a:avLst/>
        </a:prstGeom>
        <a:noFill/>
        <a:ln w="9525">
          <a:noFill/>
          <a:miter lim="800000"/>
          <a:headEnd/>
          <a:tailEnd/>
        </a:ln>
      </xdr:spPr>
    </xdr:pic>
    <xdr:clientData/>
  </xdr:twoCellAnchor>
  <xdr:twoCellAnchor editAs="oneCell">
    <xdr:from>
      <xdr:col>2</xdr:col>
      <xdr:colOff>9525</xdr:colOff>
      <xdr:row>14</xdr:row>
      <xdr:rowOff>9525</xdr:rowOff>
    </xdr:from>
    <xdr:to>
      <xdr:col>3</xdr:col>
      <xdr:colOff>9525</xdr:colOff>
      <xdr:row>15</xdr:row>
      <xdr:rowOff>0</xdr:rowOff>
    </xdr:to>
    <xdr:pic>
      <xdr:nvPicPr>
        <xdr:cNvPr id="40" name="Picture 11" descr="Holy Ground (Святая земля)"/>
        <xdr:cNvPicPr>
          <a:picLocks noChangeAspect="1" noChangeArrowheads="1"/>
        </xdr:cNvPicPr>
      </xdr:nvPicPr>
      <xdr:blipFill>
        <a:blip xmlns:r="http://schemas.openxmlformats.org/officeDocument/2006/relationships" r:embed="rId19" cstate="print"/>
        <a:srcRect/>
        <a:stretch>
          <a:fillRect/>
        </a:stretch>
      </xdr:blipFill>
      <xdr:spPr bwMode="auto">
        <a:xfrm>
          <a:off x="2628900" y="5057775"/>
          <a:ext cx="581025" cy="485775"/>
        </a:xfrm>
        <a:prstGeom prst="rect">
          <a:avLst/>
        </a:prstGeom>
        <a:noFill/>
        <a:ln w="9525">
          <a:noFill/>
          <a:miter lim="800000"/>
          <a:headEnd/>
          <a:tailEnd/>
        </a:ln>
      </xdr:spPr>
    </xdr:pic>
    <xdr:clientData/>
  </xdr:twoCellAnchor>
  <xdr:twoCellAnchor editAs="oneCell">
    <xdr:from>
      <xdr:col>2</xdr:col>
      <xdr:colOff>9525</xdr:colOff>
      <xdr:row>15</xdr:row>
      <xdr:rowOff>9525</xdr:rowOff>
    </xdr:from>
    <xdr:to>
      <xdr:col>3</xdr:col>
      <xdr:colOff>0</xdr:colOff>
      <xdr:row>15</xdr:row>
      <xdr:rowOff>485774</xdr:rowOff>
    </xdr:to>
    <xdr:pic>
      <xdr:nvPicPr>
        <xdr:cNvPr id="41" name="Picture 12" descr="Favorable Winds (Попутные ветра)"/>
        <xdr:cNvPicPr>
          <a:picLocks noChangeAspect="1" noChangeArrowheads="1"/>
        </xdr:cNvPicPr>
      </xdr:nvPicPr>
      <xdr:blipFill>
        <a:blip xmlns:r="http://schemas.openxmlformats.org/officeDocument/2006/relationships" r:embed="rId20" cstate="print"/>
        <a:srcRect/>
        <a:stretch>
          <a:fillRect/>
        </a:stretch>
      </xdr:blipFill>
      <xdr:spPr bwMode="auto">
        <a:xfrm>
          <a:off x="2628900" y="5553075"/>
          <a:ext cx="571500" cy="476249"/>
        </a:xfrm>
        <a:prstGeom prst="rect">
          <a:avLst/>
        </a:prstGeom>
        <a:noFill/>
        <a:ln w="9525">
          <a:noFill/>
          <a:miter lim="800000"/>
          <a:headEnd/>
          <a:tailEnd/>
        </a:ln>
      </xdr:spPr>
    </xdr:pic>
    <xdr:clientData/>
  </xdr:twoCellAnchor>
  <xdr:twoCellAnchor editAs="oneCell">
    <xdr:from>
      <xdr:col>1</xdr:col>
      <xdr:colOff>9525</xdr:colOff>
      <xdr:row>49</xdr:row>
      <xdr:rowOff>9524</xdr:rowOff>
    </xdr:from>
    <xdr:to>
      <xdr:col>1</xdr:col>
      <xdr:colOff>619125</xdr:colOff>
      <xdr:row>50</xdr:row>
      <xdr:rowOff>3174</xdr:rowOff>
    </xdr:to>
    <xdr:pic>
      <xdr:nvPicPr>
        <xdr:cNvPr id="42" name="Picture 19" descr="Snow (Снег)"/>
        <xdr:cNvPicPr>
          <a:picLocks noChangeAspect="1" noChangeArrowheads="1"/>
        </xdr:cNvPicPr>
      </xdr:nvPicPr>
      <xdr:blipFill>
        <a:blip xmlns:r="http://schemas.openxmlformats.org/officeDocument/2006/relationships" r:embed="rId21" cstate="print"/>
        <a:srcRect/>
        <a:stretch>
          <a:fillRect/>
        </a:stretch>
      </xdr:blipFill>
      <xdr:spPr bwMode="auto">
        <a:xfrm>
          <a:off x="257175" y="18878549"/>
          <a:ext cx="609600" cy="485775"/>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2</xdr:col>
      <xdr:colOff>9525</xdr:colOff>
      <xdr:row>19</xdr:row>
      <xdr:rowOff>0</xdr:rowOff>
    </xdr:to>
    <xdr:pic>
      <xdr:nvPicPr>
        <xdr:cNvPr id="107489" name="Picture 1" descr="spellbook"/>
        <xdr:cNvPicPr>
          <a:picLocks noChangeAspect="1" noChangeArrowheads="1"/>
        </xdr:cNvPicPr>
      </xdr:nvPicPr>
      <xdr:blipFill>
        <a:blip xmlns:r="http://schemas.openxmlformats.org/officeDocument/2006/relationships" r:embed="rId1" cstate="print"/>
        <a:srcRect/>
        <a:stretch>
          <a:fillRect/>
        </a:stretch>
      </xdr:blipFill>
      <xdr:spPr bwMode="auto">
        <a:xfrm>
          <a:off x="247650" y="3495675"/>
          <a:ext cx="552450" cy="619125"/>
        </a:xfrm>
        <a:prstGeom prst="rect">
          <a:avLst/>
        </a:prstGeom>
        <a:noFill/>
        <a:ln w="9525">
          <a:noFill/>
          <a:miter lim="800000"/>
          <a:headEnd/>
          <a:tailEnd/>
        </a:ln>
      </xdr:spPr>
    </xdr:pic>
    <xdr:clientData/>
  </xdr:twoCellAnchor>
  <xdr:twoCellAnchor editAs="oneCell">
    <xdr:from>
      <xdr:col>1</xdr:col>
      <xdr:colOff>0</xdr:colOff>
      <xdr:row>19</xdr:row>
      <xdr:rowOff>0</xdr:rowOff>
    </xdr:from>
    <xdr:to>
      <xdr:col>2</xdr:col>
      <xdr:colOff>9525</xdr:colOff>
      <xdr:row>20</xdr:row>
      <xdr:rowOff>0</xdr:rowOff>
    </xdr:to>
    <xdr:pic>
      <xdr:nvPicPr>
        <xdr:cNvPr id="107490" name="Picture 2" descr="scroll"/>
        <xdr:cNvPicPr>
          <a:picLocks noChangeAspect="1" noChangeArrowheads="1"/>
        </xdr:cNvPicPr>
      </xdr:nvPicPr>
      <xdr:blipFill>
        <a:blip xmlns:r="http://schemas.openxmlformats.org/officeDocument/2006/relationships" r:embed="rId2" cstate="print"/>
        <a:srcRect/>
        <a:stretch>
          <a:fillRect/>
        </a:stretch>
      </xdr:blipFill>
      <xdr:spPr bwMode="auto">
        <a:xfrm>
          <a:off x="314325" y="2190750"/>
          <a:ext cx="552450" cy="609600"/>
        </a:xfrm>
        <a:prstGeom prst="rect">
          <a:avLst/>
        </a:prstGeom>
        <a:noFill/>
        <a:ln w="9525">
          <a:noFill/>
          <a:miter lim="800000"/>
          <a:headEnd/>
          <a:tailEnd/>
        </a:ln>
      </xdr:spPr>
    </xdr:pic>
    <xdr:clientData/>
  </xdr:twoCellAnchor>
  <xdr:twoCellAnchor editAs="oneCell">
    <xdr:from>
      <xdr:col>1</xdr:col>
      <xdr:colOff>0</xdr:colOff>
      <xdr:row>20</xdr:row>
      <xdr:rowOff>0</xdr:rowOff>
    </xdr:from>
    <xdr:to>
      <xdr:col>2</xdr:col>
      <xdr:colOff>9525</xdr:colOff>
      <xdr:row>21</xdr:row>
      <xdr:rowOff>0</xdr:rowOff>
    </xdr:to>
    <xdr:pic>
      <xdr:nvPicPr>
        <xdr:cNvPr id="107491" name="Picture 3" descr="grail"/>
        <xdr:cNvPicPr>
          <a:picLocks noChangeAspect="1" noChangeArrowheads="1"/>
        </xdr:cNvPicPr>
      </xdr:nvPicPr>
      <xdr:blipFill>
        <a:blip xmlns:r="http://schemas.openxmlformats.org/officeDocument/2006/relationships" r:embed="rId3" cstate="print"/>
        <a:srcRect/>
        <a:stretch>
          <a:fillRect/>
        </a:stretch>
      </xdr:blipFill>
      <xdr:spPr bwMode="auto">
        <a:xfrm>
          <a:off x="247650" y="4724400"/>
          <a:ext cx="552450" cy="609600"/>
        </a:xfrm>
        <a:prstGeom prst="rect">
          <a:avLst/>
        </a:prstGeom>
        <a:noFill/>
        <a:ln w="9525">
          <a:noFill/>
          <a:miter lim="800000"/>
          <a:headEnd/>
          <a:tailEnd/>
        </a:ln>
      </xdr:spPr>
    </xdr:pic>
    <xdr:clientData/>
  </xdr:twoCellAnchor>
  <xdr:twoCellAnchor editAs="oneCell">
    <xdr:from>
      <xdr:col>1</xdr:col>
      <xdr:colOff>0</xdr:colOff>
      <xdr:row>20</xdr:row>
      <xdr:rowOff>609599</xdr:rowOff>
    </xdr:from>
    <xdr:to>
      <xdr:col>2</xdr:col>
      <xdr:colOff>9525</xdr:colOff>
      <xdr:row>21</xdr:row>
      <xdr:rowOff>619124</xdr:rowOff>
    </xdr:to>
    <xdr:pic>
      <xdr:nvPicPr>
        <xdr:cNvPr id="107492" name="Picture 4" descr="catapult"/>
        <xdr:cNvPicPr>
          <a:picLocks noChangeAspect="1" noChangeArrowheads="1"/>
        </xdr:cNvPicPr>
      </xdr:nvPicPr>
      <xdr:blipFill>
        <a:blip xmlns:r="http://schemas.openxmlformats.org/officeDocument/2006/relationships" r:embed="rId4" cstate="print"/>
        <a:srcRect/>
        <a:stretch>
          <a:fillRect/>
        </a:stretch>
      </xdr:blipFill>
      <xdr:spPr bwMode="auto">
        <a:xfrm>
          <a:off x="247650" y="5333999"/>
          <a:ext cx="552450" cy="619125"/>
        </a:xfrm>
        <a:prstGeom prst="rect">
          <a:avLst/>
        </a:prstGeom>
        <a:noFill/>
        <a:ln w="9525">
          <a:noFill/>
          <a:miter lim="800000"/>
          <a:headEnd/>
          <a:tailEnd/>
        </a:ln>
      </xdr:spPr>
    </xdr:pic>
    <xdr:clientData/>
  </xdr:twoCellAnchor>
  <xdr:twoCellAnchor editAs="oneCell">
    <xdr:from>
      <xdr:col>1</xdr:col>
      <xdr:colOff>0</xdr:colOff>
      <xdr:row>22</xdr:row>
      <xdr:rowOff>9524</xdr:rowOff>
    </xdr:from>
    <xdr:to>
      <xdr:col>2</xdr:col>
      <xdr:colOff>9525</xdr:colOff>
      <xdr:row>23</xdr:row>
      <xdr:rowOff>9524</xdr:rowOff>
    </xdr:to>
    <xdr:pic>
      <xdr:nvPicPr>
        <xdr:cNvPr id="107493" name="Picture 5" descr="ballista"/>
        <xdr:cNvPicPr>
          <a:picLocks noChangeAspect="1" noChangeArrowheads="1"/>
        </xdr:cNvPicPr>
      </xdr:nvPicPr>
      <xdr:blipFill>
        <a:blip xmlns:r="http://schemas.openxmlformats.org/officeDocument/2006/relationships" r:embed="rId5" cstate="print"/>
        <a:srcRect/>
        <a:stretch>
          <a:fillRect/>
        </a:stretch>
      </xdr:blipFill>
      <xdr:spPr bwMode="auto">
        <a:xfrm>
          <a:off x="247650" y="5962649"/>
          <a:ext cx="552450" cy="600075"/>
        </a:xfrm>
        <a:prstGeom prst="rect">
          <a:avLst/>
        </a:prstGeom>
        <a:noFill/>
        <a:ln w="9525">
          <a:noFill/>
          <a:miter lim="800000"/>
          <a:headEnd/>
          <a:tailEnd/>
        </a:ln>
      </xdr:spPr>
    </xdr:pic>
    <xdr:clientData/>
  </xdr:twoCellAnchor>
  <xdr:twoCellAnchor editAs="oneCell">
    <xdr:from>
      <xdr:col>1</xdr:col>
      <xdr:colOff>0</xdr:colOff>
      <xdr:row>23</xdr:row>
      <xdr:rowOff>0</xdr:rowOff>
    </xdr:from>
    <xdr:to>
      <xdr:col>2</xdr:col>
      <xdr:colOff>9525</xdr:colOff>
      <xdr:row>24</xdr:row>
      <xdr:rowOff>0</xdr:rowOff>
    </xdr:to>
    <xdr:pic>
      <xdr:nvPicPr>
        <xdr:cNvPr id="107494" name="Picture 6" descr="cart"/>
        <xdr:cNvPicPr>
          <a:picLocks noChangeAspect="1" noChangeArrowheads="1"/>
        </xdr:cNvPicPr>
      </xdr:nvPicPr>
      <xdr:blipFill>
        <a:blip xmlns:r="http://schemas.openxmlformats.org/officeDocument/2006/relationships" r:embed="rId6" cstate="print"/>
        <a:srcRect/>
        <a:stretch>
          <a:fillRect/>
        </a:stretch>
      </xdr:blipFill>
      <xdr:spPr bwMode="auto">
        <a:xfrm>
          <a:off x="247650" y="6553200"/>
          <a:ext cx="552450" cy="609600"/>
        </a:xfrm>
        <a:prstGeom prst="rect">
          <a:avLst/>
        </a:prstGeom>
        <a:noFill/>
        <a:ln w="9525">
          <a:noFill/>
          <a:miter lim="800000"/>
          <a:headEnd/>
          <a:tailEnd/>
        </a:ln>
      </xdr:spPr>
    </xdr:pic>
    <xdr:clientData/>
  </xdr:twoCellAnchor>
  <xdr:twoCellAnchor editAs="oneCell">
    <xdr:from>
      <xdr:col>1</xdr:col>
      <xdr:colOff>0</xdr:colOff>
      <xdr:row>24</xdr:row>
      <xdr:rowOff>0</xdr:rowOff>
    </xdr:from>
    <xdr:to>
      <xdr:col>2</xdr:col>
      <xdr:colOff>9525</xdr:colOff>
      <xdr:row>25</xdr:row>
      <xdr:rowOff>0</xdr:rowOff>
    </xdr:to>
    <xdr:pic>
      <xdr:nvPicPr>
        <xdr:cNvPr id="107495" name="Picture 7" descr="tent"/>
        <xdr:cNvPicPr>
          <a:picLocks noChangeAspect="1" noChangeArrowheads="1"/>
        </xdr:cNvPicPr>
      </xdr:nvPicPr>
      <xdr:blipFill>
        <a:blip xmlns:r="http://schemas.openxmlformats.org/officeDocument/2006/relationships" r:embed="rId7" cstate="print"/>
        <a:srcRect/>
        <a:stretch>
          <a:fillRect/>
        </a:stretch>
      </xdr:blipFill>
      <xdr:spPr bwMode="auto">
        <a:xfrm>
          <a:off x="314325" y="5429250"/>
          <a:ext cx="552450" cy="609600"/>
        </a:xfrm>
        <a:prstGeom prst="rect">
          <a:avLst/>
        </a:prstGeom>
        <a:noFill/>
        <a:ln w="9525">
          <a:noFill/>
          <a:miter lim="800000"/>
          <a:headEnd/>
          <a:tailEnd/>
        </a:ln>
      </xdr:spPr>
    </xdr:pic>
    <xdr:clientData/>
  </xdr:twoCellAnchor>
  <xdr:twoCellAnchor editAs="oneCell">
    <xdr:from>
      <xdr:col>1</xdr:col>
      <xdr:colOff>0</xdr:colOff>
      <xdr:row>32</xdr:row>
      <xdr:rowOff>9525</xdr:rowOff>
    </xdr:from>
    <xdr:to>
      <xdr:col>2</xdr:col>
      <xdr:colOff>9525</xdr:colOff>
      <xdr:row>33</xdr:row>
      <xdr:rowOff>9525</xdr:rowOff>
    </xdr:to>
    <xdr:pic>
      <xdr:nvPicPr>
        <xdr:cNvPr id="107500" name="Picture 12" descr="sword"/>
        <xdr:cNvPicPr>
          <a:picLocks noChangeAspect="1" noChangeArrowheads="1"/>
        </xdr:cNvPicPr>
      </xdr:nvPicPr>
      <xdr:blipFill>
        <a:blip xmlns:r="http://schemas.openxmlformats.org/officeDocument/2006/relationships" r:embed="rId8" cstate="print"/>
        <a:srcRect/>
        <a:stretch>
          <a:fillRect/>
        </a:stretch>
      </xdr:blipFill>
      <xdr:spPr bwMode="auto">
        <a:xfrm>
          <a:off x="247650" y="10639425"/>
          <a:ext cx="552450" cy="609600"/>
        </a:xfrm>
        <a:prstGeom prst="rect">
          <a:avLst/>
        </a:prstGeom>
        <a:noFill/>
        <a:ln w="9525">
          <a:noFill/>
          <a:miter lim="800000"/>
          <a:headEnd/>
          <a:tailEnd/>
        </a:ln>
      </xdr:spPr>
    </xdr:pic>
    <xdr:clientData/>
  </xdr:twoCellAnchor>
  <xdr:twoCellAnchor editAs="oneCell">
    <xdr:from>
      <xdr:col>1</xdr:col>
      <xdr:colOff>0</xdr:colOff>
      <xdr:row>33</xdr:row>
      <xdr:rowOff>0</xdr:rowOff>
    </xdr:from>
    <xdr:to>
      <xdr:col>2</xdr:col>
      <xdr:colOff>9525</xdr:colOff>
      <xdr:row>34</xdr:row>
      <xdr:rowOff>0</xdr:rowOff>
    </xdr:to>
    <xdr:pic>
      <xdr:nvPicPr>
        <xdr:cNvPr id="107501" name="Picture 13" descr="gladius"/>
        <xdr:cNvPicPr>
          <a:picLocks noChangeAspect="1" noChangeArrowheads="1"/>
        </xdr:cNvPicPr>
      </xdr:nvPicPr>
      <xdr:blipFill>
        <a:blip xmlns:r="http://schemas.openxmlformats.org/officeDocument/2006/relationships" r:embed="rId9" cstate="print"/>
        <a:srcRect/>
        <a:stretch>
          <a:fillRect/>
        </a:stretch>
      </xdr:blipFill>
      <xdr:spPr bwMode="auto">
        <a:xfrm>
          <a:off x="314325" y="9925050"/>
          <a:ext cx="552450" cy="609600"/>
        </a:xfrm>
        <a:prstGeom prst="rect">
          <a:avLst/>
        </a:prstGeom>
        <a:noFill/>
        <a:ln w="9525">
          <a:noFill/>
          <a:miter lim="800000"/>
          <a:headEnd/>
          <a:tailEnd/>
        </a:ln>
      </xdr:spPr>
    </xdr:pic>
    <xdr:clientData/>
  </xdr:twoCellAnchor>
  <xdr:twoCellAnchor editAs="oneCell">
    <xdr:from>
      <xdr:col>1</xdr:col>
      <xdr:colOff>0</xdr:colOff>
      <xdr:row>41</xdr:row>
      <xdr:rowOff>0</xdr:rowOff>
    </xdr:from>
    <xdr:to>
      <xdr:col>2</xdr:col>
      <xdr:colOff>9525</xdr:colOff>
      <xdr:row>42</xdr:row>
      <xdr:rowOff>0</xdr:rowOff>
    </xdr:to>
    <xdr:pic>
      <xdr:nvPicPr>
        <xdr:cNvPr id="107506" name="Picture 18" descr="damnedsh"/>
        <xdr:cNvPicPr>
          <a:picLocks noChangeAspect="1" noChangeArrowheads="1"/>
        </xdr:cNvPicPr>
      </xdr:nvPicPr>
      <xdr:blipFill>
        <a:blip xmlns:r="http://schemas.openxmlformats.org/officeDocument/2006/relationships" r:embed="rId10" cstate="print"/>
        <a:srcRect/>
        <a:stretch>
          <a:fillRect/>
        </a:stretch>
      </xdr:blipFill>
      <xdr:spPr bwMode="auto">
        <a:xfrm>
          <a:off x="314325" y="13773150"/>
          <a:ext cx="552450" cy="609600"/>
        </a:xfrm>
        <a:prstGeom prst="rect">
          <a:avLst/>
        </a:prstGeom>
        <a:noFill/>
        <a:ln w="9525">
          <a:noFill/>
          <a:miter lim="800000"/>
          <a:headEnd/>
          <a:tailEnd/>
        </a:ln>
      </xdr:spPr>
    </xdr:pic>
    <xdr:clientData/>
  </xdr:twoCellAnchor>
  <xdr:twoCellAnchor editAs="oneCell">
    <xdr:from>
      <xdr:col>1</xdr:col>
      <xdr:colOff>0</xdr:colOff>
      <xdr:row>42</xdr:row>
      <xdr:rowOff>0</xdr:rowOff>
    </xdr:from>
    <xdr:to>
      <xdr:col>2</xdr:col>
      <xdr:colOff>9525</xdr:colOff>
      <xdr:row>43</xdr:row>
      <xdr:rowOff>0</xdr:rowOff>
    </xdr:to>
    <xdr:pic>
      <xdr:nvPicPr>
        <xdr:cNvPr id="107507" name="Picture 19" descr="sentinelsh"/>
        <xdr:cNvPicPr>
          <a:picLocks noChangeAspect="1" noChangeArrowheads="1"/>
        </xdr:cNvPicPr>
      </xdr:nvPicPr>
      <xdr:blipFill>
        <a:blip xmlns:r="http://schemas.openxmlformats.org/officeDocument/2006/relationships" r:embed="rId11" cstate="print"/>
        <a:srcRect/>
        <a:stretch>
          <a:fillRect/>
        </a:stretch>
      </xdr:blipFill>
      <xdr:spPr bwMode="auto">
        <a:xfrm>
          <a:off x="314325" y="14420850"/>
          <a:ext cx="552450" cy="609600"/>
        </a:xfrm>
        <a:prstGeom prst="rect">
          <a:avLst/>
        </a:prstGeom>
        <a:noFill/>
        <a:ln w="9525">
          <a:noFill/>
          <a:miter lim="800000"/>
          <a:headEnd/>
          <a:tailEnd/>
        </a:ln>
      </xdr:spPr>
    </xdr:pic>
    <xdr:clientData/>
  </xdr:twoCellAnchor>
  <xdr:twoCellAnchor editAs="oneCell">
    <xdr:from>
      <xdr:col>1</xdr:col>
      <xdr:colOff>0</xdr:colOff>
      <xdr:row>46</xdr:row>
      <xdr:rowOff>0</xdr:rowOff>
    </xdr:from>
    <xdr:to>
      <xdr:col>2</xdr:col>
      <xdr:colOff>9525</xdr:colOff>
      <xdr:row>47</xdr:row>
      <xdr:rowOff>0</xdr:rowOff>
    </xdr:to>
    <xdr:pic>
      <xdr:nvPicPr>
        <xdr:cNvPr id="107508" name="Picture 20" descr="helm1"/>
        <xdr:cNvPicPr>
          <a:picLocks noChangeAspect="1" noChangeArrowheads="1"/>
        </xdr:cNvPicPr>
      </xdr:nvPicPr>
      <xdr:blipFill>
        <a:blip xmlns:r="http://schemas.openxmlformats.org/officeDocument/2006/relationships" r:embed="rId12" cstate="print"/>
        <a:srcRect/>
        <a:stretch>
          <a:fillRect/>
        </a:stretch>
      </xdr:blipFill>
      <xdr:spPr bwMode="auto">
        <a:xfrm>
          <a:off x="314325" y="15678150"/>
          <a:ext cx="552450" cy="590550"/>
        </a:xfrm>
        <a:prstGeom prst="rect">
          <a:avLst/>
        </a:prstGeom>
        <a:noFill/>
        <a:ln w="9525">
          <a:noFill/>
          <a:miter lim="800000"/>
          <a:headEnd/>
          <a:tailEnd/>
        </a:ln>
      </xdr:spPr>
    </xdr:pic>
    <xdr:clientData/>
  </xdr:twoCellAnchor>
  <xdr:twoCellAnchor editAs="oneCell">
    <xdr:from>
      <xdr:col>1</xdr:col>
      <xdr:colOff>0</xdr:colOff>
      <xdr:row>47</xdr:row>
      <xdr:rowOff>0</xdr:rowOff>
    </xdr:from>
    <xdr:to>
      <xdr:col>2</xdr:col>
      <xdr:colOff>9525</xdr:colOff>
      <xdr:row>48</xdr:row>
      <xdr:rowOff>0</xdr:rowOff>
    </xdr:to>
    <xdr:pic>
      <xdr:nvPicPr>
        <xdr:cNvPr id="107509" name="Picture 21" descr="skull"/>
        <xdr:cNvPicPr>
          <a:picLocks noChangeAspect="1" noChangeArrowheads="1"/>
        </xdr:cNvPicPr>
      </xdr:nvPicPr>
      <xdr:blipFill>
        <a:blip xmlns:r="http://schemas.openxmlformats.org/officeDocument/2006/relationships" r:embed="rId13" cstate="print"/>
        <a:srcRect/>
        <a:stretch>
          <a:fillRect/>
        </a:stretch>
      </xdr:blipFill>
      <xdr:spPr bwMode="auto">
        <a:xfrm>
          <a:off x="314325" y="16325850"/>
          <a:ext cx="552450" cy="609600"/>
        </a:xfrm>
        <a:prstGeom prst="rect">
          <a:avLst/>
        </a:prstGeom>
        <a:noFill/>
        <a:ln w="9525">
          <a:noFill/>
          <a:miter lim="800000"/>
          <a:headEnd/>
          <a:tailEnd/>
        </a:ln>
      </xdr:spPr>
    </xdr:pic>
    <xdr:clientData/>
  </xdr:twoCellAnchor>
  <xdr:twoCellAnchor editAs="oneCell">
    <xdr:from>
      <xdr:col>1</xdr:col>
      <xdr:colOff>0</xdr:colOff>
      <xdr:row>48</xdr:row>
      <xdr:rowOff>0</xdr:rowOff>
    </xdr:from>
    <xdr:to>
      <xdr:col>2</xdr:col>
      <xdr:colOff>9525</xdr:colOff>
      <xdr:row>49</xdr:row>
      <xdr:rowOff>0</xdr:rowOff>
    </xdr:to>
    <xdr:pic>
      <xdr:nvPicPr>
        <xdr:cNvPr id="107510" name="Picture 22" descr="helm3"/>
        <xdr:cNvPicPr>
          <a:picLocks noChangeAspect="1" noChangeArrowheads="1"/>
        </xdr:cNvPicPr>
      </xdr:nvPicPr>
      <xdr:blipFill>
        <a:blip xmlns:r="http://schemas.openxmlformats.org/officeDocument/2006/relationships" r:embed="rId14" cstate="print"/>
        <a:srcRect/>
        <a:stretch>
          <a:fillRect/>
        </a:stretch>
      </xdr:blipFill>
      <xdr:spPr bwMode="auto">
        <a:xfrm>
          <a:off x="314325" y="16973550"/>
          <a:ext cx="552450" cy="609600"/>
        </a:xfrm>
        <a:prstGeom prst="rect">
          <a:avLst/>
        </a:prstGeom>
        <a:noFill/>
        <a:ln w="9525">
          <a:noFill/>
          <a:miter lim="800000"/>
          <a:headEnd/>
          <a:tailEnd/>
        </a:ln>
      </xdr:spPr>
    </xdr:pic>
    <xdr:clientData/>
  </xdr:twoCellAnchor>
  <xdr:twoCellAnchor editAs="oneCell">
    <xdr:from>
      <xdr:col>1</xdr:col>
      <xdr:colOff>0</xdr:colOff>
      <xdr:row>49</xdr:row>
      <xdr:rowOff>0</xdr:rowOff>
    </xdr:from>
    <xdr:to>
      <xdr:col>2</xdr:col>
      <xdr:colOff>9525</xdr:colOff>
      <xdr:row>50</xdr:row>
      <xdr:rowOff>0</xdr:rowOff>
    </xdr:to>
    <xdr:pic>
      <xdr:nvPicPr>
        <xdr:cNvPr id="107511" name="Picture 23" descr="helm4"/>
        <xdr:cNvPicPr>
          <a:picLocks noChangeAspect="1" noChangeArrowheads="1"/>
        </xdr:cNvPicPr>
      </xdr:nvPicPr>
      <xdr:blipFill>
        <a:blip xmlns:r="http://schemas.openxmlformats.org/officeDocument/2006/relationships" r:embed="rId15" cstate="print"/>
        <a:srcRect/>
        <a:stretch>
          <a:fillRect/>
        </a:stretch>
      </xdr:blipFill>
      <xdr:spPr bwMode="auto">
        <a:xfrm>
          <a:off x="314325" y="17621250"/>
          <a:ext cx="552450" cy="609600"/>
        </a:xfrm>
        <a:prstGeom prst="rect">
          <a:avLst/>
        </a:prstGeom>
        <a:noFill/>
        <a:ln w="9525">
          <a:noFill/>
          <a:miter lim="800000"/>
          <a:headEnd/>
          <a:tailEnd/>
        </a:ln>
      </xdr:spPr>
    </xdr:pic>
    <xdr:clientData/>
  </xdr:twoCellAnchor>
  <xdr:twoCellAnchor editAs="oneCell">
    <xdr:from>
      <xdr:col>1</xdr:col>
      <xdr:colOff>0</xdr:colOff>
      <xdr:row>50</xdr:row>
      <xdr:rowOff>0</xdr:rowOff>
    </xdr:from>
    <xdr:to>
      <xdr:col>2</xdr:col>
      <xdr:colOff>9525</xdr:colOff>
      <xdr:row>51</xdr:row>
      <xdr:rowOff>0</xdr:rowOff>
    </xdr:to>
    <xdr:pic>
      <xdr:nvPicPr>
        <xdr:cNvPr id="107512" name="Picture 24" descr="helm5"/>
        <xdr:cNvPicPr>
          <a:picLocks noChangeAspect="1" noChangeArrowheads="1"/>
        </xdr:cNvPicPr>
      </xdr:nvPicPr>
      <xdr:blipFill>
        <a:blip xmlns:r="http://schemas.openxmlformats.org/officeDocument/2006/relationships" r:embed="rId16" cstate="print"/>
        <a:srcRect/>
        <a:stretch>
          <a:fillRect/>
        </a:stretch>
      </xdr:blipFill>
      <xdr:spPr bwMode="auto">
        <a:xfrm>
          <a:off x="314325" y="18268950"/>
          <a:ext cx="552450" cy="609600"/>
        </a:xfrm>
        <a:prstGeom prst="rect">
          <a:avLst/>
        </a:prstGeom>
        <a:noFill/>
        <a:ln w="9525">
          <a:noFill/>
          <a:miter lim="800000"/>
          <a:headEnd/>
          <a:tailEnd/>
        </a:ln>
      </xdr:spPr>
    </xdr:pic>
    <xdr:clientData/>
  </xdr:twoCellAnchor>
  <xdr:twoCellAnchor editAs="oneCell">
    <xdr:from>
      <xdr:col>1</xdr:col>
      <xdr:colOff>0</xdr:colOff>
      <xdr:row>51</xdr:row>
      <xdr:rowOff>0</xdr:rowOff>
    </xdr:from>
    <xdr:to>
      <xdr:col>2</xdr:col>
      <xdr:colOff>9525</xdr:colOff>
      <xdr:row>52</xdr:row>
      <xdr:rowOff>0</xdr:rowOff>
    </xdr:to>
    <xdr:pic>
      <xdr:nvPicPr>
        <xdr:cNvPr id="107513" name="Picture 25" descr="thunderhelm"/>
        <xdr:cNvPicPr>
          <a:picLocks noChangeAspect="1" noChangeArrowheads="1"/>
        </xdr:cNvPicPr>
      </xdr:nvPicPr>
      <xdr:blipFill>
        <a:blip xmlns:r="http://schemas.openxmlformats.org/officeDocument/2006/relationships" r:embed="rId17" cstate="print"/>
        <a:srcRect/>
        <a:stretch>
          <a:fillRect/>
        </a:stretch>
      </xdr:blipFill>
      <xdr:spPr bwMode="auto">
        <a:xfrm>
          <a:off x="314325" y="18916650"/>
          <a:ext cx="552450" cy="609600"/>
        </a:xfrm>
        <a:prstGeom prst="rect">
          <a:avLst/>
        </a:prstGeom>
        <a:noFill/>
        <a:ln w="9525">
          <a:noFill/>
          <a:miter lim="800000"/>
          <a:headEnd/>
          <a:tailEnd/>
        </a:ln>
      </xdr:spPr>
    </xdr:pic>
    <xdr:clientData/>
  </xdr:twoCellAnchor>
  <xdr:twoCellAnchor editAs="oneCell">
    <xdr:from>
      <xdr:col>1</xdr:col>
      <xdr:colOff>0</xdr:colOff>
      <xdr:row>55</xdr:row>
      <xdr:rowOff>0</xdr:rowOff>
    </xdr:from>
    <xdr:to>
      <xdr:col>2</xdr:col>
      <xdr:colOff>9525</xdr:colOff>
      <xdr:row>56</xdr:row>
      <xdr:rowOff>0</xdr:rowOff>
    </xdr:to>
    <xdr:pic>
      <xdr:nvPicPr>
        <xdr:cNvPr id="107514" name="Picture 26" descr="woodplate"/>
        <xdr:cNvPicPr>
          <a:picLocks noChangeAspect="1" noChangeArrowheads="1"/>
        </xdr:cNvPicPr>
      </xdr:nvPicPr>
      <xdr:blipFill>
        <a:blip xmlns:r="http://schemas.openxmlformats.org/officeDocument/2006/relationships" r:embed="rId18" cstate="print"/>
        <a:srcRect/>
        <a:stretch>
          <a:fillRect/>
        </a:stretch>
      </xdr:blipFill>
      <xdr:spPr bwMode="auto">
        <a:xfrm>
          <a:off x="314325" y="20173950"/>
          <a:ext cx="552450" cy="609600"/>
        </a:xfrm>
        <a:prstGeom prst="rect">
          <a:avLst/>
        </a:prstGeom>
        <a:noFill/>
        <a:ln w="9525">
          <a:noFill/>
          <a:miter lim="800000"/>
          <a:headEnd/>
          <a:tailEnd/>
        </a:ln>
      </xdr:spPr>
    </xdr:pic>
    <xdr:clientData/>
  </xdr:twoCellAnchor>
  <xdr:twoCellAnchor editAs="oneCell">
    <xdr:from>
      <xdr:col>1</xdr:col>
      <xdr:colOff>0</xdr:colOff>
      <xdr:row>56</xdr:row>
      <xdr:rowOff>0</xdr:rowOff>
    </xdr:from>
    <xdr:to>
      <xdr:col>2</xdr:col>
      <xdr:colOff>9525</xdr:colOff>
      <xdr:row>57</xdr:row>
      <xdr:rowOff>0</xdr:rowOff>
    </xdr:to>
    <xdr:pic>
      <xdr:nvPicPr>
        <xdr:cNvPr id="107515" name="Picture 27" descr="ribcage"/>
        <xdr:cNvPicPr>
          <a:picLocks noChangeAspect="1" noChangeArrowheads="1"/>
        </xdr:cNvPicPr>
      </xdr:nvPicPr>
      <xdr:blipFill>
        <a:blip xmlns:r="http://schemas.openxmlformats.org/officeDocument/2006/relationships" r:embed="rId19" cstate="print"/>
        <a:srcRect/>
        <a:stretch>
          <a:fillRect/>
        </a:stretch>
      </xdr:blipFill>
      <xdr:spPr bwMode="auto">
        <a:xfrm>
          <a:off x="314325" y="20821650"/>
          <a:ext cx="552450" cy="609600"/>
        </a:xfrm>
        <a:prstGeom prst="rect">
          <a:avLst/>
        </a:prstGeom>
        <a:noFill/>
        <a:ln w="9525">
          <a:noFill/>
          <a:miter lim="800000"/>
          <a:headEnd/>
          <a:tailEnd/>
        </a:ln>
      </xdr:spPr>
    </xdr:pic>
    <xdr:clientData/>
  </xdr:twoCellAnchor>
  <xdr:twoCellAnchor editAs="oneCell">
    <xdr:from>
      <xdr:col>1</xdr:col>
      <xdr:colOff>0</xdr:colOff>
      <xdr:row>57</xdr:row>
      <xdr:rowOff>9525</xdr:rowOff>
    </xdr:from>
    <xdr:to>
      <xdr:col>2</xdr:col>
      <xdr:colOff>9525</xdr:colOff>
      <xdr:row>58</xdr:row>
      <xdr:rowOff>9525</xdr:rowOff>
    </xdr:to>
    <xdr:pic>
      <xdr:nvPicPr>
        <xdr:cNvPr id="107516" name="Picture 28" descr="basplate"/>
        <xdr:cNvPicPr>
          <a:picLocks noChangeAspect="1" noChangeArrowheads="1"/>
        </xdr:cNvPicPr>
      </xdr:nvPicPr>
      <xdr:blipFill>
        <a:blip xmlns:r="http://schemas.openxmlformats.org/officeDocument/2006/relationships" r:embed="rId20" cstate="print"/>
        <a:srcRect/>
        <a:stretch>
          <a:fillRect/>
        </a:stretch>
      </xdr:blipFill>
      <xdr:spPr bwMode="auto">
        <a:xfrm>
          <a:off x="247650" y="21583650"/>
          <a:ext cx="552450" cy="609600"/>
        </a:xfrm>
        <a:prstGeom prst="rect">
          <a:avLst/>
        </a:prstGeom>
        <a:noFill/>
        <a:ln w="9525">
          <a:noFill/>
          <a:miter lim="800000"/>
          <a:headEnd/>
          <a:tailEnd/>
        </a:ln>
      </xdr:spPr>
    </xdr:pic>
    <xdr:clientData/>
  </xdr:twoCellAnchor>
  <xdr:twoCellAnchor editAs="oneCell">
    <xdr:from>
      <xdr:col>1</xdr:col>
      <xdr:colOff>0</xdr:colOff>
      <xdr:row>58</xdr:row>
      <xdr:rowOff>0</xdr:rowOff>
    </xdr:from>
    <xdr:to>
      <xdr:col>2</xdr:col>
      <xdr:colOff>9525</xdr:colOff>
      <xdr:row>59</xdr:row>
      <xdr:rowOff>0</xdr:rowOff>
    </xdr:to>
    <xdr:pic>
      <xdr:nvPicPr>
        <xdr:cNvPr id="107517" name="Picture 29" descr="tunic"/>
        <xdr:cNvPicPr>
          <a:picLocks noChangeAspect="1" noChangeArrowheads="1"/>
        </xdr:cNvPicPr>
      </xdr:nvPicPr>
      <xdr:blipFill>
        <a:blip xmlns:r="http://schemas.openxmlformats.org/officeDocument/2006/relationships" r:embed="rId21" cstate="print"/>
        <a:srcRect/>
        <a:stretch>
          <a:fillRect/>
        </a:stretch>
      </xdr:blipFill>
      <xdr:spPr bwMode="auto">
        <a:xfrm>
          <a:off x="314325" y="22117050"/>
          <a:ext cx="552450" cy="609600"/>
        </a:xfrm>
        <a:prstGeom prst="rect">
          <a:avLst/>
        </a:prstGeom>
        <a:noFill/>
        <a:ln w="9525">
          <a:noFill/>
          <a:miter lim="800000"/>
          <a:headEnd/>
          <a:tailEnd/>
        </a:ln>
      </xdr:spPr>
    </xdr:pic>
    <xdr:clientData/>
  </xdr:twoCellAnchor>
  <xdr:twoCellAnchor editAs="oneCell">
    <xdr:from>
      <xdr:col>1</xdr:col>
      <xdr:colOff>0</xdr:colOff>
      <xdr:row>59</xdr:row>
      <xdr:rowOff>0</xdr:rowOff>
    </xdr:from>
    <xdr:to>
      <xdr:col>2</xdr:col>
      <xdr:colOff>9525</xdr:colOff>
      <xdr:row>60</xdr:row>
      <xdr:rowOff>0</xdr:rowOff>
    </xdr:to>
    <xdr:pic>
      <xdr:nvPicPr>
        <xdr:cNvPr id="107518" name="Picture 30" descr="plate5"/>
        <xdr:cNvPicPr>
          <a:picLocks noChangeAspect="1" noChangeArrowheads="1"/>
        </xdr:cNvPicPr>
      </xdr:nvPicPr>
      <xdr:blipFill>
        <a:blip xmlns:r="http://schemas.openxmlformats.org/officeDocument/2006/relationships" r:embed="rId22" cstate="print"/>
        <a:srcRect/>
        <a:stretch>
          <a:fillRect/>
        </a:stretch>
      </xdr:blipFill>
      <xdr:spPr bwMode="auto">
        <a:xfrm>
          <a:off x="314325" y="22764750"/>
          <a:ext cx="552450" cy="609600"/>
        </a:xfrm>
        <a:prstGeom prst="rect">
          <a:avLst/>
        </a:prstGeom>
        <a:noFill/>
        <a:ln w="9525">
          <a:noFill/>
          <a:miter lim="800000"/>
          <a:headEnd/>
          <a:tailEnd/>
        </a:ln>
      </xdr:spPr>
    </xdr:pic>
    <xdr:clientData/>
  </xdr:twoCellAnchor>
  <xdr:twoCellAnchor editAs="oneCell">
    <xdr:from>
      <xdr:col>1</xdr:col>
      <xdr:colOff>0</xdr:colOff>
      <xdr:row>60</xdr:row>
      <xdr:rowOff>0</xdr:rowOff>
    </xdr:from>
    <xdr:to>
      <xdr:col>2</xdr:col>
      <xdr:colOff>9525</xdr:colOff>
      <xdr:row>61</xdr:row>
      <xdr:rowOff>0</xdr:rowOff>
    </xdr:to>
    <xdr:pic>
      <xdr:nvPicPr>
        <xdr:cNvPr id="107519" name="Picture 31" descr="cuirass"/>
        <xdr:cNvPicPr>
          <a:picLocks noChangeAspect="1" noChangeArrowheads="1"/>
        </xdr:cNvPicPr>
      </xdr:nvPicPr>
      <xdr:blipFill>
        <a:blip xmlns:r="http://schemas.openxmlformats.org/officeDocument/2006/relationships" r:embed="rId23" cstate="print"/>
        <a:srcRect/>
        <a:stretch>
          <a:fillRect/>
        </a:stretch>
      </xdr:blipFill>
      <xdr:spPr bwMode="auto">
        <a:xfrm>
          <a:off x="314325" y="23412450"/>
          <a:ext cx="552450" cy="609600"/>
        </a:xfrm>
        <a:prstGeom prst="rect">
          <a:avLst/>
        </a:prstGeom>
        <a:noFill/>
        <a:ln w="9525">
          <a:noFill/>
          <a:miter lim="800000"/>
          <a:headEnd/>
          <a:tailEnd/>
        </a:ln>
      </xdr:spPr>
    </xdr:pic>
    <xdr:clientData/>
  </xdr:twoCellAnchor>
  <xdr:twoCellAnchor editAs="oneCell">
    <xdr:from>
      <xdr:col>1</xdr:col>
      <xdr:colOff>0</xdr:colOff>
      <xdr:row>64</xdr:row>
      <xdr:rowOff>0</xdr:rowOff>
    </xdr:from>
    <xdr:to>
      <xdr:col>2</xdr:col>
      <xdr:colOff>9525</xdr:colOff>
      <xdr:row>65</xdr:row>
      <xdr:rowOff>0</xdr:rowOff>
    </xdr:to>
    <xdr:pic>
      <xdr:nvPicPr>
        <xdr:cNvPr id="119808" name="Picture 32" descr="armor1"/>
        <xdr:cNvPicPr>
          <a:picLocks noChangeAspect="1" noChangeArrowheads="1"/>
        </xdr:cNvPicPr>
      </xdr:nvPicPr>
      <xdr:blipFill>
        <a:blip xmlns:r="http://schemas.openxmlformats.org/officeDocument/2006/relationships" r:embed="rId24" cstate="print"/>
        <a:srcRect/>
        <a:stretch>
          <a:fillRect/>
        </a:stretch>
      </xdr:blipFill>
      <xdr:spPr bwMode="auto">
        <a:xfrm>
          <a:off x="314325" y="24669750"/>
          <a:ext cx="552450" cy="609600"/>
        </a:xfrm>
        <a:prstGeom prst="rect">
          <a:avLst/>
        </a:prstGeom>
        <a:noFill/>
        <a:ln w="9525">
          <a:noFill/>
          <a:miter lim="800000"/>
          <a:headEnd/>
          <a:tailEnd/>
        </a:ln>
      </xdr:spPr>
    </xdr:pic>
    <xdr:clientData/>
  </xdr:twoCellAnchor>
  <xdr:twoCellAnchor editAs="oneCell">
    <xdr:from>
      <xdr:col>1</xdr:col>
      <xdr:colOff>0</xdr:colOff>
      <xdr:row>66</xdr:row>
      <xdr:rowOff>0</xdr:rowOff>
    </xdr:from>
    <xdr:to>
      <xdr:col>2</xdr:col>
      <xdr:colOff>9525</xdr:colOff>
      <xdr:row>67</xdr:row>
      <xdr:rowOff>0</xdr:rowOff>
    </xdr:to>
    <xdr:pic>
      <xdr:nvPicPr>
        <xdr:cNvPr id="119810" name="Picture 34" descr="neck3"/>
        <xdr:cNvPicPr>
          <a:picLocks noChangeAspect="1" noChangeArrowheads="1"/>
        </xdr:cNvPicPr>
      </xdr:nvPicPr>
      <xdr:blipFill>
        <a:blip xmlns:r="http://schemas.openxmlformats.org/officeDocument/2006/relationships" r:embed="rId25" cstate="print"/>
        <a:srcRect/>
        <a:stretch>
          <a:fillRect/>
        </a:stretch>
      </xdr:blipFill>
      <xdr:spPr bwMode="auto">
        <a:xfrm>
          <a:off x="314325" y="25965150"/>
          <a:ext cx="552450" cy="609600"/>
        </a:xfrm>
        <a:prstGeom prst="rect">
          <a:avLst/>
        </a:prstGeom>
        <a:noFill/>
        <a:ln w="9525">
          <a:noFill/>
          <a:miter lim="800000"/>
          <a:headEnd/>
          <a:tailEnd/>
        </a:ln>
      </xdr:spPr>
    </xdr:pic>
    <xdr:clientData/>
  </xdr:twoCellAnchor>
  <xdr:twoCellAnchor editAs="oneCell">
    <xdr:from>
      <xdr:col>1</xdr:col>
      <xdr:colOff>0</xdr:colOff>
      <xdr:row>69</xdr:row>
      <xdr:rowOff>0</xdr:rowOff>
    </xdr:from>
    <xdr:to>
      <xdr:col>2</xdr:col>
      <xdr:colOff>9525</xdr:colOff>
      <xdr:row>70</xdr:row>
      <xdr:rowOff>0</xdr:rowOff>
    </xdr:to>
    <xdr:pic>
      <xdr:nvPicPr>
        <xdr:cNvPr id="119813" name="Picture 37" descr="helm6"/>
        <xdr:cNvPicPr>
          <a:picLocks noChangeAspect="1" noChangeArrowheads="1"/>
        </xdr:cNvPicPr>
      </xdr:nvPicPr>
      <xdr:blipFill>
        <a:blip xmlns:r="http://schemas.openxmlformats.org/officeDocument/2006/relationships" r:embed="rId26" cstate="print"/>
        <a:srcRect/>
        <a:stretch>
          <a:fillRect/>
        </a:stretch>
      </xdr:blipFill>
      <xdr:spPr bwMode="auto">
        <a:xfrm>
          <a:off x="247650" y="27432000"/>
          <a:ext cx="552450" cy="609600"/>
        </a:xfrm>
        <a:prstGeom prst="rect">
          <a:avLst/>
        </a:prstGeom>
        <a:noFill/>
        <a:ln w="9525">
          <a:noFill/>
          <a:miter lim="800000"/>
          <a:headEnd/>
          <a:tailEnd/>
        </a:ln>
      </xdr:spPr>
    </xdr:pic>
    <xdr:clientData/>
  </xdr:twoCellAnchor>
  <xdr:twoCellAnchor editAs="oneCell">
    <xdr:from>
      <xdr:col>1</xdr:col>
      <xdr:colOff>0</xdr:colOff>
      <xdr:row>73</xdr:row>
      <xdr:rowOff>0</xdr:rowOff>
    </xdr:from>
    <xdr:to>
      <xdr:col>2</xdr:col>
      <xdr:colOff>9525</xdr:colOff>
      <xdr:row>74</xdr:row>
      <xdr:rowOff>0</xdr:rowOff>
    </xdr:to>
    <xdr:pic>
      <xdr:nvPicPr>
        <xdr:cNvPr id="119814" name="Picture 38" descr="quieteye"/>
        <xdr:cNvPicPr>
          <a:picLocks noChangeAspect="1" noChangeArrowheads="1"/>
        </xdr:cNvPicPr>
      </xdr:nvPicPr>
      <xdr:blipFill>
        <a:blip xmlns:r="http://schemas.openxmlformats.org/officeDocument/2006/relationships" r:embed="rId27" cstate="print"/>
        <a:srcRect/>
        <a:stretch>
          <a:fillRect/>
        </a:stretch>
      </xdr:blipFill>
      <xdr:spPr bwMode="auto">
        <a:xfrm>
          <a:off x="314325" y="29165550"/>
          <a:ext cx="552450" cy="609600"/>
        </a:xfrm>
        <a:prstGeom prst="rect">
          <a:avLst/>
        </a:prstGeom>
        <a:noFill/>
        <a:ln w="9525">
          <a:noFill/>
          <a:miter lim="800000"/>
          <a:headEnd/>
          <a:tailEnd/>
        </a:ln>
      </xdr:spPr>
    </xdr:pic>
    <xdr:clientData/>
  </xdr:twoCellAnchor>
  <xdr:twoCellAnchor editAs="oneCell">
    <xdr:from>
      <xdr:col>1</xdr:col>
      <xdr:colOff>0</xdr:colOff>
      <xdr:row>74</xdr:row>
      <xdr:rowOff>0</xdr:rowOff>
    </xdr:from>
    <xdr:to>
      <xdr:col>2</xdr:col>
      <xdr:colOff>9525</xdr:colOff>
      <xdr:row>75</xdr:row>
      <xdr:rowOff>0</xdr:rowOff>
    </xdr:to>
    <xdr:pic>
      <xdr:nvPicPr>
        <xdr:cNvPr id="119815" name="Picture 39" descr="flame"/>
        <xdr:cNvPicPr>
          <a:picLocks noChangeAspect="1" noChangeArrowheads="1"/>
        </xdr:cNvPicPr>
      </xdr:nvPicPr>
      <xdr:blipFill>
        <a:blip xmlns:r="http://schemas.openxmlformats.org/officeDocument/2006/relationships" r:embed="rId28" cstate="print"/>
        <a:srcRect/>
        <a:stretch>
          <a:fillRect/>
        </a:stretch>
      </xdr:blipFill>
      <xdr:spPr bwMode="auto">
        <a:xfrm>
          <a:off x="314325" y="29813250"/>
          <a:ext cx="552450" cy="609600"/>
        </a:xfrm>
        <a:prstGeom prst="rect">
          <a:avLst/>
        </a:prstGeom>
        <a:noFill/>
        <a:ln w="9525">
          <a:noFill/>
          <a:miter lim="800000"/>
          <a:headEnd/>
          <a:tailEnd/>
        </a:ln>
      </xdr:spPr>
    </xdr:pic>
    <xdr:clientData/>
  </xdr:twoCellAnchor>
  <xdr:twoCellAnchor editAs="oneCell">
    <xdr:from>
      <xdr:col>1</xdr:col>
      <xdr:colOff>0</xdr:colOff>
      <xdr:row>75</xdr:row>
      <xdr:rowOff>0</xdr:rowOff>
    </xdr:from>
    <xdr:to>
      <xdr:col>2</xdr:col>
      <xdr:colOff>9525</xdr:colOff>
      <xdr:row>76</xdr:row>
      <xdr:rowOff>0</xdr:rowOff>
    </xdr:to>
    <xdr:pic>
      <xdr:nvPicPr>
        <xdr:cNvPr id="119816" name="Picture 40" descr="drshield"/>
        <xdr:cNvPicPr>
          <a:picLocks noChangeAspect="1" noChangeArrowheads="1"/>
        </xdr:cNvPicPr>
      </xdr:nvPicPr>
      <xdr:blipFill>
        <a:blip xmlns:r="http://schemas.openxmlformats.org/officeDocument/2006/relationships" r:embed="rId29" cstate="print"/>
        <a:srcRect/>
        <a:stretch>
          <a:fillRect/>
        </a:stretch>
      </xdr:blipFill>
      <xdr:spPr bwMode="auto">
        <a:xfrm>
          <a:off x="314325" y="30460950"/>
          <a:ext cx="552450" cy="609600"/>
        </a:xfrm>
        <a:prstGeom prst="rect">
          <a:avLst/>
        </a:prstGeom>
        <a:noFill/>
        <a:ln w="9525">
          <a:noFill/>
          <a:miter lim="800000"/>
          <a:headEnd/>
          <a:tailEnd/>
        </a:ln>
      </xdr:spPr>
    </xdr:pic>
    <xdr:clientData/>
  </xdr:twoCellAnchor>
  <xdr:twoCellAnchor editAs="oneCell">
    <xdr:from>
      <xdr:col>1</xdr:col>
      <xdr:colOff>0</xdr:colOff>
      <xdr:row>76</xdr:row>
      <xdr:rowOff>0</xdr:rowOff>
    </xdr:from>
    <xdr:to>
      <xdr:col>2</xdr:col>
      <xdr:colOff>9525</xdr:colOff>
      <xdr:row>77</xdr:row>
      <xdr:rowOff>0</xdr:rowOff>
    </xdr:to>
    <xdr:pic>
      <xdr:nvPicPr>
        <xdr:cNvPr id="119817" name="Picture 41" descr="drarmor"/>
        <xdr:cNvPicPr>
          <a:picLocks noChangeAspect="1" noChangeArrowheads="1"/>
        </xdr:cNvPicPr>
      </xdr:nvPicPr>
      <xdr:blipFill>
        <a:blip xmlns:r="http://schemas.openxmlformats.org/officeDocument/2006/relationships" r:embed="rId30" cstate="print"/>
        <a:srcRect/>
        <a:stretch>
          <a:fillRect/>
        </a:stretch>
      </xdr:blipFill>
      <xdr:spPr bwMode="auto">
        <a:xfrm>
          <a:off x="314325" y="31108650"/>
          <a:ext cx="552450" cy="609600"/>
        </a:xfrm>
        <a:prstGeom prst="rect">
          <a:avLst/>
        </a:prstGeom>
        <a:noFill/>
        <a:ln w="9525">
          <a:noFill/>
          <a:miter lim="800000"/>
          <a:headEnd/>
          <a:tailEnd/>
        </a:ln>
      </xdr:spPr>
    </xdr:pic>
    <xdr:clientData/>
  </xdr:twoCellAnchor>
  <xdr:twoCellAnchor editAs="oneCell">
    <xdr:from>
      <xdr:col>1</xdr:col>
      <xdr:colOff>0</xdr:colOff>
      <xdr:row>77</xdr:row>
      <xdr:rowOff>0</xdr:rowOff>
    </xdr:from>
    <xdr:to>
      <xdr:col>2</xdr:col>
      <xdr:colOff>9525</xdr:colOff>
      <xdr:row>78</xdr:row>
      <xdr:rowOff>0</xdr:rowOff>
    </xdr:to>
    <xdr:pic>
      <xdr:nvPicPr>
        <xdr:cNvPr id="119818" name="Picture 42" descr="drbones"/>
        <xdr:cNvPicPr>
          <a:picLocks noChangeAspect="1" noChangeArrowheads="1"/>
        </xdr:cNvPicPr>
      </xdr:nvPicPr>
      <xdr:blipFill>
        <a:blip xmlns:r="http://schemas.openxmlformats.org/officeDocument/2006/relationships" r:embed="rId31" cstate="print"/>
        <a:srcRect/>
        <a:stretch>
          <a:fillRect/>
        </a:stretch>
      </xdr:blipFill>
      <xdr:spPr bwMode="auto">
        <a:xfrm>
          <a:off x="314325" y="31756350"/>
          <a:ext cx="552450" cy="609600"/>
        </a:xfrm>
        <a:prstGeom prst="rect">
          <a:avLst/>
        </a:prstGeom>
        <a:noFill/>
        <a:ln w="9525">
          <a:noFill/>
          <a:miter lim="800000"/>
          <a:headEnd/>
          <a:tailEnd/>
        </a:ln>
      </xdr:spPr>
    </xdr:pic>
    <xdr:clientData/>
  </xdr:twoCellAnchor>
  <xdr:twoCellAnchor editAs="oneCell">
    <xdr:from>
      <xdr:col>1</xdr:col>
      <xdr:colOff>0</xdr:colOff>
      <xdr:row>78</xdr:row>
      <xdr:rowOff>0</xdr:rowOff>
    </xdr:from>
    <xdr:to>
      <xdr:col>2</xdr:col>
      <xdr:colOff>9525</xdr:colOff>
      <xdr:row>79</xdr:row>
      <xdr:rowOff>0</xdr:rowOff>
    </xdr:to>
    <xdr:pic>
      <xdr:nvPicPr>
        <xdr:cNvPr id="119819" name="Picture 43" descr="drtabard"/>
        <xdr:cNvPicPr>
          <a:picLocks noChangeAspect="1" noChangeArrowheads="1"/>
        </xdr:cNvPicPr>
      </xdr:nvPicPr>
      <xdr:blipFill>
        <a:blip xmlns:r="http://schemas.openxmlformats.org/officeDocument/2006/relationships" r:embed="rId32" cstate="print"/>
        <a:srcRect/>
        <a:stretch>
          <a:fillRect/>
        </a:stretch>
      </xdr:blipFill>
      <xdr:spPr bwMode="auto">
        <a:xfrm>
          <a:off x="314325" y="32404050"/>
          <a:ext cx="552450" cy="609600"/>
        </a:xfrm>
        <a:prstGeom prst="rect">
          <a:avLst/>
        </a:prstGeom>
        <a:noFill/>
        <a:ln w="9525">
          <a:noFill/>
          <a:miter lim="800000"/>
          <a:headEnd/>
          <a:tailEnd/>
        </a:ln>
      </xdr:spPr>
    </xdr:pic>
    <xdr:clientData/>
  </xdr:twoCellAnchor>
  <xdr:twoCellAnchor editAs="oneCell">
    <xdr:from>
      <xdr:col>1</xdr:col>
      <xdr:colOff>0</xdr:colOff>
      <xdr:row>79</xdr:row>
      <xdr:rowOff>0</xdr:rowOff>
    </xdr:from>
    <xdr:to>
      <xdr:col>2</xdr:col>
      <xdr:colOff>9525</xdr:colOff>
      <xdr:row>80</xdr:row>
      <xdr:rowOff>0</xdr:rowOff>
    </xdr:to>
    <xdr:pic>
      <xdr:nvPicPr>
        <xdr:cNvPr id="119820" name="Picture 44" descr="drneck"/>
        <xdr:cNvPicPr>
          <a:picLocks noChangeAspect="1" noChangeArrowheads="1"/>
        </xdr:cNvPicPr>
      </xdr:nvPicPr>
      <xdr:blipFill>
        <a:blip xmlns:r="http://schemas.openxmlformats.org/officeDocument/2006/relationships" r:embed="rId33" cstate="print"/>
        <a:srcRect/>
        <a:stretch>
          <a:fillRect/>
        </a:stretch>
      </xdr:blipFill>
      <xdr:spPr bwMode="auto">
        <a:xfrm>
          <a:off x="314325" y="33051750"/>
          <a:ext cx="552450" cy="609600"/>
        </a:xfrm>
        <a:prstGeom prst="rect">
          <a:avLst/>
        </a:prstGeom>
        <a:noFill/>
        <a:ln w="9525">
          <a:noFill/>
          <a:miter lim="800000"/>
          <a:headEnd/>
          <a:tailEnd/>
        </a:ln>
      </xdr:spPr>
    </xdr:pic>
    <xdr:clientData/>
  </xdr:twoCellAnchor>
  <xdr:twoCellAnchor editAs="oneCell">
    <xdr:from>
      <xdr:col>1</xdr:col>
      <xdr:colOff>0</xdr:colOff>
      <xdr:row>80</xdr:row>
      <xdr:rowOff>0</xdr:rowOff>
    </xdr:from>
    <xdr:to>
      <xdr:col>2</xdr:col>
      <xdr:colOff>9525</xdr:colOff>
      <xdr:row>81</xdr:row>
      <xdr:rowOff>0</xdr:rowOff>
    </xdr:to>
    <xdr:pic>
      <xdr:nvPicPr>
        <xdr:cNvPr id="119821" name="Picture 45" descr="dthat"/>
        <xdr:cNvPicPr>
          <a:picLocks noChangeAspect="1" noChangeArrowheads="1"/>
        </xdr:cNvPicPr>
      </xdr:nvPicPr>
      <xdr:blipFill>
        <a:blip xmlns:r="http://schemas.openxmlformats.org/officeDocument/2006/relationships" r:embed="rId34" cstate="print"/>
        <a:srcRect/>
        <a:stretch>
          <a:fillRect/>
        </a:stretch>
      </xdr:blipFill>
      <xdr:spPr bwMode="auto">
        <a:xfrm>
          <a:off x="314325" y="33699450"/>
          <a:ext cx="552450" cy="609600"/>
        </a:xfrm>
        <a:prstGeom prst="rect">
          <a:avLst/>
        </a:prstGeom>
        <a:noFill/>
        <a:ln w="9525">
          <a:noFill/>
          <a:miter lim="800000"/>
          <a:headEnd/>
          <a:tailEnd/>
        </a:ln>
      </xdr:spPr>
    </xdr:pic>
    <xdr:clientData/>
  </xdr:twoCellAnchor>
  <xdr:twoCellAnchor editAs="oneCell">
    <xdr:from>
      <xdr:col>1</xdr:col>
      <xdr:colOff>0</xdr:colOff>
      <xdr:row>81</xdr:row>
      <xdr:rowOff>0</xdr:rowOff>
    </xdr:from>
    <xdr:to>
      <xdr:col>2</xdr:col>
      <xdr:colOff>9525</xdr:colOff>
      <xdr:row>82</xdr:row>
      <xdr:rowOff>0</xdr:rowOff>
    </xdr:to>
    <xdr:pic>
      <xdr:nvPicPr>
        <xdr:cNvPr id="119822" name="Picture 46" descr="stilleye"/>
        <xdr:cNvPicPr>
          <a:picLocks noChangeAspect="1" noChangeArrowheads="1"/>
        </xdr:cNvPicPr>
      </xdr:nvPicPr>
      <xdr:blipFill>
        <a:blip xmlns:r="http://schemas.openxmlformats.org/officeDocument/2006/relationships" r:embed="rId35" cstate="print"/>
        <a:srcRect/>
        <a:stretch>
          <a:fillRect/>
        </a:stretch>
      </xdr:blipFill>
      <xdr:spPr bwMode="auto">
        <a:xfrm>
          <a:off x="247650" y="33318450"/>
          <a:ext cx="552450" cy="609600"/>
        </a:xfrm>
        <a:prstGeom prst="rect">
          <a:avLst/>
        </a:prstGeom>
        <a:noFill/>
        <a:ln w="9525">
          <a:noFill/>
          <a:miter lim="800000"/>
          <a:headEnd/>
          <a:tailEnd/>
        </a:ln>
      </xdr:spPr>
    </xdr:pic>
    <xdr:clientData/>
  </xdr:twoCellAnchor>
  <xdr:twoCellAnchor editAs="oneCell">
    <xdr:from>
      <xdr:col>1</xdr:col>
      <xdr:colOff>0</xdr:colOff>
      <xdr:row>86</xdr:row>
      <xdr:rowOff>0</xdr:rowOff>
    </xdr:from>
    <xdr:to>
      <xdr:col>2</xdr:col>
      <xdr:colOff>9525</xdr:colOff>
      <xdr:row>87</xdr:row>
      <xdr:rowOff>0</xdr:rowOff>
    </xdr:to>
    <xdr:pic>
      <xdr:nvPicPr>
        <xdr:cNvPr id="119824" name="Picture 48" descr="cards"/>
        <xdr:cNvPicPr>
          <a:picLocks noChangeAspect="1" noChangeArrowheads="1"/>
        </xdr:cNvPicPr>
      </xdr:nvPicPr>
      <xdr:blipFill>
        <a:blip xmlns:r="http://schemas.openxmlformats.org/officeDocument/2006/relationships" r:embed="rId36" cstate="print"/>
        <a:srcRect/>
        <a:stretch>
          <a:fillRect/>
        </a:stretch>
      </xdr:blipFill>
      <xdr:spPr bwMode="auto">
        <a:xfrm>
          <a:off x="314325" y="36252150"/>
          <a:ext cx="552450" cy="609600"/>
        </a:xfrm>
        <a:prstGeom prst="rect">
          <a:avLst/>
        </a:prstGeom>
        <a:noFill/>
        <a:ln w="9525">
          <a:noFill/>
          <a:miter lim="800000"/>
          <a:headEnd/>
          <a:tailEnd/>
        </a:ln>
      </xdr:spPr>
    </xdr:pic>
    <xdr:clientData/>
  </xdr:twoCellAnchor>
  <xdr:twoCellAnchor editAs="oneCell">
    <xdr:from>
      <xdr:col>1</xdr:col>
      <xdr:colOff>0</xdr:colOff>
      <xdr:row>88</xdr:row>
      <xdr:rowOff>0</xdr:rowOff>
    </xdr:from>
    <xdr:to>
      <xdr:col>2</xdr:col>
      <xdr:colOff>9525</xdr:colOff>
      <xdr:row>89</xdr:row>
      <xdr:rowOff>0</xdr:rowOff>
    </xdr:to>
    <xdr:pic>
      <xdr:nvPicPr>
        <xdr:cNvPr id="119826" name="Picture 50" descr="badge"/>
        <xdr:cNvPicPr>
          <a:picLocks noChangeAspect="1" noChangeArrowheads="1"/>
        </xdr:cNvPicPr>
      </xdr:nvPicPr>
      <xdr:blipFill>
        <a:blip xmlns:r="http://schemas.openxmlformats.org/officeDocument/2006/relationships" r:embed="rId37" cstate="print"/>
        <a:srcRect/>
        <a:stretch>
          <a:fillRect/>
        </a:stretch>
      </xdr:blipFill>
      <xdr:spPr bwMode="auto">
        <a:xfrm>
          <a:off x="314325" y="37547550"/>
          <a:ext cx="552450" cy="609600"/>
        </a:xfrm>
        <a:prstGeom prst="rect">
          <a:avLst/>
        </a:prstGeom>
        <a:noFill/>
        <a:ln w="9525">
          <a:noFill/>
          <a:miter lim="800000"/>
          <a:headEnd/>
          <a:tailEnd/>
        </a:ln>
      </xdr:spPr>
    </xdr:pic>
    <xdr:clientData/>
  </xdr:twoCellAnchor>
  <xdr:twoCellAnchor editAs="oneCell">
    <xdr:from>
      <xdr:col>1</xdr:col>
      <xdr:colOff>0</xdr:colOff>
      <xdr:row>89</xdr:row>
      <xdr:rowOff>0</xdr:rowOff>
    </xdr:from>
    <xdr:to>
      <xdr:col>2</xdr:col>
      <xdr:colOff>9525</xdr:colOff>
      <xdr:row>90</xdr:row>
      <xdr:rowOff>0</xdr:rowOff>
    </xdr:to>
    <xdr:pic>
      <xdr:nvPicPr>
        <xdr:cNvPr id="119827" name="Picture 51" descr="crest"/>
        <xdr:cNvPicPr>
          <a:picLocks noChangeAspect="1" noChangeArrowheads="1"/>
        </xdr:cNvPicPr>
      </xdr:nvPicPr>
      <xdr:blipFill>
        <a:blip xmlns:r="http://schemas.openxmlformats.org/officeDocument/2006/relationships" r:embed="rId38" cstate="print"/>
        <a:srcRect/>
        <a:stretch>
          <a:fillRect/>
        </a:stretch>
      </xdr:blipFill>
      <xdr:spPr bwMode="auto">
        <a:xfrm>
          <a:off x="314325" y="38195250"/>
          <a:ext cx="552450" cy="609600"/>
        </a:xfrm>
        <a:prstGeom prst="rect">
          <a:avLst/>
        </a:prstGeom>
        <a:noFill/>
        <a:ln w="9525">
          <a:noFill/>
          <a:miter lim="800000"/>
          <a:headEnd/>
          <a:tailEnd/>
        </a:ln>
      </xdr:spPr>
    </xdr:pic>
    <xdr:clientData/>
  </xdr:twoCellAnchor>
  <xdr:twoCellAnchor editAs="oneCell">
    <xdr:from>
      <xdr:col>1</xdr:col>
      <xdr:colOff>0</xdr:colOff>
      <xdr:row>90</xdr:row>
      <xdr:rowOff>0</xdr:rowOff>
    </xdr:from>
    <xdr:to>
      <xdr:col>2</xdr:col>
      <xdr:colOff>9525</xdr:colOff>
      <xdr:row>91</xdr:row>
      <xdr:rowOff>0</xdr:rowOff>
    </xdr:to>
    <xdr:pic>
      <xdr:nvPicPr>
        <xdr:cNvPr id="119828" name="Picture 52" descr="glyph"/>
        <xdr:cNvPicPr>
          <a:picLocks noChangeAspect="1" noChangeArrowheads="1"/>
        </xdr:cNvPicPr>
      </xdr:nvPicPr>
      <xdr:blipFill>
        <a:blip xmlns:r="http://schemas.openxmlformats.org/officeDocument/2006/relationships" r:embed="rId39" cstate="print"/>
        <a:srcRect/>
        <a:stretch>
          <a:fillRect/>
        </a:stretch>
      </xdr:blipFill>
      <xdr:spPr bwMode="auto">
        <a:xfrm>
          <a:off x="314325" y="38842950"/>
          <a:ext cx="552450" cy="609600"/>
        </a:xfrm>
        <a:prstGeom prst="rect">
          <a:avLst/>
        </a:prstGeom>
        <a:noFill/>
        <a:ln w="9525">
          <a:noFill/>
          <a:miter lim="800000"/>
          <a:headEnd/>
          <a:tailEnd/>
        </a:ln>
      </xdr:spPr>
    </xdr:pic>
    <xdr:clientData/>
  </xdr:twoCellAnchor>
  <xdr:twoCellAnchor editAs="oneCell">
    <xdr:from>
      <xdr:col>1</xdr:col>
      <xdr:colOff>0</xdr:colOff>
      <xdr:row>91</xdr:row>
      <xdr:rowOff>0</xdr:rowOff>
    </xdr:from>
    <xdr:to>
      <xdr:col>2</xdr:col>
      <xdr:colOff>9525</xdr:colOff>
      <xdr:row>92</xdr:row>
      <xdr:rowOff>0</xdr:rowOff>
    </xdr:to>
    <xdr:pic>
      <xdr:nvPicPr>
        <xdr:cNvPr id="119829" name="Picture 53" descr="courage"/>
        <xdr:cNvPicPr>
          <a:picLocks noChangeAspect="1" noChangeArrowheads="1"/>
        </xdr:cNvPicPr>
      </xdr:nvPicPr>
      <xdr:blipFill>
        <a:blip xmlns:r="http://schemas.openxmlformats.org/officeDocument/2006/relationships" r:embed="rId40" cstate="print"/>
        <a:srcRect/>
        <a:stretch>
          <a:fillRect/>
        </a:stretch>
      </xdr:blipFill>
      <xdr:spPr bwMode="auto">
        <a:xfrm>
          <a:off x="314325" y="39490650"/>
          <a:ext cx="552450" cy="609600"/>
        </a:xfrm>
        <a:prstGeom prst="rect">
          <a:avLst/>
        </a:prstGeom>
        <a:noFill/>
        <a:ln w="9525">
          <a:noFill/>
          <a:miter lim="800000"/>
          <a:headEnd/>
          <a:tailEnd/>
        </a:ln>
      </xdr:spPr>
    </xdr:pic>
    <xdr:clientData/>
  </xdr:twoCellAnchor>
  <xdr:twoCellAnchor editAs="oneCell">
    <xdr:from>
      <xdr:col>1</xdr:col>
      <xdr:colOff>0</xdr:colOff>
      <xdr:row>97</xdr:row>
      <xdr:rowOff>0</xdr:rowOff>
    </xdr:from>
    <xdr:to>
      <xdr:col>2</xdr:col>
      <xdr:colOff>9525</xdr:colOff>
      <xdr:row>97</xdr:row>
      <xdr:rowOff>619125</xdr:rowOff>
    </xdr:to>
    <xdr:pic>
      <xdr:nvPicPr>
        <xdr:cNvPr id="119832" name="Picture 56" descr="speculum"/>
        <xdr:cNvPicPr>
          <a:picLocks noChangeAspect="1" noChangeArrowheads="1"/>
        </xdr:cNvPicPr>
      </xdr:nvPicPr>
      <xdr:blipFill>
        <a:blip xmlns:r="http://schemas.openxmlformats.org/officeDocument/2006/relationships" r:embed="rId41" cstate="print"/>
        <a:srcRect/>
        <a:stretch>
          <a:fillRect/>
        </a:stretch>
      </xdr:blipFill>
      <xdr:spPr bwMode="auto">
        <a:xfrm>
          <a:off x="314325" y="42043350"/>
          <a:ext cx="552450" cy="619125"/>
        </a:xfrm>
        <a:prstGeom prst="rect">
          <a:avLst/>
        </a:prstGeom>
        <a:noFill/>
        <a:ln w="9525">
          <a:noFill/>
          <a:miter lim="800000"/>
          <a:headEnd/>
          <a:tailEnd/>
        </a:ln>
      </xdr:spPr>
    </xdr:pic>
    <xdr:clientData/>
  </xdr:twoCellAnchor>
  <xdr:twoCellAnchor editAs="oneCell">
    <xdr:from>
      <xdr:col>1</xdr:col>
      <xdr:colOff>0</xdr:colOff>
      <xdr:row>98</xdr:row>
      <xdr:rowOff>0</xdr:rowOff>
    </xdr:from>
    <xdr:to>
      <xdr:col>2</xdr:col>
      <xdr:colOff>9525</xdr:colOff>
      <xdr:row>98</xdr:row>
      <xdr:rowOff>609600</xdr:rowOff>
    </xdr:to>
    <xdr:pic>
      <xdr:nvPicPr>
        <xdr:cNvPr id="119833" name="Picture 57" descr="spec2"/>
        <xdr:cNvPicPr>
          <a:picLocks noChangeAspect="1" noChangeArrowheads="1"/>
        </xdr:cNvPicPr>
      </xdr:nvPicPr>
      <xdr:blipFill>
        <a:blip xmlns:r="http://schemas.openxmlformats.org/officeDocument/2006/relationships" r:embed="rId42" cstate="print"/>
        <a:srcRect/>
        <a:stretch>
          <a:fillRect/>
        </a:stretch>
      </xdr:blipFill>
      <xdr:spPr bwMode="auto">
        <a:xfrm>
          <a:off x="314325" y="42691050"/>
          <a:ext cx="552450" cy="609600"/>
        </a:xfrm>
        <a:prstGeom prst="rect">
          <a:avLst/>
        </a:prstGeom>
        <a:noFill/>
        <a:ln w="9525">
          <a:noFill/>
          <a:miter lim="800000"/>
          <a:headEnd/>
          <a:tailEnd/>
        </a:ln>
      </xdr:spPr>
    </xdr:pic>
    <xdr:clientData/>
  </xdr:twoCellAnchor>
  <xdr:twoCellAnchor editAs="oneCell">
    <xdr:from>
      <xdr:col>1</xdr:col>
      <xdr:colOff>0</xdr:colOff>
      <xdr:row>99</xdr:row>
      <xdr:rowOff>0</xdr:rowOff>
    </xdr:from>
    <xdr:to>
      <xdr:col>2</xdr:col>
      <xdr:colOff>9525</xdr:colOff>
      <xdr:row>100</xdr:row>
      <xdr:rowOff>0</xdr:rowOff>
    </xdr:to>
    <xdr:pic>
      <xdr:nvPicPr>
        <xdr:cNvPr id="119834" name="Picture 58" descr="undertaker"/>
        <xdr:cNvPicPr>
          <a:picLocks noChangeAspect="1" noChangeArrowheads="1"/>
        </xdr:cNvPicPr>
      </xdr:nvPicPr>
      <xdr:blipFill>
        <a:blip xmlns:r="http://schemas.openxmlformats.org/officeDocument/2006/relationships" r:embed="rId43" cstate="print"/>
        <a:srcRect/>
        <a:stretch>
          <a:fillRect/>
        </a:stretch>
      </xdr:blipFill>
      <xdr:spPr bwMode="auto">
        <a:xfrm>
          <a:off x="314325" y="43338750"/>
          <a:ext cx="552450" cy="609600"/>
        </a:xfrm>
        <a:prstGeom prst="rect">
          <a:avLst/>
        </a:prstGeom>
        <a:noFill/>
        <a:ln w="9525">
          <a:noFill/>
          <a:miter lim="800000"/>
          <a:headEnd/>
          <a:tailEnd/>
        </a:ln>
      </xdr:spPr>
    </xdr:pic>
    <xdr:clientData/>
  </xdr:twoCellAnchor>
  <xdr:twoCellAnchor editAs="oneCell">
    <xdr:from>
      <xdr:col>1</xdr:col>
      <xdr:colOff>0</xdr:colOff>
      <xdr:row>101</xdr:row>
      <xdr:rowOff>0</xdr:rowOff>
    </xdr:from>
    <xdr:to>
      <xdr:col>2</xdr:col>
      <xdr:colOff>9525</xdr:colOff>
      <xdr:row>102</xdr:row>
      <xdr:rowOff>0</xdr:rowOff>
    </xdr:to>
    <xdr:pic>
      <xdr:nvPicPr>
        <xdr:cNvPr id="119836" name="Picture 60" descr="boots"/>
        <xdr:cNvPicPr>
          <a:picLocks noChangeAspect="1" noChangeArrowheads="1"/>
        </xdr:cNvPicPr>
      </xdr:nvPicPr>
      <xdr:blipFill>
        <a:blip xmlns:r="http://schemas.openxmlformats.org/officeDocument/2006/relationships" r:embed="rId44" cstate="print"/>
        <a:srcRect/>
        <a:stretch>
          <a:fillRect/>
        </a:stretch>
      </xdr:blipFill>
      <xdr:spPr bwMode="auto">
        <a:xfrm>
          <a:off x="314325" y="44634150"/>
          <a:ext cx="552450" cy="609600"/>
        </a:xfrm>
        <a:prstGeom prst="rect">
          <a:avLst/>
        </a:prstGeom>
        <a:noFill/>
        <a:ln w="9525">
          <a:noFill/>
          <a:miter lim="800000"/>
          <a:headEnd/>
          <a:tailEnd/>
        </a:ln>
      </xdr:spPr>
    </xdr:pic>
    <xdr:clientData/>
  </xdr:twoCellAnchor>
  <xdr:twoCellAnchor editAs="oneCell">
    <xdr:from>
      <xdr:col>1</xdr:col>
      <xdr:colOff>0</xdr:colOff>
      <xdr:row>102</xdr:row>
      <xdr:rowOff>0</xdr:rowOff>
    </xdr:from>
    <xdr:to>
      <xdr:col>2</xdr:col>
      <xdr:colOff>9525</xdr:colOff>
      <xdr:row>103</xdr:row>
      <xdr:rowOff>0</xdr:rowOff>
    </xdr:to>
    <xdr:pic>
      <xdr:nvPicPr>
        <xdr:cNvPr id="119837" name="Picture 61" descr="resneck"/>
        <xdr:cNvPicPr>
          <a:picLocks noChangeAspect="1" noChangeArrowheads="1"/>
        </xdr:cNvPicPr>
      </xdr:nvPicPr>
      <xdr:blipFill>
        <a:blip xmlns:r="http://schemas.openxmlformats.org/officeDocument/2006/relationships" r:embed="rId45" cstate="print"/>
        <a:srcRect/>
        <a:stretch>
          <a:fillRect/>
        </a:stretch>
      </xdr:blipFill>
      <xdr:spPr bwMode="auto">
        <a:xfrm>
          <a:off x="314325" y="45281850"/>
          <a:ext cx="552450" cy="609600"/>
        </a:xfrm>
        <a:prstGeom prst="rect">
          <a:avLst/>
        </a:prstGeom>
        <a:noFill/>
        <a:ln w="9525">
          <a:noFill/>
          <a:miter lim="800000"/>
          <a:headEnd/>
          <a:tailEnd/>
        </a:ln>
      </xdr:spPr>
    </xdr:pic>
    <xdr:clientData/>
  </xdr:twoCellAnchor>
  <xdr:twoCellAnchor editAs="oneCell">
    <xdr:from>
      <xdr:col>1</xdr:col>
      <xdr:colOff>0</xdr:colOff>
      <xdr:row>103</xdr:row>
      <xdr:rowOff>0</xdr:rowOff>
    </xdr:from>
    <xdr:to>
      <xdr:col>2</xdr:col>
      <xdr:colOff>9525</xdr:colOff>
      <xdr:row>104</xdr:row>
      <xdr:rowOff>0</xdr:rowOff>
    </xdr:to>
    <xdr:pic>
      <xdr:nvPicPr>
        <xdr:cNvPr id="119838" name="Picture 62" descr="rescoat"/>
        <xdr:cNvPicPr>
          <a:picLocks noChangeAspect="1" noChangeArrowheads="1"/>
        </xdr:cNvPicPr>
      </xdr:nvPicPr>
      <xdr:blipFill>
        <a:blip xmlns:r="http://schemas.openxmlformats.org/officeDocument/2006/relationships" r:embed="rId46" cstate="print"/>
        <a:srcRect/>
        <a:stretch>
          <a:fillRect/>
        </a:stretch>
      </xdr:blipFill>
      <xdr:spPr bwMode="auto">
        <a:xfrm>
          <a:off x="314325" y="45929550"/>
          <a:ext cx="552450" cy="609600"/>
        </a:xfrm>
        <a:prstGeom prst="rect">
          <a:avLst/>
        </a:prstGeom>
        <a:noFill/>
        <a:ln w="9525">
          <a:noFill/>
          <a:miter lim="800000"/>
          <a:headEnd/>
          <a:tailEnd/>
        </a:ln>
      </xdr:spPr>
    </xdr:pic>
    <xdr:clientData/>
  </xdr:twoCellAnchor>
  <xdr:twoCellAnchor editAs="oneCell">
    <xdr:from>
      <xdr:col>1</xdr:col>
      <xdr:colOff>0</xdr:colOff>
      <xdr:row>104</xdr:row>
      <xdr:rowOff>0</xdr:rowOff>
    </xdr:from>
    <xdr:to>
      <xdr:col>2</xdr:col>
      <xdr:colOff>9525</xdr:colOff>
      <xdr:row>105</xdr:row>
      <xdr:rowOff>0</xdr:rowOff>
    </xdr:to>
    <xdr:pic>
      <xdr:nvPicPr>
        <xdr:cNvPr id="119839" name="Picture 63" descr="resboots"/>
        <xdr:cNvPicPr>
          <a:picLocks noChangeAspect="1" noChangeArrowheads="1"/>
        </xdr:cNvPicPr>
      </xdr:nvPicPr>
      <xdr:blipFill>
        <a:blip xmlns:r="http://schemas.openxmlformats.org/officeDocument/2006/relationships" r:embed="rId47" cstate="print"/>
        <a:srcRect/>
        <a:stretch>
          <a:fillRect/>
        </a:stretch>
      </xdr:blipFill>
      <xdr:spPr bwMode="auto">
        <a:xfrm>
          <a:off x="314325" y="46577250"/>
          <a:ext cx="552450" cy="609600"/>
        </a:xfrm>
        <a:prstGeom prst="rect">
          <a:avLst/>
        </a:prstGeom>
        <a:noFill/>
        <a:ln w="9525">
          <a:noFill/>
          <a:miter lim="800000"/>
          <a:headEnd/>
          <a:tailEnd/>
        </a:ln>
      </xdr:spPr>
    </xdr:pic>
    <xdr:clientData/>
  </xdr:twoCellAnchor>
  <xdr:twoCellAnchor editAs="oneCell">
    <xdr:from>
      <xdr:col>1</xdr:col>
      <xdr:colOff>0</xdr:colOff>
      <xdr:row>110</xdr:row>
      <xdr:rowOff>0</xdr:rowOff>
    </xdr:from>
    <xdr:to>
      <xdr:col>2</xdr:col>
      <xdr:colOff>9525</xdr:colOff>
      <xdr:row>111</xdr:row>
      <xdr:rowOff>0</xdr:rowOff>
    </xdr:to>
    <xdr:pic>
      <xdr:nvPicPr>
        <xdr:cNvPr id="119845" name="Picture 69" descr="emblem"/>
        <xdr:cNvPicPr>
          <a:picLocks noChangeAspect="1" noChangeArrowheads="1"/>
        </xdr:cNvPicPr>
      </xdr:nvPicPr>
      <xdr:blipFill>
        <a:blip xmlns:r="http://schemas.openxmlformats.org/officeDocument/2006/relationships" r:embed="rId48" cstate="print"/>
        <a:srcRect/>
        <a:stretch>
          <a:fillRect/>
        </a:stretch>
      </xdr:blipFill>
      <xdr:spPr bwMode="auto">
        <a:xfrm>
          <a:off x="314325" y="50463450"/>
          <a:ext cx="552450" cy="609600"/>
        </a:xfrm>
        <a:prstGeom prst="rect">
          <a:avLst/>
        </a:prstGeom>
        <a:noFill/>
        <a:ln w="9525">
          <a:noFill/>
          <a:miter lim="800000"/>
          <a:headEnd/>
          <a:tailEnd/>
        </a:ln>
      </xdr:spPr>
    </xdr:pic>
    <xdr:clientData/>
  </xdr:twoCellAnchor>
  <xdr:twoCellAnchor editAs="oneCell">
    <xdr:from>
      <xdr:col>1</xdr:col>
      <xdr:colOff>0</xdr:colOff>
      <xdr:row>111</xdr:row>
      <xdr:rowOff>0</xdr:rowOff>
    </xdr:from>
    <xdr:to>
      <xdr:col>2</xdr:col>
      <xdr:colOff>9525</xdr:colOff>
      <xdr:row>112</xdr:row>
      <xdr:rowOff>0</xdr:rowOff>
    </xdr:to>
    <xdr:pic>
      <xdr:nvPicPr>
        <xdr:cNvPr id="119846" name="Picture 70" descr="medal"/>
        <xdr:cNvPicPr>
          <a:picLocks noChangeAspect="1" noChangeArrowheads="1"/>
        </xdr:cNvPicPr>
      </xdr:nvPicPr>
      <xdr:blipFill>
        <a:blip xmlns:r="http://schemas.openxmlformats.org/officeDocument/2006/relationships" r:embed="rId49" cstate="print"/>
        <a:srcRect/>
        <a:stretch>
          <a:fillRect/>
        </a:stretch>
      </xdr:blipFill>
      <xdr:spPr bwMode="auto">
        <a:xfrm>
          <a:off x="314325" y="51111150"/>
          <a:ext cx="552450" cy="609600"/>
        </a:xfrm>
        <a:prstGeom prst="rect">
          <a:avLst/>
        </a:prstGeom>
        <a:noFill/>
        <a:ln w="9525">
          <a:noFill/>
          <a:miter lim="800000"/>
          <a:headEnd/>
          <a:tailEnd/>
        </a:ln>
      </xdr:spPr>
    </xdr:pic>
    <xdr:clientData/>
  </xdr:twoCellAnchor>
  <xdr:twoCellAnchor editAs="oneCell">
    <xdr:from>
      <xdr:col>1</xdr:col>
      <xdr:colOff>0</xdr:colOff>
      <xdr:row>112</xdr:row>
      <xdr:rowOff>0</xdr:rowOff>
    </xdr:from>
    <xdr:to>
      <xdr:col>2</xdr:col>
      <xdr:colOff>9525</xdr:colOff>
      <xdr:row>113</xdr:row>
      <xdr:rowOff>0</xdr:rowOff>
    </xdr:to>
    <xdr:pic>
      <xdr:nvPicPr>
        <xdr:cNvPr id="119847" name="Picture 71" descr="diplomatr"/>
        <xdr:cNvPicPr>
          <a:picLocks noChangeAspect="1" noChangeArrowheads="1"/>
        </xdr:cNvPicPr>
      </xdr:nvPicPr>
      <xdr:blipFill>
        <a:blip xmlns:r="http://schemas.openxmlformats.org/officeDocument/2006/relationships" r:embed="rId50" cstate="print"/>
        <a:srcRect/>
        <a:stretch>
          <a:fillRect/>
        </a:stretch>
      </xdr:blipFill>
      <xdr:spPr bwMode="auto">
        <a:xfrm>
          <a:off x="314325" y="51758850"/>
          <a:ext cx="552450" cy="609600"/>
        </a:xfrm>
        <a:prstGeom prst="rect">
          <a:avLst/>
        </a:prstGeom>
        <a:noFill/>
        <a:ln w="9525">
          <a:noFill/>
          <a:miter lim="800000"/>
          <a:headEnd/>
          <a:tailEnd/>
        </a:ln>
      </xdr:spPr>
    </xdr:pic>
    <xdr:clientData/>
  </xdr:twoCellAnchor>
  <xdr:twoCellAnchor editAs="oneCell">
    <xdr:from>
      <xdr:col>1</xdr:col>
      <xdr:colOff>0</xdr:colOff>
      <xdr:row>113</xdr:row>
      <xdr:rowOff>0</xdr:rowOff>
    </xdr:from>
    <xdr:to>
      <xdr:col>2</xdr:col>
      <xdr:colOff>9525</xdr:colOff>
      <xdr:row>114</xdr:row>
      <xdr:rowOff>0</xdr:rowOff>
    </xdr:to>
    <xdr:pic>
      <xdr:nvPicPr>
        <xdr:cNvPr id="119848" name="Picture 72" descr="sash"/>
        <xdr:cNvPicPr>
          <a:picLocks noChangeAspect="1" noChangeArrowheads="1"/>
        </xdr:cNvPicPr>
      </xdr:nvPicPr>
      <xdr:blipFill>
        <a:blip xmlns:r="http://schemas.openxmlformats.org/officeDocument/2006/relationships" r:embed="rId51" cstate="print"/>
        <a:srcRect/>
        <a:stretch>
          <a:fillRect/>
        </a:stretch>
      </xdr:blipFill>
      <xdr:spPr bwMode="auto">
        <a:xfrm>
          <a:off x="314325" y="52406550"/>
          <a:ext cx="552450" cy="609600"/>
        </a:xfrm>
        <a:prstGeom prst="rect">
          <a:avLst/>
        </a:prstGeom>
        <a:noFill/>
        <a:ln w="9525">
          <a:noFill/>
          <a:miter lim="800000"/>
          <a:headEnd/>
          <a:tailEnd/>
        </a:ln>
      </xdr:spPr>
    </xdr:pic>
    <xdr:clientData/>
  </xdr:twoCellAnchor>
  <xdr:twoCellAnchor editAs="oneCell">
    <xdr:from>
      <xdr:col>1</xdr:col>
      <xdr:colOff>0</xdr:colOff>
      <xdr:row>114</xdr:row>
      <xdr:rowOff>0</xdr:rowOff>
    </xdr:from>
    <xdr:to>
      <xdr:col>2</xdr:col>
      <xdr:colOff>9525</xdr:colOff>
      <xdr:row>115</xdr:row>
      <xdr:rowOff>19050</xdr:rowOff>
    </xdr:to>
    <xdr:pic>
      <xdr:nvPicPr>
        <xdr:cNvPr id="119849" name="Picture 73" descr="charm"/>
        <xdr:cNvPicPr>
          <a:picLocks noChangeAspect="1" noChangeArrowheads="1"/>
        </xdr:cNvPicPr>
      </xdr:nvPicPr>
      <xdr:blipFill>
        <a:blip xmlns:r="http://schemas.openxmlformats.org/officeDocument/2006/relationships" r:embed="rId52" cstate="print"/>
        <a:srcRect/>
        <a:stretch>
          <a:fillRect/>
        </a:stretch>
      </xdr:blipFill>
      <xdr:spPr bwMode="auto">
        <a:xfrm>
          <a:off x="314325" y="53054250"/>
          <a:ext cx="552450" cy="609600"/>
        </a:xfrm>
        <a:prstGeom prst="rect">
          <a:avLst/>
        </a:prstGeom>
        <a:noFill/>
        <a:ln w="9525">
          <a:noFill/>
          <a:miter lim="800000"/>
          <a:headEnd/>
          <a:tailEnd/>
        </a:ln>
      </xdr:spPr>
    </xdr:pic>
    <xdr:clientData/>
  </xdr:twoCellAnchor>
  <xdr:twoCellAnchor editAs="oneCell">
    <xdr:from>
      <xdr:col>1</xdr:col>
      <xdr:colOff>0</xdr:colOff>
      <xdr:row>115</xdr:row>
      <xdr:rowOff>9525</xdr:rowOff>
    </xdr:from>
    <xdr:to>
      <xdr:col>2</xdr:col>
      <xdr:colOff>9525</xdr:colOff>
      <xdr:row>116</xdr:row>
      <xdr:rowOff>9525</xdr:rowOff>
    </xdr:to>
    <xdr:pic>
      <xdr:nvPicPr>
        <xdr:cNvPr id="119850" name="Picture 74" descr="talisman"/>
        <xdr:cNvPicPr>
          <a:picLocks noChangeAspect="1" noChangeArrowheads="1"/>
        </xdr:cNvPicPr>
      </xdr:nvPicPr>
      <xdr:blipFill>
        <a:blip xmlns:r="http://schemas.openxmlformats.org/officeDocument/2006/relationships" r:embed="rId53" cstate="print"/>
        <a:srcRect/>
        <a:stretch>
          <a:fillRect/>
        </a:stretch>
      </xdr:blipFill>
      <xdr:spPr bwMode="auto">
        <a:xfrm>
          <a:off x="247650" y="51330225"/>
          <a:ext cx="552450" cy="609600"/>
        </a:xfrm>
        <a:prstGeom prst="rect">
          <a:avLst/>
        </a:prstGeom>
        <a:noFill/>
        <a:ln w="9525">
          <a:noFill/>
          <a:miter lim="800000"/>
          <a:headEnd/>
          <a:tailEnd/>
        </a:ln>
      </xdr:spPr>
    </xdr:pic>
    <xdr:clientData/>
  </xdr:twoCellAnchor>
  <xdr:twoCellAnchor editAs="oneCell">
    <xdr:from>
      <xdr:col>1</xdr:col>
      <xdr:colOff>0</xdr:colOff>
      <xdr:row>116</xdr:row>
      <xdr:rowOff>0</xdr:rowOff>
    </xdr:from>
    <xdr:to>
      <xdr:col>2</xdr:col>
      <xdr:colOff>9525</xdr:colOff>
      <xdr:row>117</xdr:row>
      <xdr:rowOff>0</xdr:rowOff>
    </xdr:to>
    <xdr:pic>
      <xdr:nvPicPr>
        <xdr:cNvPr id="119851" name="Picture 75" descr="orbmana"/>
        <xdr:cNvPicPr>
          <a:picLocks noChangeAspect="1" noChangeArrowheads="1"/>
        </xdr:cNvPicPr>
      </xdr:nvPicPr>
      <xdr:blipFill>
        <a:blip xmlns:r="http://schemas.openxmlformats.org/officeDocument/2006/relationships" r:embed="rId54" cstate="print"/>
        <a:srcRect/>
        <a:stretch>
          <a:fillRect/>
        </a:stretch>
      </xdr:blipFill>
      <xdr:spPr bwMode="auto">
        <a:xfrm>
          <a:off x="314325" y="54349650"/>
          <a:ext cx="552450" cy="609600"/>
        </a:xfrm>
        <a:prstGeom prst="rect">
          <a:avLst/>
        </a:prstGeom>
        <a:noFill/>
        <a:ln w="9525">
          <a:noFill/>
          <a:miter lim="800000"/>
          <a:headEnd/>
          <a:tailEnd/>
        </a:ln>
      </xdr:spPr>
    </xdr:pic>
    <xdr:clientData/>
  </xdr:twoCellAnchor>
  <xdr:twoCellAnchor editAs="oneCell">
    <xdr:from>
      <xdr:col>1</xdr:col>
      <xdr:colOff>0</xdr:colOff>
      <xdr:row>118</xdr:row>
      <xdr:rowOff>0</xdr:rowOff>
    </xdr:from>
    <xdr:to>
      <xdr:col>2</xdr:col>
      <xdr:colOff>9525</xdr:colOff>
      <xdr:row>119</xdr:row>
      <xdr:rowOff>0</xdr:rowOff>
    </xdr:to>
    <xdr:pic>
      <xdr:nvPicPr>
        <xdr:cNvPr id="119853" name="Picture 77" descr="conjring"/>
        <xdr:cNvPicPr>
          <a:picLocks noChangeAspect="1" noChangeArrowheads="1"/>
        </xdr:cNvPicPr>
      </xdr:nvPicPr>
      <xdr:blipFill>
        <a:blip xmlns:r="http://schemas.openxmlformats.org/officeDocument/2006/relationships" r:embed="rId55" cstate="print"/>
        <a:srcRect/>
        <a:stretch>
          <a:fillRect/>
        </a:stretch>
      </xdr:blipFill>
      <xdr:spPr bwMode="auto">
        <a:xfrm>
          <a:off x="314325" y="55645050"/>
          <a:ext cx="552450" cy="609600"/>
        </a:xfrm>
        <a:prstGeom prst="rect">
          <a:avLst/>
        </a:prstGeom>
        <a:noFill/>
        <a:ln w="9525">
          <a:noFill/>
          <a:miter lim="800000"/>
          <a:headEnd/>
          <a:tailEnd/>
        </a:ln>
      </xdr:spPr>
    </xdr:pic>
    <xdr:clientData/>
  </xdr:twoCellAnchor>
  <xdr:twoCellAnchor editAs="oneCell">
    <xdr:from>
      <xdr:col>1</xdr:col>
      <xdr:colOff>0</xdr:colOff>
      <xdr:row>124</xdr:row>
      <xdr:rowOff>0</xdr:rowOff>
    </xdr:from>
    <xdr:to>
      <xdr:col>2</xdr:col>
      <xdr:colOff>9525</xdr:colOff>
      <xdr:row>125</xdr:row>
      <xdr:rowOff>0</xdr:rowOff>
    </xdr:to>
    <xdr:pic>
      <xdr:nvPicPr>
        <xdr:cNvPr id="119856" name="Picture 80" descr="speedboots"/>
        <xdr:cNvPicPr>
          <a:picLocks noChangeAspect="1" noChangeArrowheads="1"/>
        </xdr:cNvPicPr>
      </xdr:nvPicPr>
      <xdr:blipFill>
        <a:blip xmlns:r="http://schemas.openxmlformats.org/officeDocument/2006/relationships" r:embed="rId56" cstate="print"/>
        <a:srcRect/>
        <a:stretch>
          <a:fillRect/>
        </a:stretch>
      </xdr:blipFill>
      <xdr:spPr bwMode="auto">
        <a:xfrm>
          <a:off x="314325" y="58197750"/>
          <a:ext cx="552450" cy="609600"/>
        </a:xfrm>
        <a:prstGeom prst="rect">
          <a:avLst/>
        </a:prstGeom>
        <a:noFill/>
        <a:ln w="9525">
          <a:noFill/>
          <a:miter lim="800000"/>
          <a:headEnd/>
          <a:tailEnd/>
        </a:ln>
      </xdr:spPr>
    </xdr:pic>
    <xdr:clientData/>
  </xdr:twoCellAnchor>
  <xdr:twoCellAnchor editAs="oneCell">
    <xdr:from>
      <xdr:col>1</xdr:col>
      <xdr:colOff>0</xdr:colOff>
      <xdr:row>125</xdr:row>
      <xdr:rowOff>0</xdr:rowOff>
    </xdr:from>
    <xdr:to>
      <xdr:col>2</xdr:col>
      <xdr:colOff>9525</xdr:colOff>
      <xdr:row>126</xdr:row>
      <xdr:rowOff>0</xdr:rowOff>
    </xdr:to>
    <xdr:pic>
      <xdr:nvPicPr>
        <xdr:cNvPr id="119857" name="Picture 81" descr="swift"/>
        <xdr:cNvPicPr>
          <a:picLocks noChangeAspect="1" noChangeArrowheads="1"/>
        </xdr:cNvPicPr>
      </xdr:nvPicPr>
      <xdr:blipFill>
        <a:blip xmlns:r="http://schemas.openxmlformats.org/officeDocument/2006/relationships" r:embed="rId57" cstate="print"/>
        <a:srcRect/>
        <a:stretch>
          <a:fillRect/>
        </a:stretch>
      </xdr:blipFill>
      <xdr:spPr bwMode="auto">
        <a:xfrm>
          <a:off x="314325" y="58845450"/>
          <a:ext cx="552450" cy="609600"/>
        </a:xfrm>
        <a:prstGeom prst="rect">
          <a:avLst/>
        </a:prstGeom>
        <a:noFill/>
        <a:ln w="9525">
          <a:noFill/>
          <a:miter lim="800000"/>
          <a:headEnd/>
          <a:tailEnd/>
        </a:ln>
      </xdr:spPr>
    </xdr:pic>
    <xdr:clientData/>
  </xdr:twoCellAnchor>
  <xdr:twoCellAnchor editAs="oneCell">
    <xdr:from>
      <xdr:col>1</xdr:col>
      <xdr:colOff>0</xdr:colOff>
      <xdr:row>126</xdr:row>
      <xdr:rowOff>0</xdr:rowOff>
    </xdr:from>
    <xdr:to>
      <xdr:col>2</xdr:col>
      <xdr:colOff>9525</xdr:colOff>
      <xdr:row>127</xdr:row>
      <xdr:rowOff>0</xdr:rowOff>
    </xdr:to>
    <xdr:pic>
      <xdr:nvPicPr>
        <xdr:cNvPr id="119858" name="Picture 82" descr="wayfarer"/>
        <xdr:cNvPicPr>
          <a:picLocks noChangeAspect="1" noChangeArrowheads="1"/>
        </xdr:cNvPicPr>
      </xdr:nvPicPr>
      <xdr:blipFill>
        <a:blip xmlns:r="http://schemas.openxmlformats.org/officeDocument/2006/relationships" r:embed="rId58" cstate="print"/>
        <a:srcRect/>
        <a:stretch>
          <a:fillRect/>
        </a:stretch>
      </xdr:blipFill>
      <xdr:spPr bwMode="auto">
        <a:xfrm>
          <a:off x="314325" y="59493150"/>
          <a:ext cx="552450" cy="609600"/>
        </a:xfrm>
        <a:prstGeom prst="rect">
          <a:avLst/>
        </a:prstGeom>
        <a:noFill/>
        <a:ln w="9525">
          <a:noFill/>
          <a:miter lim="800000"/>
          <a:headEnd/>
          <a:tailEnd/>
        </a:ln>
      </xdr:spPr>
    </xdr:pic>
    <xdr:clientData/>
  </xdr:twoCellAnchor>
  <xdr:twoCellAnchor editAs="oneCell">
    <xdr:from>
      <xdr:col>1</xdr:col>
      <xdr:colOff>0</xdr:colOff>
      <xdr:row>131</xdr:row>
      <xdr:rowOff>0</xdr:rowOff>
    </xdr:from>
    <xdr:to>
      <xdr:col>2</xdr:col>
      <xdr:colOff>9525</xdr:colOff>
      <xdr:row>131</xdr:row>
      <xdr:rowOff>609600</xdr:rowOff>
    </xdr:to>
    <xdr:pic>
      <xdr:nvPicPr>
        <xdr:cNvPr id="119862" name="Picture 86" descr="wingboots"/>
        <xdr:cNvPicPr>
          <a:picLocks noChangeAspect="1" noChangeArrowheads="1"/>
        </xdr:cNvPicPr>
      </xdr:nvPicPr>
      <xdr:blipFill>
        <a:blip xmlns:r="http://schemas.openxmlformats.org/officeDocument/2006/relationships" r:embed="rId59" cstate="print"/>
        <a:srcRect/>
        <a:stretch>
          <a:fillRect/>
        </a:stretch>
      </xdr:blipFill>
      <xdr:spPr bwMode="auto">
        <a:xfrm>
          <a:off x="314325" y="62788800"/>
          <a:ext cx="552450" cy="609600"/>
        </a:xfrm>
        <a:prstGeom prst="rect">
          <a:avLst/>
        </a:prstGeom>
        <a:noFill/>
        <a:ln w="9525">
          <a:noFill/>
          <a:miter lim="800000"/>
          <a:headEnd/>
          <a:tailEnd/>
        </a:ln>
      </xdr:spPr>
    </xdr:pic>
    <xdr:clientData/>
  </xdr:twoCellAnchor>
  <xdr:twoCellAnchor editAs="oneCell">
    <xdr:from>
      <xdr:col>1</xdr:col>
      <xdr:colOff>0</xdr:colOff>
      <xdr:row>136</xdr:row>
      <xdr:rowOff>0</xdr:rowOff>
    </xdr:from>
    <xdr:to>
      <xdr:col>2</xdr:col>
      <xdr:colOff>9525</xdr:colOff>
      <xdr:row>137</xdr:row>
      <xdr:rowOff>0</xdr:rowOff>
    </xdr:to>
    <xdr:pic>
      <xdr:nvPicPr>
        <xdr:cNvPr id="119864" name="Picture 88" descr="earthorb"/>
        <xdr:cNvPicPr>
          <a:picLocks noChangeAspect="1" noChangeArrowheads="1"/>
        </xdr:cNvPicPr>
      </xdr:nvPicPr>
      <xdr:blipFill>
        <a:blip xmlns:r="http://schemas.openxmlformats.org/officeDocument/2006/relationships" r:embed="rId60" cstate="print"/>
        <a:srcRect/>
        <a:stretch>
          <a:fillRect/>
        </a:stretch>
      </xdr:blipFill>
      <xdr:spPr bwMode="auto">
        <a:xfrm>
          <a:off x="314325" y="64693800"/>
          <a:ext cx="552450" cy="609600"/>
        </a:xfrm>
        <a:prstGeom prst="rect">
          <a:avLst/>
        </a:prstGeom>
        <a:noFill/>
        <a:ln w="9525">
          <a:noFill/>
          <a:miter lim="800000"/>
          <a:headEnd/>
          <a:tailEnd/>
        </a:ln>
      </xdr:spPr>
    </xdr:pic>
    <xdr:clientData/>
  </xdr:twoCellAnchor>
  <xdr:twoCellAnchor editAs="oneCell">
    <xdr:from>
      <xdr:col>1</xdr:col>
      <xdr:colOff>0</xdr:colOff>
      <xdr:row>137</xdr:row>
      <xdr:rowOff>0</xdr:rowOff>
    </xdr:from>
    <xdr:to>
      <xdr:col>2</xdr:col>
      <xdr:colOff>9525</xdr:colOff>
      <xdr:row>138</xdr:row>
      <xdr:rowOff>9525</xdr:rowOff>
    </xdr:to>
    <xdr:pic>
      <xdr:nvPicPr>
        <xdr:cNvPr id="119865" name="Picture 89" descr="fireorb"/>
        <xdr:cNvPicPr>
          <a:picLocks noChangeAspect="1" noChangeArrowheads="1"/>
        </xdr:cNvPicPr>
      </xdr:nvPicPr>
      <xdr:blipFill>
        <a:blip xmlns:r="http://schemas.openxmlformats.org/officeDocument/2006/relationships" r:embed="rId61" cstate="print"/>
        <a:srcRect/>
        <a:stretch>
          <a:fillRect/>
        </a:stretch>
      </xdr:blipFill>
      <xdr:spPr bwMode="auto">
        <a:xfrm>
          <a:off x="314325" y="65341500"/>
          <a:ext cx="552450" cy="609600"/>
        </a:xfrm>
        <a:prstGeom prst="rect">
          <a:avLst/>
        </a:prstGeom>
        <a:noFill/>
        <a:ln w="9525">
          <a:noFill/>
          <a:miter lim="800000"/>
          <a:headEnd/>
          <a:tailEnd/>
        </a:ln>
      </xdr:spPr>
    </xdr:pic>
    <xdr:clientData/>
  </xdr:twoCellAnchor>
  <xdr:twoCellAnchor editAs="oneCell">
    <xdr:from>
      <xdr:col>1</xdr:col>
      <xdr:colOff>0</xdr:colOff>
      <xdr:row>138</xdr:row>
      <xdr:rowOff>9525</xdr:rowOff>
    </xdr:from>
    <xdr:to>
      <xdr:col>2</xdr:col>
      <xdr:colOff>9525</xdr:colOff>
      <xdr:row>139</xdr:row>
      <xdr:rowOff>9525</xdr:rowOff>
    </xdr:to>
    <xdr:pic>
      <xdr:nvPicPr>
        <xdr:cNvPr id="119866" name="Picture 90" descr="waterorb"/>
        <xdr:cNvPicPr>
          <a:picLocks noChangeAspect="1" noChangeArrowheads="1"/>
        </xdr:cNvPicPr>
      </xdr:nvPicPr>
      <xdr:blipFill>
        <a:blip xmlns:r="http://schemas.openxmlformats.org/officeDocument/2006/relationships" r:embed="rId62" cstate="print"/>
        <a:srcRect/>
        <a:stretch>
          <a:fillRect/>
        </a:stretch>
      </xdr:blipFill>
      <xdr:spPr bwMode="auto">
        <a:xfrm>
          <a:off x="247650" y="62807850"/>
          <a:ext cx="552450" cy="609600"/>
        </a:xfrm>
        <a:prstGeom prst="rect">
          <a:avLst/>
        </a:prstGeom>
        <a:noFill/>
        <a:ln w="9525">
          <a:noFill/>
          <a:miter lim="800000"/>
          <a:headEnd/>
          <a:tailEnd/>
        </a:ln>
      </xdr:spPr>
    </xdr:pic>
    <xdr:clientData/>
  </xdr:twoCellAnchor>
  <xdr:twoCellAnchor editAs="oneCell">
    <xdr:from>
      <xdr:col>1</xdr:col>
      <xdr:colOff>0</xdr:colOff>
      <xdr:row>139</xdr:row>
      <xdr:rowOff>0</xdr:rowOff>
    </xdr:from>
    <xdr:to>
      <xdr:col>2</xdr:col>
      <xdr:colOff>9525</xdr:colOff>
      <xdr:row>140</xdr:row>
      <xdr:rowOff>0</xdr:rowOff>
    </xdr:to>
    <xdr:pic>
      <xdr:nvPicPr>
        <xdr:cNvPr id="119867" name="Picture 91" descr="cloak"/>
        <xdr:cNvPicPr>
          <a:picLocks noChangeAspect="1" noChangeArrowheads="1"/>
        </xdr:cNvPicPr>
      </xdr:nvPicPr>
      <xdr:blipFill>
        <a:blip xmlns:r="http://schemas.openxmlformats.org/officeDocument/2006/relationships" r:embed="rId63" cstate="print"/>
        <a:srcRect/>
        <a:stretch>
          <a:fillRect/>
        </a:stretch>
      </xdr:blipFill>
      <xdr:spPr bwMode="auto">
        <a:xfrm>
          <a:off x="314325" y="66636900"/>
          <a:ext cx="552450" cy="609600"/>
        </a:xfrm>
        <a:prstGeom prst="rect">
          <a:avLst/>
        </a:prstGeom>
        <a:noFill/>
        <a:ln w="9525">
          <a:noFill/>
          <a:miter lim="800000"/>
          <a:headEnd/>
          <a:tailEnd/>
        </a:ln>
      </xdr:spPr>
    </xdr:pic>
    <xdr:clientData/>
  </xdr:twoCellAnchor>
  <xdr:twoCellAnchor editAs="oneCell">
    <xdr:from>
      <xdr:col>1</xdr:col>
      <xdr:colOff>0</xdr:colOff>
      <xdr:row>140</xdr:row>
      <xdr:rowOff>0</xdr:rowOff>
    </xdr:from>
    <xdr:to>
      <xdr:col>2</xdr:col>
      <xdr:colOff>9525</xdr:colOff>
      <xdr:row>141</xdr:row>
      <xdr:rowOff>0</xdr:rowOff>
    </xdr:to>
    <xdr:pic>
      <xdr:nvPicPr>
        <xdr:cNvPr id="119868" name="Picture 92" descr="firetome"/>
        <xdr:cNvPicPr>
          <a:picLocks noChangeAspect="1" noChangeArrowheads="1"/>
        </xdr:cNvPicPr>
      </xdr:nvPicPr>
      <xdr:blipFill>
        <a:blip xmlns:r="http://schemas.openxmlformats.org/officeDocument/2006/relationships" r:embed="rId64" cstate="print"/>
        <a:srcRect/>
        <a:stretch>
          <a:fillRect/>
        </a:stretch>
      </xdr:blipFill>
      <xdr:spPr bwMode="auto">
        <a:xfrm>
          <a:off x="314325" y="67284600"/>
          <a:ext cx="552450" cy="609600"/>
        </a:xfrm>
        <a:prstGeom prst="rect">
          <a:avLst/>
        </a:prstGeom>
        <a:noFill/>
        <a:ln w="9525">
          <a:noFill/>
          <a:miter lim="800000"/>
          <a:headEnd/>
          <a:tailEnd/>
        </a:ln>
      </xdr:spPr>
    </xdr:pic>
    <xdr:clientData/>
  </xdr:twoCellAnchor>
  <xdr:twoCellAnchor editAs="oneCell">
    <xdr:from>
      <xdr:col>1</xdr:col>
      <xdr:colOff>0</xdr:colOff>
      <xdr:row>141</xdr:row>
      <xdr:rowOff>0</xdr:rowOff>
    </xdr:from>
    <xdr:to>
      <xdr:col>2</xdr:col>
      <xdr:colOff>9525</xdr:colOff>
      <xdr:row>142</xdr:row>
      <xdr:rowOff>0</xdr:rowOff>
    </xdr:to>
    <xdr:pic>
      <xdr:nvPicPr>
        <xdr:cNvPr id="119869" name="Picture 93" descr="airtome"/>
        <xdr:cNvPicPr>
          <a:picLocks noChangeAspect="1" noChangeArrowheads="1"/>
        </xdr:cNvPicPr>
      </xdr:nvPicPr>
      <xdr:blipFill>
        <a:blip xmlns:r="http://schemas.openxmlformats.org/officeDocument/2006/relationships" r:embed="rId65" cstate="print"/>
        <a:srcRect/>
        <a:stretch>
          <a:fillRect/>
        </a:stretch>
      </xdr:blipFill>
      <xdr:spPr bwMode="auto">
        <a:xfrm>
          <a:off x="314325" y="67932300"/>
          <a:ext cx="552450" cy="609600"/>
        </a:xfrm>
        <a:prstGeom prst="rect">
          <a:avLst/>
        </a:prstGeom>
        <a:noFill/>
        <a:ln w="9525">
          <a:noFill/>
          <a:miter lim="800000"/>
          <a:headEnd/>
          <a:tailEnd/>
        </a:ln>
      </xdr:spPr>
    </xdr:pic>
    <xdr:clientData/>
  </xdr:twoCellAnchor>
  <xdr:twoCellAnchor editAs="oneCell">
    <xdr:from>
      <xdr:col>1</xdr:col>
      <xdr:colOff>0</xdr:colOff>
      <xdr:row>142</xdr:row>
      <xdr:rowOff>0</xdr:rowOff>
    </xdr:from>
    <xdr:to>
      <xdr:col>2</xdr:col>
      <xdr:colOff>9525</xdr:colOff>
      <xdr:row>143</xdr:row>
      <xdr:rowOff>0</xdr:rowOff>
    </xdr:to>
    <xdr:pic>
      <xdr:nvPicPr>
        <xdr:cNvPr id="119870" name="Picture 94" descr="watertome"/>
        <xdr:cNvPicPr>
          <a:picLocks noChangeAspect="1" noChangeArrowheads="1"/>
        </xdr:cNvPicPr>
      </xdr:nvPicPr>
      <xdr:blipFill>
        <a:blip xmlns:r="http://schemas.openxmlformats.org/officeDocument/2006/relationships" r:embed="rId66" cstate="print"/>
        <a:srcRect/>
        <a:stretch>
          <a:fillRect/>
        </a:stretch>
      </xdr:blipFill>
      <xdr:spPr bwMode="auto">
        <a:xfrm>
          <a:off x="314325" y="68580000"/>
          <a:ext cx="552450" cy="609600"/>
        </a:xfrm>
        <a:prstGeom prst="rect">
          <a:avLst/>
        </a:prstGeom>
        <a:noFill/>
        <a:ln w="9525">
          <a:noFill/>
          <a:miter lim="800000"/>
          <a:headEnd/>
          <a:tailEnd/>
        </a:ln>
      </xdr:spPr>
    </xdr:pic>
    <xdr:clientData/>
  </xdr:twoCellAnchor>
  <xdr:twoCellAnchor editAs="oneCell">
    <xdr:from>
      <xdr:col>1</xdr:col>
      <xdr:colOff>0</xdr:colOff>
      <xdr:row>143</xdr:row>
      <xdr:rowOff>0</xdr:rowOff>
    </xdr:from>
    <xdr:to>
      <xdr:col>2</xdr:col>
      <xdr:colOff>9525</xdr:colOff>
      <xdr:row>144</xdr:row>
      <xdr:rowOff>0</xdr:rowOff>
    </xdr:to>
    <xdr:pic>
      <xdr:nvPicPr>
        <xdr:cNvPr id="119871" name="Picture 95" descr="earthtome"/>
        <xdr:cNvPicPr>
          <a:picLocks noChangeAspect="1" noChangeArrowheads="1"/>
        </xdr:cNvPicPr>
      </xdr:nvPicPr>
      <xdr:blipFill>
        <a:blip xmlns:r="http://schemas.openxmlformats.org/officeDocument/2006/relationships" r:embed="rId67" cstate="print"/>
        <a:srcRect/>
        <a:stretch>
          <a:fillRect/>
        </a:stretch>
      </xdr:blipFill>
      <xdr:spPr bwMode="auto">
        <a:xfrm>
          <a:off x="314325" y="69227700"/>
          <a:ext cx="552450" cy="609600"/>
        </a:xfrm>
        <a:prstGeom prst="rect">
          <a:avLst/>
        </a:prstGeom>
        <a:noFill/>
        <a:ln w="9525">
          <a:noFill/>
          <a:miter lim="800000"/>
          <a:headEnd/>
          <a:tailEnd/>
        </a:ln>
      </xdr:spPr>
    </xdr:pic>
    <xdr:clientData/>
  </xdr:twoCellAnchor>
  <xdr:twoCellAnchor editAs="oneCell">
    <xdr:from>
      <xdr:col>1</xdr:col>
      <xdr:colOff>0</xdr:colOff>
      <xdr:row>144</xdr:row>
      <xdr:rowOff>0</xdr:rowOff>
    </xdr:from>
    <xdr:to>
      <xdr:col>2</xdr:col>
      <xdr:colOff>9525</xdr:colOff>
      <xdr:row>145</xdr:row>
      <xdr:rowOff>0</xdr:rowOff>
    </xdr:to>
    <xdr:pic>
      <xdr:nvPicPr>
        <xdr:cNvPr id="119872" name="Picture 96" descr="sphere"/>
        <xdr:cNvPicPr>
          <a:picLocks noChangeAspect="1" noChangeArrowheads="1"/>
        </xdr:cNvPicPr>
      </xdr:nvPicPr>
      <xdr:blipFill>
        <a:blip xmlns:r="http://schemas.openxmlformats.org/officeDocument/2006/relationships" r:embed="rId68" cstate="print"/>
        <a:srcRect/>
        <a:stretch>
          <a:fillRect/>
        </a:stretch>
      </xdr:blipFill>
      <xdr:spPr bwMode="auto">
        <a:xfrm>
          <a:off x="314325" y="69875400"/>
          <a:ext cx="552450" cy="609600"/>
        </a:xfrm>
        <a:prstGeom prst="rect">
          <a:avLst/>
        </a:prstGeom>
        <a:noFill/>
        <a:ln w="9525">
          <a:noFill/>
          <a:miter lim="800000"/>
          <a:headEnd/>
          <a:tailEnd/>
        </a:ln>
      </xdr:spPr>
    </xdr:pic>
    <xdr:clientData/>
  </xdr:twoCellAnchor>
  <xdr:twoCellAnchor editAs="oneCell">
    <xdr:from>
      <xdr:col>1</xdr:col>
      <xdr:colOff>0</xdr:colOff>
      <xdr:row>145</xdr:row>
      <xdr:rowOff>0</xdr:rowOff>
    </xdr:from>
    <xdr:to>
      <xdr:col>2</xdr:col>
      <xdr:colOff>9525</xdr:colOff>
      <xdr:row>145</xdr:row>
      <xdr:rowOff>609600</xdr:rowOff>
    </xdr:to>
    <xdr:pic>
      <xdr:nvPicPr>
        <xdr:cNvPr id="119873" name="Picture 97" descr="vulner"/>
        <xdr:cNvPicPr>
          <a:picLocks noChangeAspect="1" noChangeArrowheads="1"/>
        </xdr:cNvPicPr>
      </xdr:nvPicPr>
      <xdr:blipFill>
        <a:blip xmlns:r="http://schemas.openxmlformats.org/officeDocument/2006/relationships" r:embed="rId69" cstate="print"/>
        <a:srcRect/>
        <a:stretch>
          <a:fillRect/>
        </a:stretch>
      </xdr:blipFill>
      <xdr:spPr bwMode="auto">
        <a:xfrm>
          <a:off x="314325" y="70523100"/>
          <a:ext cx="552450" cy="609600"/>
        </a:xfrm>
        <a:prstGeom prst="rect">
          <a:avLst/>
        </a:prstGeom>
        <a:noFill/>
        <a:ln w="9525">
          <a:noFill/>
          <a:miter lim="800000"/>
          <a:headEnd/>
          <a:tailEnd/>
        </a:ln>
      </xdr:spPr>
    </xdr:pic>
    <xdr:clientData/>
  </xdr:twoCellAnchor>
  <xdr:twoCellAnchor editAs="oneCell">
    <xdr:from>
      <xdr:col>1</xdr:col>
      <xdr:colOff>0</xdr:colOff>
      <xdr:row>147</xdr:row>
      <xdr:rowOff>9525</xdr:rowOff>
    </xdr:from>
    <xdr:to>
      <xdr:col>2</xdr:col>
      <xdr:colOff>9525</xdr:colOff>
      <xdr:row>148</xdr:row>
      <xdr:rowOff>9525</xdr:rowOff>
    </xdr:to>
    <xdr:pic>
      <xdr:nvPicPr>
        <xdr:cNvPr id="119875" name="Picture 99" descr="orbinhid"/>
        <xdr:cNvPicPr>
          <a:picLocks noChangeAspect="1" noChangeArrowheads="1"/>
        </xdr:cNvPicPr>
      </xdr:nvPicPr>
      <xdr:blipFill>
        <a:blip xmlns:r="http://schemas.openxmlformats.org/officeDocument/2006/relationships" r:embed="rId70" cstate="print"/>
        <a:srcRect/>
        <a:stretch>
          <a:fillRect/>
        </a:stretch>
      </xdr:blipFill>
      <xdr:spPr bwMode="auto">
        <a:xfrm>
          <a:off x="247650" y="68494275"/>
          <a:ext cx="552450" cy="609600"/>
        </a:xfrm>
        <a:prstGeom prst="rect">
          <a:avLst/>
        </a:prstGeom>
        <a:noFill/>
        <a:ln w="9525">
          <a:noFill/>
          <a:miter lim="800000"/>
          <a:headEnd/>
          <a:tailEnd/>
        </a:ln>
      </xdr:spPr>
    </xdr:pic>
    <xdr:clientData/>
  </xdr:twoCellAnchor>
  <xdr:twoCellAnchor editAs="oneCell">
    <xdr:from>
      <xdr:col>1</xdr:col>
      <xdr:colOff>0</xdr:colOff>
      <xdr:row>151</xdr:row>
      <xdr:rowOff>0</xdr:rowOff>
    </xdr:from>
    <xdr:to>
      <xdr:col>2</xdr:col>
      <xdr:colOff>9525</xdr:colOff>
      <xdr:row>152</xdr:row>
      <xdr:rowOff>0</xdr:rowOff>
    </xdr:to>
    <xdr:pic>
      <xdr:nvPicPr>
        <xdr:cNvPr id="119876" name="Picture 100" descr="vitality"/>
        <xdr:cNvPicPr>
          <a:picLocks noChangeAspect="1" noChangeArrowheads="1"/>
        </xdr:cNvPicPr>
      </xdr:nvPicPr>
      <xdr:blipFill>
        <a:blip xmlns:r="http://schemas.openxmlformats.org/officeDocument/2006/relationships" r:embed="rId71" cstate="print"/>
        <a:srcRect/>
        <a:stretch>
          <a:fillRect/>
        </a:stretch>
      </xdr:blipFill>
      <xdr:spPr bwMode="auto">
        <a:xfrm>
          <a:off x="314325" y="73075800"/>
          <a:ext cx="552450" cy="609600"/>
        </a:xfrm>
        <a:prstGeom prst="rect">
          <a:avLst/>
        </a:prstGeom>
        <a:noFill/>
        <a:ln w="9525">
          <a:noFill/>
          <a:miter lim="800000"/>
          <a:headEnd/>
          <a:tailEnd/>
        </a:ln>
      </xdr:spPr>
    </xdr:pic>
    <xdr:clientData/>
  </xdr:twoCellAnchor>
  <xdr:twoCellAnchor editAs="oneCell">
    <xdr:from>
      <xdr:col>1</xdr:col>
      <xdr:colOff>0</xdr:colOff>
      <xdr:row>152</xdr:row>
      <xdr:rowOff>0</xdr:rowOff>
    </xdr:from>
    <xdr:to>
      <xdr:col>2</xdr:col>
      <xdr:colOff>9525</xdr:colOff>
      <xdr:row>153</xdr:row>
      <xdr:rowOff>0</xdr:rowOff>
    </xdr:to>
    <xdr:pic>
      <xdr:nvPicPr>
        <xdr:cNvPr id="119877" name="Picture 101" descr="life"/>
        <xdr:cNvPicPr>
          <a:picLocks noChangeAspect="1" noChangeArrowheads="1"/>
        </xdr:cNvPicPr>
      </xdr:nvPicPr>
      <xdr:blipFill>
        <a:blip xmlns:r="http://schemas.openxmlformats.org/officeDocument/2006/relationships" r:embed="rId72" cstate="print"/>
        <a:srcRect/>
        <a:stretch>
          <a:fillRect/>
        </a:stretch>
      </xdr:blipFill>
      <xdr:spPr bwMode="auto">
        <a:xfrm>
          <a:off x="314325" y="73723500"/>
          <a:ext cx="552450" cy="609600"/>
        </a:xfrm>
        <a:prstGeom prst="rect">
          <a:avLst/>
        </a:prstGeom>
        <a:noFill/>
        <a:ln w="9525">
          <a:noFill/>
          <a:miter lim="800000"/>
          <a:headEnd/>
          <a:tailEnd/>
        </a:ln>
      </xdr:spPr>
    </xdr:pic>
    <xdr:clientData/>
  </xdr:twoCellAnchor>
  <xdr:twoCellAnchor editAs="oneCell">
    <xdr:from>
      <xdr:col>1</xdr:col>
      <xdr:colOff>0</xdr:colOff>
      <xdr:row>153</xdr:row>
      <xdr:rowOff>0</xdr:rowOff>
    </xdr:from>
    <xdr:to>
      <xdr:col>2</xdr:col>
      <xdr:colOff>9525</xdr:colOff>
      <xdr:row>154</xdr:row>
      <xdr:rowOff>0</xdr:rowOff>
    </xdr:to>
    <xdr:pic>
      <xdr:nvPicPr>
        <xdr:cNvPr id="119878" name="Picture 102" descr="vial"/>
        <xdr:cNvPicPr>
          <a:picLocks noChangeAspect="1" noChangeArrowheads="1"/>
        </xdr:cNvPicPr>
      </xdr:nvPicPr>
      <xdr:blipFill>
        <a:blip xmlns:r="http://schemas.openxmlformats.org/officeDocument/2006/relationships" r:embed="rId73" cstate="print"/>
        <a:srcRect/>
        <a:stretch>
          <a:fillRect/>
        </a:stretch>
      </xdr:blipFill>
      <xdr:spPr bwMode="auto">
        <a:xfrm>
          <a:off x="314325" y="74371200"/>
          <a:ext cx="552450" cy="609600"/>
        </a:xfrm>
        <a:prstGeom prst="rect">
          <a:avLst/>
        </a:prstGeom>
        <a:noFill/>
        <a:ln w="9525">
          <a:noFill/>
          <a:miter lim="800000"/>
          <a:headEnd/>
          <a:tailEnd/>
        </a:ln>
      </xdr:spPr>
    </xdr:pic>
    <xdr:clientData/>
  </xdr:twoCellAnchor>
  <xdr:twoCellAnchor editAs="oneCell">
    <xdr:from>
      <xdr:col>1</xdr:col>
      <xdr:colOff>0</xdr:colOff>
      <xdr:row>157</xdr:row>
      <xdr:rowOff>0</xdr:rowOff>
    </xdr:from>
    <xdr:to>
      <xdr:col>2</xdr:col>
      <xdr:colOff>9525</xdr:colOff>
      <xdr:row>158</xdr:row>
      <xdr:rowOff>0</xdr:rowOff>
    </xdr:to>
    <xdr:pic>
      <xdr:nvPicPr>
        <xdr:cNvPr id="119879" name="Picture 103" descr="berserk"/>
        <xdr:cNvPicPr>
          <a:picLocks noChangeAspect="1" noChangeArrowheads="1"/>
        </xdr:cNvPicPr>
      </xdr:nvPicPr>
      <xdr:blipFill>
        <a:blip xmlns:r="http://schemas.openxmlformats.org/officeDocument/2006/relationships" r:embed="rId74" cstate="print"/>
        <a:srcRect/>
        <a:stretch>
          <a:fillRect/>
        </a:stretch>
      </xdr:blipFill>
      <xdr:spPr bwMode="auto">
        <a:xfrm>
          <a:off x="314325" y="75628500"/>
          <a:ext cx="552450" cy="619125"/>
        </a:xfrm>
        <a:prstGeom prst="rect">
          <a:avLst/>
        </a:prstGeom>
        <a:noFill/>
        <a:ln w="9525">
          <a:noFill/>
          <a:miter lim="800000"/>
          <a:headEnd/>
          <a:tailEnd/>
        </a:ln>
      </xdr:spPr>
    </xdr:pic>
    <xdr:clientData/>
  </xdr:twoCellAnchor>
  <xdr:twoCellAnchor editAs="oneCell">
    <xdr:from>
      <xdr:col>1</xdr:col>
      <xdr:colOff>0</xdr:colOff>
      <xdr:row>159</xdr:row>
      <xdr:rowOff>0</xdr:rowOff>
    </xdr:from>
    <xdr:to>
      <xdr:col>2</xdr:col>
      <xdr:colOff>9525</xdr:colOff>
      <xdr:row>160</xdr:row>
      <xdr:rowOff>0</xdr:rowOff>
    </xdr:to>
    <xdr:pic>
      <xdr:nvPicPr>
        <xdr:cNvPr id="119881" name="Picture 105" descr="curse"/>
        <xdr:cNvPicPr>
          <a:picLocks noChangeAspect="1" noChangeArrowheads="1"/>
        </xdr:cNvPicPr>
      </xdr:nvPicPr>
      <xdr:blipFill>
        <a:blip xmlns:r="http://schemas.openxmlformats.org/officeDocument/2006/relationships" r:embed="rId75" cstate="print"/>
        <a:srcRect/>
        <a:stretch>
          <a:fillRect/>
        </a:stretch>
      </xdr:blipFill>
      <xdr:spPr bwMode="auto">
        <a:xfrm>
          <a:off x="314325" y="76923900"/>
          <a:ext cx="552450" cy="609600"/>
        </a:xfrm>
        <a:prstGeom prst="rect">
          <a:avLst/>
        </a:prstGeom>
        <a:noFill/>
        <a:ln w="9525">
          <a:noFill/>
          <a:miter lim="800000"/>
          <a:headEnd/>
          <a:tailEnd/>
        </a:ln>
      </xdr:spPr>
    </xdr:pic>
    <xdr:clientData/>
  </xdr:twoCellAnchor>
  <xdr:twoCellAnchor editAs="oneCell">
    <xdr:from>
      <xdr:col>1</xdr:col>
      <xdr:colOff>0</xdr:colOff>
      <xdr:row>160</xdr:row>
      <xdr:rowOff>0</xdr:rowOff>
    </xdr:from>
    <xdr:to>
      <xdr:col>2</xdr:col>
      <xdr:colOff>9525</xdr:colOff>
      <xdr:row>161</xdr:row>
      <xdr:rowOff>0</xdr:rowOff>
    </xdr:to>
    <xdr:pic>
      <xdr:nvPicPr>
        <xdr:cNvPr id="119882" name="Picture 106" descr="ripple"/>
        <xdr:cNvPicPr>
          <a:picLocks noChangeAspect="1" noChangeArrowheads="1"/>
        </xdr:cNvPicPr>
      </xdr:nvPicPr>
      <xdr:blipFill>
        <a:blip xmlns:r="http://schemas.openxmlformats.org/officeDocument/2006/relationships" r:embed="rId76" cstate="print"/>
        <a:srcRect/>
        <a:stretch>
          <a:fillRect/>
        </a:stretch>
      </xdr:blipFill>
      <xdr:spPr bwMode="auto">
        <a:xfrm>
          <a:off x="314325" y="77571600"/>
          <a:ext cx="552450" cy="609600"/>
        </a:xfrm>
        <a:prstGeom prst="rect">
          <a:avLst/>
        </a:prstGeom>
        <a:noFill/>
        <a:ln w="9525">
          <a:noFill/>
          <a:miter lim="800000"/>
          <a:headEnd/>
          <a:tailEnd/>
        </a:ln>
      </xdr:spPr>
    </xdr:pic>
    <xdr:clientData/>
  </xdr:twoCellAnchor>
  <xdr:twoCellAnchor editAs="oneCell">
    <xdr:from>
      <xdr:col>1</xdr:col>
      <xdr:colOff>0</xdr:colOff>
      <xdr:row>162</xdr:row>
      <xdr:rowOff>0</xdr:rowOff>
    </xdr:from>
    <xdr:to>
      <xdr:col>2</xdr:col>
      <xdr:colOff>9525</xdr:colOff>
      <xdr:row>163</xdr:row>
      <xdr:rowOff>0</xdr:rowOff>
    </xdr:to>
    <xdr:pic>
      <xdr:nvPicPr>
        <xdr:cNvPr id="119884" name="Picture 108" descr="hypno"/>
        <xdr:cNvPicPr>
          <a:picLocks noChangeAspect="1" noChangeArrowheads="1"/>
        </xdr:cNvPicPr>
      </xdr:nvPicPr>
      <xdr:blipFill>
        <a:blip xmlns:r="http://schemas.openxmlformats.org/officeDocument/2006/relationships" r:embed="rId77" cstate="print"/>
        <a:srcRect/>
        <a:stretch>
          <a:fillRect/>
        </a:stretch>
      </xdr:blipFill>
      <xdr:spPr bwMode="auto">
        <a:xfrm>
          <a:off x="314325" y="78867000"/>
          <a:ext cx="552450" cy="609600"/>
        </a:xfrm>
        <a:prstGeom prst="rect">
          <a:avLst/>
        </a:prstGeom>
        <a:noFill/>
        <a:ln w="9525">
          <a:noFill/>
          <a:miter lim="800000"/>
          <a:headEnd/>
          <a:tailEnd/>
        </a:ln>
      </xdr:spPr>
    </xdr:pic>
    <xdr:clientData/>
  </xdr:twoCellAnchor>
  <xdr:twoCellAnchor editAs="oneCell">
    <xdr:from>
      <xdr:col>1</xdr:col>
      <xdr:colOff>0</xdr:colOff>
      <xdr:row>164</xdr:row>
      <xdr:rowOff>0</xdr:rowOff>
    </xdr:from>
    <xdr:to>
      <xdr:col>2</xdr:col>
      <xdr:colOff>9525</xdr:colOff>
      <xdr:row>165</xdr:row>
      <xdr:rowOff>0</xdr:rowOff>
    </xdr:to>
    <xdr:pic>
      <xdr:nvPicPr>
        <xdr:cNvPr id="119886" name="Picture 110" descr="forget"/>
        <xdr:cNvPicPr>
          <a:picLocks noChangeAspect="1" noChangeArrowheads="1"/>
        </xdr:cNvPicPr>
      </xdr:nvPicPr>
      <xdr:blipFill>
        <a:blip xmlns:r="http://schemas.openxmlformats.org/officeDocument/2006/relationships" r:embed="rId78" cstate="print"/>
        <a:srcRect/>
        <a:stretch>
          <a:fillRect/>
        </a:stretch>
      </xdr:blipFill>
      <xdr:spPr bwMode="auto">
        <a:xfrm>
          <a:off x="314325" y="80162400"/>
          <a:ext cx="552450" cy="609600"/>
        </a:xfrm>
        <a:prstGeom prst="rect">
          <a:avLst/>
        </a:prstGeom>
        <a:noFill/>
        <a:ln w="9525">
          <a:noFill/>
          <a:miter lim="800000"/>
          <a:headEnd/>
          <a:tailEnd/>
        </a:ln>
      </xdr:spPr>
    </xdr:pic>
    <xdr:clientData/>
  </xdr:twoCellAnchor>
  <xdr:twoCellAnchor editAs="oneCell">
    <xdr:from>
      <xdr:col>1</xdr:col>
      <xdr:colOff>0</xdr:colOff>
      <xdr:row>168</xdr:row>
      <xdr:rowOff>0</xdr:rowOff>
    </xdr:from>
    <xdr:to>
      <xdr:col>2</xdr:col>
      <xdr:colOff>9525</xdr:colOff>
      <xdr:row>169</xdr:row>
      <xdr:rowOff>0</xdr:rowOff>
    </xdr:to>
    <xdr:pic>
      <xdr:nvPicPr>
        <xdr:cNvPr id="119887" name="Picture 111" descr="crystal"/>
        <xdr:cNvPicPr>
          <a:picLocks noChangeAspect="1" noChangeArrowheads="1"/>
        </xdr:cNvPicPr>
      </xdr:nvPicPr>
      <xdr:blipFill>
        <a:blip xmlns:r="http://schemas.openxmlformats.org/officeDocument/2006/relationships" r:embed="rId79" cstate="print"/>
        <a:srcRect/>
        <a:stretch>
          <a:fillRect/>
        </a:stretch>
      </xdr:blipFill>
      <xdr:spPr bwMode="auto">
        <a:xfrm>
          <a:off x="314325" y="81419700"/>
          <a:ext cx="552450" cy="619125"/>
        </a:xfrm>
        <a:prstGeom prst="rect">
          <a:avLst/>
        </a:prstGeom>
        <a:noFill/>
        <a:ln w="9525">
          <a:noFill/>
          <a:miter lim="800000"/>
          <a:headEnd/>
          <a:tailEnd/>
        </a:ln>
      </xdr:spPr>
    </xdr:pic>
    <xdr:clientData/>
  </xdr:twoCellAnchor>
  <xdr:twoCellAnchor editAs="oneCell">
    <xdr:from>
      <xdr:col>1</xdr:col>
      <xdr:colOff>0</xdr:colOff>
      <xdr:row>169</xdr:row>
      <xdr:rowOff>0</xdr:rowOff>
    </xdr:from>
    <xdr:to>
      <xdr:col>2</xdr:col>
      <xdr:colOff>9525</xdr:colOff>
      <xdr:row>170</xdr:row>
      <xdr:rowOff>0</xdr:rowOff>
    </xdr:to>
    <xdr:pic>
      <xdr:nvPicPr>
        <xdr:cNvPr id="119888" name="Picture 112" descr="gemring"/>
        <xdr:cNvPicPr>
          <a:picLocks noChangeAspect="1" noChangeArrowheads="1"/>
        </xdr:cNvPicPr>
      </xdr:nvPicPr>
      <xdr:blipFill>
        <a:blip xmlns:r="http://schemas.openxmlformats.org/officeDocument/2006/relationships" r:embed="rId80" cstate="print"/>
        <a:srcRect/>
        <a:stretch>
          <a:fillRect/>
        </a:stretch>
      </xdr:blipFill>
      <xdr:spPr bwMode="auto">
        <a:xfrm>
          <a:off x="314325" y="82067400"/>
          <a:ext cx="552450" cy="609600"/>
        </a:xfrm>
        <a:prstGeom prst="rect">
          <a:avLst/>
        </a:prstGeom>
        <a:noFill/>
        <a:ln w="9525">
          <a:noFill/>
          <a:miter lim="800000"/>
          <a:headEnd/>
          <a:tailEnd/>
        </a:ln>
      </xdr:spPr>
    </xdr:pic>
    <xdr:clientData/>
  </xdr:twoCellAnchor>
  <xdr:twoCellAnchor editAs="oneCell">
    <xdr:from>
      <xdr:col>1</xdr:col>
      <xdr:colOff>0</xdr:colOff>
      <xdr:row>170</xdr:row>
      <xdr:rowOff>0</xdr:rowOff>
    </xdr:from>
    <xdr:to>
      <xdr:col>2</xdr:col>
      <xdr:colOff>9525</xdr:colOff>
      <xdr:row>171</xdr:row>
      <xdr:rowOff>0</xdr:rowOff>
    </xdr:to>
    <xdr:pic>
      <xdr:nvPicPr>
        <xdr:cNvPr id="119889" name="Picture 113" descr="mercury"/>
        <xdr:cNvPicPr>
          <a:picLocks noChangeAspect="1" noChangeArrowheads="1"/>
        </xdr:cNvPicPr>
      </xdr:nvPicPr>
      <xdr:blipFill>
        <a:blip xmlns:r="http://schemas.openxmlformats.org/officeDocument/2006/relationships" r:embed="rId81" cstate="print"/>
        <a:srcRect/>
        <a:stretch>
          <a:fillRect/>
        </a:stretch>
      </xdr:blipFill>
      <xdr:spPr bwMode="auto">
        <a:xfrm>
          <a:off x="314325" y="82715100"/>
          <a:ext cx="552450" cy="609600"/>
        </a:xfrm>
        <a:prstGeom prst="rect">
          <a:avLst/>
        </a:prstGeom>
        <a:noFill/>
        <a:ln w="9525">
          <a:noFill/>
          <a:miter lim="800000"/>
          <a:headEnd/>
          <a:tailEnd/>
        </a:ln>
      </xdr:spPr>
    </xdr:pic>
    <xdr:clientData/>
  </xdr:twoCellAnchor>
  <xdr:twoCellAnchor editAs="oneCell">
    <xdr:from>
      <xdr:col>1</xdr:col>
      <xdr:colOff>0</xdr:colOff>
      <xdr:row>172</xdr:row>
      <xdr:rowOff>0</xdr:rowOff>
    </xdr:from>
    <xdr:to>
      <xdr:col>2</xdr:col>
      <xdr:colOff>9525</xdr:colOff>
      <xdr:row>173</xdr:row>
      <xdr:rowOff>9525</xdr:rowOff>
    </xdr:to>
    <xdr:pic>
      <xdr:nvPicPr>
        <xdr:cNvPr id="119890" name="Picture 114" descr="ore"/>
        <xdr:cNvPicPr>
          <a:picLocks noChangeAspect="1" noChangeArrowheads="1"/>
        </xdr:cNvPicPr>
      </xdr:nvPicPr>
      <xdr:blipFill>
        <a:blip xmlns:r="http://schemas.openxmlformats.org/officeDocument/2006/relationships" r:embed="rId82" cstate="print"/>
        <a:srcRect/>
        <a:stretch>
          <a:fillRect/>
        </a:stretch>
      </xdr:blipFill>
      <xdr:spPr bwMode="auto">
        <a:xfrm>
          <a:off x="314325" y="83362800"/>
          <a:ext cx="552450" cy="609600"/>
        </a:xfrm>
        <a:prstGeom prst="rect">
          <a:avLst/>
        </a:prstGeom>
        <a:noFill/>
        <a:ln w="9525">
          <a:noFill/>
          <a:miter lim="800000"/>
          <a:headEnd/>
          <a:tailEnd/>
        </a:ln>
      </xdr:spPr>
    </xdr:pic>
    <xdr:clientData/>
  </xdr:twoCellAnchor>
  <xdr:twoCellAnchor editAs="oneCell">
    <xdr:from>
      <xdr:col>1</xdr:col>
      <xdr:colOff>0</xdr:colOff>
      <xdr:row>173</xdr:row>
      <xdr:rowOff>9525</xdr:rowOff>
    </xdr:from>
    <xdr:to>
      <xdr:col>2</xdr:col>
      <xdr:colOff>9525</xdr:colOff>
      <xdr:row>174</xdr:row>
      <xdr:rowOff>9525</xdr:rowOff>
    </xdr:to>
    <xdr:pic>
      <xdr:nvPicPr>
        <xdr:cNvPr id="119892" name="Picture 116" descr="wood"/>
        <xdr:cNvPicPr>
          <a:picLocks noChangeAspect="1" noChangeArrowheads="1"/>
        </xdr:cNvPicPr>
      </xdr:nvPicPr>
      <xdr:blipFill>
        <a:blip xmlns:r="http://schemas.openxmlformats.org/officeDocument/2006/relationships" r:embed="rId83" cstate="print"/>
        <a:srcRect/>
        <a:stretch>
          <a:fillRect/>
        </a:stretch>
      </xdr:blipFill>
      <xdr:spPr bwMode="auto">
        <a:xfrm>
          <a:off x="247650" y="80076675"/>
          <a:ext cx="552450" cy="609600"/>
        </a:xfrm>
        <a:prstGeom prst="rect">
          <a:avLst/>
        </a:prstGeom>
        <a:noFill/>
        <a:ln w="9525">
          <a:noFill/>
          <a:miter lim="800000"/>
          <a:headEnd/>
          <a:tailEnd/>
        </a:ln>
      </xdr:spPr>
    </xdr:pic>
    <xdr:clientData/>
  </xdr:twoCellAnchor>
  <xdr:twoCellAnchor editAs="oneCell">
    <xdr:from>
      <xdr:col>1</xdr:col>
      <xdr:colOff>0</xdr:colOff>
      <xdr:row>174</xdr:row>
      <xdr:rowOff>0</xdr:rowOff>
    </xdr:from>
    <xdr:to>
      <xdr:col>2</xdr:col>
      <xdr:colOff>9525</xdr:colOff>
      <xdr:row>175</xdr:row>
      <xdr:rowOff>0</xdr:rowOff>
    </xdr:to>
    <xdr:pic>
      <xdr:nvPicPr>
        <xdr:cNvPr id="119893" name="Picture 117" descr="gold1"/>
        <xdr:cNvPicPr>
          <a:picLocks noChangeAspect="1" noChangeArrowheads="1"/>
        </xdr:cNvPicPr>
      </xdr:nvPicPr>
      <xdr:blipFill>
        <a:blip xmlns:r="http://schemas.openxmlformats.org/officeDocument/2006/relationships" r:embed="rId84" cstate="print"/>
        <a:srcRect/>
        <a:stretch>
          <a:fillRect/>
        </a:stretch>
      </xdr:blipFill>
      <xdr:spPr bwMode="auto">
        <a:xfrm>
          <a:off x="314325" y="85305900"/>
          <a:ext cx="552450" cy="609600"/>
        </a:xfrm>
        <a:prstGeom prst="rect">
          <a:avLst/>
        </a:prstGeom>
        <a:noFill/>
        <a:ln w="9525">
          <a:noFill/>
          <a:miter lim="800000"/>
          <a:headEnd/>
          <a:tailEnd/>
        </a:ln>
      </xdr:spPr>
    </xdr:pic>
    <xdr:clientData/>
  </xdr:twoCellAnchor>
  <xdr:twoCellAnchor editAs="oneCell">
    <xdr:from>
      <xdr:col>1</xdr:col>
      <xdr:colOff>0</xdr:colOff>
      <xdr:row>175</xdr:row>
      <xdr:rowOff>0</xdr:rowOff>
    </xdr:from>
    <xdr:to>
      <xdr:col>2</xdr:col>
      <xdr:colOff>9525</xdr:colOff>
      <xdr:row>176</xdr:row>
      <xdr:rowOff>0</xdr:rowOff>
    </xdr:to>
    <xdr:pic>
      <xdr:nvPicPr>
        <xdr:cNvPr id="119894" name="Picture 118" descr="gold2"/>
        <xdr:cNvPicPr>
          <a:picLocks noChangeAspect="1" noChangeArrowheads="1"/>
        </xdr:cNvPicPr>
      </xdr:nvPicPr>
      <xdr:blipFill>
        <a:blip xmlns:r="http://schemas.openxmlformats.org/officeDocument/2006/relationships" r:embed="rId85" cstate="print"/>
        <a:srcRect/>
        <a:stretch>
          <a:fillRect/>
        </a:stretch>
      </xdr:blipFill>
      <xdr:spPr bwMode="auto">
        <a:xfrm>
          <a:off x="314325" y="85953600"/>
          <a:ext cx="552450" cy="609600"/>
        </a:xfrm>
        <a:prstGeom prst="rect">
          <a:avLst/>
        </a:prstGeom>
        <a:noFill/>
        <a:ln w="9525">
          <a:noFill/>
          <a:miter lim="800000"/>
          <a:headEnd/>
          <a:tailEnd/>
        </a:ln>
      </xdr:spPr>
    </xdr:pic>
    <xdr:clientData/>
  </xdr:twoCellAnchor>
  <xdr:twoCellAnchor editAs="oneCell">
    <xdr:from>
      <xdr:col>1</xdr:col>
      <xdr:colOff>0</xdr:colOff>
      <xdr:row>176</xdr:row>
      <xdr:rowOff>0</xdr:rowOff>
    </xdr:from>
    <xdr:to>
      <xdr:col>2</xdr:col>
      <xdr:colOff>9525</xdr:colOff>
      <xdr:row>177</xdr:row>
      <xdr:rowOff>0</xdr:rowOff>
    </xdr:to>
    <xdr:pic>
      <xdr:nvPicPr>
        <xdr:cNvPr id="119895" name="Picture 119" descr="gold3"/>
        <xdr:cNvPicPr>
          <a:picLocks noChangeAspect="1" noChangeArrowheads="1"/>
        </xdr:cNvPicPr>
      </xdr:nvPicPr>
      <xdr:blipFill>
        <a:blip xmlns:r="http://schemas.openxmlformats.org/officeDocument/2006/relationships" r:embed="rId86" cstate="print"/>
        <a:srcRect/>
        <a:stretch>
          <a:fillRect/>
        </a:stretch>
      </xdr:blipFill>
      <xdr:spPr bwMode="auto">
        <a:xfrm>
          <a:off x="314325" y="86601300"/>
          <a:ext cx="552450" cy="609600"/>
        </a:xfrm>
        <a:prstGeom prst="rect">
          <a:avLst/>
        </a:prstGeom>
        <a:noFill/>
        <a:ln w="9525">
          <a:noFill/>
          <a:miter lim="800000"/>
          <a:headEnd/>
          <a:tailEnd/>
        </a:ln>
      </xdr:spPr>
    </xdr:pic>
    <xdr:clientData/>
  </xdr:twoCellAnchor>
  <xdr:twoCellAnchor editAs="oneCell">
    <xdr:from>
      <xdr:col>1</xdr:col>
      <xdr:colOff>0</xdr:colOff>
      <xdr:row>181</xdr:row>
      <xdr:rowOff>9525</xdr:rowOff>
    </xdr:from>
    <xdr:to>
      <xdr:col>2</xdr:col>
      <xdr:colOff>9525</xdr:colOff>
      <xdr:row>182</xdr:row>
      <xdr:rowOff>0</xdr:rowOff>
    </xdr:to>
    <xdr:pic>
      <xdr:nvPicPr>
        <xdr:cNvPr id="119897" name="Picture 121" descr="loins"/>
        <xdr:cNvPicPr>
          <a:picLocks noChangeAspect="1" noChangeArrowheads="1"/>
        </xdr:cNvPicPr>
      </xdr:nvPicPr>
      <xdr:blipFill>
        <a:blip xmlns:r="http://schemas.openxmlformats.org/officeDocument/2006/relationships" r:embed="rId87" cstate="print"/>
        <a:srcRect/>
        <a:stretch>
          <a:fillRect/>
        </a:stretch>
      </xdr:blipFill>
      <xdr:spPr bwMode="auto">
        <a:xfrm>
          <a:off x="314325" y="88515825"/>
          <a:ext cx="552450" cy="571500"/>
        </a:xfrm>
        <a:prstGeom prst="rect">
          <a:avLst/>
        </a:prstGeom>
        <a:noFill/>
        <a:ln w="9525">
          <a:noFill/>
          <a:miter lim="800000"/>
          <a:headEnd/>
          <a:tailEnd/>
        </a:ln>
      </xdr:spPr>
    </xdr:pic>
    <xdr:clientData/>
  </xdr:twoCellAnchor>
  <xdr:twoCellAnchor editAs="oneCell">
    <xdr:from>
      <xdr:col>1</xdr:col>
      <xdr:colOff>0</xdr:colOff>
      <xdr:row>182</xdr:row>
      <xdr:rowOff>0</xdr:rowOff>
    </xdr:from>
    <xdr:to>
      <xdr:col>2</xdr:col>
      <xdr:colOff>9525</xdr:colOff>
      <xdr:row>183</xdr:row>
      <xdr:rowOff>28575</xdr:rowOff>
    </xdr:to>
    <xdr:pic>
      <xdr:nvPicPr>
        <xdr:cNvPr id="119898" name="Picture 122" descr="torso"/>
        <xdr:cNvPicPr>
          <a:picLocks noChangeAspect="1" noChangeArrowheads="1"/>
        </xdr:cNvPicPr>
      </xdr:nvPicPr>
      <xdr:blipFill>
        <a:blip xmlns:r="http://schemas.openxmlformats.org/officeDocument/2006/relationships" r:embed="rId88" cstate="print"/>
        <a:srcRect/>
        <a:stretch>
          <a:fillRect/>
        </a:stretch>
      </xdr:blipFill>
      <xdr:spPr bwMode="auto">
        <a:xfrm>
          <a:off x="314325" y="89154000"/>
          <a:ext cx="552450" cy="609600"/>
        </a:xfrm>
        <a:prstGeom prst="rect">
          <a:avLst/>
        </a:prstGeom>
        <a:noFill/>
        <a:ln w="9525">
          <a:noFill/>
          <a:miter lim="800000"/>
          <a:headEnd/>
          <a:tailEnd/>
        </a:ln>
      </xdr:spPr>
    </xdr:pic>
    <xdr:clientData/>
  </xdr:twoCellAnchor>
  <xdr:twoCellAnchor editAs="oneCell">
    <xdr:from>
      <xdr:col>1</xdr:col>
      <xdr:colOff>0</xdr:colOff>
      <xdr:row>188</xdr:row>
      <xdr:rowOff>0</xdr:rowOff>
    </xdr:from>
    <xdr:to>
      <xdr:col>2</xdr:col>
      <xdr:colOff>9525</xdr:colOff>
      <xdr:row>189</xdr:row>
      <xdr:rowOff>0</xdr:rowOff>
    </xdr:to>
    <xdr:pic>
      <xdr:nvPicPr>
        <xdr:cNvPr id="119902" name="Picture 126" descr="goldenbow"/>
        <xdr:cNvPicPr>
          <a:picLocks noChangeAspect="1" noChangeArrowheads="1"/>
        </xdr:cNvPicPr>
      </xdr:nvPicPr>
      <xdr:blipFill>
        <a:blip xmlns:r="http://schemas.openxmlformats.org/officeDocument/2006/relationships" r:embed="rId89" cstate="print"/>
        <a:srcRect/>
        <a:stretch>
          <a:fillRect/>
        </a:stretch>
      </xdr:blipFill>
      <xdr:spPr bwMode="auto">
        <a:xfrm>
          <a:off x="314325" y="91706700"/>
          <a:ext cx="552450" cy="609600"/>
        </a:xfrm>
        <a:prstGeom prst="rect">
          <a:avLst/>
        </a:prstGeom>
        <a:noFill/>
        <a:ln w="9525">
          <a:noFill/>
          <a:miter lim="800000"/>
          <a:headEnd/>
          <a:tailEnd/>
        </a:ln>
      </xdr:spPr>
    </xdr:pic>
    <xdr:clientData/>
  </xdr:twoCellAnchor>
  <xdr:twoCellAnchor editAs="oneCell">
    <xdr:from>
      <xdr:col>1</xdr:col>
      <xdr:colOff>0</xdr:colOff>
      <xdr:row>189</xdr:row>
      <xdr:rowOff>0</xdr:rowOff>
    </xdr:from>
    <xdr:to>
      <xdr:col>2</xdr:col>
      <xdr:colOff>9525</xdr:colOff>
      <xdr:row>190</xdr:row>
      <xdr:rowOff>0</xdr:rowOff>
    </xdr:to>
    <xdr:pic>
      <xdr:nvPicPr>
        <xdr:cNvPr id="119903" name="Picture 127" descr="shackles"/>
        <xdr:cNvPicPr>
          <a:picLocks noChangeAspect="1" noChangeArrowheads="1"/>
        </xdr:cNvPicPr>
      </xdr:nvPicPr>
      <xdr:blipFill>
        <a:blip xmlns:r="http://schemas.openxmlformats.org/officeDocument/2006/relationships" r:embed="rId90" cstate="print"/>
        <a:srcRect/>
        <a:stretch>
          <a:fillRect/>
        </a:stretch>
      </xdr:blipFill>
      <xdr:spPr bwMode="auto">
        <a:xfrm>
          <a:off x="314325" y="92354400"/>
          <a:ext cx="552450" cy="609600"/>
        </a:xfrm>
        <a:prstGeom prst="rect">
          <a:avLst/>
        </a:prstGeom>
        <a:noFill/>
        <a:ln w="9525">
          <a:noFill/>
          <a:miter lim="800000"/>
          <a:headEnd/>
          <a:tailEnd/>
        </a:ln>
      </xdr:spPr>
    </xdr:pic>
    <xdr:clientData/>
  </xdr:twoCellAnchor>
  <xdr:twoCellAnchor editAs="oneCell">
    <xdr:from>
      <xdr:col>1</xdr:col>
      <xdr:colOff>0</xdr:colOff>
      <xdr:row>219</xdr:row>
      <xdr:rowOff>0</xdr:rowOff>
    </xdr:from>
    <xdr:to>
      <xdr:col>1</xdr:col>
      <xdr:colOff>28575</xdr:colOff>
      <xdr:row>219</xdr:row>
      <xdr:rowOff>9525</xdr:rowOff>
    </xdr:to>
    <xdr:pic>
      <xdr:nvPicPr>
        <xdr:cNvPr id="119918" name="Picture 142" descr="bb"/>
        <xdr:cNvPicPr>
          <a:picLocks noChangeAspect="1" noChangeArrowheads="1"/>
        </xdr:cNvPicPr>
      </xdr:nvPicPr>
      <xdr:blipFill>
        <a:blip xmlns:r="http://schemas.openxmlformats.org/officeDocument/2006/relationships" r:embed="rId91"/>
        <a:srcRect/>
        <a:stretch>
          <a:fillRect/>
        </a:stretch>
      </xdr:blipFill>
      <xdr:spPr bwMode="auto">
        <a:xfrm>
          <a:off x="314325" y="111985425"/>
          <a:ext cx="28575" cy="9525"/>
        </a:xfrm>
        <a:prstGeom prst="rect">
          <a:avLst/>
        </a:prstGeom>
        <a:noFill/>
        <a:ln w="9525">
          <a:noFill/>
          <a:miter lim="800000"/>
          <a:headEnd/>
          <a:tailEnd/>
        </a:ln>
      </xdr:spPr>
    </xdr:pic>
    <xdr:clientData/>
  </xdr:twoCellAnchor>
  <xdr:twoCellAnchor editAs="oneCell">
    <xdr:from>
      <xdr:col>8</xdr:col>
      <xdr:colOff>0</xdr:colOff>
      <xdr:row>219</xdr:row>
      <xdr:rowOff>0</xdr:rowOff>
    </xdr:from>
    <xdr:to>
      <xdr:col>8</xdr:col>
      <xdr:colOff>28575</xdr:colOff>
      <xdr:row>219</xdr:row>
      <xdr:rowOff>9525</xdr:rowOff>
    </xdr:to>
    <xdr:pic>
      <xdr:nvPicPr>
        <xdr:cNvPr id="119919" name="Picture 143" descr="bb"/>
        <xdr:cNvPicPr>
          <a:picLocks noChangeAspect="1" noChangeArrowheads="1"/>
        </xdr:cNvPicPr>
      </xdr:nvPicPr>
      <xdr:blipFill>
        <a:blip xmlns:r="http://schemas.openxmlformats.org/officeDocument/2006/relationships" r:embed="rId91"/>
        <a:srcRect/>
        <a:stretch>
          <a:fillRect/>
        </a:stretch>
      </xdr:blipFill>
      <xdr:spPr bwMode="auto">
        <a:xfrm>
          <a:off x="10258425" y="111985425"/>
          <a:ext cx="28575" cy="9525"/>
        </a:xfrm>
        <a:prstGeom prst="rect">
          <a:avLst/>
        </a:prstGeom>
        <a:noFill/>
        <a:ln w="9525">
          <a:noFill/>
          <a:miter lim="800000"/>
          <a:headEnd/>
          <a:tailEnd/>
        </a:ln>
      </xdr:spPr>
    </xdr:pic>
    <xdr:clientData/>
  </xdr:twoCellAnchor>
  <xdr:twoCellAnchor editAs="oneCell">
    <xdr:from>
      <xdr:col>1</xdr:col>
      <xdr:colOff>0</xdr:colOff>
      <xdr:row>219</xdr:row>
      <xdr:rowOff>0</xdr:rowOff>
    </xdr:from>
    <xdr:to>
      <xdr:col>1</xdr:col>
      <xdr:colOff>28575</xdr:colOff>
      <xdr:row>219</xdr:row>
      <xdr:rowOff>9525</xdr:rowOff>
    </xdr:to>
    <xdr:pic>
      <xdr:nvPicPr>
        <xdr:cNvPr id="119920" name="Picture 144" descr="bb"/>
        <xdr:cNvPicPr>
          <a:picLocks noChangeAspect="1" noChangeArrowheads="1"/>
        </xdr:cNvPicPr>
      </xdr:nvPicPr>
      <xdr:blipFill>
        <a:blip xmlns:r="http://schemas.openxmlformats.org/officeDocument/2006/relationships" r:embed="rId91"/>
        <a:srcRect/>
        <a:stretch>
          <a:fillRect/>
        </a:stretch>
      </xdr:blipFill>
      <xdr:spPr bwMode="auto">
        <a:xfrm>
          <a:off x="314325" y="111985425"/>
          <a:ext cx="28575" cy="9525"/>
        </a:xfrm>
        <a:prstGeom prst="rect">
          <a:avLst/>
        </a:prstGeom>
        <a:noFill/>
        <a:ln w="9525">
          <a:noFill/>
          <a:miter lim="800000"/>
          <a:headEnd/>
          <a:tailEnd/>
        </a:ln>
      </xdr:spPr>
    </xdr:pic>
    <xdr:clientData/>
  </xdr:twoCellAnchor>
  <xdr:twoCellAnchor editAs="oneCell">
    <xdr:from>
      <xdr:col>8</xdr:col>
      <xdr:colOff>0</xdr:colOff>
      <xdr:row>219</xdr:row>
      <xdr:rowOff>0</xdr:rowOff>
    </xdr:from>
    <xdr:to>
      <xdr:col>8</xdr:col>
      <xdr:colOff>28575</xdr:colOff>
      <xdr:row>219</xdr:row>
      <xdr:rowOff>9525</xdr:rowOff>
    </xdr:to>
    <xdr:pic>
      <xdr:nvPicPr>
        <xdr:cNvPr id="119921" name="Picture 145" descr="bb"/>
        <xdr:cNvPicPr>
          <a:picLocks noChangeAspect="1" noChangeArrowheads="1"/>
        </xdr:cNvPicPr>
      </xdr:nvPicPr>
      <xdr:blipFill>
        <a:blip xmlns:r="http://schemas.openxmlformats.org/officeDocument/2006/relationships" r:embed="rId91"/>
        <a:srcRect/>
        <a:stretch>
          <a:fillRect/>
        </a:stretch>
      </xdr:blipFill>
      <xdr:spPr bwMode="auto">
        <a:xfrm>
          <a:off x="10258425" y="111985425"/>
          <a:ext cx="28575" cy="9525"/>
        </a:xfrm>
        <a:prstGeom prst="rect">
          <a:avLst/>
        </a:prstGeom>
        <a:noFill/>
        <a:ln w="9525">
          <a:noFill/>
          <a:miter lim="800000"/>
          <a:headEnd/>
          <a:tailEnd/>
        </a:ln>
      </xdr:spPr>
    </xdr:pic>
    <xdr:clientData/>
  </xdr:twoCellAnchor>
  <xdr:twoCellAnchor editAs="oneCell">
    <xdr:from>
      <xdr:col>1</xdr:col>
      <xdr:colOff>0</xdr:colOff>
      <xdr:row>219</xdr:row>
      <xdr:rowOff>0</xdr:rowOff>
    </xdr:from>
    <xdr:to>
      <xdr:col>1</xdr:col>
      <xdr:colOff>28575</xdr:colOff>
      <xdr:row>219</xdr:row>
      <xdr:rowOff>9525</xdr:rowOff>
    </xdr:to>
    <xdr:pic>
      <xdr:nvPicPr>
        <xdr:cNvPr id="119922" name="Picture 146" descr="bb"/>
        <xdr:cNvPicPr>
          <a:picLocks noChangeAspect="1" noChangeArrowheads="1"/>
        </xdr:cNvPicPr>
      </xdr:nvPicPr>
      <xdr:blipFill>
        <a:blip xmlns:r="http://schemas.openxmlformats.org/officeDocument/2006/relationships" r:embed="rId91"/>
        <a:srcRect/>
        <a:stretch>
          <a:fillRect/>
        </a:stretch>
      </xdr:blipFill>
      <xdr:spPr bwMode="auto">
        <a:xfrm>
          <a:off x="314325" y="111985425"/>
          <a:ext cx="28575" cy="9525"/>
        </a:xfrm>
        <a:prstGeom prst="rect">
          <a:avLst/>
        </a:prstGeom>
        <a:noFill/>
        <a:ln w="9525">
          <a:noFill/>
          <a:miter lim="800000"/>
          <a:headEnd/>
          <a:tailEnd/>
        </a:ln>
      </xdr:spPr>
    </xdr:pic>
    <xdr:clientData/>
  </xdr:twoCellAnchor>
  <xdr:twoCellAnchor editAs="oneCell">
    <xdr:from>
      <xdr:col>8</xdr:col>
      <xdr:colOff>0</xdr:colOff>
      <xdr:row>219</xdr:row>
      <xdr:rowOff>0</xdr:rowOff>
    </xdr:from>
    <xdr:to>
      <xdr:col>8</xdr:col>
      <xdr:colOff>28575</xdr:colOff>
      <xdr:row>219</xdr:row>
      <xdr:rowOff>9525</xdr:rowOff>
    </xdr:to>
    <xdr:pic>
      <xdr:nvPicPr>
        <xdr:cNvPr id="119923" name="Picture 147" descr="bb"/>
        <xdr:cNvPicPr>
          <a:picLocks noChangeAspect="1" noChangeArrowheads="1"/>
        </xdr:cNvPicPr>
      </xdr:nvPicPr>
      <xdr:blipFill>
        <a:blip xmlns:r="http://schemas.openxmlformats.org/officeDocument/2006/relationships" r:embed="rId91"/>
        <a:srcRect/>
        <a:stretch>
          <a:fillRect/>
        </a:stretch>
      </xdr:blipFill>
      <xdr:spPr bwMode="auto">
        <a:xfrm>
          <a:off x="10258425" y="111985425"/>
          <a:ext cx="28575" cy="9525"/>
        </a:xfrm>
        <a:prstGeom prst="rect">
          <a:avLst/>
        </a:prstGeom>
        <a:noFill/>
        <a:ln w="9525">
          <a:noFill/>
          <a:miter lim="800000"/>
          <a:headEnd/>
          <a:tailEnd/>
        </a:ln>
      </xdr:spPr>
    </xdr:pic>
    <xdr:clientData/>
  </xdr:twoCellAnchor>
  <xdr:twoCellAnchor editAs="oneCell">
    <xdr:from>
      <xdr:col>1</xdr:col>
      <xdr:colOff>0</xdr:colOff>
      <xdr:row>219</xdr:row>
      <xdr:rowOff>0</xdr:rowOff>
    </xdr:from>
    <xdr:to>
      <xdr:col>1</xdr:col>
      <xdr:colOff>28575</xdr:colOff>
      <xdr:row>219</xdr:row>
      <xdr:rowOff>9525</xdr:rowOff>
    </xdr:to>
    <xdr:pic>
      <xdr:nvPicPr>
        <xdr:cNvPr id="119924" name="Picture 148" descr="bb"/>
        <xdr:cNvPicPr>
          <a:picLocks noChangeAspect="1" noChangeArrowheads="1"/>
        </xdr:cNvPicPr>
      </xdr:nvPicPr>
      <xdr:blipFill>
        <a:blip xmlns:r="http://schemas.openxmlformats.org/officeDocument/2006/relationships" r:embed="rId91"/>
        <a:srcRect/>
        <a:stretch>
          <a:fillRect/>
        </a:stretch>
      </xdr:blipFill>
      <xdr:spPr bwMode="auto">
        <a:xfrm>
          <a:off x="314325" y="111985425"/>
          <a:ext cx="28575" cy="9525"/>
        </a:xfrm>
        <a:prstGeom prst="rect">
          <a:avLst/>
        </a:prstGeom>
        <a:noFill/>
        <a:ln w="9525">
          <a:noFill/>
          <a:miter lim="800000"/>
          <a:headEnd/>
          <a:tailEnd/>
        </a:ln>
      </xdr:spPr>
    </xdr:pic>
    <xdr:clientData/>
  </xdr:twoCellAnchor>
  <xdr:twoCellAnchor editAs="oneCell">
    <xdr:from>
      <xdr:col>8</xdr:col>
      <xdr:colOff>0</xdr:colOff>
      <xdr:row>219</xdr:row>
      <xdr:rowOff>0</xdr:rowOff>
    </xdr:from>
    <xdr:to>
      <xdr:col>8</xdr:col>
      <xdr:colOff>28575</xdr:colOff>
      <xdr:row>219</xdr:row>
      <xdr:rowOff>9525</xdr:rowOff>
    </xdr:to>
    <xdr:pic>
      <xdr:nvPicPr>
        <xdr:cNvPr id="119925" name="Picture 149" descr="bb"/>
        <xdr:cNvPicPr>
          <a:picLocks noChangeAspect="1" noChangeArrowheads="1"/>
        </xdr:cNvPicPr>
      </xdr:nvPicPr>
      <xdr:blipFill>
        <a:blip xmlns:r="http://schemas.openxmlformats.org/officeDocument/2006/relationships" r:embed="rId91"/>
        <a:srcRect/>
        <a:stretch>
          <a:fillRect/>
        </a:stretch>
      </xdr:blipFill>
      <xdr:spPr bwMode="auto">
        <a:xfrm>
          <a:off x="10258425" y="111985425"/>
          <a:ext cx="28575" cy="9525"/>
        </a:xfrm>
        <a:prstGeom prst="rect">
          <a:avLst/>
        </a:prstGeom>
        <a:noFill/>
        <a:ln w="9525">
          <a:noFill/>
          <a:miter lim="800000"/>
          <a:headEnd/>
          <a:tailEnd/>
        </a:ln>
      </xdr:spPr>
    </xdr:pic>
    <xdr:clientData/>
  </xdr:twoCellAnchor>
  <xdr:twoCellAnchor editAs="oneCell">
    <xdr:from>
      <xdr:col>1</xdr:col>
      <xdr:colOff>0</xdr:colOff>
      <xdr:row>219</xdr:row>
      <xdr:rowOff>0</xdr:rowOff>
    </xdr:from>
    <xdr:to>
      <xdr:col>1</xdr:col>
      <xdr:colOff>28575</xdr:colOff>
      <xdr:row>219</xdr:row>
      <xdr:rowOff>9525</xdr:rowOff>
    </xdr:to>
    <xdr:pic>
      <xdr:nvPicPr>
        <xdr:cNvPr id="119926" name="Picture 150" descr="bb"/>
        <xdr:cNvPicPr>
          <a:picLocks noChangeAspect="1" noChangeArrowheads="1"/>
        </xdr:cNvPicPr>
      </xdr:nvPicPr>
      <xdr:blipFill>
        <a:blip xmlns:r="http://schemas.openxmlformats.org/officeDocument/2006/relationships" r:embed="rId91"/>
        <a:srcRect/>
        <a:stretch>
          <a:fillRect/>
        </a:stretch>
      </xdr:blipFill>
      <xdr:spPr bwMode="auto">
        <a:xfrm>
          <a:off x="314325" y="111985425"/>
          <a:ext cx="28575" cy="9525"/>
        </a:xfrm>
        <a:prstGeom prst="rect">
          <a:avLst/>
        </a:prstGeom>
        <a:noFill/>
        <a:ln w="9525">
          <a:noFill/>
          <a:miter lim="800000"/>
          <a:headEnd/>
          <a:tailEnd/>
        </a:ln>
      </xdr:spPr>
    </xdr:pic>
    <xdr:clientData/>
  </xdr:twoCellAnchor>
  <xdr:twoCellAnchor editAs="oneCell">
    <xdr:from>
      <xdr:col>8</xdr:col>
      <xdr:colOff>0</xdr:colOff>
      <xdr:row>219</xdr:row>
      <xdr:rowOff>0</xdr:rowOff>
    </xdr:from>
    <xdr:to>
      <xdr:col>8</xdr:col>
      <xdr:colOff>28575</xdr:colOff>
      <xdr:row>219</xdr:row>
      <xdr:rowOff>9525</xdr:rowOff>
    </xdr:to>
    <xdr:pic>
      <xdr:nvPicPr>
        <xdr:cNvPr id="119927" name="Picture 151" descr="bb"/>
        <xdr:cNvPicPr>
          <a:picLocks noChangeAspect="1" noChangeArrowheads="1"/>
        </xdr:cNvPicPr>
      </xdr:nvPicPr>
      <xdr:blipFill>
        <a:blip xmlns:r="http://schemas.openxmlformats.org/officeDocument/2006/relationships" r:embed="rId91"/>
        <a:srcRect/>
        <a:stretch>
          <a:fillRect/>
        </a:stretch>
      </xdr:blipFill>
      <xdr:spPr bwMode="auto">
        <a:xfrm>
          <a:off x="10258425" y="111985425"/>
          <a:ext cx="28575" cy="9525"/>
        </a:xfrm>
        <a:prstGeom prst="rect">
          <a:avLst/>
        </a:prstGeom>
        <a:noFill/>
        <a:ln w="9525">
          <a:noFill/>
          <a:miter lim="800000"/>
          <a:headEnd/>
          <a:tailEnd/>
        </a:ln>
      </xdr:spPr>
    </xdr:pic>
    <xdr:clientData/>
  </xdr:twoCellAnchor>
  <xdr:twoCellAnchor editAs="oneCell">
    <xdr:from>
      <xdr:col>1</xdr:col>
      <xdr:colOff>0</xdr:colOff>
      <xdr:row>219</xdr:row>
      <xdr:rowOff>0</xdr:rowOff>
    </xdr:from>
    <xdr:to>
      <xdr:col>1</xdr:col>
      <xdr:colOff>28575</xdr:colOff>
      <xdr:row>219</xdr:row>
      <xdr:rowOff>9525</xdr:rowOff>
    </xdr:to>
    <xdr:pic>
      <xdr:nvPicPr>
        <xdr:cNvPr id="119928" name="Picture 152" descr="bb"/>
        <xdr:cNvPicPr>
          <a:picLocks noChangeAspect="1" noChangeArrowheads="1"/>
        </xdr:cNvPicPr>
      </xdr:nvPicPr>
      <xdr:blipFill>
        <a:blip xmlns:r="http://schemas.openxmlformats.org/officeDocument/2006/relationships" r:embed="rId91"/>
        <a:srcRect/>
        <a:stretch>
          <a:fillRect/>
        </a:stretch>
      </xdr:blipFill>
      <xdr:spPr bwMode="auto">
        <a:xfrm>
          <a:off x="314325" y="111985425"/>
          <a:ext cx="28575" cy="9525"/>
        </a:xfrm>
        <a:prstGeom prst="rect">
          <a:avLst/>
        </a:prstGeom>
        <a:noFill/>
        <a:ln w="9525">
          <a:noFill/>
          <a:miter lim="800000"/>
          <a:headEnd/>
          <a:tailEnd/>
        </a:ln>
      </xdr:spPr>
    </xdr:pic>
    <xdr:clientData/>
  </xdr:twoCellAnchor>
  <xdr:twoCellAnchor editAs="oneCell">
    <xdr:from>
      <xdr:col>8</xdr:col>
      <xdr:colOff>0</xdr:colOff>
      <xdr:row>219</xdr:row>
      <xdr:rowOff>0</xdr:rowOff>
    </xdr:from>
    <xdr:to>
      <xdr:col>8</xdr:col>
      <xdr:colOff>28575</xdr:colOff>
      <xdr:row>219</xdr:row>
      <xdr:rowOff>9525</xdr:rowOff>
    </xdr:to>
    <xdr:pic>
      <xdr:nvPicPr>
        <xdr:cNvPr id="119929" name="Picture 153" descr="bb"/>
        <xdr:cNvPicPr>
          <a:picLocks noChangeAspect="1" noChangeArrowheads="1"/>
        </xdr:cNvPicPr>
      </xdr:nvPicPr>
      <xdr:blipFill>
        <a:blip xmlns:r="http://schemas.openxmlformats.org/officeDocument/2006/relationships" r:embed="rId91"/>
        <a:srcRect/>
        <a:stretch>
          <a:fillRect/>
        </a:stretch>
      </xdr:blipFill>
      <xdr:spPr bwMode="auto">
        <a:xfrm>
          <a:off x="10258425" y="111985425"/>
          <a:ext cx="28575" cy="9525"/>
        </a:xfrm>
        <a:prstGeom prst="rect">
          <a:avLst/>
        </a:prstGeom>
        <a:noFill/>
        <a:ln w="9525">
          <a:noFill/>
          <a:miter lim="800000"/>
          <a:headEnd/>
          <a:tailEnd/>
        </a:ln>
      </xdr:spPr>
    </xdr:pic>
    <xdr:clientData/>
  </xdr:twoCellAnchor>
  <xdr:twoCellAnchor editAs="oneCell">
    <xdr:from>
      <xdr:col>6</xdr:col>
      <xdr:colOff>0</xdr:colOff>
      <xdr:row>219</xdr:row>
      <xdr:rowOff>0</xdr:rowOff>
    </xdr:from>
    <xdr:to>
      <xdr:col>6</xdr:col>
      <xdr:colOff>28575</xdr:colOff>
      <xdr:row>219</xdr:row>
      <xdr:rowOff>9525</xdr:rowOff>
    </xdr:to>
    <xdr:pic>
      <xdr:nvPicPr>
        <xdr:cNvPr id="119930" name="Picture 154" descr="bb"/>
        <xdr:cNvPicPr>
          <a:picLocks noChangeAspect="1" noChangeArrowheads="1"/>
        </xdr:cNvPicPr>
      </xdr:nvPicPr>
      <xdr:blipFill>
        <a:blip xmlns:r="http://schemas.openxmlformats.org/officeDocument/2006/relationships" r:embed="rId91"/>
        <a:srcRect/>
        <a:stretch>
          <a:fillRect/>
        </a:stretch>
      </xdr:blipFill>
      <xdr:spPr bwMode="auto">
        <a:xfrm>
          <a:off x="5057775" y="111985425"/>
          <a:ext cx="28575" cy="9525"/>
        </a:xfrm>
        <a:prstGeom prst="rect">
          <a:avLst/>
        </a:prstGeom>
        <a:noFill/>
        <a:ln w="9525">
          <a:noFill/>
          <a:miter lim="800000"/>
          <a:headEnd/>
          <a:tailEnd/>
        </a:ln>
      </xdr:spPr>
    </xdr:pic>
    <xdr:clientData/>
  </xdr:twoCellAnchor>
  <xdr:twoCellAnchor editAs="oneCell">
    <xdr:from>
      <xdr:col>6</xdr:col>
      <xdr:colOff>0</xdr:colOff>
      <xdr:row>219</xdr:row>
      <xdr:rowOff>0</xdr:rowOff>
    </xdr:from>
    <xdr:to>
      <xdr:col>6</xdr:col>
      <xdr:colOff>28575</xdr:colOff>
      <xdr:row>219</xdr:row>
      <xdr:rowOff>9525</xdr:rowOff>
    </xdr:to>
    <xdr:pic>
      <xdr:nvPicPr>
        <xdr:cNvPr id="119931" name="Picture 155" descr="bb"/>
        <xdr:cNvPicPr>
          <a:picLocks noChangeAspect="1" noChangeArrowheads="1"/>
        </xdr:cNvPicPr>
      </xdr:nvPicPr>
      <xdr:blipFill>
        <a:blip xmlns:r="http://schemas.openxmlformats.org/officeDocument/2006/relationships" r:embed="rId91"/>
        <a:srcRect/>
        <a:stretch>
          <a:fillRect/>
        </a:stretch>
      </xdr:blipFill>
      <xdr:spPr bwMode="auto">
        <a:xfrm>
          <a:off x="5057775" y="111985425"/>
          <a:ext cx="28575" cy="9525"/>
        </a:xfrm>
        <a:prstGeom prst="rect">
          <a:avLst/>
        </a:prstGeom>
        <a:noFill/>
        <a:ln w="9525">
          <a:noFill/>
          <a:miter lim="800000"/>
          <a:headEnd/>
          <a:tailEnd/>
        </a:ln>
      </xdr:spPr>
    </xdr:pic>
    <xdr:clientData/>
  </xdr:twoCellAnchor>
  <xdr:twoCellAnchor editAs="oneCell">
    <xdr:from>
      <xdr:col>6</xdr:col>
      <xdr:colOff>0</xdr:colOff>
      <xdr:row>219</xdr:row>
      <xdr:rowOff>0</xdr:rowOff>
    </xdr:from>
    <xdr:to>
      <xdr:col>6</xdr:col>
      <xdr:colOff>28575</xdr:colOff>
      <xdr:row>219</xdr:row>
      <xdr:rowOff>9525</xdr:rowOff>
    </xdr:to>
    <xdr:pic>
      <xdr:nvPicPr>
        <xdr:cNvPr id="119932" name="Picture 156" descr="bb"/>
        <xdr:cNvPicPr>
          <a:picLocks noChangeAspect="1" noChangeArrowheads="1"/>
        </xdr:cNvPicPr>
      </xdr:nvPicPr>
      <xdr:blipFill>
        <a:blip xmlns:r="http://schemas.openxmlformats.org/officeDocument/2006/relationships" r:embed="rId91"/>
        <a:srcRect/>
        <a:stretch>
          <a:fillRect/>
        </a:stretch>
      </xdr:blipFill>
      <xdr:spPr bwMode="auto">
        <a:xfrm>
          <a:off x="5057775" y="111985425"/>
          <a:ext cx="28575" cy="9525"/>
        </a:xfrm>
        <a:prstGeom prst="rect">
          <a:avLst/>
        </a:prstGeom>
        <a:noFill/>
        <a:ln w="9525">
          <a:noFill/>
          <a:miter lim="800000"/>
          <a:headEnd/>
          <a:tailEnd/>
        </a:ln>
      </xdr:spPr>
    </xdr:pic>
    <xdr:clientData/>
  </xdr:twoCellAnchor>
  <xdr:twoCellAnchor editAs="oneCell">
    <xdr:from>
      <xdr:col>6</xdr:col>
      <xdr:colOff>0</xdr:colOff>
      <xdr:row>219</xdr:row>
      <xdr:rowOff>0</xdr:rowOff>
    </xdr:from>
    <xdr:to>
      <xdr:col>6</xdr:col>
      <xdr:colOff>28575</xdr:colOff>
      <xdr:row>219</xdr:row>
      <xdr:rowOff>9525</xdr:rowOff>
    </xdr:to>
    <xdr:pic>
      <xdr:nvPicPr>
        <xdr:cNvPr id="119933" name="Picture 157" descr="bb"/>
        <xdr:cNvPicPr>
          <a:picLocks noChangeAspect="1" noChangeArrowheads="1"/>
        </xdr:cNvPicPr>
      </xdr:nvPicPr>
      <xdr:blipFill>
        <a:blip xmlns:r="http://schemas.openxmlformats.org/officeDocument/2006/relationships" r:embed="rId91"/>
        <a:srcRect/>
        <a:stretch>
          <a:fillRect/>
        </a:stretch>
      </xdr:blipFill>
      <xdr:spPr bwMode="auto">
        <a:xfrm>
          <a:off x="5057775" y="111985425"/>
          <a:ext cx="28575" cy="9525"/>
        </a:xfrm>
        <a:prstGeom prst="rect">
          <a:avLst/>
        </a:prstGeom>
        <a:noFill/>
        <a:ln w="9525">
          <a:noFill/>
          <a:miter lim="800000"/>
          <a:headEnd/>
          <a:tailEnd/>
        </a:ln>
      </xdr:spPr>
    </xdr:pic>
    <xdr:clientData/>
  </xdr:twoCellAnchor>
  <xdr:twoCellAnchor editAs="oneCell">
    <xdr:from>
      <xdr:col>6</xdr:col>
      <xdr:colOff>0</xdr:colOff>
      <xdr:row>219</xdr:row>
      <xdr:rowOff>0</xdr:rowOff>
    </xdr:from>
    <xdr:to>
      <xdr:col>6</xdr:col>
      <xdr:colOff>28575</xdr:colOff>
      <xdr:row>219</xdr:row>
      <xdr:rowOff>9525</xdr:rowOff>
    </xdr:to>
    <xdr:pic>
      <xdr:nvPicPr>
        <xdr:cNvPr id="119934" name="Picture 158" descr="bb"/>
        <xdr:cNvPicPr>
          <a:picLocks noChangeAspect="1" noChangeArrowheads="1"/>
        </xdr:cNvPicPr>
      </xdr:nvPicPr>
      <xdr:blipFill>
        <a:blip xmlns:r="http://schemas.openxmlformats.org/officeDocument/2006/relationships" r:embed="rId91"/>
        <a:srcRect/>
        <a:stretch>
          <a:fillRect/>
        </a:stretch>
      </xdr:blipFill>
      <xdr:spPr bwMode="auto">
        <a:xfrm>
          <a:off x="5057775" y="111985425"/>
          <a:ext cx="28575" cy="9525"/>
        </a:xfrm>
        <a:prstGeom prst="rect">
          <a:avLst/>
        </a:prstGeom>
        <a:noFill/>
        <a:ln w="9525">
          <a:noFill/>
          <a:miter lim="800000"/>
          <a:headEnd/>
          <a:tailEnd/>
        </a:ln>
      </xdr:spPr>
    </xdr:pic>
    <xdr:clientData/>
  </xdr:twoCellAnchor>
  <xdr:twoCellAnchor editAs="oneCell">
    <xdr:from>
      <xdr:col>6</xdr:col>
      <xdr:colOff>0</xdr:colOff>
      <xdr:row>219</xdr:row>
      <xdr:rowOff>0</xdr:rowOff>
    </xdr:from>
    <xdr:to>
      <xdr:col>6</xdr:col>
      <xdr:colOff>28575</xdr:colOff>
      <xdr:row>219</xdr:row>
      <xdr:rowOff>9525</xdr:rowOff>
    </xdr:to>
    <xdr:pic>
      <xdr:nvPicPr>
        <xdr:cNvPr id="119935" name="Picture 159" descr="bb"/>
        <xdr:cNvPicPr>
          <a:picLocks noChangeAspect="1" noChangeArrowheads="1"/>
        </xdr:cNvPicPr>
      </xdr:nvPicPr>
      <xdr:blipFill>
        <a:blip xmlns:r="http://schemas.openxmlformats.org/officeDocument/2006/relationships" r:embed="rId91"/>
        <a:srcRect/>
        <a:stretch>
          <a:fillRect/>
        </a:stretch>
      </xdr:blipFill>
      <xdr:spPr bwMode="auto">
        <a:xfrm>
          <a:off x="5057775" y="111985425"/>
          <a:ext cx="28575" cy="9525"/>
        </a:xfrm>
        <a:prstGeom prst="rect">
          <a:avLst/>
        </a:prstGeom>
        <a:noFill/>
        <a:ln w="9525">
          <a:noFill/>
          <a:miter lim="800000"/>
          <a:headEnd/>
          <a:tailEnd/>
        </a:ln>
      </xdr:spPr>
    </xdr:pic>
    <xdr:clientData/>
  </xdr:twoCellAnchor>
  <xdr:twoCellAnchor editAs="oneCell">
    <xdr:from>
      <xdr:col>1</xdr:col>
      <xdr:colOff>0</xdr:colOff>
      <xdr:row>171</xdr:row>
      <xdr:rowOff>0</xdr:rowOff>
    </xdr:from>
    <xdr:to>
      <xdr:col>2</xdr:col>
      <xdr:colOff>9525</xdr:colOff>
      <xdr:row>172</xdr:row>
      <xdr:rowOff>0</xdr:rowOff>
    </xdr:to>
    <xdr:pic>
      <xdr:nvPicPr>
        <xdr:cNvPr id="164" name="Picture 115" descr="sulfur"/>
        <xdr:cNvPicPr>
          <a:picLocks noChangeAspect="1" noChangeArrowheads="1"/>
        </xdr:cNvPicPr>
      </xdr:nvPicPr>
      <xdr:blipFill>
        <a:blip xmlns:r="http://schemas.openxmlformats.org/officeDocument/2006/relationships" r:embed="rId92" cstate="print"/>
        <a:srcRect/>
        <a:stretch>
          <a:fillRect/>
        </a:stretch>
      </xdr:blipFill>
      <xdr:spPr bwMode="auto">
        <a:xfrm>
          <a:off x="228600" y="77743050"/>
          <a:ext cx="552450" cy="609600"/>
        </a:xfrm>
        <a:prstGeom prst="rect">
          <a:avLst/>
        </a:prstGeom>
        <a:noFill/>
        <a:ln w="9525">
          <a:noFill/>
          <a:miter lim="800000"/>
          <a:headEnd/>
          <a:tailEnd/>
        </a:ln>
      </xdr:spPr>
    </xdr:pic>
    <xdr:clientData/>
  </xdr:twoCellAnchor>
  <xdr:twoCellAnchor editAs="oneCell">
    <xdr:from>
      <xdr:col>1</xdr:col>
      <xdr:colOff>9525</xdr:colOff>
      <xdr:row>238</xdr:row>
      <xdr:rowOff>9525</xdr:rowOff>
    </xdr:from>
    <xdr:to>
      <xdr:col>3</xdr:col>
      <xdr:colOff>517843</xdr:colOff>
      <xdr:row>249</xdr:row>
      <xdr:rowOff>304800</xdr:rowOff>
    </xdr:to>
    <xdr:pic>
      <xdr:nvPicPr>
        <xdr:cNvPr id="172" name="Picture 2"/>
        <xdr:cNvPicPr>
          <a:picLocks noChangeAspect="1" noChangeArrowheads="1"/>
        </xdr:cNvPicPr>
      </xdr:nvPicPr>
      <xdr:blipFill>
        <a:blip xmlns:r="http://schemas.openxmlformats.org/officeDocument/2006/relationships" r:embed="rId93" cstate="print"/>
        <a:srcRect/>
        <a:stretch>
          <a:fillRect/>
        </a:stretch>
      </xdr:blipFill>
      <xdr:spPr bwMode="auto">
        <a:xfrm>
          <a:off x="238125" y="116395500"/>
          <a:ext cx="3375343" cy="3752850"/>
        </a:xfrm>
        <a:prstGeom prst="rect">
          <a:avLst/>
        </a:prstGeom>
        <a:noFill/>
      </xdr:spPr>
    </xdr:pic>
    <xdr:clientData/>
  </xdr:twoCellAnchor>
  <xdr:twoCellAnchor editAs="oneCell">
    <xdr:from>
      <xdr:col>1</xdr:col>
      <xdr:colOff>0</xdr:colOff>
      <xdr:row>29</xdr:row>
      <xdr:rowOff>0</xdr:rowOff>
    </xdr:from>
    <xdr:to>
      <xdr:col>2</xdr:col>
      <xdr:colOff>9525</xdr:colOff>
      <xdr:row>30</xdr:row>
      <xdr:rowOff>0</xdr:rowOff>
    </xdr:to>
    <xdr:pic>
      <xdr:nvPicPr>
        <xdr:cNvPr id="276" name="Picture 4"/>
        <xdr:cNvPicPr>
          <a:picLocks noChangeAspect="1" noChangeArrowheads="1"/>
        </xdr:cNvPicPr>
      </xdr:nvPicPr>
      <xdr:blipFill>
        <a:blip xmlns:r="http://schemas.openxmlformats.org/officeDocument/2006/relationships" r:embed="rId94" cstate="print"/>
        <a:srcRect/>
        <a:stretch>
          <a:fillRect/>
        </a:stretch>
      </xdr:blipFill>
      <xdr:spPr bwMode="auto">
        <a:xfrm>
          <a:off x="247650" y="8791575"/>
          <a:ext cx="552450" cy="609600"/>
        </a:xfrm>
        <a:prstGeom prst="rect">
          <a:avLst/>
        </a:prstGeom>
        <a:noFill/>
      </xdr:spPr>
    </xdr:pic>
    <xdr:clientData/>
  </xdr:twoCellAnchor>
  <xdr:twoCellAnchor editAs="oneCell">
    <xdr:from>
      <xdr:col>1</xdr:col>
      <xdr:colOff>0</xdr:colOff>
      <xdr:row>30</xdr:row>
      <xdr:rowOff>0</xdr:rowOff>
    </xdr:from>
    <xdr:to>
      <xdr:col>2</xdr:col>
      <xdr:colOff>9525</xdr:colOff>
      <xdr:row>31</xdr:row>
      <xdr:rowOff>0</xdr:rowOff>
    </xdr:to>
    <xdr:pic>
      <xdr:nvPicPr>
        <xdr:cNvPr id="277" name="Picture 6"/>
        <xdr:cNvPicPr>
          <a:picLocks noChangeAspect="1" noChangeArrowheads="1"/>
        </xdr:cNvPicPr>
      </xdr:nvPicPr>
      <xdr:blipFill>
        <a:blip xmlns:r="http://schemas.openxmlformats.org/officeDocument/2006/relationships" r:embed="rId95" cstate="print"/>
        <a:srcRect/>
        <a:stretch>
          <a:fillRect/>
        </a:stretch>
      </xdr:blipFill>
      <xdr:spPr bwMode="auto">
        <a:xfrm>
          <a:off x="247650" y="9401175"/>
          <a:ext cx="552450" cy="609600"/>
        </a:xfrm>
        <a:prstGeom prst="rect">
          <a:avLst/>
        </a:prstGeom>
        <a:noFill/>
      </xdr:spPr>
    </xdr:pic>
    <xdr:clientData/>
  </xdr:twoCellAnchor>
  <xdr:twoCellAnchor editAs="oneCell">
    <xdr:from>
      <xdr:col>1</xdr:col>
      <xdr:colOff>0</xdr:colOff>
      <xdr:row>28</xdr:row>
      <xdr:rowOff>0</xdr:rowOff>
    </xdr:from>
    <xdr:to>
      <xdr:col>2</xdr:col>
      <xdr:colOff>9525</xdr:colOff>
      <xdr:row>29</xdr:row>
      <xdr:rowOff>0</xdr:rowOff>
    </xdr:to>
    <xdr:pic>
      <xdr:nvPicPr>
        <xdr:cNvPr id="278" name="Picture 2"/>
        <xdr:cNvPicPr>
          <a:picLocks noChangeAspect="1" noChangeArrowheads="1"/>
        </xdr:cNvPicPr>
      </xdr:nvPicPr>
      <xdr:blipFill>
        <a:blip xmlns:r="http://schemas.openxmlformats.org/officeDocument/2006/relationships" r:embed="rId96" cstate="print"/>
        <a:srcRect/>
        <a:stretch>
          <a:fillRect/>
        </a:stretch>
      </xdr:blipFill>
      <xdr:spPr bwMode="auto">
        <a:xfrm>
          <a:off x="247650" y="8172450"/>
          <a:ext cx="552450" cy="609600"/>
        </a:xfrm>
        <a:prstGeom prst="rect">
          <a:avLst/>
        </a:prstGeom>
        <a:noFill/>
      </xdr:spPr>
    </xdr:pic>
    <xdr:clientData/>
  </xdr:twoCellAnchor>
  <xdr:twoCellAnchor editAs="oneCell">
    <xdr:from>
      <xdr:col>1</xdr:col>
      <xdr:colOff>0</xdr:colOff>
      <xdr:row>31</xdr:row>
      <xdr:rowOff>0</xdr:rowOff>
    </xdr:from>
    <xdr:to>
      <xdr:col>2</xdr:col>
      <xdr:colOff>9525</xdr:colOff>
      <xdr:row>32</xdr:row>
      <xdr:rowOff>0</xdr:rowOff>
    </xdr:to>
    <xdr:pic>
      <xdr:nvPicPr>
        <xdr:cNvPr id="279" name="Picture 8"/>
        <xdr:cNvPicPr>
          <a:picLocks noChangeAspect="1" noChangeArrowheads="1"/>
        </xdr:cNvPicPr>
      </xdr:nvPicPr>
      <xdr:blipFill>
        <a:blip xmlns:r="http://schemas.openxmlformats.org/officeDocument/2006/relationships" r:embed="rId97" cstate="print"/>
        <a:srcRect/>
        <a:stretch>
          <a:fillRect/>
        </a:stretch>
      </xdr:blipFill>
      <xdr:spPr bwMode="auto">
        <a:xfrm>
          <a:off x="247650" y="10001250"/>
          <a:ext cx="552450" cy="609600"/>
        </a:xfrm>
        <a:prstGeom prst="rect">
          <a:avLst/>
        </a:prstGeom>
        <a:noFill/>
      </xdr:spPr>
    </xdr:pic>
    <xdr:clientData/>
  </xdr:twoCellAnchor>
  <xdr:twoCellAnchor editAs="oneCell">
    <xdr:from>
      <xdr:col>1</xdr:col>
      <xdr:colOff>0</xdr:colOff>
      <xdr:row>39</xdr:row>
      <xdr:rowOff>0</xdr:rowOff>
    </xdr:from>
    <xdr:to>
      <xdr:col>2</xdr:col>
      <xdr:colOff>9525</xdr:colOff>
      <xdr:row>40</xdr:row>
      <xdr:rowOff>0</xdr:rowOff>
    </xdr:to>
    <xdr:pic>
      <xdr:nvPicPr>
        <xdr:cNvPr id="281" name="Picture 12"/>
        <xdr:cNvPicPr>
          <a:picLocks noChangeAspect="1" noChangeArrowheads="1"/>
        </xdr:cNvPicPr>
      </xdr:nvPicPr>
      <xdr:blipFill>
        <a:blip xmlns:r="http://schemas.openxmlformats.org/officeDocument/2006/relationships" r:embed="rId98" cstate="print"/>
        <a:srcRect/>
        <a:stretch>
          <a:fillRect/>
        </a:stretch>
      </xdr:blipFill>
      <xdr:spPr bwMode="auto">
        <a:xfrm>
          <a:off x="247650" y="13449300"/>
          <a:ext cx="552450" cy="609600"/>
        </a:xfrm>
        <a:prstGeom prst="rect">
          <a:avLst/>
        </a:prstGeom>
        <a:noFill/>
      </xdr:spPr>
    </xdr:pic>
    <xdr:clientData/>
  </xdr:twoCellAnchor>
  <xdr:twoCellAnchor editAs="oneCell">
    <xdr:from>
      <xdr:col>1</xdr:col>
      <xdr:colOff>0</xdr:colOff>
      <xdr:row>38</xdr:row>
      <xdr:rowOff>0</xdr:rowOff>
    </xdr:from>
    <xdr:to>
      <xdr:col>2</xdr:col>
      <xdr:colOff>9525</xdr:colOff>
      <xdr:row>39</xdr:row>
      <xdr:rowOff>0</xdr:rowOff>
    </xdr:to>
    <xdr:pic>
      <xdr:nvPicPr>
        <xdr:cNvPr id="282" name="Picture 10"/>
        <xdr:cNvPicPr>
          <a:picLocks noChangeAspect="1" noChangeArrowheads="1"/>
        </xdr:cNvPicPr>
      </xdr:nvPicPr>
      <xdr:blipFill>
        <a:blip xmlns:r="http://schemas.openxmlformats.org/officeDocument/2006/relationships" r:embed="rId99" cstate="print"/>
        <a:srcRect/>
        <a:stretch>
          <a:fillRect/>
        </a:stretch>
      </xdr:blipFill>
      <xdr:spPr bwMode="auto">
        <a:xfrm>
          <a:off x="247650" y="12839700"/>
          <a:ext cx="552450" cy="609600"/>
        </a:xfrm>
        <a:prstGeom prst="rect">
          <a:avLst/>
        </a:prstGeom>
        <a:noFill/>
      </xdr:spPr>
    </xdr:pic>
    <xdr:clientData/>
  </xdr:twoCellAnchor>
  <xdr:twoCellAnchor editAs="oneCell">
    <xdr:from>
      <xdr:col>1</xdr:col>
      <xdr:colOff>0</xdr:colOff>
      <xdr:row>40</xdr:row>
      <xdr:rowOff>0</xdr:rowOff>
    </xdr:from>
    <xdr:to>
      <xdr:col>2</xdr:col>
      <xdr:colOff>9525</xdr:colOff>
      <xdr:row>41</xdr:row>
      <xdr:rowOff>0</xdr:rowOff>
    </xdr:to>
    <xdr:pic>
      <xdr:nvPicPr>
        <xdr:cNvPr id="284" name="Picture 14"/>
        <xdr:cNvPicPr>
          <a:picLocks noChangeAspect="1" noChangeArrowheads="1"/>
        </xdr:cNvPicPr>
      </xdr:nvPicPr>
      <xdr:blipFill>
        <a:blip xmlns:r="http://schemas.openxmlformats.org/officeDocument/2006/relationships" r:embed="rId100" cstate="print"/>
        <a:srcRect/>
        <a:stretch>
          <a:fillRect/>
        </a:stretch>
      </xdr:blipFill>
      <xdr:spPr bwMode="auto">
        <a:xfrm>
          <a:off x="247650" y="14058900"/>
          <a:ext cx="552450" cy="609600"/>
        </a:xfrm>
        <a:prstGeom prst="rect">
          <a:avLst/>
        </a:prstGeom>
        <a:noFill/>
      </xdr:spPr>
    </xdr:pic>
    <xdr:clientData/>
  </xdr:twoCellAnchor>
  <xdr:twoCellAnchor editAs="oneCell">
    <xdr:from>
      <xdr:col>1</xdr:col>
      <xdr:colOff>0</xdr:colOff>
      <xdr:row>37</xdr:row>
      <xdr:rowOff>0</xdr:rowOff>
    </xdr:from>
    <xdr:to>
      <xdr:col>2</xdr:col>
      <xdr:colOff>9525</xdr:colOff>
      <xdr:row>38</xdr:row>
      <xdr:rowOff>0</xdr:rowOff>
    </xdr:to>
    <xdr:pic>
      <xdr:nvPicPr>
        <xdr:cNvPr id="286" name="Picture 16"/>
        <xdr:cNvPicPr>
          <a:picLocks noChangeAspect="1" noChangeArrowheads="1"/>
        </xdr:cNvPicPr>
      </xdr:nvPicPr>
      <xdr:blipFill>
        <a:blip xmlns:r="http://schemas.openxmlformats.org/officeDocument/2006/relationships" r:embed="rId101" cstate="print"/>
        <a:srcRect/>
        <a:stretch>
          <a:fillRect/>
        </a:stretch>
      </xdr:blipFill>
      <xdr:spPr bwMode="auto">
        <a:xfrm>
          <a:off x="247650" y="12230100"/>
          <a:ext cx="552450" cy="609600"/>
        </a:xfrm>
        <a:prstGeom prst="rect">
          <a:avLst/>
        </a:prstGeom>
        <a:noFill/>
      </xdr:spPr>
    </xdr:pic>
    <xdr:clientData/>
  </xdr:twoCellAnchor>
  <xdr:twoCellAnchor editAs="oneCell">
    <xdr:from>
      <xdr:col>1</xdr:col>
      <xdr:colOff>0</xdr:colOff>
      <xdr:row>65</xdr:row>
      <xdr:rowOff>0</xdr:rowOff>
    </xdr:from>
    <xdr:to>
      <xdr:col>2</xdr:col>
      <xdr:colOff>9525</xdr:colOff>
      <xdr:row>66</xdr:row>
      <xdr:rowOff>0</xdr:rowOff>
    </xdr:to>
    <xdr:pic>
      <xdr:nvPicPr>
        <xdr:cNvPr id="288" name="Picture 18"/>
        <xdr:cNvPicPr>
          <a:picLocks noChangeAspect="1" noChangeArrowheads="1"/>
        </xdr:cNvPicPr>
      </xdr:nvPicPr>
      <xdr:blipFill>
        <a:blip xmlns:r="http://schemas.openxmlformats.org/officeDocument/2006/relationships" r:embed="rId102" cstate="print"/>
        <a:srcRect/>
        <a:stretch>
          <a:fillRect/>
        </a:stretch>
      </xdr:blipFill>
      <xdr:spPr bwMode="auto">
        <a:xfrm>
          <a:off x="247650" y="24993600"/>
          <a:ext cx="552450" cy="609600"/>
        </a:xfrm>
        <a:prstGeom prst="rect">
          <a:avLst/>
        </a:prstGeom>
        <a:noFill/>
      </xdr:spPr>
    </xdr:pic>
    <xdr:clientData/>
  </xdr:twoCellAnchor>
  <xdr:twoCellAnchor editAs="oneCell">
    <xdr:from>
      <xdr:col>1</xdr:col>
      <xdr:colOff>0</xdr:colOff>
      <xdr:row>67</xdr:row>
      <xdr:rowOff>0</xdr:rowOff>
    </xdr:from>
    <xdr:to>
      <xdr:col>2</xdr:col>
      <xdr:colOff>9525</xdr:colOff>
      <xdr:row>68</xdr:row>
      <xdr:rowOff>0</xdr:rowOff>
    </xdr:to>
    <xdr:pic>
      <xdr:nvPicPr>
        <xdr:cNvPr id="290" name="Picture 20"/>
        <xdr:cNvPicPr>
          <a:picLocks noChangeAspect="1" noChangeArrowheads="1"/>
        </xdr:cNvPicPr>
      </xdr:nvPicPr>
      <xdr:blipFill>
        <a:blip xmlns:r="http://schemas.openxmlformats.org/officeDocument/2006/relationships" r:embed="rId103" cstate="print"/>
        <a:srcRect/>
        <a:stretch>
          <a:fillRect/>
        </a:stretch>
      </xdr:blipFill>
      <xdr:spPr bwMode="auto">
        <a:xfrm>
          <a:off x="247650" y="26212800"/>
          <a:ext cx="552450" cy="609600"/>
        </a:xfrm>
        <a:prstGeom prst="rect">
          <a:avLst/>
        </a:prstGeom>
        <a:noFill/>
      </xdr:spPr>
    </xdr:pic>
    <xdr:clientData/>
  </xdr:twoCellAnchor>
  <xdr:twoCellAnchor editAs="oneCell">
    <xdr:from>
      <xdr:col>1</xdr:col>
      <xdr:colOff>0</xdr:colOff>
      <xdr:row>68</xdr:row>
      <xdr:rowOff>0</xdr:rowOff>
    </xdr:from>
    <xdr:to>
      <xdr:col>2</xdr:col>
      <xdr:colOff>9525</xdr:colOff>
      <xdr:row>69</xdr:row>
      <xdr:rowOff>0</xdr:rowOff>
    </xdr:to>
    <xdr:pic>
      <xdr:nvPicPr>
        <xdr:cNvPr id="292" name="Picture 22"/>
        <xdr:cNvPicPr>
          <a:picLocks noChangeAspect="1" noChangeArrowheads="1"/>
        </xdr:cNvPicPr>
      </xdr:nvPicPr>
      <xdr:blipFill>
        <a:blip xmlns:r="http://schemas.openxmlformats.org/officeDocument/2006/relationships" r:embed="rId104" cstate="print"/>
        <a:srcRect/>
        <a:stretch>
          <a:fillRect/>
        </a:stretch>
      </xdr:blipFill>
      <xdr:spPr bwMode="auto">
        <a:xfrm>
          <a:off x="247650" y="26822400"/>
          <a:ext cx="552450" cy="609600"/>
        </a:xfrm>
        <a:prstGeom prst="rect">
          <a:avLst/>
        </a:prstGeom>
        <a:noFill/>
      </xdr:spPr>
    </xdr:pic>
    <xdr:clientData/>
  </xdr:twoCellAnchor>
  <xdr:twoCellAnchor editAs="oneCell">
    <xdr:from>
      <xdr:col>1</xdr:col>
      <xdr:colOff>0</xdr:colOff>
      <xdr:row>85</xdr:row>
      <xdr:rowOff>0</xdr:rowOff>
    </xdr:from>
    <xdr:to>
      <xdr:col>2</xdr:col>
      <xdr:colOff>9525</xdr:colOff>
      <xdr:row>86</xdr:row>
      <xdr:rowOff>0</xdr:rowOff>
    </xdr:to>
    <xdr:pic>
      <xdr:nvPicPr>
        <xdr:cNvPr id="294" name="Picture 24"/>
        <xdr:cNvPicPr>
          <a:picLocks noChangeAspect="1" noChangeArrowheads="1"/>
        </xdr:cNvPicPr>
      </xdr:nvPicPr>
      <xdr:blipFill>
        <a:blip xmlns:r="http://schemas.openxmlformats.org/officeDocument/2006/relationships" r:embed="rId105" cstate="print"/>
        <a:srcRect/>
        <a:stretch>
          <a:fillRect/>
        </a:stretch>
      </xdr:blipFill>
      <xdr:spPr bwMode="auto">
        <a:xfrm>
          <a:off x="247650" y="34328100"/>
          <a:ext cx="552450" cy="609600"/>
        </a:xfrm>
        <a:prstGeom prst="rect">
          <a:avLst/>
        </a:prstGeom>
        <a:noFill/>
      </xdr:spPr>
    </xdr:pic>
    <xdr:clientData/>
  </xdr:twoCellAnchor>
  <xdr:twoCellAnchor editAs="oneCell">
    <xdr:from>
      <xdr:col>1</xdr:col>
      <xdr:colOff>0</xdr:colOff>
      <xdr:row>87</xdr:row>
      <xdr:rowOff>0</xdr:rowOff>
    </xdr:from>
    <xdr:to>
      <xdr:col>2</xdr:col>
      <xdr:colOff>9525</xdr:colOff>
      <xdr:row>88</xdr:row>
      <xdr:rowOff>0</xdr:rowOff>
    </xdr:to>
    <xdr:pic>
      <xdr:nvPicPr>
        <xdr:cNvPr id="296" name="Picture 26"/>
        <xdr:cNvPicPr>
          <a:picLocks noChangeAspect="1" noChangeArrowheads="1"/>
        </xdr:cNvPicPr>
      </xdr:nvPicPr>
      <xdr:blipFill>
        <a:blip xmlns:r="http://schemas.openxmlformats.org/officeDocument/2006/relationships" r:embed="rId106" cstate="print"/>
        <a:srcRect/>
        <a:stretch>
          <a:fillRect/>
        </a:stretch>
      </xdr:blipFill>
      <xdr:spPr bwMode="auto">
        <a:xfrm>
          <a:off x="247650" y="35547300"/>
          <a:ext cx="552450" cy="609600"/>
        </a:xfrm>
        <a:prstGeom prst="rect">
          <a:avLst/>
        </a:prstGeom>
        <a:noFill/>
      </xdr:spPr>
    </xdr:pic>
    <xdr:clientData/>
  </xdr:twoCellAnchor>
  <xdr:twoCellAnchor editAs="oneCell">
    <xdr:from>
      <xdr:col>1</xdr:col>
      <xdr:colOff>0</xdr:colOff>
      <xdr:row>92</xdr:row>
      <xdr:rowOff>0</xdr:rowOff>
    </xdr:from>
    <xdr:to>
      <xdr:col>2</xdr:col>
      <xdr:colOff>9525</xdr:colOff>
      <xdr:row>93</xdr:row>
      <xdr:rowOff>0</xdr:rowOff>
    </xdr:to>
    <xdr:pic>
      <xdr:nvPicPr>
        <xdr:cNvPr id="298" name="Picture 28"/>
        <xdr:cNvPicPr>
          <a:picLocks noChangeAspect="1" noChangeArrowheads="1"/>
        </xdr:cNvPicPr>
      </xdr:nvPicPr>
      <xdr:blipFill>
        <a:blip xmlns:r="http://schemas.openxmlformats.org/officeDocument/2006/relationships" r:embed="rId107" cstate="print"/>
        <a:srcRect/>
        <a:stretch>
          <a:fillRect/>
        </a:stretch>
      </xdr:blipFill>
      <xdr:spPr bwMode="auto">
        <a:xfrm>
          <a:off x="247650" y="38595300"/>
          <a:ext cx="552450" cy="609600"/>
        </a:xfrm>
        <a:prstGeom prst="rect">
          <a:avLst/>
        </a:prstGeom>
        <a:noFill/>
      </xdr:spPr>
    </xdr:pic>
    <xdr:clientData/>
  </xdr:twoCellAnchor>
  <xdr:twoCellAnchor editAs="oneCell">
    <xdr:from>
      <xdr:col>1</xdr:col>
      <xdr:colOff>0</xdr:colOff>
      <xdr:row>92</xdr:row>
      <xdr:rowOff>600075</xdr:rowOff>
    </xdr:from>
    <xdr:to>
      <xdr:col>2</xdr:col>
      <xdr:colOff>9525</xdr:colOff>
      <xdr:row>93</xdr:row>
      <xdr:rowOff>600075</xdr:rowOff>
    </xdr:to>
    <xdr:pic>
      <xdr:nvPicPr>
        <xdr:cNvPr id="300" name="Picture 30"/>
        <xdr:cNvPicPr>
          <a:picLocks noChangeAspect="1" noChangeArrowheads="1"/>
        </xdr:cNvPicPr>
      </xdr:nvPicPr>
      <xdr:blipFill>
        <a:blip xmlns:r="http://schemas.openxmlformats.org/officeDocument/2006/relationships" r:embed="rId108" cstate="print"/>
        <a:srcRect/>
        <a:stretch>
          <a:fillRect/>
        </a:stretch>
      </xdr:blipFill>
      <xdr:spPr bwMode="auto">
        <a:xfrm>
          <a:off x="247650" y="39195375"/>
          <a:ext cx="552450" cy="609600"/>
        </a:xfrm>
        <a:prstGeom prst="rect">
          <a:avLst/>
        </a:prstGeom>
        <a:noFill/>
      </xdr:spPr>
    </xdr:pic>
    <xdr:clientData/>
  </xdr:twoCellAnchor>
  <xdr:twoCellAnchor editAs="oneCell">
    <xdr:from>
      <xdr:col>1</xdr:col>
      <xdr:colOff>0</xdr:colOff>
      <xdr:row>100</xdr:row>
      <xdr:rowOff>0</xdr:rowOff>
    </xdr:from>
    <xdr:to>
      <xdr:col>2</xdr:col>
      <xdr:colOff>9525</xdr:colOff>
      <xdr:row>101</xdr:row>
      <xdr:rowOff>0</xdr:rowOff>
    </xdr:to>
    <xdr:pic>
      <xdr:nvPicPr>
        <xdr:cNvPr id="302" name="Picture 32"/>
        <xdr:cNvPicPr>
          <a:picLocks noChangeAspect="1" noChangeArrowheads="1"/>
        </xdr:cNvPicPr>
      </xdr:nvPicPr>
      <xdr:blipFill>
        <a:blip xmlns:r="http://schemas.openxmlformats.org/officeDocument/2006/relationships" r:embed="rId109" cstate="print"/>
        <a:srcRect/>
        <a:stretch>
          <a:fillRect/>
        </a:stretch>
      </xdr:blipFill>
      <xdr:spPr bwMode="auto">
        <a:xfrm>
          <a:off x="247650" y="42138600"/>
          <a:ext cx="552450" cy="609600"/>
        </a:xfrm>
        <a:prstGeom prst="rect">
          <a:avLst/>
        </a:prstGeom>
        <a:noFill/>
      </xdr:spPr>
    </xdr:pic>
    <xdr:clientData/>
  </xdr:twoCellAnchor>
  <xdr:twoCellAnchor editAs="oneCell">
    <xdr:from>
      <xdr:col>1</xdr:col>
      <xdr:colOff>0</xdr:colOff>
      <xdr:row>105</xdr:row>
      <xdr:rowOff>0</xdr:rowOff>
    </xdr:from>
    <xdr:to>
      <xdr:col>2</xdr:col>
      <xdr:colOff>9525</xdr:colOff>
      <xdr:row>106</xdr:row>
      <xdr:rowOff>0</xdr:rowOff>
    </xdr:to>
    <xdr:pic>
      <xdr:nvPicPr>
        <xdr:cNvPr id="304" name="Picture 34"/>
        <xdr:cNvPicPr>
          <a:picLocks noChangeAspect="1" noChangeArrowheads="1"/>
        </xdr:cNvPicPr>
      </xdr:nvPicPr>
      <xdr:blipFill>
        <a:blip xmlns:r="http://schemas.openxmlformats.org/officeDocument/2006/relationships" r:embed="rId110" cstate="print"/>
        <a:srcRect/>
        <a:stretch>
          <a:fillRect/>
        </a:stretch>
      </xdr:blipFill>
      <xdr:spPr bwMode="auto">
        <a:xfrm>
          <a:off x="247650" y="45186600"/>
          <a:ext cx="552450" cy="609600"/>
        </a:xfrm>
        <a:prstGeom prst="rect">
          <a:avLst/>
        </a:prstGeom>
        <a:noFill/>
      </xdr:spPr>
    </xdr:pic>
    <xdr:clientData/>
  </xdr:twoCellAnchor>
  <xdr:twoCellAnchor editAs="oneCell">
    <xdr:from>
      <xdr:col>1</xdr:col>
      <xdr:colOff>0</xdr:colOff>
      <xdr:row>106</xdr:row>
      <xdr:rowOff>0</xdr:rowOff>
    </xdr:from>
    <xdr:to>
      <xdr:col>2</xdr:col>
      <xdr:colOff>9525</xdr:colOff>
      <xdr:row>107</xdr:row>
      <xdr:rowOff>0</xdr:rowOff>
    </xdr:to>
    <xdr:pic>
      <xdr:nvPicPr>
        <xdr:cNvPr id="306" name="Picture 36"/>
        <xdr:cNvPicPr>
          <a:picLocks noChangeAspect="1" noChangeArrowheads="1"/>
        </xdr:cNvPicPr>
      </xdr:nvPicPr>
      <xdr:blipFill>
        <a:blip xmlns:r="http://schemas.openxmlformats.org/officeDocument/2006/relationships" r:embed="rId111" cstate="print"/>
        <a:srcRect/>
        <a:stretch>
          <a:fillRect/>
        </a:stretch>
      </xdr:blipFill>
      <xdr:spPr bwMode="auto">
        <a:xfrm>
          <a:off x="247650" y="45796200"/>
          <a:ext cx="552450" cy="609600"/>
        </a:xfrm>
        <a:prstGeom prst="rect">
          <a:avLst/>
        </a:prstGeom>
        <a:noFill/>
      </xdr:spPr>
    </xdr:pic>
    <xdr:clientData/>
  </xdr:twoCellAnchor>
  <xdr:twoCellAnchor editAs="oneCell">
    <xdr:from>
      <xdr:col>1</xdr:col>
      <xdr:colOff>0</xdr:colOff>
      <xdr:row>107</xdr:row>
      <xdr:rowOff>0</xdr:rowOff>
    </xdr:from>
    <xdr:to>
      <xdr:col>2</xdr:col>
      <xdr:colOff>9525</xdr:colOff>
      <xdr:row>108</xdr:row>
      <xdr:rowOff>0</xdr:rowOff>
    </xdr:to>
    <xdr:pic>
      <xdr:nvPicPr>
        <xdr:cNvPr id="308" name="Picture 38"/>
        <xdr:cNvPicPr>
          <a:picLocks noChangeAspect="1" noChangeArrowheads="1"/>
        </xdr:cNvPicPr>
      </xdr:nvPicPr>
      <xdr:blipFill>
        <a:blip xmlns:r="http://schemas.openxmlformats.org/officeDocument/2006/relationships" r:embed="rId112" cstate="print"/>
        <a:srcRect/>
        <a:stretch>
          <a:fillRect/>
        </a:stretch>
      </xdr:blipFill>
      <xdr:spPr bwMode="auto">
        <a:xfrm>
          <a:off x="247650" y="46405800"/>
          <a:ext cx="552450" cy="609600"/>
        </a:xfrm>
        <a:prstGeom prst="rect">
          <a:avLst/>
        </a:prstGeom>
        <a:noFill/>
      </xdr:spPr>
    </xdr:pic>
    <xdr:clientData/>
  </xdr:twoCellAnchor>
  <xdr:twoCellAnchor editAs="oneCell">
    <xdr:from>
      <xdr:col>1</xdr:col>
      <xdr:colOff>0</xdr:colOff>
      <xdr:row>108</xdr:row>
      <xdr:rowOff>0</xdr:rowOff>
    </xdr:from>
    <xdr:to>
      <xdr:col>2</xdr:col>
      <xdr:colOff>9525</xdr:colOff>
      <xdr:row>109</xdr:row>
      <xdr:rowOff>0</xdr:rowOff>
    </xdr:to>
    <xdr:pic>
      <xdr:nvPicPr>
        <xdr:cNvPr id="310" name="Picture 40"/>
        <xdr:cNvPicPr>
          <a:picLocks noChangeAspect="1" noChangeArrowheads="1"/>
        </xdr:cNvPicPr>
      </xdr:nvPicPr>
      <xdr:blipFill>
        <a:blip xmlns:r="http://schemas.openxmlformats.org/officeDocument/2006/relationships" r:embed="rId113" cstate="print"/>
        <a:srcRect/>
        <a:stretch>
          <a:fillRect/>
        </a:stretch>
      </xdr:blipFill>
      <xdr:spPr bwMode="auto">
        <a:xfrm>
          <a:off x="247650" y="47015400"/>
          <a:ext cx="552450" cy="609600"/>
        </a:xfrm>
        <a:prstGeom prst="rect">
          <a:avLst/>
        </a:prstGeom>
        <a:noFill/>
      </xdr:spPr>
    </xdr:pic>
    <xdr:clientData/>
  </xdr:twoCellAnchor>
  <xdr:twoCellAnchor editAs="oneCell">
    <xdr:from>
      <xdr:col>1</xdr:col>
      <xdr:colOff>0</xdr:colOff>
      <xdr:row>109</xdr:row>
      <xdr:rowOff>0</xdr:rowOff>
    </xdr:from>
    <xdr:to>
      <xdr:col>2</xdr:col>
      <xdr:colOff>9525</xdr:colOff>
      <xdr:row>110</xdr:row>
      <xdr:rowOff>0</xdr:rowOff>
    </xdr:to>
    <xdr:pic>
      <xdr:nvPicPr>
        <xdr:cNvPr id="312" name="Picture 42"/>
        <xdr:cNvPicPr>
          <a:picLocks noChangeAspect="1" noChangeArrowheads="1"/>
        </xdr:cNvPicPr>
      </xdr:nvPicPr>
      <xdr:blipFill>
        <a:blip xmlns:r="http://schemas.openxmlformats.org/officeDocument/2006/relationships" r:embed="rId114" cstate="print"/>
        <a:srcRect/>
        <a:stretch>
          <a:fillRect/>
        </a:stretch>
      </xdr:blipFill>
      <xdr:spPr bwMode="auto">
        <a:xfrm>
          <a:off x="247650" y="47625000"/>
          <a:ext cx="552450" cy="609600"/>
        </a:xfrm>
        <a:prstGeom prst="rect">
          <a:avLst/>
        </a:prstGeom>
        <a:noFill/>
      </xdr:spPr>
    </xdr:pic>
    <xdr:clientData/>
  </xdr:twoCellAnchor>
  <xdr:twoCellAnchor editAs="oneCell">
    <xdr:from>
      <xdr:col>1</xdr:col>
      <xdr:colOff>0</xdr:colOff>
      <xdr:row>117</xdr:row>
      <xdr:rowOff>0</xdr:rowOff>
    </xdr:from>
    <xdr:to>
      <xdr:col>2</xdr:col>
      <xdr:colOff>9525</xdr:colOff>
      <xdr:row>118</xdr:row>
      <xdr:rowOff>0</xdr:rowOff>
    </xdr:to>
    <xdr:pic>
      <xdr:nvPicPr>
        <xdr:cNvPr id="314" name="Picture 44"/>
        <xdr:cNvPicPr>
          <a:picLocks noChangeAspect="1" noChangeArrowheads="1"/>
        </xdr:cNvPicPr>
      </xdr:nvPicPr>
      <xdr:blipFill>
        <a:blip xmlns:r="http://schemas.openxmlformats.org/officeDocument/2006/relationships" r:embed="rId115" cstate="print"/>
        <a:srcRect/>
        <a:stretch>
          <a:fillRect/>
        </a:stretch>
      </xdr:blipFill>
      <xdr:spPr bwMode="auto">
        <a:xfrm>
          <a:off x="247650" y="52482750"/>
          <a:ext cx="552450" cy="609600"/>
        </a:xfrm>
        <a:prstGeom prst="rect">
          <a:avLst/>
        </a:prstGeom>
        <a:noFill/>
      </xdr:spPr>
    </xdr:pic>
    <xdr:clientData/>
  </xdr:twoCellAnchor>
  <xdr:twoCellAnchor editAs="oneCell">
    <xdr:from>
      <xdr:col>1</xdr:col>
      <xdr:colOff>0</xdr:colOff>
      <xdr:row>119</xdr:row>
      <xdr:rowOff>0</xdr:rowOff>
    </xdr:from>
    <xdr:to>
      <xdr:col>2</xdr:col>
      <xdr:colOff>9525</xdr:colOff>
      <xdr:row>120</xdr:row>
      <xdr:rowOff>0</xdr:rowOff>
    </xdr:to>
    <xdr:pic>
      <xdr:nvPicPr>
        <xdr:cNvPr id="316" name="Picture 46"/>
        <xdr:cNvPicPr>
          <a:picLocks noChangeAspect="1" noChangeArrowheads="1"/>
        </xdr:cNvPicPr>
      </xdr:nvPicPr>
      <xdr:blipFill>
        <a:blip xmlns:r="http://schemas.openxmlformats.org/officeDocument/2006/relationships" r:embed="rId116" cstate="print"/>
        <a:srcRect/>
        <a:stretch>
          <a:fillRect/>
        </a:stretch>
      </xdr:blipFill>
      <xdr:spPr bwMode="auto">
        <a:xfrm>
          <a:off x="247650" y="53701950"/>
          <a:ext cx="552450" cy="609600"/>
        </a:xfrm>
        <a:prstGeom prst="rect">
          <a:avLst/>
        </a:prstGeom>
        <a:noFill/>
      </xdr:spPr>
    </xdr:pic>
    <xdr:clientData/>
  </xdr:twoCellAnchor>
  <xdr:twoCellAnchor editAs="oneCell">
    <xdr:from>
      <xdr:col>1</xdr:col>
      <xdr:colOff>0</xdr:colOff>
      <xdr:row>130</xdr:row>
      <xdr:rowOff>0</xdr:rowOff>
    </xdr:from>
    <xdr:to>
      <xdr:col>2</xdr:col>
      <xdr:colOff>9525</xdr:colOff>
      <xdr:row>130</xdr:row>
      <xdr:rowOff>609600</xdr:rowOff>
    </xdr:to>
    <xdr:pic>
      <xdr:nvPicPr>
        <xdr:cNvPr id="318" name="Picture 48"/>
        <xdr:cNvPicPr>
          <a:picLocks noChangeAspect="1" noChangeArrowheads="1"/>
        </xdr:cNvPicPr>
      </xdr:nvPicPr>
      <xdr:blipFill>
        <a:blip xmlns:r="http://schemas.openxmlformats.org/officeDocument/2006/relationships" r:embed="rId117" cstate="print"/>
        <a:srcRect/>
        <a:stretch>
          <a:fillRect/>
        </a:stretch>
      </xdr:blipFill>
      <xdr:spPr bwMode="auto">
        <a:xfrm>
          <a:off x="247650" y="59045475"/>
          <a:ext cx="552450" cy="609600"/>
        </a:xfrm>
        <a:prstGeom prst="rect">
          <a:avLst/>
        </a:prstGeom>
        <a:noFill/>
      </xdr:spPr>
    </xdr:pic>
    <xdr:clientData/>
  </xdr:twoCellAnchor>
  <xdr:twoCellAnchor editAs="oneCell">
    <xdr:from>
      <xdr:col>1</xdr:col>
      <xdr:colOff>0</xdr:colOff>
      <xdr:row>128</xdr:row>
      <xdr:rowOff>0</xdr:rowOff>
    </xdr:from>
    <xdr:to>
      <xdr:col>2</xdr:col>
      <xdr:colOff>9525</xdr:colOff>
      <xdr:row>128</xdr:row>
      <xdr:rowOff>609600</xdr:rowOff>
    </xdr:to>
    <xdr:pic>
      <xdr:nvPicPr>
        <xdr:cNvPr id="320" name="Picture 50"/>
        <xdr:cNvPicPr>
          <a:picLocks noChangeAspect="1" noChangeArrowheads="1"/>
        </xdr:cNvPicPr>
      </xdr:nvPicPr>
      <xdr:blipFill>
        <a:blip xmlns:r="http://schemas.openxmlformats.org/officeDocument/2006/relationships" r:embed="rId118" cstate="print"/>
        <a:srcRect/>
        <a:stretch>
          <a:fillRect/>
        </a:stretch>
      </xdr:blipFill>
      <xdr:spPr bwMode="auto">
        <a:xfrm>
          <a:off x="247650" y="57750075"/>
          <a:ext cx="552450" cy="609600"/>
        </a:xfrm>
        <a:prstGeom prst="rect">
          <a:avLst/>
        </a:prstGeom>
        <a:noFill/>
      </xdr:spPr>
    </xdr:pic>
    <xdr:clientData/>
  </xdr:twoCellAnchor>
  <xdr:twoCellAnchor editAs="oneCell">
    <xdr:from>
      <xdr:col>1</xdr:col>
      <xdr:colOff>0</xdr:colOff>
      <xdr:row>123</xdr:row>
      <xdr:rowOff>0</xdr:rowOff>
    </xdr:from>
    <xdr:to>
      <xdr:col>2</xdr:col>
      <xdr:colOff>9525</xdr:colOff>
      <xdr:row>124</xdr:row>
      <xdr:rowOff>9525</xdr:rowOff>
    </xdr:to>
    <xdr:pic>
      <xdr:nvPicPr>
        <xdr:cNvPr id="322" name="Picture 52"/>
        <xdr:cNvPicPr>
          <a:picLocks noChangeAspect="1" noChangeArrowheads="1"/>
        </xdr:cNvPicPr>
      </xdr:nvPicPr>
      <xdr:blipFill>
        <a:blip xmlns:r="http://schemas.openxmlformats.org/officeDocument/2006/relationships" r:embed="rId119" cstate="print"/>
        <a:srcRect/>
        <a:stretch>
          <a:fillRect/>
        </a:stretch>
      </xdr:blipFill>
      <xdr:spPr bwMode="auto">
        <a:xfrm>
          <a:off x="247650" y="54711600"/>
          <a:ext cx="552450" cy="609600"/>
        </a:xfrm>
        <a:prstGeom prst="rect">
          <a:avLst/>
        </a:prstGeom>
        <a:noFill/>
      </xdr:spPr>
    </xdr:pic>
    <xdr:clientData/>
  </xdr:twoCellAnchor>
  <xdr:twoCellAnchor editAs="oneCell">
    <xdr:from>
      <xdr:col>1</xdr:col>
      <xdr:colOff>0</xdr:colOff>
      <xdr:row>127</xdr:row>
      <xdr:rowOff>0</xdr:rowOff>
    </xdr:from>
    <xdr:to>
      <xdr:col>2</xdr:col>
      <xdr:colOff>9525</xdr:colOff>
      <xdr:row>128</xdr:row>
      <xdr:rowOff>0</xdr:rowOff>
    </xdr:to>
    <xdr:pic>
      <xdr:nvPicPr>
        <xdr:cNvPr id="324" name="Picture 54"/>
        <xdr:cNvPicPr>
          <a:picLocks noChangeAspect="1" noChangeArrowheads="1"/>
        </xdr:cNvPicPr>
      </xdr:nvPicPr>
      <xdr:blipFill>
        <a:blip xmlns:r="http://schemas.openxmlformats.org/officeDocument/2006/relationships" r:embed="rId120" cstate="print"/>
        <a:srcRect/>
        <a:stretch>
          <a:fillRect/>
        </a:stretch>
      </xdr:blipFill>
      <xdr:spPr bwMode="auto">
        <a:xfrm>
          <a:off x="247650" y="57140475"/>
          <a:ext cx="552450" cy="609600"/>
        </a:xfrm>
        <a:prstGeom prst="rect">
          <a:avLst/>
        </a:prstGeom>
        <a:noFill/>
      </xdr:spPr>
    </xdr:pic>
    <xdr:clientData/>
  </xdr:twoCellAnchor>
  <xdr:twoCellAnchor editAs="oneCell">
    <xdr:from>
      <xdr:col>1</xdr:col>
      <xdr:colOff>0</xdr:colOff>
      <xdr:row>129</xdr:row>
      <xdr:rowOff>0</xdr:rowOff>
    </xdr:from>
    <xdr:to>
      <xdr:col>2</xdr:col>
      <xdr:colOff>9525</xdr:colOff>
      <xdr:row>129</xdr:row>
      <xdr:rowOff>609600</xdr:rowOff>
    </xdr:to>
    <xdr:pic>
      <xdr:nvPicPr>
        <xdr:cNvPr id="326" name="Picture 56"/>
        <xdr:cNvPicPr>
          <a:picLocks noChangeAspect="1" noChangeArrowheads="1"/>
        </xdr:cNvPicPr>
      </xdr:nvPicPr>
      <xdr:blipFill>
        <a:blip xmlns:r="http://schemas.openxmlformats.org/officeDocument/2006/relationships" r:embed="rId121" cstate="print"/>
        <a:srcRect/>
        <a:stretch>
          <a:fillRect/>
        </a:stretch>
      </xdr:blipFill>
      <xdr:spPr bwMode="auto">
        <a:xfrm>
          <a:off x="247650" y="58397775"/>
          <a:ext cx="552450" cy="609600"/>
        </a:xfrm>
        <a:prstGeom prst="rect">
          <a:avLst/>
        </a:prstGeom>
        <a:noFill/>
      </xdr:spPr>
    </xdr:pic>
    <xdr:clientData/>
  </xdr:twoCellAnchor>
  <xdr:twoCellAnchor editAs="oneCell">
    <xdr:from>
      <xdr:col>1</xdr:col>
      <xdr:colOff>0</xdr:colOff>
      <xdr:row>135</xdr:row>
      <xdr:rowOff>0</xdr:rowOff>
    </xdr:from>
    <xdr:to>
      <xdr:col>2</xdr:col>
      <xdr:colOff>9525</xdr:colOff>
      <xdr:row>136</xdr:row>
      <xdr:rowOff>0</xdr:rowOff>
    </xdr:to>
    <xdr:pic>
      <xdr:nvPicPr>
        <xdr:cNvPr id="328" name="Picture 58"/>
        <xdr:cNvPicPr>
          <a:picLocks noChangeAspect="1" noChangeArrowheads="1"/>
        </xdr:cNvPicPr>
      </xdr:nvPicPr>
      <xdr:blipFill>
        <a:blip xmlns:r="http://schemas.openxmlformats.org/officeDocument/2006/relationships" r:embed="rId122" cstate="print"/>
        <a:srcRect/>
        <a:stretch>
          <a:fillRect/>
        </a:stretch>
      </xdr:blipFill>
      <xdr:spPr bwMode="auto">
        <a:xfrm>
          <a:off x="247650" y="60912375"/>
          <a:ext cx="552450" cy="609600"/>
        </a:xfrm>
        <a:prstGeom prst="rect">
          <a:avLst/>
        </a:prstGeom>
        <a:noFill/>
      </xdr:spPr>
    </xdr:pic>
    <xdr:clientData/>
  </xdr:twoCellAnchor>
  <xdr:twoCellAnchor editAs="oneCell">
    <xdr:from>
      <xdr:col>1</xdr:col>
      <xdr:colOff>0</xdr:colOff>
      <xdr:row>146</xdr:row>
      <xdr:rowOff>0</xdr:rowOff>
    </xdr:from>
    <xdr:to>
      <xdr:col>2</xdr:col>
      <xdr:colOff>9525</xdr:colOff>
      <xdr:row>147</xdr:row>
      <xdr:rowOff>9525</xdr:rowOff>
    </xdr:to>
    <xdr:pic>
      <xdr:nvPicPr>
        <xdr:cNvPr id="330" name="Picture 60"/>
        <xdr:cNvPicPr>
          <a:picLocks noChangeAspect="1" noChangeArrowheads="1"/>
        </xdr:cNvPicPr>
      </xdr:nvPicPr>
      <xdr:blipFill>
        <a:blip xmlns:r="http://schemas.openxmlformats.org/officeDocument/2006/relationships" r:embed="rId123" cstate="print"/>
        <a:srcRect/>
        <a:stretch>
          <a:fillRect/>
        </a:stretch>
      </xdr:blipFill>
      <xdr:spPr bwMode="auto">
        <a:xfrm>
          <a:off x="247650" y="67808475"/>
          <a:ext cx="552450" cy="609600"/>
        </a:xfrm>
        <a:prstGeom prst="rect">
          <a:avLst/>
        </a:prstGeom>
        <a:noFill/>
      </xdr:spPr>
    </xdr:pic>
    <xdr:clientData/>
  </xdr:twoCellAnchor>
  <xdr:twoCellAnchor editAs="oneCell">
    <xdr:from>
      <xdr:col>1</xdr:col>
      <xdr:colOff>0</xdr:colOff>
      <xdr:row>158</xdr:row>
      <xdr:rowOff>0</xdr:rowOff>
    </xdr:from>
    <xdr:to>
      <xdr:col>2</xdr:col>
      <xdr:colOff>9525</xdr:colOff>
      <xdr:row>159</xdr:row>
      <xdr:rowOff>0</xdr:rowOff>
    </xdr:to>
    <xdr:pic>
      <xdr:nvPicPr>
        <xdr:cNvPr id="332" name="Picture 62"/>
        <xdr:cNvPicPr>
          <a:picLocks noChangeAspect="1" noChangeArrowheads="1"/>
        </xdr:cNvPicPr>
      </xdr:nvPicPr>
      <xdr:blipFill>
        <a:blip xmlns:r="http://schemas.openxmlformats.org/officeDocument/2006/relationships" r:embed="rId124" cstate="print"/>
        <a:srcRect/>
        <a:stretch>
          <a:fillRect/>
        </a:stretch>
      </xdr:blipFill>
      <xdr:spPr bwMode="auto">
        <a:xfrm>
          <a:off x="247650" y="72266175"/>
          <a:ext cx="552450" cy="609600"/>
        </a:xfrm>
        <a:prstGeom prst="rect">
          <a:avLst/>
        </a:prstGeom>
        <a:noFill/>
      </xdr:spPr>
    </xdr:pic>
    <xdr:clientData/>
  </xdr:twoCellAnchor>
  <xdr:twoCellAnchor editAs="oneCell">
    <xdr:from>
      <xdr:col>1</xdr:col>
      <xdr:colOff>0</xdr:colOff>
      <xdr:row>161</xdr:row>
      <xdr:rowOff>0</xdr:rowOff>
    </xdr:from>
    <xdr:to>
      <xdr:col>2</xdr:col>
      <xdr:colOff>9525</xdr:colOff>
      <xdr:row>162</xdr:row>
      <xdr:rowOff>0</xdr:rowOff>
    </xdr:to>
    <xdr:pic>
      <xdr:nvPicPr>
        <xdr:cNvPr id="334" name="Picture 64"/>
        <xdr:cNvPicPr>
          <a:picLocks noChangeAspect="1" noChangeArrowheads="1"/>
        </xdr:cNvPicPr>
      </xdr:nvPicPr>
      <xdr:blipFill>
        <a:blip xmlns:r="http://schemas.openxmlformats.org/officeDocument/2006/relationships" r:embed="rId125" cstate="print"/>
        <a:srcRect/>
        <a:stretch>
          <a:fillRect/>
        </a:stretch>
      </xdr:blipFill>
      <xdr:spPr bwMode="auto">
        <a:xfrm>
          <a:off x="247650" y="74094975"/>
          <a:ext cx="552450" cy="609600"/>
        </a:xfrm>
        <a:prstGeom prst="rect">
          <a:avLst/>
        </a:prstGeom>
        <a:noFill/>
      </xdr:spPr>
    </xdr:pic>
    <xdr:clientData/>
  </xdr:twoCellAnchor>
  <xdr:twoCellAnchor editAs="oneCell">
    <xdr:from>
      <xdr:col>1</xdr:col>
      <xdr:colOff>0</xdr:colOff>
      <xdr:row>163</xdr:row>
      <xdr:rowOff>0</xdr:rowOff>
    </xdr:from>
    <xdr:to>
      <xdr:col>2</xdr:col>
      <xdr:colOff>9525</xdr:colOff>
      <xdr:row>163</xdr:row>
      <xdr:rowOff>609600</xdr:rowOff>
    </xdr:to>
    <xdr:pic>
      <xdr:nvPicPr>
        <xdr:cNvPr id="336" name="Picture 66"/>
        <xdr:cNvPicPr>
          <a:picLocks noChangeAspect="1" noChangeArrowheads="1"/>
        </xdr:cNvPicPr>
      </xdr:nvPicPr>
      <xdr:blipFill>
        <a:blip xmlns:r="http://schemas.openxmlformats.org/officeDocument/2006/relationships" r:embed="rId126" cstate="print"/>
        <a:srcRect/>
        <a:stretch>
          <a:fillRect/>
        </a:stretch>
      </xdr:blipFill>
      <xdr:spPr bwMode="auto">
        <a:xfrm>
          <a:off x="247650" y="75314175"/>
          <a:ext cx="552450" cy="609600"/>
        </a:xfrm>
        <a:prstGeom prst="rect">
          <a:avLst/>
        </a:prstGeom>
        <a:noFill/>
      </xdr:spPr>
    </xdr:pic>
    <xdr:clientData/>
  </xdr:twoCellAnchor>
  <xdr:twoCellAnchor editAs="oneCell">
    <xdr:from>
      <xdr:col>1</xdr:col>
      <xdr:colOff>0</xdr:colOff>
      <xdr:row>184</xdr:row>
      <xdr:rowOff>0</xdr:rowOff>
    </xdr:from>
    <xdr:to>
      <xdr:col>2</xdr:col>
      <xdr:colOff>9525</xdr:colOff>
      <xdr:row>185</xdr:row>
      <xdr:rowOff>0</xdr:rowOff>
    </xdr:to>
    <xdr:pic>
      <xdr:nvPicPr>
        <xdr:cNvPr id="338" name="Picture 68"/>
        <xdr:cNvPicPr>
          <a:picLocks noChangeAspect="1" noChangeArrowheads="1"/>
        </xdr:cNvPicPr>
      </xdr:nvPicPr>
      <xdr:blipFill>
        <a:blip xmlns:r="http://schemas.openxmlformats.org/officeDocument/2006/relationships" r:embed="rId127" cstate="print"/>
        <a:srcRect/>
        <a:stretch>
          <a:fillRect/>
        </a:stretch>
      </xdr:blipFill>
      <xdr:spPr bwMode="auto">
        <a:xfrm>
          <a:off x="247650" y="85182075"/>
          <a:ext cx="552450" cy="609600"/>
        </a:xfrm>
        <a:prstGeom prst="rect">
          <a:avLst/>
        </a:prstGeom>
        <a:noFill/>
      </xdr:spPr>
    </xdr:pic>
    <xdr:clientData/>
  </xdr:twoCellAnchor>
  <xdr:twoCellAnchor editAs="oneCell">
    <xdr:from>
      <xdr:col>1</xdr:col>
      <xdr:colOff>0</xdr:colOff>
      <xdr:row>180</xdr:row>
      <xdr:rowOff>0</xdr:rowOff>
    </xdr:from>
    <xdr:to>
      <xdr:col>2</xdr:col>
      <xdr:colOff>9525</xdr:colOff>
      <xdr:row>181</xdr:row>
      <xdr:rowOff>19050</xdr:rowOff>
    </xdr:to>
    <xdr:pic>
      <xdr:nvPicPr>
        <xdr:cNvPr id="340" name="Picture 70"/>
        <xdr:cNvPicPr>
          <a:picLocks noChangeAspect="1" noChangeArrowheads="1"/>
        </xdr:cNvPicPr>
      </xdr:nvPicPr>
      <xdr:blipFill>
        <a:blip xmlns:r="http://schemas.openxmlformats.org/officeDocument/2006/relationships" r:embed="rId128" cstate="print"/>
        <a:srcRect/>
        <a:stretch>
          <a:fillRect/>
        </a:stretch>
      </xdr:blipFill>
      <xdr:spPr bwMode="auto">
        <a:xfrm>
          <a:off x="247650" y="82819875"/>
          <a:ext cx="552450" cy="609600"/>
        </a:xfrm>
        <a:prstGeom prst="rect">
          <a:avLst/>
        </a:prstGeom>
        <a:noFill/>
      </xdr:spPr>
    </xdr:pic>
    <xdr:clientData/>
  </xdr:twoCellAnchor>
  <xdr:twoCellAnchor editAs="oneCell">
    <xdr:from>
      <xdr:col>1</xdr:col>
      <xdr:colOff>0</xdr:colOff>
      <xdr:row>183</xdr:row>
      <xdr:rowOff>0</xdr:rowOff>
    </xdr:from>
    <xdr:to>
      <xdr:col>2</xdr:col>
      <xdr:colOff>9525</xdr:colOff>
      <xdr:row>184</xdr:row>
      <xdr:rowOff>0</xdr:rowOff>
    </xdr:to>
    <xdr:pic>
      <xdr:nvPicPr>
        <xdr:cNvPr id="342" name="Picture 72"/>
        <xdr:cNvPicPr>
          <a:picLocks noChangeAspect="1" noChangeArrowheads="1"/>
        </xdr:cNvPicPr>
      </xdr:nvPicPr>
      <xdr:blipFill>
        <a:blip xmlns:r="http://schemas.openxmlformats.org/officeDocument/2006/relationships" r:embed="rId129" cstate="print"/>
        <a:srcRect/>
        <a:stretch>
          <a:fillRect/>
        </a:stretch>
      </xdr:blipFill>
      <xdr:spPr bwMode="auto">
        <a:xfrm>
          <a:off x="247650" y="84572475"/>
          <a:ext cx="552450" cy="609600"/>
        </a:xfrm>
        <a:prstGeom prst="rect">
          <a:avLst/>
        </a:prstGeom>
        <a:noFill/>
      </xdr:spPr>
    </xdr:pic>
    <xdr:clientData/>
  </xdr:twoCellAnchor>
  <xdr:twoCellAnchor editAs="oneCell">
    <xdr:from>
      <xdr:col>1</xdr:col>
      <xdr:colOff>0</xdr:colOff>
      <xdr:row>195</xdr:row>
      <xdr:rowOff>0</xdr:rowOff>
    </xdr:from>
    <xdr:to>
      <xdr:col>2</xdr:col>
      <xdr:colOff>9525</xdr:colOff>
      <xdr:row>195</xdr:row>
      <xdr:rowOff>609600</xdr:rowOff>
    </xdr:to>
    <xdr:pic>
      <xdr:nvPicPr>
        <xdr:cNvPr id="344" name="Picture 74"/>
        <xdr:cNvPicPr>
          <a:picLocks noChangeAspect="1" noChangeArrowheads="1"/>
        </xdr:cNvPicPr>
      </xdr:nvPicPr>
      <xdr:blipFill>
        <a:blip xmlns:r="http://schemas.openxmlformats.org/officeDocument/2006/relationships" r:embed="rId130" cstate="print"/>
        <a:srcRect/>
        <a:stretch>
          <a:fillRect/>
        </a:stretch>
      </xdr:blipFill>
      <xdr:spPr bwMode="auto">
        <a:xfrm>
          <a:off x="247650" y="89030175"/>
          <a:ext cx="552450" cy="609600"/>
        </a:xfrm>
        <a:prstGeom prst="rect">
          <a:avLst/>
        </a:prstGeom>
        <a:noFill/>
      </xdr:spPr>
    </xdr:pic>
    <xdr:clientData/>
  </xdr:twoCellAnchor>
  <xdr:twoCellAnchor editAs="oneCell">
    <xdr:from>
      <xdr:col>1</xdr:col>
      <xdr:colOff>0</xdr:colOff>
      <xdr:row>196</xdr:row>
      <xdr:rowOff>0</xdr:rowOff>
    </xdr:from>
    <xdr:to>
      <xdr:col>2</xdr:col>
      <xdr:colOff>9525</xdr:colOff>
      <xdr:row>196</xdr:row>
      <xdr:rowOff>609600</xdr:rowOff>
    </xdr:to>
    <xdr:pic>
      <xdr:nvPicPr>
        <xdr:cNvPr id="346" name="Picture 76"/>
        <xdr:cNvPicPr>
          <a:picLocks noChangeAspect="1" noChangeArrowheads="1"/>
        </xdr:cNvPicPr>
      </xdr:nvPicPr>
      <xdr:blipFill>
        <a:blip xmlns:r="http://schemas.openxmlformats.org/officeDocument/2006/relationships" r:embed="rId131" cstate="print"/>
        <a:srcRect/>
        <a:stretch>
          <a:fillRect/>
        </a:stretch>
      </xdr:blipFill>
      <xdr:spPr bwMode="auto">
        <a:xfrm>
          <a:off x="247650" y="91173300"/>
          <a:ext cx="552450" cy="609600"/>
        </a:xfrm>
        <a:prstGeom prst="rect">
          <a:avLst/>
        </a:prstGeom>
        <a:noFill/>
      </xdr:spPr>
    </xdr:pic>
    <xdr:clientData/>
  </xdr:twoCellAnchor>
  <xdr:twoCellAnchor editAs="oneCell">
    <xdr:from>
      <xdr:col>1</xdr:col>
      <xdr:colOff>0</xdr:colOff>
      <xdr:row>197</xdr:row>
      <xdr:rowOff>0</xdr:rowOff>
    </xdr:from>
    <xdr:to>
      <xdr:col>2</xdr:col>
      <xdr:colOff>9525</xdr:colOff>
      <xdr:row>197</xdr:row>
      <xdr:rowOff>609600</xdr:rowOff>
    </xdr:to>
    <xdr:pic>
      <xdr:nvPicPr>
        <xdr:cNvPr id="348" name="Picture 78"/>
        <xdr:cNvPicPr>
          <a:picLocks noChangeAspect="1" noChangeArrowheads="1"/>
        </xdr:cNvPicPr>
      </xdr:nvPicPr>
      <xdr:blipFill>
        <a:blip xmlns:r="http://schemas.openxmlformats.org/officeDocument/2006/relationships" r:embed="rId132" cstate="print"/>
        <a:srcRect/>
        <a:stretch>
          <a:fillRect/>
        </a:stretch>
      </xdr:blipFill>
      <xdr:spPr bwMode="auto">
        <a:xfrm>
          <a:off x="247650" y="92983050"/>
          <a:ext cx="552450" cy="609600"/>
        </a:xfrm>
        <a:prstGeom prst="rect">
          <a:avLst/>
        </a:prstGeom>
        <a:noFill/>
      </xdr:spPr>
    </xdr:pic>
    <xdr:clientData/>
  </xdr:twoCellAnchor>
  <xdr:twoCellAnchor editAs="oneCell">
    <xdr:from>
      <xdr:col>1</xdr:col>
      <xdr:colOff>0</xdr:colOff>
      <xdr:row>198</xdr:row>
      <xdr:rowOff>0</xdr:rowOff>
    </xdr:from>
    <xdr:to>
      <xdr:col>2</xdr:col>
      <xdr:colOff>9525</xdr:colOff>
      <xdr:row>198</xdr:row>
      <xdr:rowOff>609600</xdr:rowOff>
    </xdr:to>
    <xdr:pic>
      <xdr:nvPicPr>
        <xdr:cNvPr id="350" name="Picture 80"/>
        <xdr:cNvPicPr>
          <a:picLocks noChangeAspect="1" noChangeArrowheads="1"/>
        </xdr:cNvPicPr>
      </xdr:nvPicPr>
      <xdr:blipFill>
        <a:blip xmlns:r="http://schemas.openxmlformats.org/officeDocument/2006/relationships" r:embed="rId133" cstate="print"/>
        <a:srcRect/>
        <a:stretch>
          <a:fillRect/>
        </a:stretch>
      </xdr:blipFill>
      <xdr:spPr bwMode="auto">
        <a:xfrm>
          <a:off x="247650" y="94468950"/>
          <a:ext cx="552450" cy="609600"/>
        </a:xfrm>
        <a:prstGeom prst="rect">
          <a:avLst/>
        </a:prstGeom>
        <a:noFill/>
      </xdr:spPr>
    </xdr:pic>
    <xdr:clientData/>
  </xdr:twoCellAnchor>
  <xdr:twoCellAnchor editAs="oneCell">
    <xdr:from>
      <xdr:col>1</xdr:col>
      <xdr:colOff>0</xdr:colOff>
      <xdr:row>190</xdr:row>
      <xdr:rowOff>0</xdr:rowOff>
    </xdr:from>
    <xdr:to>
      <xdr:col>2</xdr:col>
      <xdr:colOff>9525</xdr:colOff>
      <xdr:row>191</xdr:row>
      <xdr:rowOff>0</xdr:rowOff>
    </xdr:to>
    <xdr:pic>
      <xdr:nvPicPr>
        <xdr:cNvPr id="352" name="Picture 82"/>
        <xdr:cNvPicPr>
          <a:picLocks noChangeAspect="1" noChangeArrowheads="1"/>
        </xdr:cNvPicPr>
      </xdr:nvPicPr>
      <xdr:blipFill>
        <a:blip xmlns:r="http://schemas.openxmlformats.org/officeDocument/2006/relationships" r:embed="rId134" cstate="print"/>
        <a:srcRect/>
        <a:stretch>
          <a:fillRect/>
        </a:stretch>
      </xdr:blipFill>
      <xdr:spPr bwMode="auto">
        <a:xfrm>
          <a:off x="247650" y="87410925"/>
          <a:ext cx="552450" cy="609600"/>
        </a:xfrm>
        <a:prstGeom prst="rect">
          <a:avLst/>
        </a:prstGeom>
        <a:noFill/>
      </xdr:spPr>
    </xdr:pic>
    <xdr:clientData/>
  </xdr:twoCellAnchor>
  <xdr:twoCellAnchor editAs="oneCell">
    <xdr:from>
      <xdr:col>1</xdr:col>
      <xdr:colOff>0</xdr:colOff>
      <xdr:row>191</xdr:row>
      <xdr:rowOff>0</xdr:rowOff>
    </xdr:from>
    <xdr:to>
      <xdr:col>2</xdr:col>
      <xdr:colOff>9525</xdr:colOff>
      <xdr:row>192</xdr:row>
      <xdr:rowOff>0</xdr:rowOff>
    </xdr:to>
    <xdr:pic>
      <xdr:nvPicPr>
        <xdr:cNvPr id="354" name="Picture 84"/>
        <xdr:cNvPicPr>
          <a:picLocks noChangeAspect="1" noChangeArrowheads="1"/>
        </xdr:cNvPicPr>
      </xdr:nvPicPr>
      <xdr:blipFill>
        <a:blip xmlns:r="http://schemas.openxmlformats.org/officeDocument/2006/relationships" r:embed="rId135" cstate="print"/>
        <a:srcRect/>
        <a:stretch>
          <a:fillRect/>
        </a:stretch>
      </xdr:blipFill>
      <xdr:spPr bwMode="auto">
        <a:xfrm>
          <a:off x="247650" y="88020525"/>
          <a:ext cx="552450" cy="609600"/>
        </a:xfrm>
        <a:prstGeom prst="rect">
          <a:avLst/>
        </a:prstGeom>
        <a:noFill/>
      </xdr:spPr>
    </xdr:pic>
    <xdr:clientData/>
  </xdr:twoCellAnchor>
  <xdr:twoCellAnchor editAs="oneCell">
    <xdr:from>
      <xdr:col>1</xdr:col>
      <xdr:colOff>0</xdr:colOff>
      <xdr:row>199</xdr:row>
      <xdr:rowOff>0</xdr:rowOff>
    </xdr:from>
    <xdr:to>
      <xdr:col>2</xdr:col>
      <xdr:colOff>9525</xdr:colOff>
      <xdr:row>199</xdr:row>
      <xdr:rowOff>609600</xdr:rowOff>
    </xdr:to>
    <xdr:pic>
      <xdr:nvPicPr>
        <xdr:cNvPr id="356" name="Picture 86"/>
        <xdr:cNvPicPr>
          <a:picLocks noChangeAspect="1" noChangeArrowheads="1"/>
        </xdr:cNvPicPr>
      </xdr:nvPicPr>
      <xdr:blipFill>
        <a:blip xmlns:r="http://schemas.openxmlformats.org/officeDocument/2006/relationships" r:embed="rId136" cstate="print"/>
        <a:srcRect/>
        <a:stretch>
          <a:fillRect/>
        </a:stretch>
      </xdr:blipFill>
      <xdr:spPr bwMode="auto">
        <a:xfrm>
          <a:off x="247650" y="96278700"/>
          <a:ext cx="552450" cy="609600"/>
        </a:xfrm>
        <a:prstGeom prst="rect">
          <a:avLst/>
        </a:prstGeom>
        <a:noFill/>
      </xdr:spPr>
    </xdr:pic>
    <xdr:clientData/>
  </xdr:twoCellAnchor>
  <xdr:twoCellAnchor editAs="oneCell">
    <xdr:from>
      <xdr:col>1</xdr:col>
      <xdr:colOff>0</xdr:colOff>
      <xdr:row>200</xdr:row>
      <xdr:rowOff>0</xdr:rowOff>
    </xdr:from>
    <xdr:to>
      <xdr:col>2</xdr:col>
      <xdr:colOff>9525</xdr:colOff>
      <xdr:row>200</xdr:row>
      <xdr:rowOff>609600</xdr:rowOff>
    </xdr:to>
    <xdr:pic>
      <xdr:nvPicPr>
        <xdr:cNvPr id="358" name="Picture 88"/>
        <xdr:cNvPicPr>
          <a:picLocks noChangeAspect="1" noChangeArrowheads="1"/>
        </xdr:cNvPicPr>
      </xdr:nvPicPr>
      <xdr:blipFill>
        <a:blip xmlns:r="http://schemas.openxmlformats.org/officeDocument/2006/relationships" r:embed="rId137" cstate="print"/>
        <a:srcRect/>
        <a:stretch>
          <a:fillRect/>
        </a:stretch>
      </xdr:blipFill>
      <xdr:spPr bwMode="auto">
        <a:xfrm>
          <a:off x="247650" y="98088450"/>
          <a:ext cx="552450" cy="609600"/>
        </a:xfrm>
        <a:prstGeom prst="rect">
          <a:avLst/>
        </a:prstGeom>
        <a:noFill/>
      </xdr:spPr>
    </xdr:pic>
    <xdr:clientData/>
  </xdr:twoCellAnchor>
  <xdr:twoCellAnchor editAs="oneCell">
    <xdr:from>
      <xdr:col>1</xdr:col>
      <xdr:colOff>0</xdr:colOff>
      <xdr:row>201</xdr:row>
      <xdr:rowOff>0</xdr:rowOff>
    </xdr:from>
    <xdr:to>
      <xdr:col>2</xdr:col>
      <xdr:colOff>9525</xdr:colOff>
      <xdr:row>201</xdr:row>
      <xdr:rowOff>609600</xdr:rowOff>
    </xdr:to>
    <xdr:pic>
      <xdr:nvPicPr>
        <xdr:cNvPr id="360" name="Picture 90"/>
        <xdr:cNvPicPr>
          <a:picLocks noChangeAspect="1" noChangeArrowheads="1"/>
        </xdr:cNvPicPr>
      </xdr:nvPicPr>
      <xdr:blipFill>
        <a:blip xmlns:r="http://schemas.openxmlformats.org/officeDocument/2006/relationships" r:embed="rId138" cstate="print"/>
        <a:srcRect/>
        <a:stretch>
          <a:fillRect/>
        </a:stretch>
      </xdr:blipFill>
      <xdr:spPr bwMode="auto">
        <a:xfrm>
          <a:off x="247650" y="100069650"/>
          <a:ext cx="552450" cy="609600"/>
        </a:xfrm>
        <a:prstGeom prst="rect">
          <a:avLst/>
        </a:prstGeom>
        <a:noFill/>
      </xdr:spPr>
    </xdr:pic>
    <xdr:clientData/>
  </xdr:twoCellAnchor>
  <xdr:twoCellAnchor editAs="oneCell">
    <xdr:from>
      <xdr:col>1</xdr:col>
      <xdr:colOff>0</xdr:colOff>
      <xdr:row>202</xdr:row>
      <xdr:rowOff>0</xdr:rowOff>
    </xdr:from>
    <xdr:to>
      <xdr:col>2</xdr:col>
      <xdr:colOff>9525</xdr:colOff>
      <xdr:row>202</xdr:row>
      <xdr:rowOff>609600</xdr:rowOff>
    </xdr:to>
    <xdr:pic>
      <xdr:nvPicPr>
        <xdr:cNvPr id="362" name="Picture 92"/>
        <xdr:cNvPicPr>
          <a:picLocks noChangeAspect="1" noChangeArrowheads="1"/>
        </xdr:cNvPicPr>
      </xdr:nvPicPr>
      <xdr:blipFill>
        <a:blip xmlns:r="http://schemas.openxmlformats.org/officeDocument/2006/relationships" r:embed="rId139" cstate="print"/>
        <a:srcRect/>
        <a:stretch>
          <a:fillRect/>
        </a:stretch>
      </xdr:blipFill>
      <xdr:spPr bwMode="auto">
        <a:xfrm>
          <a:off x="247650" y="101222175"/>
          <a:ext cx="552450" cy="609600"/>
        </a:xfrm>
        <a:prstGeom prst="rect">
          <a:avLst/>
        </a:prstGeom>
        <a:noFill/>
      </xdr:spPr>
    </xdr:pic>
    <xdr:clientData/>
  </xdr:twoCellAnchor>
  <xdr:twoCellAnchor editAs="oneCell">
    <xdr:from>
      <xdr:col>1</xdr:col>
      <xdr:colOff>0</xdr:colOff>
      <xdr:row>203</xdr:row>
      <xdr:rowOff>0</xdr:rowOff>
    </xdr:from>
    <xdr:to>
      <xdr:col>2</xdr:col>
      <xdr:colOff>9525</xdr:colOff>
      <xdr:row>203</xdr:row>
      <xdr:rowOff>609600</xdr:rowOff>
    </xdr:to>
    <xdr:pic>
      <xdr:nvPicPr>
        <xdr:cNvPr id="364" name="Picture 94"/>
        <xdr:cNvPicPr>
          <a:picLocks noChangeAspect="1" noChangeArrowheads="1"/>
        </xdr:cNvPicPr>
      </xdr:nvPicPr>
      <xdr:blipFill>
        <a:blip xmlns:r="http://schemas.openxmlformats.org/officeDocument/2006/relationships" r:embed="rId140" cstate="print"/>
        <a:srcRect/>
        <a:stretch>
          <a:fillRect/>
        </a:stretch>
      </xdr:blipFill>
      <xdr:spPr bwMode="auto">
        <a:xfrm>
          <a:off x="247650" y="102536625"/>
          <a:ext cx="552450" cy="609600"/>
        </a:xfrm>
        <a:prstGeom prst="rect">
          <a:avLst/>
        </a:prstGeom>
        <a:noFill/>
      </xdr:spPr>
    </xdr:pic>
    <xdr:clientData/>
  </xdr:twoCellAnchor>
  <xdr:twoCellAnchor editAs="oneCell">
    <xdr:from>
      <xdr:col>1</xdr:col>
      <xdr:colOff>0</xdr:colOff>
      <xdr:row>204</xdr:row>
      <xdr:rowOff>0</xdr:rowOff>
    </xdr:from>
    <xdr:to>
      <xdr:col>2</xdr:col>
      <xdr:colOff>9525</xdr:colOff>
      <xdr:row>204</xdr:row>
      <xdr:rowOff>609600</xdr:rowOff>
    </xdr:to>
    <xdr:pic>
      <xdr:nvPicPr>
        <xdr:cNvPr id="366" name="Picture 96"/>
        <xdr:cNvPicPr>
          <a:picLocks noChangeAspect="1" noChangeArrowheads="1"/>
        </xdr:cNvPicPr>
      </xdr:nvPicPr>
      <xdr:blipFill>
        <a:blip xmlns:r="http://schemas.openxmlformats.org/officeDocument/2006/relationships" r:embed="rId141" cstate="print"/>
        <a:srcRect/>
        <a:stretch>
          <a:fillRect/>
        </a:stretch>
      </xdr:blipFill>
      <xdr:spPr bwMode="auto">
        <a:xfrm>
          <a:off x="247650" y="104022525"/>
          <a:ext cx="552450" cy="609600"/>
        </a:xfrm>
        <a:prstGeom prst="rect">
          <a:avLst/>
        </a:prstGeom>
        <a:noFill/>
      </xdr:spPr>
    </xdr:pic>
    <xdr:clientData/>
  </xdr:twoCellAnchor>
  <xdr:twoCellAnchor editAs="oneCell">
    <xdr:from>
      <xdr:col>1</xdr:col>
      <xdr:colOff>0</xdr:colOff>
      <xdr:row>205</xdr:row>
      <xdr:rowOff>0</xdr:rowOff>
    </xdr:from>
    <xdr:to>
      <xdr:col>2</xdr:col>
      <xdr:colOff>9525</xdr:colOff>
      <xdr:row>205</xdr:row>
      <xdr:rowOff>609600</xdr:rowOff>
    </xdr:to>
    <xdr:pic>
      <xdr:nvPicPr>
        <xdr:cNvPr id="368" name="Picture 98"/>
        <xdr:cNvPicPr>
          <a:picLocks noChangeAspect="1" noChangeArrowheads="1"/>
        </xdr:cNvPicPr>
      </xdr:nvPicPr>
      <xdr:blipFill>
        <a:blip xmlns:r="http://schemas.openxmlformats.org/officeDocument/2006/relationships" r:embed="rId142" cstate="print"/>
        <a:srcRect/>
        <a:stretch>
          <a:fillRect/>
        </a:stretch>
      </xdr:blipFill>
      <xdr:spPr bwMode="auto">
        <a:xfrm>
          <a:off x="247650" y="105013125"/>
          <a:ext cx="552450" cy="609600"/>
        </a:xfrm>
        <a:prstGeom prst="rect">
          <a:avLst/>
        </a:prstGeom>
        <a:noFill/>
      </xdr:spPr>
    </xdr:pic>
    <xdr:clientData/>
  </xdr:twoCellAnchor>
  <xdr:twoCellAnchor editAs="oneCell">
    <xdr:from>
      <xdr:col>1</xdr:col>
      <xdr:colOff>0</xdr:colOff>
      <xdr:row>206</xdr:row>
      <xdr:rowOff>0</xdr:rowOff>
    </xdr:from>
    <xdr:to>
      <xdr:col>2</xdr:col>
      <xdr:colOff>9525</xdr:colOff>
      <xdr:row>206</xdr:row>
      <xdr:rowOff>609600</xdr:rowOff>
    </xdr:to>
    <xdr:pic>
      <xdr:nvPicPr>
        <xdr:cNvPr id="370" name="Picture 100"/>
        <xdr:cNvPicPr>
          <a:picLocks noChangeAspect="1" noChangeArrowheads="1"/>
        </xdr:cNvPicPr>
      </xdr:nvPicPr>
      <xdr:blipFill>
        <a:blip xmlns:r="http://schemas.openxmlformats.org/officeDocument/2006/relationships" r:embed="rId143" cstate="print"/>
        <a:srcRect/>
        <a:stretch>
          <a:fillRect/>
        </a:stretch>
      </xdr:blipFill>
      <xdr:spPr bwMode="auto">
        <a:xfrm>
          <a:off x="247650" y="106003725"/>
          <a:ext cx="552450" cy="609600"/>
        </a:xfrm>
        <a:prstGeom prst="rect">
          <a:avLst/>
        </a:prstGeom>
        <a:noFill/>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141</xdr:row>
      <xdr:rowOff>0</xdr:rowOff>
    </xdr:from>
    <xdr:to>
      <xdr:col>1</xdr:col>
      <xdr:colOff>28575</xdr:colOff>
      <xdr:row>141</xdr:row>
      <xdr:rowOff>9525</xdr:rowOff>
    </xdr:to>
    <xdr:pic>
      <xdr:nvPicPr>
        <xdr:cNvPr id="138" name="Picture 142" descr="bb"/>
        <xdr:cNvPicPr>
          <a:picLocks noChangeAspect="1" noChangeArrowheads="1"/>
        </xdr:cNvPicPr>
      </xdr:nvPicPr>
      <xdr:blipFill>
        <a:blip xmlns:r="http://schemas.openxmlformats.org/officeDocument/2006/relationships" r:embed="rId1"/>
        <a:srcRect/>
        <a:stretch>
          <a:fillRect/>
        </a:stretch>
      </xdr:blipFill>
      <xdr:spPr bwMode="auto">
        <a:xfrm>
          <a:off x="228600" y="111099600"/>
          <a:ext cx="28575" cy="9525"/>
        </a:xfrm>
        <a:prstGeom prst="rect">
          <a:avLst/>
        </a:prstGeom>
        <a:noFill/>
        <a:ln w="9525">
          <a:noFill/>
          <a:miter lim="800000"/>
          <a:headEnd/>
          <a:tailEnd/>
        </a:ln>
      </xdr:spPr>
    </xdr:pic>
    <xdr:clientData/>
  </xdr:twoCellAnchor>
  <xdr:twoCellAnchor editAs="oneCell">
    <xdr:from>
      <xdr:col>3</xdr:col>
      <xdr:colOff>0</xdr:colOff>
      <xdr:row>141</xdr:row>
      <xdr:rowOff>0</xdr:rowOff>
    </xdr:from>
    <xdr:to>
      <xdr:col>3</xdr:col>
      <xdr:colOff>28575</xdr:colOff>
      <xdr:row>141</xdr:row>
      <xdr:rowOff>9525</xdr:rowOff>
    </xdr:to>
    <xdr:pic>
      <xdr:nvPicPr>
        <xdr:cNvPr id="139" name="Picture 143" descr="bb"/>
        <xdr:cNvPicPr>
          <a:picLocks noChangeAspect="1" noChangeArrowheads="1"/>
        </xdr:cNvPicPr>
      </xdr:nvPicPr>
      <xdr:blipFill>
        <a:blip xmlns:r="http://schemas.openxmlformats.org/officeDocument/2006/relationships" r:embed="rId1"/>
        <a:srcRect/>
        <a:stretch>
          <a:fillRect/>
        </a:stretch>
      </xdr:blipFill>
      <xdr:spPr bwMode="auto">
        <a:xfrm>
          <a:off x="10715625" y="111099600"/>
          <a:ext cx="28575" cy="9525"/>
        </a:xfrm>
        <a:prstGeom prst="rect">
          <a:avLst/>
        </a:prstGeom>
        <a:noFill/>
        <a:ln w="9525">
          <a:noFill/>
          <a:miter lim="800000"/>
          <a:headEnd/>
          <a:tailEnd/>
        </a:ln>
      </xdr:spPr>
    </xdr:pic>
    <xdr:clientData/>
  </xdr:twoCellAnchor>
  <xdr:twoCellAnchor editAs="oneCell">
    <xdr:from>
      <xdr:col>1</xdr:col>
      <xdr:colOff>0</xdr:colOff>
      <xdr:row>141</xdr:row>
      <xdr:rowOff>0</xdr:rowOff>
    </xdr:from>
    <xdr:to>
      <xdr:col>1</xdr:col>
      <xdr:colOff>28575</xdr:colOff>
      <xdr:row>141</xdr:row>
      <xdr:rowOff>9525</xdr:rowOff>
    </xdr:to>
    <xdr:pic>
      <xdr:nvPicPr>
        <xdr:cNvPr id="140" name="Picture 144" descr="bb"/>
        <xdr:cNvPicPr>
          <a:picLocks noChangeAspect="1" noChangeArrowheads="1"/>
        </xdr:cNvPicPr>
      </xdr:nvPicPr>
      <xdr:blipFill>
        <a:blip xmlns:r="http://schemas.openxmlformats.org/officeDocument/2006/relationships" r:embed="rId1"/>
        <a:srcRect/>
        <a:stretch>
          <a:fillRect/>
        </a:stretch>
      </xdr:blipFill>
      <xdr:spPr bwMode="auto">
        <a:xfrm>
          <a:off x="228600" y="111099600"/>
          <a:ext cx="28575" cy="9525"/>
        </a:xfrm>
        <a:prstGeom prst="rect">
          <a:avLst/>
        </a:prstGeom>
        <a:noFill/>
        <a:ln w="9525">
          <a:noFill/>
          <a:miter lim="800000"/>
          <a:headEnd/>
          <a:tailEnd/>
        </a:ln>
      </xdr:spPr>
    </xdr:pic>
    <xdr:clientData/>
  </xdr:twoCellAnchor>
  <xdr:twoCellAnchor editAs="oneCell">
    <xdr:from>
      <xdr:col>3</xdr:col>
      <xdr:colOff>0</xdr:colOff>
      <xdr:row>141</xdr:row>
      <xdr:rowOff>0</xdr:rowOff>
    </xdr:from>
    <xdr:to>
      <xdr:col>3</xdr:col>
      <xdr:colOff>28575</xdr:colOff>
      <xdr:row>141</xdr:row>
      <xdr:rowOff>9525</xdr:rowOff>
    </xdr:to>
    <xdr:pic>
      <xdr:nvPicPr>
        <xdr:cNvPr id="141" name="Picture 145" descr="bb"/>
        <xdr:cNvPicPr>
          <a:picLocks noChangeAspect="1" noChangeArrowheads="1"/>
        </xdr:cNvPicPr>
      </xdr:nvPicPr>
      <xdr:blipFill>
        <a:blip xmlns:r="http://schemas.openxmlformats.org/officeDocument/2006/relationships" r:embed="rId1"/>
        <a:srcRect/>
        <a:stretch>
          <a:fillRect/>
        </a:stretch>
      </xdr:blipFill>
      <xdr:spPr bwMode="auto">
        <a:xfrm>
          <a:off x="10715625" y="111099600"/>
          <a:ext cx="28575" cy="9525"/>
        </a:xfrm>
        <a:prstGeom prst="rect">
          <a:avLst/>
        </a:prstGeom>
        <a:noFill/>
        <a:ln w="9525">
          <a:noFill/>
          <a:miter lim="800000"/>
          <a:headEnd/>
          <a:tailEnd/>
        </a:ln>
      </xdr:spPr>
    </xdr:pic>
    <xdr:clientData/>
  </xdr:twoCellAnchor>
  <xdr:twoCellAnchor editAs="oneCell">
    <xdr:from>
      <xdr:col>1</xdr:col>
      <xdr:colOff>0</xdr:colOff>
      <xdr:row>141</xdr:row>
      <xdr:rowOff>0</xdr:rowOff>
    </xdr:from>
    <xdr:to>
      <xdr:col>1</xdr:col>
      <xdr:colOff>28575</xdr:colOff>
      <xdr:row>141</xdr:row>
      <xdr:rowOff>9525</xdr:rowOff>
    </xdr:to>
    <xdr:pic>
      <xdr:nvPicPr>
        <xdr:cNvPr id="142" name="Picture 146" descr="bb"/>
        <xdr:cNvPicPr>
          <a:picLocks noChangeAspect="1" noChangeArrowheads="1"/>
        </xdr:cNvPicPr>
      </xdr:nvPicPr>
      <xdr:blipFill>
        <a:blip xmlns:r="http://schemas.openxmlformats.org/officeDocument/2006/relationships" r:embed="rId1"/>
        <a:srcRect/>
        <a:stretch>
          <a:fillRect/>
        </a:stretch>
      </xdr:blipFill>
      <xdr:spPr bwMode="auto">
        <a:xfrm>
          <a:off x="228600" y="111099600"/>
          <a:ext cx="28575" cy="9525"/>
        </a:xfrm>
        <a:prstGeom prst="rect">
          <a:avLst/>
        </a:prstGeom>
        <a:noFill/>
        <a:ln w="9525">
          <a:noFill/>
          <a:miter lim="800000"/>
          <a:headEnd/>
          <a:tailEnd/>
        </a:ln>
      </xdr:spPr>
    </xdr:pic>
    <xdr:clientData/>
  </xdr:twoCellAnchor>
  <xdr:twoCellAnchor editAs="oneCell">
    <xdr:from>
      <xdr:col>3</xdr:col>
      <xdr:colOff>0</xdr:colOff>
      <xdr:row>141</xdr:row>
      <xdr:rowOff>0</xdr:rowOff>
    </xdr:from>
    <xdr:to>
      <xdr:col>3</xdr:col>
      <xdr:colOff>28575</xdr:colOff>
      <xdr:row>141</xdr:row>
      <xdr:rowOff>9525</xdr:rowOff>
    </xdr:to>
    <xdr:pic>
      <xdr:nvPicPr>
        <xdr:cNvPr id="143" name="Picture 147" descr="bb"/>
        <xdr:cNvPicPr>
          <a:picLocks noChangeAspect="1" noChangeArrowheads="1"/>
        </xdr:cNvPicPr>
      </xdr:nvPicPr>
      <xdr:blipFill>
        <a:blip xmlns:r="http://schemas.openxmlformats.org/officeDocument/2006/relationships" r:embed="rId1"/>
        <a:srcRect/>
        <a:stretch>
          <a:fillRect/>
        </a:stretch>
      </xdr:blipFill>
      <xdr:spPr bwMode="auto">
        <a:xfrm>
          <a:off x="10715625" y="111099600"/>
          <a:ext cx="28575" cy="9525"/>
        </a:xfrm>
        <a:prstGeom prst="rect">
          <a:avLst/>
        </a:prstGeom>
        <a:noFill/>
        <a:ln w="9525">
          <a:noFill/>
          <a:miter lim="800000"/>
          <a:headEnd/>
          <a:tailEnd/>
        </a:ln>
      </xdr:spPr>
    </xdr:pic>
    <xdr:clientData/>
  </xdr:twoCellAnchor>
  <xdr:twoCellAnchor editAs="oneCell">
    <xdr:from>
      <xdr:col>1</xdr:col>
      <xdr:colOff>0</xdr:colOff>
      <xdr:row>141</xdr:row>
      <xdr:rowOff>0</xdr:rowOff>
    </xdr:from>
    <xdr:to>
      <xdr:col>1</xdr:col>
      <xdr:colOff>28575</xdr:colOff>
      <xdr:row>141</xdr:row>
      <xdr:rowOff>9525</xdr:rowOff>
    </xdr:to>
    <xdr:pic>
      <xdr:nvPicPr>
        <xdr:cNvPr id="144" name="Picture 148" descr="bb"/>
        <xdr:cNvPicPr>
          <a:picLocks noChangeAspect="1" noChangeArrowheads="1"/>
        </xdr:cNvPicPr>
      </xdr:nvPicPr>
      <xdr:blipFill>
        <a:blip xmlns:r="http://schemas.openxmlformats.org/officeDocument/2006/relationships" r:embed="rId1"/>
        <a:srcRect/>
        <a:stretch>
          <a:fillRect/>
        </a:stretch>
      </xdr:blipFill>
      <xdr:spPr bwMode="auto">
        <a:xfrm>
          <a:off x="228600" y="111099600"/>
          <a:ext cx="28575" cy="9525"/>
        </a:xfrm>
        <a:prstGeom prst="rect">
          <a:avLst/>
        </a:prstGeom>
        <a:noFill/>
        <a:ln w="9525">
          <a:noFill/>
          <a:miter lim="800000"/>
          <a:headEnd/>
          <a:tailEnd/>
        </a:ln>
      </xdr:spPr>
    </xdr:pic>
    <xdr:clientData/>
  </xdr:twoCellAnchor>
  <xdr:twoCellAnchor editAs="oneCell">
    <xdr:from>
      <xdr:col>3</xdr:col>
      <xdr:colOff>0</xdr:colOff>
      <xdr:row>141</xdr:row>
      <xdr:rowOff>0</xdr:rowOff>
    </xdr:from>
    <xdr:to>
      <xdr:col>3</xdr:col>
      <xdr:colOff>28575</xdr:colOff>
      <xdr:row>141</xdr:row>
      <xdr:rowOff>9525</xdr:rowOff>
    </xdr:to>
    <xdr:pic>
      <xdr:nvPicPr>
        <xdr:cNvPr id="145" name="Picture 149" descr="bb"/>
        <xdr:cNvPicPr>
          <a:picLocks noChangeAspect="1" noChangeArrowheads="1"/>
        </xdr:cNvPicPr>
      </xdr:nvPicPr>
      <xdr:blipFill>
        <a:blip xmlns:r="http://schemas.openxmlformats.org/officeDocument/2006/relationships" r:embed="rId1"/>
        <a:srcRect/>
        <a:stretch>
          <a:fillRect/>
        </a:stretch>
      </xdr:blipFill>
      <xdr:spPr bwMode="auto">
        <a:xfrm>
          <a:off x="10715625" y="111099600"/>
          <a:ext cx="28575" cy="9525"/>
        </a:xfrm>
        <a:prstGeom prst="rect">
          <a:avLst/>
        </a:prstGeom>
        <a:noFill/>
        <a:ln w="9525">
          <a:noFill/>
          <a:miter lim="800000"/>
          <a:headEnd/>
          <a:tailEnd/>
        </a:ln>
      </xdr:spPr>
    </xdr:pic>
    <xdr:clientData/>
  </xdr:twoCellAnchor>
  <xdr:twoCellAnchor editAs="oneCell">
    <xdr:from>
      <xdr:col>1</xdr:col>
      <xdr:colOff>0</xdr:colOff>
      <xdr:row>141</xdr:row>
      <xdr:rowOff>0</xdr:rowOff>
    </xdr:from>
    <xdr:to>
      <xdr:col>1</xdr:col>
      <xdr:colOff>28575</xdr:colOff>
      <xdr:row>141</xdr:row>
      <xdr:rowOff>9525</xdr:rowOff>
    </xdr:to>
    <xdr:pic>
      <xdr:nvPicPr>
        <xdr:cNvPr id="146" name="Picture 150" descr="bb"/>
        <xdr:cNvPicPr>
          <a:picLocks noChangeAspect="1" noChangeArrowheads="1"/>
        </xdr:cNvPicPr>
      </xdr:nvPicPr>
      <xdr:blipFill>
        <a:blip xmlns:r="http://schemas.openxmlformats.org/officeDocument/2006/relationships" r:embed="rId1"/>
        <a:srcRect/>
        <a:stretch>
          <a:fillRect/>
        </a:stretch>
      </xdr:blipFill>
      <xdr:spPr bwMode="auto">
        <a:xfrm>
          <a:off x="228600" y="111099600"/>
          <a:ext cx="28575" cy="9525"/>
        </a:xfrm>
        <a:prstGeom prst="rect">
          <a:avLst/>
        </a:prstGeom>
        <a:noFill/>
        <a:ln w="9525">
          <a:noFill/>
          <a:miter lim="800000"/>
          <a:headEnd/>
          <a:tailEnd/>
        </a:ln>
      </xdr:spPr>
    </xdr:pic>
    <xdr:clientData/>
  </xdr:twoCellAnchor>
  <xdr:twoCellAnchor editAs="oneCell">
    <xdr:from>
      <xdr:col>3</xdr:col>
      <xdr:colOff>0</xdr:colOff>
      <xdr:row>141</xdr:row>
      <xdr:rowOff>0</xdr:rowOff>
    </xdr:from>
    <xdr:to>
      <xdr:col>3</xdr:col>
      <xdr:colOff>28575</xdr:colOff>
      <xdr:row>141</xdr:row>
      <xdr:rowOff>9525</xdr:rowOff>
    </xdr:to>
    <xdr:pic>
      <xdr:nvPicPr>
        <xdr:cNvPr id="147" name="Picture 151" descr="bb"/>
        <xdr:cNvPicPr>
          <a:picLocks noChangeAspect="1" noChangeArrowheads="1"/>
        </xdr:cNvPicPr>
      </xdr:nvPicPr>
      <xdr:blipFill>
        <a:blip xmlns:r="http://schemas.openxmlformats.org/officeDocument/2006/relationships" r:embed="rId1"/>
        <a:srcRect/>
        <a:stretch>
          <a:fillRect/>
        </a:stretch>
      </xdr:blipFill>
      <xdr:spPr bwMode="auto">
        <a:xfrm>
          <a:off x="10715625" y="111099600"/>
          <a:ext cx="28575" cy="9525"/>
        </a:xfrm>
        <a:prstGeom prst="rect">
          <a:avLst/>
        </a:prstGeom>
        <a:noFill/>
        <a:ln w="9525">
          <a:noFill/>
          <a:miter lim="800000"/>
          <a:headEnd/>
          <a:tailEnd/>
        </a:ln>
      </xdr:spPr>
    </xdr:pic>
    <xdr:clientData/>
  </xdr:twoCellAnchor>
  <xdr:twoCellAnchor editAs="oneCell">
    <xdr:from>
      <xdr:col>1</xdr:col>
      <xdr:colOff>0</xdr:colOff>
      <xdr:row>141</xdr:row>
      <xdr:rowOff>0</xdr:rowOff>
    </xdr:from>
    <xdr:to>
      <xdr:col>1</xdr:col>
      <xdr:colOff>28575</xdr:colOff>
      <xdr:row>141</xdr:row>
      <xdr:rowOff>9525</xdr:rowOff>
    </xdr:to>
    <xdr:pic>
      <xdr:nvPicPr>
        <xdr:cNvPr id="148" name="Picture 152" descr="bb"/>
        <xdr:cNvPicPr>
          <a:picLocks noChangeAspect="1" noChangeArrowheads="1"/>
        </xdr:cNvPicPr>
      </xdr:nvPicPr>
      <xdr:blipFill>
        <a:blip xmlns:r="http://schemas.openxmlformats.org/officeDocument/2006/relationships" r:embed="rId1"/>
        <a:srcRect/>
        <a:stretch>
          <a:fillRect/>
        </a:stretch>
      </xdr:blipFill>
      <xdr:spPr bwMode="auto">
        <a:xfrm>
          <a:off x="228600" y="111099600"/>
          <a:ext cx="28575" cy="9525"/>
        </a:xfrm>
        <a:prstGeom prst="rect">
          <a:avLst/>
        </a:prstGeom>
        <a:noFill/>
        <a:ln w="9525">
          <a:noFill/>
          <a:miter lim="800000"/>
          <a:headEnd/>
          <a:tailEnd/>
        </a:ln>
      </xdr:spPr>
    </xdr:pic>
    <xdr:clientData/>
  </xdr:twoCellAnchor>
  <xdr:twoCellAnchor editAs="oneCell">
    <xdr:from>
      <xdr:col>3</xdr:col>
      <xdr:colOff>0</xdr:colOff>
      <xdr:row>141</xdr:row>
      <xdr:rowOff>0</xdr:rowOff>
    </xdr:from>
    <xdr:to>
      <xdr:col>3</xdr:col>
      <xdr:colOff>28575</xdr:colOff>
      <xdr:row>141</xdr:row>
      <xdr:rowOff>9525</xdr:rowOff>
    </xdr:to>
    <xdr:pic>
      <xdr:nvPicPr>
        <xdr:cNvPr id="149" name="Picture 153" descr="bb"/>
        <xdr:cNvPicPr>
          <a:picLocks noChangeAspect="1" noChangeArrowheads="1"/>
        </xdr:cNvPicPr>
      </xdr:nvPicPr>
      <xdr:blipFill>
        <a:blip xmlns:r="http://schemas.openxmlformats.org/officeDocument/2006/relationships" r:embed="rId1"/>
        <a:srcRect/>
        <a:stretch>
          <a:fillRect/>
        </a:stretch>
      </xdr:blipFill>
      <xdr:spPr bwMode="auto">
        <a:xfrm>
          <a:off x="10715625" y="111099600"/>
          <a:ext cx="28575" cy="9525"/>
        </a:xfrm>
        <a:prstGeom prst="rect">
          <a:avLst/>
        </a:prstGeom>
        <a:noFill/>
        <a:ln w="9525">
          <a:noFill/>
          <a:miter lim="800000"/>
          <a:headEnd/>
          <a:tailEnd/>
        </a:ln>
      </xdr:spPr>
    </xdr:pic>
    <xdr:clientData/>
  </xdr:twoCellAnchor>
  <xdr:twoCellAnchor editAs="oneCell">
    <xdr:from>
      <xdr:col>2</xdr:col>
      <xdr:colOff>0</xdr:colOff>
      <xdr:row>141</xdr:row>
      <xdr:rowOff>0</xdr:rowOff>
    </xdr:from>
    <xdr:to>
      <xdr:col>2</xdr:col>
      <xdr:colOff>28575</xdr:colOff>
      <xdr:row>141</xdr:row>
      <xdr:rowOff>9525</xdr:rowOff>
    </xdr:to>
    <xdr:pic>
      <xdr:nvPicPr>
        <xdr:cNvPr id="150" name="Picture 154" descr="bb"/>
        <xdr:cNvPicPr>
          <a:picLocks noChangeAspect="1" noChangeArrowheads="1"/>
        </xdr:cNvPicPr>
      </xdr:nvPicPr>
      <xdr:blipFill>
        <a:blip xmlns:r="http://schemas.openxmlformats.org/officeDocument/2006/relationships" r:embed="rId1"/>
        <a:srcRect/>
        <a:stretch>
          <a:fillRect/>
        </a:stretch>
      </xdr:blipFill>
      <xdr:spPr bwMode="auto">
        <a:xfrm>
          <a:off x="5391150" y="111099600"/>
          <a:ext cx="28575" cy="9525"/>
        </a:xfrm>
        <a:prstGeom prst="rect">
          <a:avLst/>
        </a:prstGeom>
        <a:noFill/>
        <a:ln w="9525">
          <a:noFill/>
          <a:miter lim="800000"/>
          <a:headEnd/>
          <a:tailEnd/>
        </a:ln>
      </xdr:spPr>
    </xdr:pic>
    <xdr:clientData/>
  </xdr:twoCellAnchor>
  <xdr:twoCellAnchor editAs="oneCell">
    <xdr:from>
      <xdr:col>2</xdr:col>
      <xdr:colOff>0</xdr:colOff>
      <xdr:row>141</xdr:row>
      <xdr:rowOff>0</xdr:rowOff>
    </xdr:from>
    <xdr:to>
      <xdr:col>2</xdr:col>
      <xdr:colOff>28575</xdr:colOff>
      <xdr:row>141</xdr:row>
      <xdr:rowOff>9525</xdr:rowOff>
    </xdr:to>
    <xdr:pic>
      <xdr:nvPicPr>
        <xdr:cNvPr id="151" name="Picture 155" descr="bb"/>
        <xdr:cNvPicPr>
          <a:picLocks noChangeAspect="1" noChangeArrowheads="1"/>
        </xdr:cNvPicPr>
      </xdr:nvPicPr>
      <xdr:blipFill>
        <a:blip xmlns:r="http://schemas.openxmlformats.org/officeDocument/2006/relationships" r:embed="rId1"/>
        <a:srcRect/>
        <a:stretch>
          <a:fillRect/>
        </a:stretch>
      </xdr:blipFill>
      <xdr:spPr bwMode="auto">
        <a:xfrm>
          <a:off x="5391150" y="111099600"/>
          <a:ext cx="28575" cy="9525"/>
        </a:xfrm>
        <a:prstGeom prst="rect">
          <a:avLst/>
        </a:prstGeom>
        <a:noFill/>
        <a:ln w="9525">
          <a:noFill/>
          <a:miter lim="800000"/>
          <a:headEnd/>
          <a:tailEnd/>
        </a:ln>
      </xdr:spPr>
    </xdr:pic>
    <xdr:clientData/>
  </xdr:twoCellAnchor>
  <xdr:twoCellAnchor editAs="oneCell">
    <xdr:from>
      <xdr:col>2</xdr:col>
      <xdr:colOff>0</xdr:colOff>
      <xdr:row>141</xdr:row>
      <xdr:rowOff>0</xdr:rowOff>
    </xdr:from>
    <xdr:to>
      <xdr:col>2</xdr:col>
      <xdr:colOff>28575</xdr:colOff>
      <xdr:row>141</xdr:row>
      <xdr:rowOff>9525</xdr:rowOff>
    </xdr:to>
    <xdr:pic>
      <xdr:nvPicPr>
        <xdr:cNvPr id="152" name="Picture 156" descr="bb"/>
        <xdr:cNvPicPr>
          <a:picLocks noChangeAspect="1" noChangeArrowheads="1"/>
        </xdr:cNvPicPr>
      </xdr:nvPicPr>
      <xdr:blipFill>
        <a:blip xmlns:r="http://schemas.openxmlformats.org/officeDocument/2006/relationships" r:embed="rId1"/>
        <a:srcRect/>
        <a:stretch>
          <a:fillRect/>
        </a:stretch>
      </xdr:blipFill>
      <xdr:spPr bwMode="auto">
        <a:xfrm>
          <a:off x="5391150" y="111099600"/>
          <a:ext cx="28575" cy="9525"/>
        </a:xfrm>
        <a:prstGeom prst="rect">
          <a:avLst/>
        </a:prstGeom>
        <a:noFill/>
        <a:ln w="9525">
          <a:noFill/>
          <a:miter lim="800000"/>
          <a:headEnd/>
          <a:tailEnd/>
        </a:ln>
      </xdr:spPr>
    </xdr:pic>
    <xdr:clientData/>
  </xdr:twoCellAnchor>
  <xdr:twoCellAnchor editAs="oneCell">
    <xdr:from>
      <xdr:col>2</xdr:col>
      <xdr:colOff>0</xdr:colOff>
      <xdr:row>141</xdr:row>
      <xdr:rowOff>0</xdr:rowOff>
    </xdr:from>
    <xdr:to>
      <xdr:col>2</xdr:col>
      <xdr:colOff>28575</xdr:colOff>
      <xdr:row>141</xdr:row>
      <xdr:rowOff>9525</xdr:rowOff>
    </xdr:to>
    <xdr:pic>
      <xdr:nvPicPr>
        <xdr:cNvPr id="153" name="Picture 157" descr="bb"/>
        <xdr:cNvPicPr>
          <a:picLocks noChangeAspect="1" noChangeArrowheads="1"/>
        </xdr:cNvPicPr>
      </xdr:nvPicPr>
      <xdr:blipFill>
        <a:blip xmlns:r="http://schemas.openxmlformats.org/officeDocument/2006/relationships" r:embed="rId1"/>
        <a:srcRect/>
        <a:stretch>
          <a:fillRect/>
        </a:stretch>
      </xdr:blipFill>
      <xdr:spPr bwMode="auto">
        <a:xfrm>
          <a:off x="5391150" y="111099600"/>
          <a:ext cx="28575" cy="9525"/>
        </a:xfrm>
        <a:prstGeom prst="rect">
          <a:avLst/>
        </a:prstGeom>
        <a:noFill/>
        <a:ln w="9525">
          <a:noFill/>
          <a:miter lim="800000"/>
          <a:headEnd/>
          <a:tailEnd/>
        </a:ln>
      </xdr:spPr>
    </xdr:pic>
    <xdr:clientData/>
  </xdr:twoCellAnchor>
  <xdr:twoCellAnchor editAs="oneCell">
    <xdr:from>
      <xdr:col>2</xdr:col>
      <xdr:colOff>0</xdr:colOff>
      <xdr:row>141</xdr:row>
      <xdr:rowOff>0</xdr:rowOff>
    </xdr:from>
    <xdr:to>
      <xdr:col>2</xdr:col>
      <xdr:colOff>28575</xdr:colOff>
      <xdr:row>141</xdr:row>
      <xdr:rowOff>9525</xdr:rowOff>
    </xdr:to>
    <xdr:pic>
      <xdr:nvPicPr>
        <xdr:cNvPr id="154" name="Picture 158" descr="bb"/>
        <xdr:cNvPicPr>
          <a:picLocks noChangeAspect="1" noChangeArrowheads="1"/>
        </xdr:cNvPicPr>
      </xdr:nvPicPr>
      <xdr:blipFill>
        <a:blip xmlns:r="http://schemas.openxmlformats.org/officeDocument/2006/relationships" r:embed="rId1"/>
        <a:srcRect/>
        <a:stretch>
          <a:fillRect/>
        </a:stretch>
      </xdr:blipFill>
      <xdr:spPr bwMode="auto">
        <a:xfrm>
          <a:off x="5391150" y="111099600"/>
          <a:ext cx="28575" cy="9525"/>
        </a:xfrm>
        <a:prstGeom prst="rect">
          <a:avLst/>
        </a:prstGeom>
        <a:noFill/>
        <a:ln w="9525">
          <a:noFill/>
          <a:miter lim="800000"/>
          <a:headEnd/>
          <a:tailEnd/>
        </a:ln>
      </xdr:spPr>
    </xdr:pic>
    <xdr:clientData/>
  </xdr:twoCellAnchor>
  <xdr:twoCellAnchor editAs="oneCell">
    <xdr:from>
      <xdr:col>2</xdr:col>
      <xdr:colOff>0</xdr:colOff>
      <xdr:row>141</xdr:row>
      <xdr:rowOff>0</xdr:rowOff>
    </xdr:from>
    <xdr:to>
      <xdr:col>2</xdr:col>
      <xdr:colOff>28575</xdr:colOff>
      <xdr:row>141</xdr:row>
      <xdr:rowOff>9525</xdr:rowOff>
    </xdr:to>
    <xdr:pic>
      <xdr:nvPicPr>
        <xdr:cNvPr id="155" name="Picture 159" descr="bb"/>
        <xdr:cNvPicPr>
          <a:picLocks noChangeAspect="1" noChangeArrowheads="1"/>
        </xdr:cNvPicPr>
      </xdr:nvPicPr>
      <xdr:blipFill>
        <a:blip xmlns:r="http://schemas.openxmlformats.org/officeDocument/2006/relationships" r:embed="rId1"/>
        <a:srcRect/>
        <a:stretch>
          <a:fillRect/>
        </a:stretch>
      </xdr:blipFill>
      <xdr:spPr bwMode="auto">
        <a:xfrm>
          <a:off x="5391150" y="111099600"/>
          <a:ext cx="28575" cy="9525"/>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1</xdr:col>
      <xdr:colOff>28575</xdr:colOff>
      <xdr:row>37</xdr:row>
      <xdr:rowOff>9525</xdr:rowOff>
    </xdr:to>
    <xdr:pic>
      <xdr:nvPicPr>
        <xdr:cNvPr id="92" name="Picture 142" descr="bb"/>
        <xdr:cNvPicPr>
          <a:picLocks noChangeAspect="1" noChangeArrowheads="1"/>
        </xdr:cNvPicPr>
      </xdr:nvPicPr>
      <xdr:blipFill>
        <a:blip xmlns:r="http://schemas.openxmlformats.org/officeDocument/2006/relationships" r:embed="rId1"/>
        <a:srcRect/>
        <a:stretch>
          <a:fillRect/>
        </a:stretch>
      </xdr:blipFill>
      <xdr:spPr bwMode="auto">
        <a:xfrm>
          <a:off x="247650" y="113423700"/>
          <a:ext cx="28575" cy="9525"/>
        </a:xfrm>
        <a:prstGeom prst="rect">
          <a:avLst/>
        </a:prstGeom>
        <a:noFill/>
        <a:ln w="9525">
          <a:noFill/>
          <a:miter lim="800000"/>
          <a:headEnd/>
          <a:tailEnd/>
        </a:ln>
      </xdr:spPr>
    </xdr:pic>
    <xdr:clientData/>
  </xdr:twoCellAnchor>
  <xdr:twoCellAnchor editAs="oneCell">
    <xdr:from>
      <xdr:col>8</xdr:col>
      <xdr:colOff>0</xdr:colOff>
      <xdr:row>37</xdr:row>
      <xdr:rowOff>0</xdr:rowOff>
    </xdr:from>
    <xdr:to>
      <xdr:col>8</xdr:col>
      <xdr:colOff>28575</xdr:colOff>
      <xdr:row>37</xdr:row>
      <xdr:rowOff>9525</xdr:rowOff>
    </xdr:to>
    <xdr:pic>
      <xdr:nvPicPr>
        <xdr:cNvPr id="93" name="Picture 143" descr="bb"/>
        <xdr:cNvPicPr>
          <a:picLocks noChangeAspect="1" noChangeArrowheads="1"/>
        </xdr:cNvPicPr>
      </xdr:nvPicPr>
      <xdr:blipFill>
        <a:blip xmlns:r="http://schemas.openxmlformats.org/officeDocument/2006/relationships" r:embed="rId1"/>
        <a:srcRect/>
        <a:stretch>
          <a:fillRect/>
        </a:stretch>
      </xdr:blipFill>
      <xdr:spPr bwMode="auto">
        <a:xfrm>
          <a:off x="10734675" y="113423700"/>
          <a:ext cx="28575" cy="9525"/>
        </a:xfrm>
        <a:prstGeom prst="rect">
          <a:avLst/>
        </a:prstGeom>
        <a:noFill/>
        <a:ln w="9525">
          <a:noFill/>
          <a:miter lim="800000"/>
          <a:headEnd/>
          <a:tailEnd/>
        </a:ln>
      </xdr:spPr>
    </xdr:pic>
    <xdr:clientData/>
  </xdr:twoCellAnchor>
  <xdr:twoCellAnchor editAs="oneCell">
    <xdr:from>
      <xdr:col>1</xdr:col>
      <xdr:colOff>0</xdr:colOff>
      <xdr:row>37</xdr:row>
      <xdr:rowOff>0</xdr:rowOff>
    </xdr:from>
    <xdr:to>
      <xdr:col>1</xdr:col>
      <xdr:colOff>28575</xdr:colOff>
      <xdr:row>37</xdr:row>
      <xdr:rowOff>9525</xdr:rowOff>
    </xdr:to>
    <xdr:pic>
      <xdr:nvPicPr>
        <xdr:cNvPr id="94" name="Picture 144" descr="bb"/>
        <xdr:cNvPicPr>
          <a:picLocks noChangeAspect="1" noChangeArrowheads="1"/>
        </xdr:cNvPicPr>
      </xdr:nvPicPr>
      <xdr:blipFill>
        <a:blip xmlns:r="http://schemas.openxmlformats.org/officeDocument/2006/relationships" r:embed="rId1"/>
        <a:srcRect/>
        <a:stretch>
          <a:fillRect/>
        </a:stretch>
      </xdr:blipFill>
      <xdr:spPr bwMode="auto">
        <a:xfrm>
          <a:off x="247650" y="113423700"/>
          <a:ext cx="28575" cy="9525"/>
        </a:xfrm>
        <a:prstGeom prst="rect">
          <a:avLst/>
        </a:prstGeom>
        <a:noFill/>
        <a:ln w="9525">
          <a:noFill/>
          <a:miter lim="800000"/>
          <a:headEnd/>
          <a:tailEnd/>
        </a:ln>
      </xdr:spPr>
    </xdr:pic>
    <xdr:clientData/>
  </xdr:twoCellAnchor>
  <xdr:twoCellAnchor editAs="oneCell">
    <xdr:from>
      <xdr:col>8</xdr:col>
      <xdr:colOff>0</xdr:colOff>
      <xdr:row>37</xdr:row>
      <xdr:rowOff>0</xdr:rowOff>
    </xdr:from>
    <xdr:to>
      <xdr:col>8</xdr:col>
      <xdr:colOff>28575</xdr:colOff>
      <xdr:row>37</xdr:row>
      <xdr:rowOff>9525</xdr:rowOff>
    </xdr:to>
    <xdr:pic>
      <xdr:nvPicPr>
        <xdr:cNvPr id="95" name="Picture 145" descr="bb"/>
        <xdr:cNvPicPr>
          <a:picLocks noChangeAspect="1" noChangeArrowheads="1"/>
        </xdr:cNvPicPr>
      </xdr:nvPicPr>
      <xdr:blipFill>
        <a:blip xmlns:r="http://schemas.openxmlformats.org/officeDocument/2006/relationships" r:embed="rId1"/>
        <a:srcRect/>
        <a:stretch>
          <a:fillRect/>
        </a:stretch>
      </xdr:blipFill>
      <xdr:spPr bwMode="auto">
        <a:xfrm>
          <a:off x="10734675" y="113423700"/>
          <a:ext cx="28575" cy="9525"/>
        </a:xfrm>
        <a:prstGeom prst="rect">
          <a:avLst/>
        </a:prstGeom>
        <a:noFill/>
        <a:ln w="9525">
          <a:noFill/>
          <a:miter lim="800000"/>
          <a:headEnd/>
          <a:tailEnd/>
        </a:ln>
      </xdr:spPr>
    </xdr:pic>
    <xdr:clientData/>
  </xdr:twoCellAnchor>
  <xdr:twoCellAnchor editAs="oneCell">
    <xdr:from>
      <xdr:col>1</xdr:col>
      <xdr:colOff>0</xdr:colOff>
      <xdr:row>37</xdr:row>
      <xdr:rowOff>0</xdr:rowOff>
    </xdr:from>
    <xdr:to>
      <xdr:col>1</xdr:col>
      <xdr:colOff>28575</xdr:colOff>
      <xdr:row>37</xdr:row>
      <xdr:rowOff>9525</xdr:rowOff>
    </xdr:to>
    <xdr:pic>
      <xdr:nvPicPr>
        <xdr:cNvPr id="96" name="Picture 146" descr="bb"/>
        <xdr:cNvPicPr>
          <a:picLocks noChangeAspect="1" noChangeArrowheads="1"/>
        </xdr:cNvPicPr>
      </xdr:nvPicPr>
      <xdr:blipFill>
        <a:blip xmlns:r="http://schemas.openxmlformats.org/officeDocument/2006/relationships" r:embed="rId1"/>
        <a:srcRect/>
        <a:stretch>
          <a:fillRect/>
        </a:stretch>
      </xdr:blipFill>
      <xdr:spPr bwMode="auto">
        <a:xfrm>
          <a:off x="247650" y="113423700"/>
          <a:ext cx="28575" cy="9525"/>
        </a:xfrm>
        <a:prstGeom prst="rect">
          <a:avLst/>
        </a:prstGeom>
        <a:noFill/>
        <a:ln w="9525">
          <a:noFill/>
          <a:miter lim="800000"/>
          <a:headEnd/>
          <a:tailEnd/>
        </a:ln>
      </xdr:spPr>
    </xdr:pic>
    <xdr:clientData/>
  </xdr:twoCellAnchor>
  <xdr:twoCellAnchor editAs="oneCell">
    <xdr:from>
      <xdr:col>8</xdr:col>
      <xdr:colOff>0</xdr:colOff>
      <xdr:row>37</xdr:row>
      <xdr:rowOff>0</xdr:rowOff>
    </xdr:from>
    <xdr:to>
      <xdr:col>8</xdr:col>
      <xdr:colOff>28575</xdr:colOff>
      <xdr:row>37</xdr:row>
      <xdr:rowOff>9525</xdr:rowOff>
    </xdr:to>
    <xdr:pic>
      <xdr:nvPicPr>
        <xdr:cNvPr id="97" name="Picture 147" descr="bb"/>
        <xdr:cNvPicPr>
          <a:picLocks noChangeAspect="1" noChangeArrowheads="1"/>
        </xdr:cNvPicPr>
      </xdr:nvPicPr>
      <xdr:blipFill>
        <a:blip xmlns:r="http://schemas.openxmlformats.org/officeDocument/2006/relationships" r:embed="rId1"/>
        <a:srcRect/>
        <a:stretch>
          <a:fillRect/>
        </a:stretch>
      </xdr:blipFill>
      <xdr:spPr bwMode="auto">
        <a:xfrm>
          <a:off x="10734675" y="113423700"/>
          <a:ext cx="28575" cy="9525"/>
        </a:xfrm>
        <a:prstGeom prst="rect">
          <a:avLst/>
        </a:prstGeom>
        <a:noFill/>
        <a:ln w="9525">
          <a:noFill/>
          <a:miter lim="800000"/>
          <a:headEnd/>
          <a:tailEnd/>
        </a:ln>
      </xdr:spPr>
    </xdr:pic>
    <xdr:clientData/>
  </xdr:twoCellAnchor>
  <xdr:twoCellAnchor editAs="oneCell">
    <xdr:from>
      <xdr:col>1</xdr:col>
      <xdr:colOff>0</xdr:colOff>
      <xdr:row>37</xdr:row>
      <xdr:rowOff>0</xdr:rowOff>
    </xdr:from>
    <xdr:to>
      <xdr:col>1</xdr:col>
      <xdr:colOff>28575</xdr:colOff>
      <xdr:row>37</xdr:row>
      <xdr:rowOff>9525</xdr:rowOff>
    </xdr:to>
    <xdr:pic>
      <xdr:nvPicPr>
        <xdr:cNvPr id="98" name="Picture 148" descr="bb"/>
        <xdr:cNvPicPr>
          <a:picLocks noChangeAspect="1" noChangeArrowheads="1"/>
        </xdr:cNvPicPr>
      </xdr:nvPicPr>
      <xdr:blipFill>
        <a:blip xmlns:r="http://schemas.openxmlformats.org/officeDocument/2006/relationships" r:embed="rId1"/>
        <a:srcRect/>
        <a:stretch>
          <a:fillRect/>
        </a:stretch>
      </xdr:blipFill>
      <xdr:spPr bwMode="auto">
        <a:xfrm>
          <a:off x="247650" y="113423700"/>
          <a:ext cx="28575" cy="9525"/>
        </a:xfrm>
        <a:prstGeom prst="rect">
          <a:avLst/>
        </a:prstGeom>
        <a:noFill/>
        <a:ln w="9525">
          <a:noFill/>
          <a:miter lim="800000"/>
          <a:headEnd/>
          <a:tailEnd/>
        </a:ln>
      </xdr:spPr>
    </xdr:pic>
    <xdr:clientData/>
  </xdr:twoCellAnchor>
  <xdr:twoCellAnchor editAs="oneCell">
    <xdr:from>
      <xdr:col>8</xdr:col>
      <xdr:colOff>0</xdr:colOff>
      <xdr:row>37</xdr:row>
      <xdr:rowOff>0</xdr:rowOff>
    </xdr:from>
    <xdr:to>
      <xdr:col>8</xdr:col>
      <xdr:colOff>28575</xdr:colOff>
      <xdr:row>37</xdr:row>
      <xdr:rowOff>9525</xdr:rowOff>
    </xdr:to>
    <xdr:pic>
      <xdr:nvPicPr>
        <xdr:cNvPr id="99" name="Picture 149" descr="bb"/>
        <xdr:cNvPicPr>
          <a:picLocks noChangeAspect="1" noChangeArrowheads="1"/>
        </xdr:cNvPicPr>
      </xdr:nvPicPr>
      <xdr:blipFill>
        <a:blip xmlns:r="http://schemas.openxmlformats.org/officeDocument/2006/relationships" r:embed="rId1"/>
        <a:srcRect/>
        <a:stretch>
          <a:fillRect/>
        </a:stretch>
      </xdr:blipFill>
      <xdr:spPr bwMode="auto">
        <a:xfrm>
          <a:off x="10734675" y="113423700"/>
          <a:ext cx="28575" cy="9525"/>
        </a:xfrm>
        <a:prstGeom prst="rect">
          <a:avLst/>
        </a:prstGeom>
        <a:noFill/>
        <a:ln w="9525">
          <a:noFill/>
          <a:miter lim="800000"/>
          <a:headEnd/>
          <a:tailEnd/>
        </a:ln>
      </xdr:spPr>
    </xdr:pic>
    <xdr:clientData/>
  </xdr:twoCellAnchor>
  <xdr:twoCellAnchor editAs="oneCell">
    <xdr:from>
      <xdr:col>1</xdr:col>
      <xdr:colOff>0</xdr:colOff>
      <xdr:row>37</xdr:row>
      <xdr:rowOff>0</xdr:rowOff>
    </xdr:from>
    <xdr:to>
      <xdr:col>1</xdr:col>
      <xdr:colOff>28575</xdr:colOff>
      <xdr:row>37</xdr:row>
      <xdr:rowOff>9525</xdr:rowOff>
    </xdr:to>
    <xdr:pic>
      <xdr:nvPicPr>
        <xdr:cNvPr id="100" name="Picture 150" descr="bb"/>
        <xdr:cNvPicPr>
          <a:picLocks noChangeAspect="1" noChangeArrowheads="1"/>
        </xdr:cNvPicPr>
      </xdr:nvPicPr>
      <xdr:blipFill>
        <a:blip xmlns:r="http://schemas.openxmlformats.org/officeDocument/2006/relationships" r:embed="rId1"/>
        <a:srcRect/>
        <a:stretch>
          <a:fillRect/>
        </a:stretch>
      </xdr:blipFill>
      <xdr:spPr bwMode="auto">
        <a:xfrm>
          <a:off x="247650" y="113423700"/>
          <a:ext cx="28575" cy="9525"/>
        </a:xfrm>
        <a:prstGeom prst="rect">
          <a:avLst/>
        </a:prstGeom>
        <a:noFill/>
        <a:ln w="9525">
          <a:noFill/>
          <a:miter lim="800000"/>
          <a:headEnd/>
          <a:tailEnd/>
        </a:ln>
      </xdr:spPr>
    </xdr:pic>
    <xdr:clientData/>
  </xdr:twoCellAnchor>
  <xdr:twoCellAnchor editAs="oneCell">
    <xdr:from>
      <xdr:col>8</xdr:col>
      <xdr:colOff>0</xdr:colOff>
      <xdr:row>37</xdr:row>
      <xdr:rowOff>0</xdr:rowOff>
    </xdr:from>
    <xdr:to>
      <xdr:col>8</xdr:col>
      <xdr:colOff>28575</xdr:colOff>
      <xdr:row>37</xdr:row>
      <xdr:rowOff>9525</xdr:rowOff>
    </xdr:to>
    <xdr:pic>
      <xdr:nvPicPr>
        <xdr:cNvPr id="101" name="Picture 151" descr="bb"/>
        <xdr:cNvPicPr>
          <a:picLocks noChangeAspect="1" noChangeArrowheads="1"/>
        </xdr:cNvPicPr>
      </xdr:nvPicPr>
      <xdr:blipFill>
        <a:blip xmlns:r="http://schemas.openxmlformats.org/officeDocument/2006/relationships" r:embed="rId1"/>
        <a:srcRect/>
        <a:stretch>
          <a:fillRect/>
        </a:stretch>
      </xdr:blipFill>
      <xdr:spPr bwMode="auto">
        <a:xfrm>
          <a:off x="10734675" y="113423700"/>
          <a:ext cx="28575" cy="9525"/>
        </a:xfrm>
        <a:prstGeom prst="rect">
          <a:avLst/>
        </a:prstGeom>
        <a:noFill/>
        <a:ln w="9525">
          <a:noFill/>
          <a:miter lim="800000"/>
          <a:headEnd/>
          <a:tailEnd/>
        </a:ln>
      </xdr:spPr>
    </xdr:pic>
    <xdr:clientData/>
  </xdr:twoCellAnchor>
  <xdr:twoCellAnchor editAs="oneCell">
    <xdr:from>
      <xdr:col>1</xdr:col>
      <xdr:colOff>0</xdr:colOff>
      <xdr:row>37</xdr:row>
      <xdr:rowOff>0</xdr:rowOff>
    </xdr:from>
    <xdr:to>
      <xdr:col>1</xdr:col>
      <xdr:colOff>28575</xdr:colOff>
      <xdr:row>37</xdr:row>
      <xdr:rowOff>9525</xdr:rowOff>
    </xdr:to>
    <xdr:pic>
      <xdr:nvPicPr>
        <xdr:cNvPr id="102" name="Picture 152" descr="bb"/>
        <xdr:cNvPicPr>
          <a:picLocks noChangeAspect="1" noChangeArrowheads="1"/>
        </xdr:cNvPicPr>
      </xdr:nvPicPr>
      <xdr:blipFill>
        <a:blip xmlns:r="http://schemas.openxmlformats.org/officeDocument/2006/relationships" r:embed="rId1"/>
        <a:srcRect/>
        <a:stretch>
          <a:fillRect/>
        </a:stretch>
      </xdr:blipFill>
      <xdr:spPr bwMode="auto">
        <a:xfrm>
          <a:off x="247650" y="113423700"/>
          <a:ext cx="28575" cy="9525"/>
        </a:xfrm>
        <a:prstGeom prst="rect">
          <a:avLst/>
        </a:prstGeom>
        <a:noFill/>
        <a:ln w="9525">
          <a:noFill/>
          <a:miter lim="800000"/>
          <a:headEnd/>
          <a:tailEnd/>
        </a:ln>
      </xdr:spPr>
    </xdr:pic>
    <xdr:clientData/>
  </xdr:twoCellAnchor>
  <xdr:twoCellAnchor editAs="oneCell">
    <xdr:from>
      <xdr:col>8</xdr:col>
      <xdr:colOff>0</xdr:colOff>
      <xdr:row>37</xdr:row>
      <xdr:rowOff>0</xdr:rowOff>
    </xdr:from>
    <xdr:to>
      <xdr:col>8</xdr:col>
      <xdr:colOff>28575</xdr:colOff>
      <xdr:row>37</xdr:row>
      <xdr:rowOff>9525</xdr:rowOff>
    </xdr:to>
    <xdr:pic>
      <xdr:nvPicPr>
        <xdr:cNvPr id="103" name="Picture 153" descr="bb"/>
        <xdr:cNvPicPr>
          <a:picLocks noChangeAspect="1" noChangeArrowheads="1"/>
        </xdr:cNvPicPr>
      </xdr:nvPicPr>
      <xdr:blipFill>
        <a:blip xmlns:r="http://schemas.openxmlformats.org/officeDocument/2006/relationships" r:embed="rId1"/>
        <a:srcRect/>
        <a:stretch>
          <a:fillRect/>
        </a:stretch>
      </xdr:blipFill>
      <xdr:spPr bwMode="auto">
        <a:xfrm>
          <a:off x="10734675" y="113423700"/>
          <a:ext cx="28575" cy="9525"/>
        </a:xfrm>
        <a:prstGeom prst="rect">
          <a:avLst/>
        </a:prstGeom>
        <a:noFill/>
        <a:ln w="9525">
          <a:noFill/>
          <a:miter lim="800000"/>
          <a:headEnd/>
          <a:tailEnd/>
        </a:ln>
      </xdr:spPr>
    </xdr:pic>
    <xdr:clientData/>
  </xdr:twoCellAnchor>
  <xdr:twoCellAnchor editAs="oneCell">
    <xdr:from>
      <xdr:col>6</xdr:col>
      <xdr:colOff>0</xdr:colOff>
      <xdr:row>37</xdr:row>
      <xdr:rowOff>0</xdr:rowOff>
    </xdr:from>
    <xdr:to>
      <xdr:col>6</xdr:col>
      <xdr:colOff>28575</xdr:colOff>
      <xdr:row>37</xdr:row>
      <xdr:rowOff>9525</xdr:rowOff>
    </xdr:to>
    <xdr:pic>
      <xdr:nvPicPr>
        <xdr:cNvPr id="104" name="Picture 154" descr="bb"/>
        <xdr:cNvPicPr>
          <a:picLocks noChangeAspect="1" noChangeArrowheads="1"/>
        </xdr:cNvPicPr>
      </xdr:nvPicPr>
      <xdr:blipFill>
        <a:blip xmlns:r="http://schemas.openxmlformats.org/officeDocument/2006/relationships" r:embed="rId1"/>
        <a:srcRect/>
        <a:stretch>
          <a:fillRect/>
        </a:stretch>
      </xdr:blipFill>
      <xdr:spPr bwMode="auto">
        <a:xfrm>
          <a:off x="5410200" y="113423700"/>
          <a:ext cx="28575" cy="9525"/>
        </a:xfrm>
        <a:prstGeom prst="rect">
          <a:avLst/>
        </a:prstGeom>
        <a:noFill/>
        <a:ln w="9525">
          <a:noFill/>
          <a:miter lim="800000"/>
          <a:headEnd/>
          <a:tailEnd/>
        </a:ln>
      </xdr:spPr>
    </xdr:pic>
    <xdr:clientData/>
  </xdr:twoCellAnchor>
  <xdr:twoCellAnchor editAs="oneCell">
    <xdr:from>
      <xdr:col>6</xdr:col>
      <xdr:colOff>0</xdr:colOff>
      <xdr:row>37</xdr:row>
      <xdr:rowOff>0</xdr:rowOff>
    </xdr:from>
    <xdr:to>
      <xdr:col>6</xdr:col>
      <xdr:colOff>28575</xdr:colOff>
      <xdr:row>37</xdr:row>
      <xdr:rowOff>9525</xdr:rowOff>
    </xdr:to>
    <xdr:pic>
      <xdr:nvPicPr>
        <xdr:cNvPr id="105" name="Picture 155" descr="bb"/>
        <xdr:cNvPicPr>
          <a:picLocks noChangeAspect="1" noChangeArrowheads="1"/>
        </xdr:cNvPicPr>
      </xdr:nvPicPr>
      <xdr:blipFill>
        <a:blip xmlns:r="http://schemas.openxmlformats.org/officeDocument/2006/relationships" r:embed="rId1"/>
        <a:srcRect/>
        <a:stretch>
          <a:fillRect/>
        </a:stretch>
      </xdr:blipFill>
      <xdr:spPr bwMode="auto">
        <a:xfrm>
          <a:off x="5410200" y="113423700"/>
          <a:ext cx="28575" cy="9525"/>
        </a:xfrm>
        <a:prstGeom prst="rect">
          <a:avLst/>
        </a:prstGeom>
        <a:noFill/>
        <a:ln w="9525">
          <a:noFill/>
          <a:miter lim="800000"/>
          <a:headEnd/>
          <a:tailEnd/>
        </a:ln>
      </xdr:spPr>
    </xdr:pic>
    <xdr:clientData/>
  </xdr:twoCellAnchor>
  <xdr:twoCellAnchor editAs="oneCell">
    <xdr:from>
      <xdr:col>6</xdr:col>
      <xdr:colOff>0</xdr:colOff>
      <xdr:row>37</xdr:row>
      <xdr:rowOff>0</xdr:rowOff>
    </xdr:from>
    <xdr:to>
      <xdr:col>6</xdr:col>
      <xdr:colOff>28575</xdr:colOff>
      <xdr:row>37</xdr:row>
      <xdr:rowOff>9525</xdr:rowOff>
    </xdr:to>
    <xdr:pic>
      <xdr:nvPicPr>
        <xdr:cNvPr id="106" name="Picture 156" descr="bb"/>
        <xdr:cNvPicPr>
          <a:picLocks noChangeAspect="1" noChangeArrowheads="1"/>
        </xdr:cNvPicPr>
      </xdr:nvPicPr>
      <xdr:blipFill>
        <a:blip xmlns:r="http://schemas.openxmlformats.org/officeDocument/2006/relationships" r:embed="rId1"/>
        <a:srcRect/>
        <a:stretch>
          <a:fillRect/>
        </a:stretch>
      </xdr:blipFill>
      <xdr:spPr bwMode="auto">
        <a:xfrm>
          <a:off x="5410200" y="113423700"/>
          <a:ext cx="28575" cy="9525"/>
        </a:xfrm>
        <a:prstGeom prst="rect">
          <a:avLst/>
        </a:prstGeom>
        <a:noFill/>
        <a:ln w="9525">
          <a:noFill/>
          <a:miter lim="800000"/>
          <a:headEnd/>
          <a:tailEnd/>
        </a:ln>
      </xdr:spPr>
    </xdr:pic>
    <xdr:clientData/>
  </xdr:twoCellAnchor>
  <xdr:twoCellAnchor editAs="oneCell">
    <xdr:from>
      <xdr:col>6</xdr:col>
      <xdr:colOff>0</xdr:colOff>
      <xdr:row>37</xdr:row>
      <xdr:rowOff>0</xdr:rowOff>
    </xdr:from>
    <xdr:to>
      <xdr:col>6</xdr:col>
      <xdr:colOff>28575</xdr:colOff>
      <xdr:row>37</xdr:row>
      <xdr:rowOff>9525</xdr:rowOff>
    </xdr:to>
    <xdr:pic>
      <xdr:nvPicPr>
        <xdr:cNvPr id="107" name="Picture 157" descr="bb"/>
        <xdr:cNvPicPr>
          <a:picLocks noChangeAspect="1" noChangeArrowheads="1"/>
        </xdr:cNvPicPr>
      </xdr:nvPicPr>
      <xdr:blipFill>
        <a:blip xmlns:r="http://schemas.openxmlformats.org/officeDocument/2006/relationships" r:embed="rId1"/>
        <a:srcRect/>
        <a:stretch>
          <a:fillRect/>
        </a:stretch>
      </xdr:blipFill>
      <xdr:spPr bwMode="auto">
        <a:xfrm>
          <a:off x="5410200" y="113423700"/>
          <a:ext cx="28575" cy="9525"/>
        </a:xfrm>
        <a:prstGeom prst="rect">
          <a:avLst/>
        </a:prstGeom>
        <a:noFill/>
        <a:ln w="9525">
          <a:noFill/>
          <a:miter lim="800000"/>
          <a:headEnd/>
          <a:tailEnd/>
        </a:ln>
      </xdr:spPr>
    </xdr:pic>
    <xdr:clientData/>
  </xdr:twoCellAnchor>
  <xdr:twoCellAnchor editAs="oneCell">
    <xdr:from>
      <xdr:col>6</xdr:col>
      <xdr:colOff>0</xdr:colOff>
      <xdr:row>37</xdr:row>
      <xdr:rowOff>0</xdr:rowOff>
    </xdr:from>
    <xdr:to>
      <xdr:col>6</xdr:col>
      <xdr:colOff>28575</xdr:colOff>
      <xdr:row>37</xdr:row>
      <xdr:rowOff>9525</xdr:rowOff>
    </xdr:to>
    <xdr:pic>
      <xdr:nvPicPr>
        <xdr:cNvPr id="108" name="Picture 158" descr="bb"/>
        <xdr:cNvPicPr>
          <a:picLocks noChangeAspect="1" noChangeArrowheads="1"/>
        </xdr:cNvPicPr>
      </xdr:nvPicPr>
      <xdr:blipFill>
        <a:blip xmlns:r="http://schemas.openxmlformats.org/officeDocument/2006/relationships" r:embed="rId1"/>
        <a:srcRect/>
        <a:stretch>
          <a:fillRect/>
        </a:stretch>
      </xdr:blipFill>
      <xdr:spPr bwMode="auto">
        <a:xfrm>
          <a:off x="5410200" y="113423700"/>
          <a:ext cx="28575" cy="9525"/>
        </a:xfrm>
        <a:prstGeom prst="rect">
          <a:avLst/>
        </a:prstGeom>
        <a:noFill/>
        <a:ln w="9525">
          <a:noFill/>
          <a:miter lim="800000"/>
          <a:headEnd/>
          <a:tailEnd/>
        </a:ln>
      </xdr:spPr>
    </xdr:pic>
    <xdr:clientData/>
  </xdr:twoCellAnchor>
  <xdr:twoCellAnchor editAs="oneCell">
    <xdr:from>
      <xdr:col>6</xdr:col>
      <xdr:colOff>0</xdr:colOff>
      <xdr:row>37</xdr:row>
      <xdr:rowOff>0</xdr:rowOff>
    </xdr:from>
    <xdr:to>
      <xdr:col>6</xdr:col>
      <xdr:colOff>28575</xdr:colOff>
      <xdr:row>37</xdr:row>
      <xdr:rowOff>9525</xdr:rowOff>
    </xdr:to>
    <xdr:pic>
      <xdr:nvPicPr>
        <xdr:cNvPr id="109" name="Picture 159" descr="bb"/>
        <xdr:cNvPicPr>
          <a:picLocks noChangeAspect="1" noChangeArrowheads="1"/>
        </xdr:cNvPicPr>
      </xdr:nvPicPr>
      <xdr:blipFill>
        <a:blip xmlns:r="http://schemas.openxmlformats.org/officeDocument/2006/relationships" r:embed="rId1"/>
        <a:srcRect/>
        <a:stretch>
          <a:fillRect/>
        </a:stretch>
      </xdr:blipFill>
      <xdr:spPr bwMode="auto">
        <a:xfrm>
          <a:off x="5410200" y="113423700"/>
          <a:ext cx="28575" cy="9525"/>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0</xdr:colOff>
      <xdr:row>16</xdr:row>
      <xdr:rowOff>123825</xdr:rowOff>
    </xdr:to>
    <xdr:pic>
      <xdr:nvPicPr>
        <xdr:cNvPr id="21" name="Picture 28"/>
        <xdr:cNvPicPr>
          <a:picLocks noChangeAspect="1" noChangeArrowheads="1"/>
        </xdr:cNvPicPr>
      </xdr:nvPicPr>
      <xdr:blipFill>
        <a:blip xmlns:r="http://schemas.openxmlformats.org/officeDocument/2006/relationships" r:embed="rId2" cstate="print"/>
        <a:srcRect/>
        <a:stretch>
          <a:fillRect/>
        </a:stretch>
      </xdr:blipFill>
      <xdr:spPr bwMode="auto">
        <a:xfrm>
          <a:off x="8210550" y="2438400"/>
          <a:ext cx="552450" cy="609600"/>
        </a:xfrm>
        <a:prstGeom prst="rect">
          <a:avLst/>
        </a:prstGeom>
        <a:noFill/>
      </xdr:spPr>
    </xdr:pic>
    <xdr:clientData/>
  </xdr:twoCellAnchor>
  <xdr:twoCellAnchor editAs="oneCell">
    <xdr:from>
      <xdr:col>7</xdr:col>
      <xdr:colOff>0</xdr:colOff>
      <xdr:row>17</xdr:row>
      <xdr:rowOff>0</xdr:rowOff>
    </xdr:from>
    <xdr:to>
      <xdr:col>8</xdr:col>
      <xdr:colOff>0</xdr:colOff>
      <xdr:row>18</xdr:row>
      <xdr:rowOff>285750</xdr:rowOff>
    </xdr:to>
    <xdr:pic>
      <xdr:nvPicPr>
        <xdr:cNvPr id="22" name="Picture 34"/>
        <xdr:cNvPicPr>
          <a:picLocks noChangeAspect="1" noChangeArrowheads="1"/>
        </xdr:cNvPicPr>
      </xdr:nvPicPr>
      <xdr:blipFill>
        <a:blip xmlns:r="http://schemas.openxmlformats.org/officeDocument/2006/relationships" r:embed="rId3" cstate="print"/>
        <a:srcRect/>
        <a:stretch>
          <a:fillRect/>
        </a:stretch>
      </xdr:blipFill>
      <xdr:spPr bwMode="auto">
        <a:xfrm>
          <a:off x="8210550" y="3248025"/>
          <a:ext cx="552450" cy="609600"/>
        </a:xfrm>
        <a:prstGeom prst="rect">
          <a:avLst/>
        </a:prstGeom>
        <a:noFill/>
      </xdr:spPr>
    </xdr:pic>
    <xdr:clientData/>
  </xdr:twoCellAnchor>
  <xdr:twoCellAnchor editAs="oneCell">
    <xdr:from>
      <xdr:col>7</xdr:col>
      <xdr:colOff>0</xdr:colOff>
      <xdr:row>19</xdr:row>
      <xdr:rowOff>0</xdr:rowOff>
    </xdr:from>
    <xdr:to>
      <xdr:col>8</xdr:col>
      <xdr:colOff>0</xdr:colOff>
      <xdr:row>20</xdr:row>
      <xdr:rowOff>285750</xdr:rowOff>
    </xdr:to>
    <xdr:pic>
      <xdr:nvPicPr>
        <xdr:cNvPr id="23" name="Picture 70" descr="medal"/>
        <xdr:cNvPicPr>
          <a:picLocks noChangeAspect="1" noChangeArrowheads="1"/>
        </xdr:cNvPicPr>
      </xdr:nvPicPr>
      <xdr:blipFill>
        <a:blip xmlns:r="http://schemas.openxmlformats.org/officeDocument/2006/relationships" r:embed="rId4" cstate="print"/>
        <a:srcRect/>
        <a:stretch>
          <a:fillRect/>
        </a:stretch>
      </xdr:blipFill>
      <xdr:spPr bwMode="auto">
        <a:xfrm>
          <a:off x="8210550" y="4067175"/>
          <a:ext cx="552450" cy="609600"/>
        </a:xfrm>
        <a:prstGeom prst="rect">
          <a:avLst/>
        </a:prstGeom>
        <a:noFill/>
        <a:ln w="9525">
          <a:noFill/>
          <a:miter lim="800000"/>
          <a:headEnd/>
          <a:tailEnd/>
        </a:ln>
      </xdr:spPr>
    </xdr:pic>
    <xdr:clientData/>
  </xdr:twoCellAnchor>
  <xdr:twoCellAnchor editAs="oneCell">
    <xdr:from>
      <xdr:col>7</xdr:col>
      <xdr:colOff>0</xdr:colOff>
      <xdr:row>20</xdr:row>
      <xdr:rowOff>419100</xdr:rowOff>
    </xdr:from>
    <xdr:to>
      <xdr:col>8</xdr:col>
      <xdr:colOff>0</xdr:colOff>
      <xdr:row>23</xdr:row>
      <xdr:rowOff>47625</xdr:rowOff>
    </xdr:to>
    <xdr:pic>
      <xdr:nvPicPr>
        <xdr:cNvPr id="24" name="Picture 91" descr="cloak"/>
        <xdr:cNvPicPr>
          <a:picLocks noChangeAspect="1" noChangeArrowheads="1"/>
        </xdr:cNvPicPr>
      </xdr:nvPicPr>
      <xdr:blipFill>
        <a:blip xmlns:r="http://schemas.openxmlformats.org/officeDocument/2006/relationships" r:embed="rId5" cstate="print"/>
        <a:srcRect/>
        <a:stretch>
          <a:fillRect/>
        </a:stretch>
      </xdr:blipFill>
      <xdr:spPr bwMode="auto">
        <a:xfrm>
          <a:off x="8210550" y="4810125"/>
          <a:ext cx="552450" cy="609600"/>
        </a:xfrm>
        <a:prstGeom prst="rect">
          <a:avLst/>
        </a:prstGeom>
        <a:noFill/>
        <a:ln w="9525">
          <a:noFill/>
          <a:miter lim="800000"/>
          <a:headEnd/>
          <a:tailEnd/>
        </a:ln>
      </xdr:spPr>
    </xdr:pic>
    <xdr:clientData/>
  </xdr:twoCellAnchor>
  <xdr:twoCellAnchor editAs="oneCell">
    <xdr:from>
      <xdr:col>7</xdr:col>
      <xdr:colOff>0</xdr:colOff>
      <xdr:row>26</xdr:row>
      <xdr:rowOff>0</xdr:rowOff>
    </xdr:from>
    <xdr:to>
      <xdr:col>8</xdr:col>
      <xdr:colOff>0</xdr:colOff>
      <xdr:row>27</xdr:row>
      <xdr:rowOff>285750</xdr:rowOff>
    </xdr:to>
    <xdr:pic>
      <xdr:nvPicPr>
        <xdr:cNvPr id="25" name="Picture 73" descr="charm"/>
        <xdr:cNvPicPr>
          <a:picLocks noChangeAspect="1" noChangeArrowheads="1"/>
        </xdr:cNvPicPr>
      </xdr:nvPicPr>
      <xdr:blipFill>
        <a:blip xmlns:r="http://schemas.openxmlformats.org/officeDocument/2006/relationships" r:embed="rId6" cstate="print"/>
        <a:srcRect/>
        <a:stretch>
          <a:fillRect/>
        </a:stretch>
      </xdr:blipFill>
      <xdr:spPr bwMode="auto">
        <a:xfrm>
          <a:off x="8210550" y="6086475"/>
          <a:ext cx="552450" cy="609600"/>
        </a:xfrm>
        <a:prstGeom prst="rect">
          <a:avLst/>
        </a:prstGeom>
        <a:noFill/>
        <a:ln w="9525">
          <a:noFill/>
          <a:miter lim="800000"/>
          <a:headEnd/>
          <a:tailEnd/>
        </a:ln>
      </xdr:spPr>
    </xdr:pic>
    <xdr:clientData/>
  </xdr:twoCellAnchor>
  <xdr:twoCellAnchor editAs="oneCell">
    <xdr:from>
      <xdr:col>7</xdr:col>
      <xdr:colOff>0</xdr:colOff>
      <xdr:row>28</xdr:row>
      <xdr:rowOff>0</xdr:rowOff>
    </xdr:from>
    <xdr:to>
      <xdr:col>8</xdr:col>
      <xdr:colOff>0</xdr:colOff>
      <xdr:row>29</xdr:row>
      <xdr:rowOff>123825</xdr:rowOff>
    </xdr:to>
    <xdr:pic>
      <xdr:nvPicPr>
        <xdr:cNvPr id="26" name="Picture 111" descr="crystal"/>
        <xdr:cNvPicPr>
          <a:picLocks noChangeAspect="1" noChangeArrowheads="1"/>
        </xdr:cNvPicPr>
      </xdr:nvPicPr>
      <xdr:blipFill>
        <a:blip xmlns:r="http://schemas.openxmlformats.org/officeDocument/2006/relationships" r:embed="rId7" cstate="print"/>
        <a:srcRect/>
        <a:stretch>
          <a:fillRect/>
        </a:stretch>
      </xdr:blipFill>
      <xdr:spPr bwMode="auto">
        <a:xfrm>
          <a:off x="8210550" y="6734175"/>
          <a:ext cx="552450" cy="619125"/>
        </a:xfrm>
        <a:prstGeom prst="rect">
          <a:avLst/>
        </a:prstGeom>
        <a:noFill/>
        <a:ln w="9525">
          <a:noFill/>
          <a:miter lim="800000"/>
          <a:headEnd/>
          <a:tailEnd/>
        </a:ln>
      </xdr:spPr>
    </xdr:pic>
    <xdr:clientData/>
  </xdr:twoCellAnchor>
  <xdr:twoCellAnchor editAs="oneCell">
    <xdr:from>
      <xdr:col>7</xdr:col>
      <xdr:colOff>0</xdr:colOff>
      <xdr:row>29</xdr:row>
      <xdr:rowOff>161925</xdr:rowOff>
    </xdr:from>
    <xdr:to>
      <xdr:col>8</xdr:col>
      <xdr:colOff>0</xdr:colOff>
      <xdr:row>29</xdr:row>
      <xdr:rowOff>771525</xdr:rowOff>
    </xdr:to>
    <xdr:pic>
      <xdr:nvPicPr>
        <xdr:cNvPr id="27" name="Picture 70"/>
        <xdr:cNvPicPr>
          <a:picLocks noChangeAspect="1" noChangeArrowheads="1"/>
        </xdr:cNvPicPr>
      </xdr:nvPicPr>
      <xdr:blipFill>
        <a:blip xmlns:r="http://schemas.openxmlformats.org/officeDocument/2006/relationships" r:embed="rId8" cstate="print"/>
        <a:srcRect/>
        <a:stretch>
          <a:fillRect/>
        </a:stretch>
      </xdr:blipFill>
      <xdr:spPr bwMode="auto">
        <a:xfrm>
          <a:off x="8210550" y="7391400"/>
          <a:ext cx="552450" cy="609600"/>
        </a:xfrm>
        <a:prstGeom prst="rect">
          <a:avLst/>
        </a:prstGeom>
        <a:noFill/>
      </xdr:spPr>
    </xdr:pic>
    <xdr:clientData/>
  </xdr:twoCellAnchor>
  <xdr:twoCellAnchor editAs="oneCell">
    <xdr:from>
      <xdr:col>7</xdr:col>
      <xdr:colOff>0</xdr:colOff>
      <xdr:row>33</xdr:row>
      <xdr:rowOff>0</xdr:rowOff>
    </xdr:from>
    <xdr:to>
      <xdr:col>8</xdr:col>
      <xdr:colOff>0</xdr:colOff>
      <xdr:row>34</xdr:row>
      <xdr:rowOff>457200</xdr:rowOff>
    </xdr:to>
    <xdr:pic>
      <xdr:nvPicPr>
        <xdr:cNvPr id="28" name="Picture 56" descr="speculum"/>
        <xdr:cNvPicPr>
          <a:picLocks noChangeAspect="1" noChangeArrowheads="1"/>
        </xdr:cNvPicPr>
      </xdr:nvPicPr>
      <xdr:blipFill>
        <a:blip xmlns:r="http://schemas.openxmlformats.org/officeDocument/2006/relationships" r:embed="rId9" cstate="print"/>
        <a:srcRect/>
        <a:stretch>
          <a:fillRect/>
        </a:stretch>
      </xdr:blipFill>
      <xdr:spPr bwMode="auto">
        <a:xfrm>
          <a:off x="8210550" y="8591550"/>
          <a:ext cx="552450" cy="619125"/>
        </a:xfrm>
        <a:prstGeom prst="rect">
          <a:avLst/>
        </a:prstGeom>
        <a:noFill/>
        <a:ln w="9525">
          <a:noFill/>
          <a:miter lim="800000"/>
          <a:headEnd/>
          <a:tailEnd/>
        </a:ln>
      </xdr:spPr>
    </xdr:pic>
    <xdr:clientData/>
  </xdr:twoCellAnchor>
  <xdr:twoCellAnchor editAs="oneCell">
    <xdr:from>
      <xdr:col>7</xdr:col>
      <xdr:colOff>0</xdr:colOff>
      <xdr:row>35</xdr:row>
      <xdr:rowOff>0</xdr:rowOff>
    </xdr:from>
    <xdr:to>
      <xdr:col>8</xdr:col>
      <xdr:colOff>0</xdr:colOff>
      <xdr:row>36</xdr:row>
      <xdr:rowOff>285750</xdr:rowOff>
    </xdr:to>
    <xdr:pic>
      <xdr:nvPicPr>
        <xdr:cNvPr id="29" name="Picture 60"/>
        <xdr:cNvPicPr>
          <a:picLocks noChangeAspect="1" noChangeArrowheads="1"/>
        </xdr:cNvPicPr>
      </xdr:nvPicPr>
      <xdr:blipFill>
        <a:blip xmlns:r="http://schemas.openxmlformats.org/officeDocument/2006/relationships" r:embed="rId10" cstate="print"/>
        <a:srcRect/>
        <a:stretch>
          <a:fillRect/>
        </a:stretch>
      </xdr:blipFill>
      <xdr:spPr bwMode="auto">
        <a:xfrm>
          <a:off x="8210550" y="9248775"/>
          <a:ext cx="552450" cy="609600"/>
        </a:xfrm>
        <a:prstGeom prst="rect">
          <a:avLst/>
        </a:prstGeom>
        <a:noFill/>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5</xdr:col>
      <xdr:colOff>28575</xdr:colOff>
      <xdr:row>4</xdr:row>
      <xdr:rowOff>9525</xdr:rowOff>
    </xdr:to>
    <xdr:pic>
      <xdr:nvPicPr>
        <xdr:cNvPr id="3" name="Picture 143" descr="bb"/>
        <xdr:cNvPicPr>
          <a:picLocks noChangeAspect="1" noChangeArrowheads="1"/>
        </xdr:cNvPicPr>
      </xdr:nvPicPr>
      <xdr:blipFill>
        <a:blip xmlns:r="http://schemas.openxmlformats.org/officeDocument/2006/relationships" r:embed="rId1"/>
        <a:srcRect/>
        <a:stretch>
          <a:fillRect/>
        </a:stretch>
      </xdr:blipFill>
      <xdr:spPr bwMode="auto">
        <a:xfrm>
          <a:off x="8763000" y="9896475"/>
          <a:ext cx="28575" cy="9525"/>
        </a:xfrm>
        <a:prstGeom prst="rect">
          <a:avLst/>
        </a:prstGeom>
        <a:noFill/>
        <a:ln w="9525">
          <a:noFill/>
          <a:miter lim="800000"/>
          <a:headEnd/>
          <a:tailEnd/>
        </a:ln>
      </xdr:spPr>
    </xdr:pic>
    <xdr:clientData/>
  </xdr:twoCellAnchor>
  <xdr:twoCellAnchor editAs="oneCell">
    <xdr:from>
      <xdr:col>5</xdr:col>
      <xdr:colOff>0</xdr:colOff>
      <xdr:row>4</xdr:row>
      <xdr:rowOff>0</xdr:rowOff>
    </xdr:from>
    <xdr:to>
      <xdr:col>5</xdr:col>
      <xdr:colOff>28575</xdr:colOff>
      <xdr:row>4</xdr:row>
      <xdr:rowOff>9525</xdr:rowOff>
    </xdr:to>
    <xdr:pic>
      <xdr:nvPicPr>
        <xdr:cNvPr id="5" name="Picture 145" descr="bb"/>
        <xdr:cNvPicPr>
          <a:picLocks noChangeAspect="1" noChangeArrowheads="1"/>
        </xdr:cNvPicPr>
      </xdr:nvPicPr>
      <xdr:blipFill>
        <a:blip xmlns:r="http://schemas.openxmlformats.org/officeDocument/2006/relationships" r:embed="rId1"/>
        <a:srcRect/>
        <a:stretch>
          <a:fillRect/>
        </a:stretch>
      </xdr:blipFill>
      <xdr:spPr bwMode="auto">
        <a:xfrm>
          <a:off x="8763000" y="9896475"/>
          <a:ext cx="28575" cy="9525"/>
        </a:xfrm>
        <a:prstGeom prst="rect">
          <a:avLst/>
        </a:prstGeom>
        <a:noFill/>
        <a:ln w="9525">
          <a:noFill/>
          <a:miter lim="800000"/>
          <a:headEnd/>
          <a:tailEnd/>
        </a:ln>
      </xdr:spPr>
    </xdr:pic>
    <xdr:clientData/>
  </xdr:twoCellAnchor>
  <xdr:twoCellAnchor editAs="oneCell">
    <xdr:from>
      <xdr:col>5</xdr:col>
      <xdr:colOff>0</xdr:colOff>
      <xdr:row>4</xdr:row>
      <xdr:rowOff>0</xdr:rowOff>
    </xdr:from>
    <xdr:to>
      <xdr:col>5</xdr:col>
      <xdr:colOff>28575</xdr:colOff>
      <xdr:row>4</xdr:row>
      <xdr:rowOff>9525</xdr:rowOff>
    </xdr:to>
    <xdr:pic>
      <xdr:nvPicPr>
        <xdr:cNvPr id="7" name="Picture 147" descr="bb"/>
        <xdr:cNvPicPr>
          <a:picLocks noChangeAspect="1" noChangeArrowheads="1"/>
        </xdr:cNvPicPr>
      </xdr:nvPicPr>
      <xdr:blipFill>
        <a:blip xmlns:r="http://schemas.openxmlformats.org/officeDocument/2006/relationships" r:embed="rId1"/>
        <a:srcRect/>
        <a:stretch>
          <a:fillRect/>
        </a:stretch>
      </xdr:blipFill>
      <xdr:spPr bwMode="auto">
        <a:xfrm>
          <a:off x="8763000" y="9896475"/>
          <a:ext cx="28575" cy="9525"/>
        </a:xfrm>
        <a:prstGeom prst="rect">
          <a:avLst/>
        </a:prstGeom>
        <a:noFill/>
        <a:ln w="9525">
          <a:noFill/>
          <a:miter lim="800000"/>
          <a:headEnd/>
          <a:tailEnd/>
        </a:ln>
      </xdr:spPr>
    </xdr:pic>
    <xdr:clientData/>
  </xdr:twoCellAnchor>
  <xdr:twoCellAnchor editAs="oneCell">
    <xdr:from>
      <xdr:col>5</xdr:col>
      <xdr:colOff>0</xdr:colOff>
      <xdr:row>4</xdr:row>
      <xdr:rowOff>0</xdr:rowOff>
    </xdr:from>
    <xdr:to>
      <xdr:col>5</xdr:col>
      <xdr:colOff>28575</xdr:colOff>
      <xdr:row>4</xdr:row>
      <xdr:rowOff>9525</xdr:rowOff>
    </xdr:to>
    <xdr:pic>
      <xdr:nvPicPr>
        <xdr:cNvPr id="9" name="Picture 149" descr="bb"/>
        <xdr:cNvPicPr>
          <a:picLocks noChangeAspect="1" noChangeArrowheads="1"/>
        </xdr:cNvPicPr>
      </xdr:nvPicPr>
      <xdr:blipFill>
        <a:blip xmlns:r="http://schemas.openxmlformats.org/officeDocument/2006/relationships" r:embed="rId1"/>
        <a:srcRect/>
        <a:stretch>
          <a:fillRect/>
        </a:stretch>
      </xdr:blipFill>
      <xdr:spPr bwMode="auto">
        <a:xfrm>
          <a:off x="8763000" y="9896475"/>
          <a:ext cx="28575" cy="9525"/>
        </a:xfrm>
        <a:prstGeom prst="rect">
          <a:avLst/>
        </a:prstGeom>
        <a:noFill/>
        <a:ln w="9525">
          <a:noFill/>
          <a:miter lim="800000"/>
          <a:headEnd/>
          <a:tailEnd/>
        </a:ln>
      </xdr:spPr>
    </xdr:pic>
    <xdr:clientData/>
  </xdr:twoCellAnchor>
  <xdr:twoCellAnchor editAs="oneCell">
    <xdr:from>
      <xdr:col>5</xdr:col>
      <xdr:colOff>0</xdr:colOff>
      <xdr:row>4</xdr:row>
      <xdr:rowOff>0</xdr:rowOff>
    </xdr:from>
    <xdr:to>
      <xdr:col>5</xdr:col>
      <xdr:colOff>28575</xdr:colOff>
      <xdr:row>4</xdr:row>
      <xdr:rowOff>9525</xdr:rowOff>
    </xdr:to>
    <xdr:pic>
      <xdr:nvPicPr>
        <xdr:cNvPr id="11" name="Picture 151" descr="bb"/>
        <xdr:cNvPicPr>
          <a:picLocks noChangeAspect="1" noChangeArrowheads="1"/>
        </xdr:cNvPicPr>
      </xdr:nvPicPr>
      <xdr:blipFill>
        <a:blip xmlns:r="http://schemas.openxmlformats.org/officeDocument/2006/relationships" r:embed="rId1"/>
        <a:srcRect/>
        <a:stretch>
          <a:fillRect/>
        </a:stretch>
      </xdr:blipFill>
      <xdr:spPr bwMode="auto">
        <a:xfrm>
          <a:off x="8763000" y="9896475"/>
          <a:ext cx="28575" cy="9525"/>
        </a:xfrm>
        <a:prstGeom prst="rect">
          <a:avLst/>
        </a:prstGeom>
        <a:noFill/>
        <a:ln w="9525">
          <a:noFill/>
          <a:miter lim="800000"/>
          <a:headEnd/>
          <a:tailEnd/>
        </a:ln>
      </xdr:spPr>
    </xdr:pic>
    <xdr:clientData/>
  </xdr:twoCellAnchor>
  <xdr:twoCellAnchor editAs="oneCell">
    <xdr:from>
      <xdr:col>5</xdr:col>
      <xdr:colOff>0</xdr:colOff>
      <xdr:row>4</xdr:row>
      <xdr:rowOff>0</xdr:rowOff>
    </xdr:from>
    <xdr:to>
      <xdr:col>5</xdr:col>
      <xdr:colOff>28575</xdr:colOff>
      <xdr:row>4</xdr:row>
      <xdr:rowOff>9525</xdr:rowOff>
    </xdr:to>
    <xdr:pic>
      <xdr:nvPicPr>
        <xdr:cNvPr id="13" name="Picture 153" descr="bb"/>
        <xdr:cNvPicPr>
          <a:picLocks noChangeAspect="1" noChangeArrowheads="1"/>
        </xdr:cNvPicPr>
      </xdr:nvPicPr>
      <xdr:blipFill>
        <a:blip xmlns:r="http://schemas.openxmlformats.org/officeDocument/2006/relationships" r:embed="rId1"/>
        <a:srcRect/>
        <a:stretch>
          <a:fillRect/>
        </a:stretch>
      </xdr:blipFill>
      <xdr:spPr bwMode="auto">
        <a:xfrm>
          <a:off x="8763000" y="9896475"/>
          <a:ext cx="28575" cy="9525"/>
        </a:xfrm>
        <a:prstGeom prst="rect">
          <a:avLst/>
        </a:prstGeom>
        <a:noFill/>
        <a:ln w="9525">
          <a:noFill/>
          <a:miter lim="800000"/>
          <a:headEnd/>
          <a:tailEnd/>
        </a:ln>
      </xdr:spPr>
    </xdr:pic>
    <xdr:clientData/>
  </xdr:twoCellAnchor>
  <xdr:twoCellAnchor editAs="oneCell">
    <xdr:from>
      <xdr:col>5</xdr:col>
      <xdr:colOff>0</xdr:colOff>
      <xdr:row>4</xdr:row>
      <xdr:rowOff>0</xdr:rowOff>
    </xdr:from>
    <xdr:to>
      <xdr:col>5</xdr:col>
      <xdr:colOff>28575</xdr:colOff>
      <xdr:row>4</xdr:row>
      <xdr:rowOff>9525</xdr:rowOff>
    </xdr:to>
    <xdr:pic>
      <xdr:nvPicPr>
        <xdr:cNvPr id="14" name="Picture 154" descr="bb"/>
        <xdr:cNvPicPr>
          <a:picLocks noChangeAspect="1" noChangeArrowheads="1"/>
        </xdr:cNvPicPr>
      </xdr:nvPicPr>
      <xdr:blipFill>
        <a:blip xmlns:r="http://schemas.openxmlformats.org/officeDocument/2006/relationships" r:embed="rId1"/>
        <a:srcRect/>
        <a:stretch>
          <a:fillRect/>
        </a:stretch>
      </xdr:blipFill>
      <xdr:spPr bwMode="auto">
        <a:xfrm>
          <a:off x="5410200" y="9896475"/>
          <a:ext cx="28575" cy="9525"/>
        </a:xfrm>
        <a:prstGeom prst="rect">
          <a:avLst/>
        </a:prstGeom>
        <a:noFill/>
        <a:ln w="9525">
          <a:noFill/>
          <a:miter lim="800000"/>
          <a:headEnd/>
          <a:tailEnd/>
        </a:ln>
      </xdr:spPr>
    </xdr:pic>
    <xdr:clientData/>
  </xdr:twoCellAnchor>
  <xdr:twoCellAnchor editAs="oneCell">
    <xdr:from>
      <xdr:col>5</xdr:col>
      <xdr:colOff>0</xdr:colOff>
      <xdr:row>4</xdr:row>
      <xdr:rowOff>0</xdr:rowOff>
    </xdr:from>
    <xdr:to>
      <xdr:col>5</xdr:col>
      <xdr:colOff>28575</xdr:colOff>
      <xdr:row>4</xdr:row>
      <xdr:rowOff>9525</xdr:rowOff>
    </xdr:to>
    <xdr:pic>
      <xdr:nvPicPr>
        <xdr:cNvPr id="15" name="Picture 155" descr="bb"/>
        <xdr:cNvPicPr>
          <a:picLocks noChangeAspect="1" noChangeArrowheads="1"/>
        </xdr:cNvPicPr>
      </xdr:nvPicPr>
      <xdr:blipFill>
        <a:blip xmlns:r="http://schemas.openxmlformats.org/officeDocument/2006/relationships" r:embed="rId1"/>
        <a:srcRect/>
        <a:stretch>
          <a:fillRect/>
        </a:stretch>
      </xdr:blipFill>
      <xdr:spPr bwMode="auto">
        <a:xfrm>
          <a:off x="5410200" y="9896475"/>
          <a:ext cx="28575" cy="9525"/>
        </a:xfrm>
        <a:prstGeom prst="rect">
          <a:avLst/>
        </a:prstGeom>
        <a:noFill/>
        <a:ln w="9525">
          <a:noFill/>
          <a:miter lim="800000"/>
          <a:headEnd/>
          <a:tailEnd/>
        </a:ln>
      </xdr:spPr>
    </xdr:pic>
    <xdr:clientData/>
  </xdr:twoCellAnchor>
  <xdr:twoCellAnchor editAs="oneCell">
    <xdr:from>
      <xdr:col>5</xdr:col>
      <xdr:colOff>0</xdr:colOff>
      <xdr:row>4</xdr:row>
      <xdr:rowOff>0</xdr:rowOff>
    </xdr:from>
    <xdr:to>
      <xdr:col>5</xdr:col>
      <xdr:colOff>28575</xdr:colOff>
      <xdr:row>4</xdr:row>
      <xdr:rowOff>9525</xdr:rowOff>
    </xdr:to>
    <xdr:pic>
      <xdr:nvPicPr>
        <xdr:cNvPr id="16" name="Picture 156" descr="bb"/>
        <xdr:cNvPicPr>
          <a:picLocks noChangeAspect="1" noChangeArrowheads="1"/>
        </xdr:cNvPicPr>
      </xdr:nvPicPr>
      <xdr:blipFill>
        <a:blip xmlns:r="http://schemas.openxmlformats.org/officeDocument/2006/relationships" r:embed="rId1"/>
        <a:srcRect/>
        <a:stretch>
          <a:fillRect/>
        </a:stretch>
      </xdr:blipFill>
      <xdr:spPr bwMode="auto">
        <a:xfrm>
          <a:off x="5410200" y="9896475"/>
          <a:ext cx="28575" cy="9525"/>
        </a:xfrm>
        <a:prstGeom prst="rect">
          <a:avLst/>
        </a:prstGeom>
        <a:noFill/>
        <a:ln w="9525">
          <a:noFill/>
          <a:miter lim="800000"/>
          <a:headEnd/>
          <a:tailEnd/>
        </a:ln>
      </xdr:spPr>
    </xdr:pic>
    <xdr:clientData/>
  </xdr:twoCellAnchor>
  <xdr:twoCellAnchor editAs="oneCell">
    <xdr:from>
      <xdr:col>5</xdr:col>
      <xdr:colOff>0</xdr:colOff>
      <xdr:row>4</xdr:row>
      <xdr:rowOff>0</xdr:rowOff>
    </xdr:from>
    <xdr:to>
      <xdr:col>5</xdr:col>
      <xdr:colOff>28575</xdr:colOff>
      <xdr:row>4</xdr:row>
      <xdr:rowOff>9525</xdr:rowOff>
    </xdr:to>
    <xdr:pic>
      <xdr:nvPicPr>
        <xdr:cNvPr id="17" name="Picture 157" descr="bb"/>
        <xdr:cNvPicPr>
          <a:picLocks noChangeAspect="1" noChangeArrowheads="1"/>
        </xdr:cNvPicPr>
      </xdr:nvPicPr>
      <xdr:blipFill>
        <a:blip xmlns:r="http://schemas.openxmlformats.org/officeDocument/2006/relationships" r:embed="rId1"/>
        <a:srcRect/>
        <a:stretch>
          <a:fillRect/>
        </a:stretch>
      </xdr:blipFill>
      <xdr:spPr bwMode="auto">
        <a:xfrm>
          <a:off x="5410200" y="9896475"/>
          <a:ext cx="28575" cy="9525"/>
        </a:xfrm>
        <a:prstGeom prst="rect">
          <a:avLst/>
        </a:prstGeom>
        <a:noFill/>
        <a:ln w="9525">
          <a:noFill/>
          <a:miter lim="800000"/>
          <a:headEnd/>
          <a:tailEnd/>
        </a:ln>
      </xdr:spPr>
    </xdr:pic>
    <xdr:clientData/>
  </xdr:twoCellAnchor>
  <xdr:twoCellAnchor editAs="oneCell">
    <xdr:from>
      <xdr:col>5</xdr:col>
      <xdr:colOff>0</xdr:colOff>
      <xdr:row>4</xdr:row>
      <xdr:rowOff>0</xdr:rowOff>
    </xdr:from>
    <xdr:to>
      <xdr:col>5</xdr:col>
      <xdr:colOff>28575</xdr:colOff>
      <xdr:row>4</xdr:row>
      <xdr:rowOff>9525</xdr:rowOff>
    </xdr:to>
    <xdr:pic>
      <xdr:nvPicPr>
        <xdr:cNvPr id="18" name="Picture 158" descr="bb"/>
        <xdr:cNvPicPr>
          <a:picLocks noChangeAspect="1" noChangeArrowheads="1"/>
        </xdr:cNvPicPr>
      </xdr:nvPicPr>
      <xdr:blipFill>
        <a:blip xmlns:r="http://schemas.openxmlformats.org/officeDocument/2006/relationships" r:embed="rId1"/>
        <a:srcRect/>
        <a:stretch>
          <a:fillRect/>
        </a:stretch>
      </xdr:blipFill>
      <xdr:spPr bwMode="auto">
        <a:xfrm>
          <a:off x="5410200" y="9896475"/>
          <a:ext cx="28575" cy="9525"/>
        </a:xfrm>
        <a:prstGeom prst="rect">
          <a:avLst/>
        </a:prstGeom>
        <a:noFill/>
        <a:ln w="9525">
          <a:noFill/>
          <a:miter lim="800000"/>
          <a:headEnd/>
          <a:tailEnd/>
        </a:ln>
      </xdr:spPr>
    </xdr:pic>
    <xdr:clientData/>
  </xdr:twoCellAnchor>
  <xdr:twoCellAnchor editAs="oneCell">
    <xdr:from>
      <xdr:col>5</xdr:col>
      <xdr:colOff>0</xdr:colOff>
      <xdr:row>4</xdr:row>
      <xdr:rowOff>0</xdr:rowOff>
    </xdr:from>
    <xdr:to>
      <xdr:col>5</xdr:col>
      <xdr:colOff>28575</xdr:colOff>
      <xdr:row>4</xdr:row>
      <xdr:rowOff>9525</xdr:rowOff>
    </xdr:to>
    <xdr:pic>
      <xdr:nvPicPr>
        <xdr:cNvPr id="19" name="Picture 159" descr="bb"/>
        <xdr:cNvPicPr>
          <a:picLocks noChangeAspect="1" noChangeArrowheads="1"/>
        </xdr:cNvPicPr>
      </xdr:nvPicPr>
      <xdr:blipFill>
        <a:blip xmlns:r="http://schemas.openxmlformats.org/officeDocument/2006/relationships" r:embed="rId1"/>
        <a:srcRect/>
        <a:stretch>
          <a:fillRect/>
        </a:stretch>
      </xdr:blipFill>
      <xdr:spPr bwMode="auto">
        <a:xfrm>
          <a:off x="5410200" y="9896475"/>
          <a:ext cx="28575" cy="9525"/>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409575</xdr:colOff>
      <xdr:row>4</xdr:row>
      <xdr:rowOff>9525</xdr:rowOff>
    </xdr:from>
    <xdr:to>
      <xdr:col>2</xdr:col>
      <xdr:colOff>885825</xdr:colOff>
      <xdr:row>4</xdr:row>
      <xdr:rowOff>371475</xdr:rowOff>
    </xdr:to>
    <xdr:pic>
      <xdr:nvPicPr>
        <xdr:cNvPr id="18505" name="Picture 10" descr="graal"/>
        <xdr:cNvPicPr>
          <a:picLocks noChangeAspect="1" noChangeArrowheads="1"/>
        </xdr:cNvPicPr>
      </xdr:nvPicPr>
      <xdr:blipFill>
        <a:blip xmlns:r="http://schemas.openxmlformats.org/officeDocument/2006/relationships" r:embed="rId1" cstate="print"/>
        <a:srcRect/>
        <a:stretch>
          <a:fillRect/>
        </a:stretch>
      </xdr:blipFill>
      <xdr:spPr bwMode="auto">
        <a:xfrm>
          <a:off x="1628775" y="447675"/>
          <a:ext cx="476250" cy="361950"/>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7</xdr:col>
      <xdr:colOff>38100</xdr:colOff>
      <xdr:row>6</xdr:row>
      <xdr:rowOff>9525</xdr:rowOff>
    </xdr:from>
    <xdr:to>
      <xdr:col>7</xdr:col>
      <xdr:colOff>1009650</xdr:colOff>
      <xdr:row>11</xdr:row>
      <xdr:rowOff>57150</xdr:rowOff>
    </xdr:to>
    <xdr:pic>
      <xdr:nvPicPr>
        <xdr:cNvPr id="4" name="Рисунок 3" descr="Склеп.gif"/>
        <xdr:cNvPicPr>
          <a:picLocks noChangeAspect="1"/>
        </xdr:cNvPicPr>
      </xdr:nvPicPr>
      <xdr:blipFill>
        <a:blip xmlns:r="http://schemas.openxmlformats.org/officeDocument/2006/relationships" r:embed="rId1" cstate="print"/>
        <a:stretch>
          <a:fillRect/>
        </a:stretch>
      </xdr:blipFill>
      <xdr:spPr>
        <a:xfrm>
          <a:off x="6515100" y="1352550"/>
          <a:ext cx="971550" cy="857250"/>
        </a:xfrm>
        <a:prstGeom prst="rect">
          <a:avLst/>
        </a:prstGeom>
      </xdr:spPr>
    </xdr:pic>
    <xdr:clientData/>
  </xdr:twoCellAnchor>
  <xdr:twoCellAnchor editAs="oneCell">
    <xdr:from>
      <xdr:col>7</xdr:col>
      <xdr:colOff>57150</xdr:colOff>
      <xdr:row>35</xdr:row>
      <xdr:rowOff>9525</xdr:rowOff>
    </xdr:from>
    <xdr:to>
      <xdr:col>7</xdr:col>
      <xdr:colOff>990600</xdr:colOff>
      <xdr:row>39</xdr:row>
      <xdr:rowOff>85725</xdr:rowOff>
    </xdr:to>
    <xdr:pic>
      <xdr:nvPicPr>
        <xdr:cNvPr id="5" name="Рисунок 4" descr="Склеп.gif"/>
        <xdr:cNvPicPr>
          <a:picLocks noChangeAspect="1"/>
        </xdr:cNvPicPr>
      </xdr:nvPicPr>
      <xdr:blipFill>
        <a:blip xmlns:r="http://schemas.openxmlformats.org/officeDocument/2006/relationships" r:embed="rId2" cstate="print"/>
        <a:stretch>
          <a:fillRect/>
        </a:stretch>
      </xdr:blipFill>
      <xdr:spPr>
        <a:xfrm>
          <a:off x="6534150" y="7648575"/>
          <a:ext cx="933450" cy="723900"/>
        </a:xfrm>
        <a:prstGeom prst="rect">
          <a:avLst/>
        </a:prstGeom>
      </xdr:spPr>
    </xdr:pic>
    <xdr:clientData/>
  </xdr:twoCellAnchor>
  <xdr:twoCellAnchor editAs="oneCell">
    <xdr:from>
      <xdr:col>7</xdr:col>
      <xdr:colOff>133350</xdr:colOff>
      <xdr:row>55</xdr:row>
      <xdr:rowOff>9525</xdr:rowOff>
    </xdr:from>
    <xdr:to>
      <xdr:col>7</xdr:col>
      <xdr:colOff>923925</xdr:colOff>
      <xdr:row>61</xdr:row>
      <xdr:rowOff>28575</xdr:rowOff>
    </xdr:to>
    <xdr:pic>
      <xdr:nvPicPr>
        <xdr:cNvPr id="7" name="Рисунок 6" descr="Склеп.gif"/>
        <xdr:cNvPicPr>
          <a:picLocks noChangeAspect="1"/>
        </xdr:cNvPicPr>
      </xdr:nvPicPr>
      <xdr:blipFill>
        <a:blip xmlns:r="http://schemas.openxmlformats.org/officeDocument/2006/relationships" r:embed="rId3" cstate="print"/>
        <a:stretch>
          <a:fillRect/>
        </a:stretch>
      </xdr:blipFill>
      <xdr:spPr>
        <a:xfrm>
          <a:off x="6610350" y="12420600"/>
          <a:ext cx="790575" cy="1152525"/>
        </a:xfrm>
        <a:prstGeom prst="rect">
          <a:avLst/>
        </a:prstGeom>
      </xdr:spPr>
    </xdr:pic>
    <xdr:clientData/>
  </xdr:twoCellAnchor>
  <xdr:twoCellAnchor editAs="oneCell">
    <xdr:from>
      <xdr:col>7</xdr:col>
      <xdr:colOff>295275</xdr:colOff>
      <xdr:row>66</xdr:row>
      <xdr:rowOff>9525</xdr:rowOff>
    </xdr:from>
    <xdr:to>
      <xdr:col>7</xdr:col>
      <xdr:colOff>723900</xdr:colOff>
      <xdr:row>69</xdr:row>
      <xdr:rowOff>152400</xdr:rowOff>
    </xdr:to>
    <xdr:pic>
      <xdr:nvPicPr>
        <xdr:cNvPr id="8" name="Рисунок 7" descr="Склеп.gif"/>
        <xdr:cNvPicPr>
          <a:picLocks noChangeAspect="1"/>
        </xdr:cNvPicPr>
      </xdr:nvPicPr>
      <xdr:blipFill>
        <a:blip xmlns:r="http://schemas.openxmlformats.org/officeDocument/2006/relationships" r:embed="rId4" cstate="print"/>
        <a:stretch>
          <a:fillRect/>
        </a:stretch>
      </xdr:blipFill>
      <xdr:spPr>
        <a:xfrm>
          <a:off x="6772275" y="14506575"/>
          <a:ext cx="428625" cy="62865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9525</xdr:colOff>
      <xdr:row>5</xdr:row>
      <xdr:rowOff>9525</xdr:rowOff>
    </xdr:from>
    <xdr:to>
      <xdr:col>1</xdr:col>
      <xdr:colOff>666750</xdr:colOff>
      <xdr:row>8</xdr:row>
      <xdr:rowOff>1733</xdr:rowOff>
    </xdr:to>
    <xdr:pic>
      <xdr:nvPicPr>
        <xdr:cNvPr id="2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57175" y="447675"/>
          <a:ext cx="657225" cy="477983"/>
        </a:xfrm>
        <a:prstGeom prst="rect">
          <a:avLst/>
        </a:prstGeom>
        <a:noFill/>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3</xdr:col>
      <xdr:colOff>38100</xdr:colOff>
      <xdr:row>32</xdr:row>
      <xdr:rowOff>152400</xdr:rowOff>
    </xdr:to>
    <xdr:pic>
      <xdr:nvPicPr>
        <xdr:cNvPr id="21" name="Picture 2" descr="gorod_zamok"/>
        <xdr:cNvPicPr>
          <a:picLocks noChangeAspect="1" noChangeArrowheads="1"/>
        </xdr:cNvPicPr>
      </xdr:nvPicPr>
      <xdr:blipFill>
        <a:blip xmlns:r="http://schemas.openxmlformats.org/officeDocument/2006/relationships" r:embed="rId1" cstate="print"/>
        <a:srcRect/>
        <a:stretch>
          <a:fillRect/>
        </a:stretch>
      </xdr:blipFill>
      <xdr:spPr bwMode="auto">
        <a:xfrm>
          <a:off x="2381250" y="7867650"/>
          <a:ext cx="542925" cy="476250"/>
        </a:xfrm>
        <a:prstGeom prst="rect">
          <a:avLst/>
        </a:prstGeom>
        <a:noFill/>
        <a:ln w="9525">
          <a:noFill/>
          <a:miter lim="800000"/>
          <a:headEnd/>
          <a:tailEnd/>
        </a:ln>
      </xdr:spPr>
    </xdr:pic>
    <xdr:clientData/>
  </xdr:twoCellAnchor>
  <xdr:twoCellAnchor editAs="oneCell">
    <xdr:from>
      <xdr:col>2</xdr:col>
      <xdr:colOff>0</xdr:colOff>
      <xdr:row>62</xdr:row>
      <xdr:rowOff>19050</xdr:rowOff>
    </xdr:from>
    <xdr:to>
      <xdr:col>3</xdr:col>
      <xdr:colOff>38100</xdr:colOff>
      <xdr:row>64</xdr:row>
      <xdr:rowOff>152400</xdr:rowOff>
    </xdr:to>
    <xdr:pic>
      <xdr:nvPicPr>
        <xdr:cNvPr id="22" name="Picture 13" descr="gorod_oplot"/>
        <xdr:cNvPicPr>
          <a:picLocks noChangeAspect="1" noChangeArrowheads="1"/>
        </xdr:cNvPicPr>
      </xdr:nvPicPr>
      <xdr:blipFill>
        <a:blip xmlns:r="http://schemas.openxmlformats.org/officeDocument/2006/relationships" r:embed="rId2" cstate="print"/>
        <a:srcRect/>
        <a:stretch>
          <a:fillRect/>
        </a:stretch>
      </xdr:blipFill>
      <xdr:spPr bwMode="auto">
        <a:xfrm>
          <a:off x="2381250" y="14154150"/>
          <a:ext cx="542925" cy="457200"/>
        </a:xfrm>
        <a:prstGeom prst="rect">
          <a:avLst/>
        </a:prstGeom>
        <a:noFill/>
        <a:ln w="9525">
          <a:noFill/>
          <a:miter lim="800000"/>
          <a:headEnd/>
          <a:tailEnd/>
        </a:ln>
      </xdr:spPr>
    </xdr:pic>
    <xdr:clientData/>
  </xdr:twoCellAnchor>
  <xdr:twoCellAnchor editAs="oneCell">
    <xdr:from>
      <xdr:col>2</xdr:col>
      <xdr:colOff>0</xdr:colOff>
      <xdr:row>94</xdr:row>
      <xdr:rowOff>38100</xdr:rowOff>
    </xdr:from>
    <xdr:to>
      <xdr:col>3</xdr:col>
      <xdr:colOff>38100</xdr:colOff>
      <xdr:row>96</xdr:row>
      <xdr:rowOff>152400</xdr:rowOff>
    </xdr:to>
    <xdr:pic>
      <xdr:nvPicPr>
        <xdr:cNvPr id="23" name="Picture 14" descr="gorod_bashna"/>
        <xdr:cNvPicPr>
          <a:picLocks noChangeAspect="1" noChangeArrowheads="1"/>
        </xdr:cNvPicPr>
      </xdr:nvPicPr>
      <xdr:blipFill>
        <a:blip xmlns:r="http://schemas.openxmlformats.org/officeDocument/2006/relationships" r:embed="rId3" cstate="print"/>
        <a:srcRect/>
        <a:stretch>
          <a:fillRect/>
        </a:stretch>
      </xdr:blipFill>
      <xdr:spPr bwMode="auto">
        <a:xfrm>
          <a:off x="2381250" y="19573875"/>
          <a:ext cx="542925" cy="438150"/>
        </a:xfrm>
        <a:prstGeom prst="rect">
          <a:avLst/>
        </a:prstGeom>
        <a:noFill/>
        <a:ln w="9525">
          <a:noFill/>
          <a:miter lim="800000"/>
          <a:headEnd/>
          <a:tailEnd/>
        </a:ln>
      </xdr:spPr>
    </xdr:pic>
    <xdr:clientData/>
  </xdr:twoCellAnchor>
  <xdr:twoCellAnchor editAs="oneCell">
    <xdr:from>
      <xdr:col>2</xdr:col>
      <xdr:colOff>0</xdr:colOff>
      <xdr:row>124</xdr:row>
      <xdr:rowOff>19050</xdr:rowOff>
    </xdr:from>
    <xdr:to>
      <xdr:col>3</xdr:col>
      <xdr:colOff>38100</xdr:colOff>
      <xdr:row>126</xdr:row>
      <xdr:rowOff>152400</xdr:rowOff>
    </xdr:to>
    <xdr:pic>
      <xdr:nvPicPr>
        <xdr:cNvPr id="24" name="Picture 15" descr="gorod_nekrop"/>
        <xdr:cNvPicPr>
          <a:picLocks noChangeAspect="1" noChangeArrowheads="1"/>
        </xdr:cNvPicPr>
      </xdr:nvPicPr>
      <xdr:blipFill>
        <a:blip xmlns:r="http://schemas.openxmlformats.org/officeDocument/2006/relationships" r:embed="rId4" cstate="print"/>
        <a:srcRect/>
        <a:stretch>
          <a:fillRect/>
        </a:stretch>
      </xdr:blipFill>
      <xdr:spPr bwMode="auto">
        <a:xfrm>
          <a:off x="2381250" y="24469725"/>
          <a:ext cx="542925" cy="457200"/>
        </a:xfrm>
        <a:prstGeom prst="rect">
          <a:avLst/>
        </a:prstGeom>
        <a:noFill/>
        <a:ln w="9525">
          <a:noFill/>
          <a:miter lim="800000"/>
          <a:headEnd/>
          <a:tailEnd/>
        </a:ln>
      </xdr:spPr>
    </xdr:pic>
    <xdr:clientData/>
  </xdr:twoCellAnchor>
  <xdr:twoCellAnchor editAs="oneCell">
    <xdr:from>
      <xdr:col>2</xdr:col>
      <xdr:colOff>0</xdr:colOff>
      <xdr:row>154</xdr:row>
      <xdr:rowOff>28574</xdr:rowOff>
    </xdr:from>
    <xdr:to>
      <xdr:col>3</xdr:col>
      <xdr:colOff>38100</xdr:colOff>
      <xdr:row>156</xdr:row>
      <xdr:rowOff>152399</xdr:rowOff>
    </xdr:to>
    <xdr:pic>
      <xdr:nvPicPr>
        <xdr:cNvPr id="25" name="Picture 16" descr="gorod_temnica"/>
        <xdr:cNvPicPr>
          <a:picLocks noChangeAspect="1" noChangeArrowheads="1"/>
        </xdr:cNvPicPr>
      </xdr:nvPicPr>
      <xdr:blipFill>
        <a:blip xmlns:r="http://schemas.openxmlformats.org/officeDocument/2006/relationships" r:embed="rId5" cstate="print"/>
        <a:srcRect/>
        <a:stretch>
          <a:fillRect/>
        </a:stretch>
      </xdr:blipFill>
      <xdr:spPr bwMode="auto">
        <a:xfrm>
          <a:off x="2381250" y="30222824"/>
          <a:ext cx="542925" cy="447675"/>
        </a:xfrm>
        <a:prstGeom prst="rect">
          <a:avLst/>
        </a:prstGeom>
        <a:noFill/>
        <a:ln w="9525">
          <a:noFill/>
          <a:miter lim="800000"/>
          <a:headEnd/>
          <a:tailEnd/>
        </a:ln>
      </xdr:spPr>
    </xdr:pic>
    <xdr:clientData/>
  </xdr:twoCellAnchor>
  <xdr:twoCellAnchor editAs="oneCell">
    <xdr:from>
      <xdr:col>2</xdr:col>
      <xdr:colOff>0</xdr:colOff>
      <xdr:row>184</xdr:row>
      <xdr:rowOff>19050</xdr:rowOff>
    </xdr:from>
    <xdr:to>
      <xdr:col>3</xdr:col>
      <xdr:colOff>38100</xdr:colOff>
      <xdr:row>186</xdr:row>
      <xdr:rowOff>152400</xdr:rowOff>
    </xdr:to>
    <xdr:pic>
      <xdr:nvPicPr>
        <xdr:cNvPr id="26" name="Picture 17" descr="gorod_inferno"/>
        <xdr:cNvPicPr>
          <a:picLocks noChangeAspect="1" noChangeArrowheads="1"/>
        </xdr:cNvPicPr>
      </xdr:nvPicPr>
      <xdr:blipFill>
        <a:blip xmlns:r="http://schemas.openxmlformats.org/officeDocument/2006/relationships" r:embed="rId6" cstate="print"/>
        <a:srcRect/>
        <a:stretch>
          <a:fillRect/>
        </a:stretch>
      </xdr:blipFill>
      <xdr:spPr bwMode="auto">
        <a:xfrm>
          <a:off x="2381250" y="35785425"/>
          <a:ext cx="542925" cy="457200"/>
        </a:xfrm>
        <a:prstGeom prst="rect">
          <a:avLst/>
        </a:prstGeom>
        <a:noFill/>
        <a:ln w="9525">
          <a:noFill/>
          <a:miter lim="800000"/>
          <a:headEnd/>
          <a:tailEnd/>
        </a:ln>
      </xdr:spPr>
    </xdr:pic>
    <xdr:clientData/>
  </xdr:twoCellAnchor>
  <xdr:twoCellAnchor editAs="oneCell">
    <xdr:from>
      <xdr:col>2</xdr:col>
      <xdr:colOff>0</xdr:colOff>
      <xdr:row>214</xdr:row>
      <xdr:rowOff>38100</xdr:rowOff>
    </xdr:from>
    <xdr:to>
      <xdr:col>3</xdr:col>
      <xdr:colOff>38100</xdr:colOff>
      <xdr:row>216</xdr:row>
      <xdr:rowOff>152399</xdr:rowOff>
    </xdr:to>
    <xdr:pic>
      <xdr:nvPicPr>
        <xdr:cNvPr id="27" name="Picture 18" descr="gorod_krep"/>
        <xdr:cNvPicPr>
          <a:picLocks noChangeAspect="1" noChangeArrowheads="1"/>
        </xdr:cNvPicPr>
      </xdr:nvPicPr>
      <xdr:blipFill>
        <a:blip xmlns:r="http://schemas.openxmlformats.org/officeDocument/2006/relationships" r:embed="rId7" cstate="print"/>
        <a:srcRect/>
        <a:stretch>
          <a:fillRect/>
        </a:stretch>
      </xdr:blipFill>
      <xdr:spPr bwMode="auto">
        <a:xfrm>
          <a:off x="2381250" y="40890825"/>
          <a:ext cx="542925" cy="438149"/>
        </a:xfrm>
        <a:prstGeom prst="rect">
          <a:avLst/>
        </a:prstGeom>
        <a:noFill/>
        <a:ln w="9525">
          <a:noFill/>
          <a:miter lim="800000"/>
          <a:headEnd/>
          <a:tailEnd/>
        </a:ln>
      </xdr:spPr>
    </xdr:pic>
    <xdr:clientData/>
  </xdr:twoCellAnchor>
  <xdr:twoCellAnchor editAs="oneCell">
    <xdr:from>
      <xdr:col>2</xdr:col>
      <xdr:colOff>0</xdr:colOff>
      <xdr:row>246</xdr:row>
      <xdr:rowOff>28574</xdr:rowOff>
    </xdr:from>
    <xdr:to>
      <xdr:col>3</xdr:col>
      <xdr:colOff>38100</xdr:colOff>
      <xdr:row>248</xdr:row>
      <xdr:rowOff>152399</xdr:rowOff>
    </xdr:to>
    <xdr:pic>
      <xdr:nvPicPr>
        <xdr:cNvPr id="28" name="Picture 19" descr="gorod_citad"/>
        <xdr:cNvPicPr>
          <a:picLocks noChangeAspect="1" noChangeArrowheads="1"/>
        </xdr:cNvPicPr>
      </xdr:nvPicPr>
      <xdr:blipFill>
        <a:blip xmlns:r="http://schemas.openxmlformats.org/officeDocument/2006/relationships" r:embed="rId8" cstate="print"/>
        <a:srcRect/>
        <a:stretch>
          <a:fillRect/>
        </a:stretch>
      </xdr:blipFill>
      <xdr:spPr bwMode="auto">
        <a:xfrm>
          <a:off x="2381250" y="46120049"/>
          <a:ext cx="542925" cy="447675"/>
        </a:xfrm>
        <a:prstGeom prst="rect">
          <a:avLst/>
        </a:prstGeom>
        <a:noFill/>
        <a:ln w="9525">
          <a:noFill/>
          <a:miter lim="800000"/>
          <a:headEnd/>
          <a:tailEnd/>
        </a:ln>
      </xdr:spPr>
    </xdr:pic>
    <xdr:clientData/>
  </xdr:twoCellAnchor>
  <xdr:twoCellAnchor editAs="oneCell">
    <xdr:from>
      <xdr:col>2</xdr:col>
      <xdr:colOff>0</xdr:colOff>
      <xdr:row>276</xdr:row>
      <xdr:rowOff>38100</xdr:rowOff>
    </xdr:from>
    <xdr:to>
      <xdr:col>3</xdr:col>
      <xdr:colOff>104775</xdr:colOff>
      <xdr:row>278</xdr:row>
      <xdr:rowOff>152400</xdr:rowOff>
    </xdr:to>
    <xdr:pic>
      <xdr:nvPicPr>
        <xdr:cNvPr id="29" name="Picture 20" descr="Присоединённое изображение"/>
        <xdr:cNvPicPr>
          <a:picLocks noChangeAspect="1" noChangeArrowheads="1"/>
        </xdr:cNvPicPr>
      </xdr:nvPicPr>
      <xdr:blipFill>
        <a:blip xmlns:r="http://schemas.openxmlformats.org/officeDocument/2006/relationships" r:embed="rId9" cstate="print"/>
        <a:srcRect/>
        <a:stretch>
          <a:fillRect/>
        </a:stretch>
      </xdr:blipFill>
      <xdr:spPr bwMode="auto">
        <a:xfrm>
          <a:off x="2381250" y="51206400"/>
          <a:ext cx="609600" cy="438150"/>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xdr:from>
      <xdr:col>4</xdr:col>
      <xdr:colOff>495300</xdr:colOff>
      <xdr:row>5</xdr:row>
      <xdr:rowOff>0</xdr:rowOff>
    </xdr:from>
    <xdr:to>
      <xdr:col>4</xdr:col>
      <xdr:colOff>495300</xdr:colOff>
      <xdr:row>5</xdr:row>
      <xdr:rowOff>161925</xdr:rowOff>
    </xdr:to>
    <xdr:sp macro="" textlink="">
      <xdr:nvSpPr>
        <xdr:cNvPr id="117792" name="Line 1"/>
        <xdr:cNvSpPr>
          <a:spLocks noChangeShapeType="1"/>
        </xdr:cNvSpPr>
      </xdr:nvSpPr>
      <xdr:spPr bwMode="auto">
        <a:xfrm>
          <a:off x="2457450" y="876300"/>
          <a:ext cx="0" cy="161925"/>
        </a:xfrm>
        <a:prstGeom prst="line">
          <a:avLst/>
        </a:prstGeom>
        <a:noFill/>
        <a:ln w="9525">
          <a:solidFill>
            <a:srgbClr val="000000"/>
          </a:solidFill>
          <a:round/>
          <a:headEnd/>
          <a:tailEnd type="triangle" w="med" len="med"/>
        </a:ln>
      </xdr:spPr>
    </xdr:sp>
    <xdr:clientData/>
  </xdr:twoCellAnchor>
  <xdr:twoCellAnchor>
    <xdr:from>
      <xdr:col>2</xdr:col>
      <xdr:colOff>514350</xdr:colOff>
      <xdr:row>7</xdr:row>
      <xdr:rowOff>0</xdr:rowOff>
    </xdr:from>
    <xdr:to>
      <xdr:col>2</xdr:col>
      <xdr:colOff>514350</xdr:colOff>
      <xdr:row>7</xdr:row>
      <xdr:rowOff>152400</xdr:rowOff>
    </xdr:to>
    <xdr:sp macro="" textlink="">
      <xdr:nvSpPr>
        <xdr:cNvPr id="117793" name="Line 2"/>
        <xdr:cNvSpPr>
          <a:spLocks noChangeShapeType="1"/>
        </xdr:cNvSpPr>
      </xdr:nvSpPr>
      <xdr:spPr bwMode="auto">
        <a:xfrm flipH="1" flipV="1">
          <a:off x="1143000" y="1371600"/>
          <a:ext cx="0" cy="152400"/>
        </a:xfrm>
        <a:prstGeom prst="line">
          <a:avLst/>
        </a:prstGeom>
        <a:noFill/>
        <a:ln w="9525">
          <a:solidFill>
            <a:srgbClr val="000000"/>
          </a:solidFill>
          <a:round/>
          <a:headEnd/>
          <a:tailEnd type="triangle" w="med" len="med"/>
        </a:ln>
      </xdr:spPr>
    </xdr:sp>
    <xdr:clientData/>
  </xdr:twoCellAnchor>
  <xdr:twoCellAnchor>
    <xdr:from>
      <xdr:col>2</xdr:col>
      <xdr:colOff>1040341</xdr:colOff>
      <xdr:row>8</xdr:row>
      <xdr:rowOff>144023</xdr:rowOff>
    </xdr:from>
    <xdr:to>
      <xdr:col>4</xdr:col>
      <xdr:colOff>0</xdr:colOff>
      <xdr:row>8</xdr:row>
      <xdr:rowOff>152399</xdr:rowOff>
    </xdr:to>
    <xdr:sp macro="" textlink="">
      <xdr:nvSpPr>
        <xdr:cNvPr id="117794" name="Line 3"/>
        <xdr:cNvSpPr>
          <a:spLocks noChangeShapeType="1"/>
        </xdr:cNvSpPr>
      </xdr:nvSpPr>
      <xdr:spPr bwMode="auto">
        <a:xfrm flipV="1">
          <a:off x="1728258" y="1562190"/>
          <a:ext cx="293159" cy="8376"/>
        </a:xfrm>
        <a:prstGeom prst="line">
          <a:avLst/>
        </a:prstGeom>
        <a:noFill/>
        <a:ln w="9525">
          <a:solidFill>
            <a:srgbClr val="000000"/>
          </a:solidFill>
          <a:round/>
          <a:headEnd/>
          <a:tailEnd type="triangle" w="med" len="med"/>
        </a:ln>
      </xdr:spPr>
    </xdr:sp>
    <xdr:clientData/>
  </xdr:twoCellAnchor>
  <xdr:twoCellAnchor>
    <xdr:from>
      <xdr:col>4</xdr:col>
      <xdr:colOff>496358</xdr:colOff>
      <xdr:row>6</xdr:row>
      <xdr:rowOff>324908</xdr:rowOff>
    </xdr:from>
    <xdr:to>
      <xdr:col>4</xdr:col>
      <xdr:colOff>496358</xdr:colOff>
      <xdr:row>7</xdr:row>
      <xdr:rowOff>153458</xdr:rowOff>
    </xdr:to>
    <xdr:sp macro="" textlink="">
      <xdr:nvSpPr>
        <xdr:cNvPr id="117795" name="Line 4"/>
        <xdr:cNvSpPr>
          <a:spLocks noChangeShapeType="1"/>
        </xdr:cNvSpPr>
      </xdr:nvSpPr>
      <xdr:spPr bwMode="auto">
        <a:xfrm>
          <a:off x="2517775" y="1245658"/>
          <a:ext cx="0" cy="156633"/>
        </a:xfrm>
        <a:prstGeom prst="line">
          <a:avLst/>
        </a:prstGeom>
        <a:noFill/>
        <a:ln w="9525">
          <a:solidFill>
            <a:srgbClr val="000000"/>
          </a:solidFill>
          <a:round/>
          <a:headEnd/>
          <a:tailEnd type="triangle" w="med" len="med"/>
        </a:ln>
      </xdr:spPr>
    </xdr:sp>
    <xdr:clientData/>
  </xdr:twoCellAnchor>
  <xdr:twoCellAnchor>
    <xdr:from>
      <xdr:col>5</xdr:col>
      <xdr:colOff>0</xdr:colOff>
      <xdr:row>4</xdr:row>
      <xdr:rowOff>152400</xdr:rowOff>
    </xdr:from>
    <xdr:to>
      <xdr:col>5</xdr:col>
      <xdr:colOff>274109</xdr:colOff>
      <xdr:row>4</xdr:row>
      <xdr:rowOff>152400</xdr:rowOff>
    </xdr:to>
    <xdr:sp macro="" textlink="">
      <xdr:nvSpPr>
        <xdr:cNvPr id="117796" name="Line 5"/>
        <xdr:cNvSpPr>
          <a:spLocks noChangeShapeType="1"/>
        </xdr:cNvSpPr>
      </xdr:nvSpPr>
      <xdr:spPr bwMode="auto">
        <a:xfrm>
          <a:off x="3069167" y="575733"/>
          <a:ext cx="274109" cy="0"/>
        </a:xfrm>
        <a:prstGeom prst="line">
          <a:avLst/>
        </a:prstGeom>
        <a:noFill/>
        <a:ln w="9525">
          <a:solidFill>
            <a:srgbClr val="000000"/>
          </a:solidFill>
          <a:round/>
          <a:headEnd/>
          <a:tailEnd type="triangle" w="med" len="med"/>
        </a:ln>
      </xdr:spPr>
    </xdr:sp>
    <xdr:clientData/>
  </xdr:twoCellAnchor>
  <xdr:twoCellAnchor>
    <xdr:from>
      <xdr:col>10</xdr:col>
      <xdr:colOff>514350</xdr:colOff>
      <xdr:row>6</xdr:row>
      <xdr:rowOff>314325</xdr:rowOff>
    </xdr:from>
    <xdr:to>
      <xdr:col>10</xdr:col>
      <xdr:colOff>514350</xdr:colOff>
      <xdr:row>8</xdr:row>
      <xdr:rowOff>0</xdr:rowOff>
    </xdr:to>
    <xdr:sp macro="" textlink="">
      <xdr:nvSpPr>
        <xdr:cNvPr id="117797" name="Line 6"/>
        <xdr:cNvSpPr>
          <a:spLocks noChangeShapeType="1"/>
        </xdr:cNvSpPr>
      </xdr:nvSpPr>
      <xdr:spPr bwMode="auto">
        <a:xfrm>
          <a:off x="6477000" y="1362075"/>
          <a:ext cx="0" cy="180975"/>
        </a:xfrm>
        <a:prstGeom prst="line">
          <a:avLst/>
        </a:prstGeom>
        <a:noFill/>
        <a:ln w="9525">
          <a:solidFill>
            <a:srgbClr val="000000"/>
          </a:solidFill>
          <a:round/>
          <a:headEnd/>
          <a:tailEnd type="triangle" w="med" len="med"/>
        </a:ln>
      </xdr:spPr>
    </xdr:sp>
    <xdr:clientData/>
  </xdr:twoCellAnchor>
  <xdr:twoCellAnchor>
    <xdr:from>
      <xdr:col>6</xdr:col>
      <xdr:colOff>533400</xdr:colOff>
      <xdr:row>11</xdr:row>
      <xdr:rowOff>7407</xdr:rowOff>
    </xdr:from>
    <xdr:to>
      <xdr:col>6</xdr:col>
      <xdr:colOff>533400</xdr:colOff>
      <xdr:row>13</xdr:row>
      <xdr:rowOff>154516</xdr:rowOff>
    </xdr:to>
    <xdr:sp macro="" textlink="">
      <xdr:nvSpPr>
        <xdr:cNvPr id="117798" name="Line 7"/>
        <xdr:cNvSpPr>
          <a:spLocks noChangeShapeType="1"/>
        </xdr:cNvSpPr>
      </xdr:nvSpPr>
      <xdr:spPr bwMode="auto">
        <a:xfrm>
          <a:off x="3888317" y="2251074"/>
          <a:ext cx="0" cy="644525"/>
        </a:xfrm>
        <a:prstGeom prst="line">
          <a:avLst/>
        </a:prstGeom>
        <a:noFill/>
        <a:ln w="19050">
          <a:solidFill>
            <a:srgbClr val="FF0000"/>
          </a:solidFill>
          <a:round/>
          <a:headEnd/>
          <a:tailEnd type="triangle" w="med" len="med"/>
        </a:ln>
      </xdr:spPr>
    </xdr:sp>
    <xdr:clientData/>
  </xdr:twoCellAnchor>
  <xdr:twoCellAnchor>
    <xdr:from>
      <xdr:col>6</xdr:col>
      <xdr:colOff>666749</xdr:colOff>
      <xdr:row>12</xdr:row>
      <xdr:rowOff>171449</xdr:rowOff>
    </xdr:from>
    <xdr:to>
      <xdr:col>7</xdr:col>
      <xdr:colOff>276224</xdr:colOff>
      <xdr:row>13</xdr:row>
      <xdr:rowOff>169333</xdr:rowOff>
    </xdr:to>
    <xdr:sp macro="" textlink="">
      <xdr:nvSpPr>
        <xdr:cNvPr id="117799" name="Line 8"/>
        <xdr:cNvSpPr>
          <a:spLocks noChangeShapeType="1"/>
        </xdr:cNvSpPr>
      </xdr:nvSpPr>
      <xdr:spPr bwMode="auto">
        <a:xfrm flipH="1">
          <a:off x="4021666" y="2584449"/>
          <a:ext cx="657225" cy="325967"/>
        </a:xfrm>
        <a:prstGeom prst="line">
          <a:avLst/>
        </a:prstGeom>
        <a:noFill/>
        <a:ln w="19050">
          <a:solidFill>
            <a:srgbClr val="FF0000"/>
          </a:solidFill>
          <a:round/>
          <a:headEnd/>
          <a:tailEnd type="triangle" w="med" len="med"/>
        </a:ln>
      </xdr:spPr>
    </xdr:sp>
    <xdr:clientData/>
  </xdr:twoCellAnchor>
  <xdr:twoCellAnchor>
    <xdr:from>
      <xdr:col>8</xdr:col>
      <xdr:colOff>514349</xdr:colOff>
      <xdr:row>9</xdr:row>
      <xdr:rowOff>0</xdr:rowOff>
    </xdr:from>
    <xdr:to>
      <xdr:col>8</xdr:col>
      <xdr:colOff>514349</xdr:colOff>
      <xdr:row>12</xdr:row>
      <xdr:rowOff>0</xdr:rowOff>
    </xdr:to>
    <xdr:sp macro="" textlink="">
      <xdr:nvSpPr>
        <xdr:cNvPr id="117800" name="Line 9"/>
        <xdr:cNvSpPr>
          <a:spLocks noChangeShapeType="1"/>
        </xdr:cNvSpPr>
      </xdr:nvSpPr>
      <xdr:spPr bwMode="auto">
        <a:xfrm>
          <a:off x="5202766" y="1746250"/>
          <a:ext cx="0" cy="666750"/>
        </a:xfrm>
        <a:prstGeom prst="line">
          <a:avLst/>
        </a:prstGeom>
        <a:noFill/>
        <a:ln w="19050">
          <a:solidFill>
            <a:srgbClr val="FF0000"/>
          </a:solidFill>
          <a:round/>
          <a:headEnd/>
          <a:tailEnd type="triangle" w="med" len="med"/>
        </a:ln>
      </xdr:spPr>
    </xdr:sp>
    <xdr:clientData/>
  </xdr:twoCellAnchor>
  <xdr:twoCellAnchor>
    <xdr:from>
      <xdr:col>8</xdr:col>
      <xdr:colOff>514350</xdr:colOff>
      <xdr:row>7</xdr:row>
      <xdr:rowOff>0</xdr:rowOff>
    </xdr:from>
    <xdr:to>
      <xdr:col>8</xdr:col>
      <xdr:colOff>514350</xdr:colOff>
      <xdr:row>7</xdr:row>
      <xdr:rowOff>161925</xdr:rowOff>
    </xdr:to>
    <xdr:sp macro="" textlink="">
      <xdr:nvSpPr>
        <xdr:cNvPr id="117801" name="Line 10"/>
        <xdr:cNvSpPr>
          <a:spLocks noChangeShapeType="1"/>
        </xdr:cNvSpPr>
      </xdr:nvSpPr>
      <xdr:spPr bwMode="auto">
        <a:xfrm flipV="1">
          <a:off x="5143500" y="1371600"/>
          <a:ext cx="0" cy="161925"/>
        </a:xfrm>
        <a:prstGeom prst="line">
          <a:avLst/>
        </a:prstGeom>
        <a:noFill/>
        <a:ln w="9525">
          <a:solidFill>
            <a:srgbClr val="000000"/>
          </a:solidFill>
          <a:round/>
          <a:headEnd/>
          <a:tailEnd type="triangle" w="med" len="med"/>
        </a:ln>
      </xdr:spPr>
    </xdr:sp>
    <xdr:clientData/>
  </xdr:twoCellAnchor>
  <xdr:twoCellAnchor>
    <xdr:from>
      <xdr:col>6</xdr:col>
      <xdr:colOff>1046692</xdr:colOff>
      <xdr:row>6</xdr:row>
      <xdr:rowOff>142875</xdr:rowOff>
    </xdr:from>
    <xdr:to>
      <xdr:col>7</xdr:col>
      <xdr:colOff>265642</xdr:colOff>
      <xdr:row>6</xdr:row>
      <xdr:rowOff>142875</xdr:rowOff>
    </xdr:to>
    <xdr:sp macro="" textlink="">
      <xdr:nvSpPr>
        <xdr:cNvPr id="117802" name="Line 11"/>
        <xdr:cNvSpPr>
          <a:spLocks noChangeShapeType="1"/>
        </xdr:cNvSpPr>
      </xdr:nvSpPr>
      <xdr:spPr bwMode="auto">
        <a:xfrm flipH="1">
          <a:off x="4401609" y="1063625"/>
          <a:ext cx="266700" cy="0"/>
        </a:xfrm>
        <a:prstGeom prst="line">
          <a:avLst/>
        </a:prstGeom>
        <a:noFill/>
        <a:ln w="9525">
          <a:solidFill>
            <a:srgbClr val="000000"/>
          </a:solidFill>
          <a:round/>
          <a:headEnd/>
          <a:tailEnd type="triangle" w="med" len="med"/>
        </a:ln>
      </xdr:spPr>
    </xdr:sp>
    <xdr:clientData/>
  </xdr:twoCellAnchor>
  <xdr:twoCellAnchor>
    <xdr:from>
      <xdr:col>6</xdr:col>
      <xdr:colOff>466725</xdr:colOff>
      <xdr:row>7</xdr:row>
      <xdr:rowOff>0</xdr:rowOff>
    </xdr:from>
    <xdr:to>
      <xdr:col>6</xdr:col>
      <xdr:colOff>466725</xdr:colOff>
      <xdr:row>7</xdr:row>
      <xdr:rowOff>158751</xdr:rowOff>
    </xdr:to>
    <xdr:sp macro="" textlink="">
      <xdr:nvSpPr>
        <xdr:cNvPr id="117803" name="Line 12"/>
        <xdr:cNvSpPr>
          <a:spLocks noChangeShapeType="1"/>
        </xdr:cNvSpPr>
      </xdr:nvSpPr>
      <xdr:spPr bwMode="auto">
        <a:xfrm>
          <a:off x="3821642" y="1248833"/>
          <a:ext cx="0" cy="158751"/>
        </a:xfrm>
        <a:prstGeom prst="line">
          <a:avLst/>
        </a:prstGeom>
        <a:noFill/>
        <a:ln w="9525">
          <a:solidFill>
            <a:srgbClr val="000000"/>
          </a:solidFill>
          <a:round/>
          <a:headEnd/>
          <a:tailEnd type="triangle" w="med" len="med"/>
        </a:ln>
      </xdr:spPr>
    </xdr:sp>
    <xdr:clientData/>
  </xdr:twoCellAnchor>
  <xdr:twoCellAnchor>
    <xdr:from>
      <xdr:col>4</xdr:col>
      <xdr:colOff>1037166</xdr:colOff>
      <xdr:row>8</xdr:row>
      <xdr:rowOff>328081</xdr:rowOff>
    </xdr:from>
    <xdr:to>
      <xdr:col>6</xdr:col>
      <xdr:colOff>285750</xdr:colOff>
      <xdr:row>9</xdr:row>
      <xdr:rowOff>158749</xdr:rowOff>
    </xdr:to>
    <xdr:sp macro="" textlink="">
      <xdr:nvSpPr>
        <xdr:cNvPr id="117804" name="Line 13"/>
        <xdr:cNvSpPr>
          <a:spLocks noChangeShapeType="1"/>
        </xdr:cNvSpPr>
      </xdr:nvSpPr>
      <xdr:spPr bwMode="auto">
        <a:xfrm flipH="1" flipV="1">
          <a:off x="3058583" y="1746248"/>
          <a:ext cx="582084" cy="158751"/>
        </a:xfrm>
        <a:prstGeom prst="line">
          <a:avLst/>
        </a:prstGeom>
        <a:noFill/>
        <a:ln w="9525">
          <a:solidFill>
            <a:srgbClr val="000000"/>
          </a:solidFill>
          <a:round/>
          <a:headEnd/>
          <a:tailEnd type="triangle" w="med" len="med"/>
        </a:ln>
      </xdr:spPr>
    </xdr:sp>
    <xdr:clientData/>
  </xdr:twoCellAnchor>
  <xdr:twoCellAnchor>
    <xdr:from>
      <xdr:col>8</xdr:col>
      <xdr:colOff>1038225</xdr:colOff>
      <xdr:row>14</xdr:row>
      <xdr:rowOff>161925</xdr:rowOff>
    </xdr:from>
    <xdr:to>
      <xdr:col>10</xdr:col>
      <xdr:colOff>0</xdr:colOff>
      <xdr:row>16</xdr:row>
      <xdr:rowOff>152400</xdr:rowOff>
    </xdr:to>
    <xdr:sp macro="" textlink="">
      <xdr:nvSpPr>
        <xdr:cNvPr id="117805" name="Line 14"/>
        <xdr:cNvSpPr>
          <a:spLocks noChangeShapeType="1"/>
        </xdr:cNvSpPr>
      </xdr:nvSpPr>
      <xdr:spPr bwMode="auto">
        <a:xfrm>
          <a:off x="5667375" y="3352800"/>
          <a:ext cx="295275" cy="485775"/>
        </a:xfrm>
        <a:prstGeom prst="line">
          <a:avLst/>
        </a:prstGeom>
        <a:noFill/>
        <a:ln w="9525">
          <a:solidFill>
            <a:srgbClr val="000000"/>
          </a:solidFill>
          <a:round/>
          <a:headEnd/>
          <a:tailEnd type="triangle" w="med" len="med"/>
        </a:ln>
      </xdr:spPr>
    </xdr:sp>
    <xdr:clientData/>
  </xdr:twoCellAnchor>
  <xdr:twoCellAnchor>
    <xdr:from>
      <xdr:col>4</xdr:col>
      <xdr:colOff>513292</xdr:colOff>
      <xdr:row>8</xdr:row>
      <xdr:rowOff>327025</xdr:rowOff>
    </xdr:from>
    <xdr:to>
      <xdr:col>4</xdr:col>
      <xdr:colOff>513292</xdr:colOff>
      <xdr:row>13</xdr:row>
      <xdr:rowOff>158751</xdr:rowOff>
    </xdr:to>
    <xdr:sp macro="" textlink="">
      <xdr:nvSpPr>
        <xdr:cNvPr id="117806" name="Line 15"/>
        <xdr:cNvSpPr>
          <a:spLocks noChangeShapeType="1"/>
        </xdr:cNvSpPr>
      </xdr:nvSpPr>
      <xdr:spPr bwMode="auto">
        <a:xfrm flipH="1" flipV="1">
          <a:off x="2534709" y="1745192"/>
          <a:ext cx="0" cy="1154642"/>
        </a:xfrm>
        <a:prstGeom prst="line">
          <a:avLst/>
        </a:prstGeom>
        <a:noFill/>
        <a:ln w="9525">
          <a:solidFill>
            <a:srgbClr val="000000"/>
          </a:solidFill>
          <a:round/>
          <a:headEnd/>
          <a:tailEnd type="triangle" w="med" len="med"/>
        </a:ln>
      </xdr:spPr>
    </xdr:sp>
    <xdr:clientData/>
  </xdr:twoCellAnchor>
  <xdr:twoCellAnchor>
    <xdr:from>
      <xdr:col>4</xdr:col>
      <xdr:colOff>504825</xdr:colOff>
      <xdr:row>14</xdr:row>
      <xdr:rowOff>324908</xdr:rowOff>
    </xdr:from>
    <xdr:to>
      <xdr:col>4</xdr:col>
      <xdr:colOff>514350</xdr:colOff>
      <xdr:row>16</xdr:row>
      <xdr:rowOff>10583</xdr:rowOff>
    </xdr:to>
    <xdr:sp macro="" textlink="">
      <xdr:nvSpPr>
        <xdr:cNvPr id="117807" name="Line 16"/>
        <xdr:cNvSpPr>
          <a:spLocks noChangeShapeType="1"/>
        </xdr:cNvSpPr>
      </xdr:nvSpPr>
      <xdr:spPr bwMode="auto">
        <a:xfrm flipH="1">
          <a:off x="2526242" y="3235325"/>
          <a:ext cx="9525" cy="183091"/>
        </a:xfrm>
        <a:prstGeom prst="line">
          <a:avLst/>
        </a:prstGeom>
        <a:noFill/>
        <a:ln w="19050">
          <a:solidFill>
            <a:srgbClr val="FF0000"/>
          </a:solidFill>
          <a:round/>
          <a:headEnd/>
          <a:tailEnd type="triangle" w="med" len="med"/>
        </a:ln>
      </xdr:spPr>
    </xdr:sp>
    <xdr:clientData/>
  </xdr:twoCellAnchor>
  <xdr:twoCellAnchor>
    <xdr:from>
      <xdr:col>4</xdr:col>
      <xdr:colOff>1047749</xdr:colOff>
      <xdr:row>14</xdr:row>
      <xdr:rowOff>325967</xdr:rowOff>
    </xdr:from>
    <xdr:to>
      <xdr:col>6</xdr:col>
      <xdr:colOff>494241</xdr:colOff>
      <xdr:row>16</xdr:row>
      <xdr:rowOff>137584</xdr:rowOff>
    </xdr:to>
    <xdr:sp macro="" textlink="">
      <xdr:nvSpPr>
        <xdr:cNvPr id="117808" name="Line 17"/>
        <xdr:cNvSpPr>
          <a:spLocks noChangeShapeType="1"/>
        </xdr:cNvSpPr>
      </xdr:nvSpPr>
      <xdr:spPr bwMode="auto">
        <a:xfrm flipH="1">
          <a:off x="3069166" y="3236384"/>
          <a:ext cx="779992" cy="309033"/>
        </a:xfrm>
        <a:prstGeom prst="line">
          <a:avLst/>
        </a:prstGeom>
        <a:noFill/>
        <a:ln w="19050">
          <a:solidFill>
            <a:srgbClr val="FF0000"/>
          </a:solidFill>
          <a:round/>
          <a:headEnd/>
          <a:tailEnd type="triangle" w="med" len="med"/>
        </a:ln>
      </xdr:spPr>
    </xdr:sp>
    <xdr:clientData/>
  </xdr:twoCellAnchor>
  <xdr:twoCellAnchor>
    <xdr:from>
      <xdr:col>6</xdr:col>
      <xdr:colOff>533400</xdr:colOff>
      <xdr:row>14</xdr:row>
      <xdr:rowOff>324908</xdr:rowOff>
    </xdr:from>
    <xdr:to>
      <xdr:col>6</xdr:col>
      <xdr:colOff>533400</xdr:colOff>
      <xdr:row>18</xdr:row>
      <xdr:rowOff>3175</xdr:rowOff>
    </xdr:to>
    <xdr:sp macro="" textlink="">
      <xdr:nvSpPr>
        <xdr:cNvPr id="117809" name="Line 18"/>
        <xdr:cNvSpPr>
          <a:spLocks noChangeShapeType="1"/>
        </xdr:cNvSpPr>
      </xdr:nvSpPr>
      <xdr:spPr bwMode="auto">
        <a:xfrm>
          <a:off x="3888317" y="3235325"/>
          <a:ext cx="0" cy="673100"/>
        </a:xfrm>
        <a:prstGeom prst="line">
          <a:avLst/>
        </a:prstGeom>
        <a:noFill/>
        <a:ln w="19050">
          <a:solidFill>
            <a:srgbClr val="FF0000"/>
          </a:solidFill>
          <a:round/>
          <a:headEnd/>
          <a:tailEnd type="triangle" w="med" len="med"/>
        </a:ln>
      </xdr:spPr>
    </xdr:sp>
    <xdr:clientData/>
  </xdr:twoCellAnchor>
  <xdr:twoCellAnchor>
    <xdr:from>
      <xdr:col>7</xdr:col>
      <xdr:colOff>1058</xdr:colOff>
      <xdr:row>14</xdr:row>
      <xdr:rowOff>171450</xdr:rowOff>
    </xdr:from>
    <xdr:to>
      <xdr:col>8</xdr:col>
      <xdr:colOff>1058</xdr:colOff>
      <xdr:row>14</xdr:row>
      <xdr:rowOff>171450</xdr:rowOff>
    </xdr:to>
    <xdr:sp macro="" textlink="">
      <xdr:nvSpPr>
        <xdr:cNvPr id="117810" name="Line 19"/>
        <xdr:cNvSpPr>
          <a:spLocks noChangeShapeType="1"/>
        </xdr:cNvSpPr>
      </xdr:nvSpPr>
      <xdr:spPr bwMode="auto">
        <a:xfrm>
          <a:off x="4403725" y="3081867"/>
          <a:ext cx="285750" cy="0"/>
        </a:xfrm>
        <a:prstGeom prst="line">
          <a:avLst/>
        </a:prstGeom>
        <a:noFill/>
        <a:ln w="19050">
          <a:solidFill>
            <a:srgbClr val="FF0000"/>
          </a:solidFill>
          <a:round/>
          <a:headEnd/>
          <a:tailEnd type="triangle" w="med" len="med"/>
        </a:ln>
      </xdr:spPr>
    </xdr:sp>
    <xdr:clientData/>
  </xdr:twoCellAnchor>
  <xdr:twoCellAnchor>
    <xdr:from>
      <xdr:col>4</xdr:col>
      <xdr:colOff>514350</xdr:colOff>
      <xdr:row>17</xdr:row>
      <xdr:rowOff>0</xdr:rowOff>
    </xdr:from>
    <xdr:to>
      <xdr:col>4</xdr:col>
      <xdr:colOff>514350</xdr:colOff>
      <xdr:row>17</xdr:row>
      <xdr:rowOff>161925</xdr:rowOff>
    </xdr:to>
    <xdr:sp macro="" textlink="">
      <xdr:nvSpPr>
        <xdr:cNvPr id="117811" name="Line 20"/>
        <xdr:cNvSpPr>
          <a:spLocks noChangeShapeType="1"/>
        </xdr:cNvSpPr>
      </xdr:nvSpPr>
      <xdr:spPr bwMode="auto">
        <a:xfrm>
          <a:off x="2476500" y="4010025"/>
          <a:ext cx="0" cy="161925"/>
        </a:xfrm>
        <a:prstGeom prst="line">
          <a:avLst/>
        </a:prstGeom>
        <a:noFill/>
        <a:ln w="9525">
          <a:solidFill>
            <a:srgbClr val="000000"/>
          </a:solidFill>
          <a:round/>
          <a:headEnd/>
          <a:tailEnd type="triangle" w="med" len="med"/>
        </a:ln>
      </xdr:spPr>
    </xdr:sp>
    <xdr:clientData/>
  </xdr:twoCellAnchor>
  <xdr:twoCellAnchor>
    <xdr:from>
      <xdr:col>5</xdr:col>
      <xdr:colOff>9525</xdr:colOff>
      <xdr:row>8</xdr:row>
      <xdr:rowOff>152400</xdr:rowOff>
    </xdr:from>
    <xdr:to>
      <xdr:col>6</xdr:col>
      <xdr:colOff>19050</xdr:colOff>
      <xdr:row>8</xdr:row>
      <xdr:rowOff>152400</xdr:rowOff>
    </xdr:to>
    <xdr:sp macro="" textlink="">
      <xdr:nvSpPr>
        <xdr:cNvPr id="117812" name="Line 21"/>
        <xdr:cNvSpPr>
          <a:spLocks noChangeShapeType="1"/>
        </xdr:cNvSpPr>
      </xdr:nvSpPr>
      <xdr:spPr bwMode="auto">
        <a:xfrm>
          <a:off x="3019425" y="1695450"/>
          <a:ext cx="295275" cy="0"/>
        </a:xfrm>
        <a:prstGeom prst="line">
          <a:avLst/>
        </a:prstGeom>
        <a:noFill/>
        <a:ln w="9525">
          <a:solidFill>
            <a:srgbClr val="000000"/>
          </a:solidFill>
          <a:round/>
          <a:headEnd/>
          <a:tailEnd type="triangle" w="med" len="med"/>
        </a:ln>
      </xdr:spPr>
    </xdr:sp>
    <xdr:clientData/>
  </xdr:twoCellAnchor>
  <xdr:twoCellAnchor>
    <xdr:from>
      <xdr:col>9</xdr:col>
      <xdr:colOff>0</xdr:colOff>
      <xdr:row>14</xdr:row>
      <xdr:rowOff>161925</xdr:rowOff>
    </xdr:from>
    <xdr:to>
      <xdr:col>10</xdr:col>
      <xdr:colOff>0</xdr:colOff>
      <xdr:row>14</xdr:row>
      <xdr:rowOff>161925</xdr:rowOff>
    </xdr:to>
    <xdr:sp macro="" textlink="">
      <xdr:nvSpPr>
        <xdr:cNvPr id="117813" name="Line 22"/>
        <xdr:cNvSpPr>
          <a:spLocks noChangeShapeType="1"/>
        </xdr:cNvSpPr>
      </xdr:nvSpPr>
      <xdr:spPr bwMode="auto">
        <a:xfrm>
          <a:off x="5676900" y="3352800"/>
          <a:ext cx="285750" cy="0"/>
        </a:xfrm>
        <a:prstGeom prst="line">
          <a:avLst/>
        </a:prstGeom>
        <a:noFill/>
        <a:ln w="9525">
          <a:solidFill>
            <a:srgbClr val="000000"/>
          </a:solidFill>
          <a:round/>
          <a:headEnd/>
          <a:tailEnd type="triangle" w="med" len="med"/>
        </a:ln>
      </xdr:spPr>
    </xdr:sp>
    <xdr:clientData/>
  </xdr:twoCellAnchor>
  <xdr:twoCellAnchor>
    <xdr:from>
      <xdr:col>6</xdr:col>
      <xdr:colOff>552450</xdr:colOff>
      <xdr:row>14</xdr:row>
      <xdr:rowOff>327025</xdr:rowOff>
    </xdr:from>
    <xdr:to>
      <xdr:col>8</xdr:col>
      <xdr:colOff>317500</xdr:colOff>
      <xdr:row>18</xdr:row>
      <xdr:rowOff>0</xdr:rowOff>
    </xdr:to>
    <xdr:sp macro="" textlink="">
      <xdr:nvSpPr>
        <xdr:cNvPr id="117814" name="Line 23"/>
        <xdr:cNvSpPr>
          <a:spLocks noChangeShapeType="1"/>
        </xdr:cNvSpPr>
      </xdr:nvSpPr>
      <xdr:spPr bwMode="auto">
        <a:xfrm>
          <a:off x="3907367" y="3237442"/>
          <a:ext cx="1098550" cy="667808"/>
        </a:xfrm>
        <a:prstGeom prst="line">
          <a:avLst/>
        </a:prstGeom>
        <a:noFill/>
        <a:ln w="9525">
          <a:solidFill>
            <a:srgbClr val="000000"/>
          </a:solidFill>
          <a:round/>
          <a:headEnd/>
          <a:tailEnd type="triangle" w="med" len="med"/>
        </a:ln>
      </xdr:spPr>
    </xdr:sp>
    <xdr:clientData/>
  </xdr:twoCellAnchor>
  <xdr:twoCellAnchor>
    <xdr:from>
      <xdr:col>3</xdr:col>
      <xdr:colOff>0</xdr:colOff>
      <xdr:row>16</xdr:row>
      <xdr:rowOff>171450</xdr:rowOff>
    </xdr:from>
    <xdr:to>
      <xdr:col>3</xdr:col>
      <xdr:colOff>276225</xdr:colOff>
      <xdr:row>16</xdr:row>
      <xdr:rowOff>171450</xdr:rowOff>
    </xdr:to>
    <xdr:sp macro="" textlink="">
      <xdr:nvSpPr>
        <xdr:cNvPr id="117815" name="Line 24"/>
        <xdr:cNvSpPr>
          <a:spLocks noChangeShapeType="1"/>
        </xdr:cNvSpPr>
      </xdr:nvSpPr>
      <xdr:spPr bwMode="auto">
        <a:xfrm flipH="1">
          <a:off x="1735667" y="3579283"/>
          <a:ext cx="276225" cy="0"/>
        </a:xfrm>
        <a:prstGeom prst="line">
          <a:avLst/>
        </a:prstGeom>
        <a:noFill/>
        <a:ln w="19050">
          <a:solidFill>
            <a:srgbClr val="FF0000"/>
          </a:solidFill>
          <a:round/>
          <a:headEnd/>
          <a:tailEnd type="triangle" w="med" len="med"/>
        </a:ln>
      </xdr:spPr>
    </xdr:sp>
    <xdr:clientData/>
  </xdr:twoCellAnchor>
  <xdr:twoCellAnchor>
    <xdr:from>
      <xdr:col>2</xdr:col>
      <xdr:colOff>504825</xdr:colOff>
      <xdr:row>17</xdr:row>
      <xdr:rowOff>10583</xdr:rowOff>
    </xdr:from>
    <xdr:to>
      <xdr:col>2</xdr:col>
      <xdr:colOff>504825</xdr:colOff>
      <xdr:row>17</xdr:row>
      <xdr:rowOff>167217</xdr:rowOff>
    </xdr:to>
    <xdr:sp macro="" textlink="">
      <xdr:nvSpPr>
        <xdr:cNvPr id="117816" name="Line 25"/>
        <xdr:cNvSpPr>
          <a:spLocks noChangeShapeType="1"/>
        </xdr:cNvSpPr>
      </xdr:nvSpPr>
      <xdr:spPr bwMode="auto">
        <a:xfrm>
          <a:off x="1192742" y="3746500"/>
          <a:ext cx="0" cy="156634"/>
        </a:xfrm>
        <a:prstGeom prst="line">
          <a:avLst/>
        </a:prstGeom>
        <a:noFill/>
        <a:ln w="9525">
          <a:solidFill>
            <a:srgbClr val="000000"/>
          </a:solidFill>
          <a:round/>
          <a:headEnd/>
          <a:tailEnd type="triangle" w="med" len="med"/>
        </a:ln>
      </xdr:spPr>
    </xdr:sp>
    <xdr:clientData/>
  </xdr:twoCellAnchor>
  <xdr:twoCellAnchor>
    <xdr:from>
      <xdr:col>3</xdr:col>
      <xdr:colOff>0</xdr:colOff>
      <xdr:row>14</xdr:row>
      <xdr:rowOff>161924</xdr:rowOff>
    </xdr:from>
    <xdr:to>
      <xdr:col>4</xdr:col>
      <xdr:colOff>0</xdr:colOff>
      <xdr:row>14</xdr:row>
      <xdr:rowOff>161924</xdr:rowOff>
    </xdr:to>
    <xdr:sp macro="" textlink="">
      <xdr:nvSpPr>
        <xdr:cNvPr id="117817" name="Line 26"/>
        <xdr:cNvSpPr>
          <a:spLocks noChangeShapeType="1"/>
        </xdr:cNvSpPr>
      </xdr:nvSpPr>
      <xdr:spPr bwMode="auto">
        <a:xfrm flipH="1" flipV="1">
          <a:off x="1735667" y="3072341"/>
          <a:ext cx="285750" cy="0"/>
        </a:xfrm>
        <a:prstGeom prst="line">
          <a:avLst/>
        </a:prstGeom>
        <a:noFill/>
        <a:ln w="9525">
          <a:solidFill>
            <a:srgbClr val="000000"/>
          </a:solidFill>
          <a:round/>
          <a:headEnd/>
          <a:tailEnd type="triangle" w="med" len="med"/>
        </a:ln>
      </xdr:spPr>
    </xdr:sp>
    <xdr:clientData/>
  </xdr:twoCellAnchor>
  <xdr:twoCellAnchor>
    <xdr:from>
      <xdr:col>2</xdr:col>
      <xdr:colOff>485775</xdr:colOff>
      <xdr:row>12</xdr:row>
      <xdr:rowOff>304800</xdr:rowOff>
    </xdr:from>
    <xdr:to>
      <xdr:col>2</xdr:col>
      <xdr:colOff>485775</xdr:colOff>
      <xdr:row>14</xdr:row>
      <xdr:rowOff>0</xdr:rowOff>
    </xdr:to>
    <xdr:sp macro="" textlink="">
      <xdr:nvSpPr>
        <xdr:cNvPr id="117818" name="Line 27"/>
        <xdr:cNvSpPr>
          <a:spLocks noChangeShapeType="1"/>
        </xdr:cNvSpPr>
      </xdr:nvSpPr>
      <xdr:spPr bwMode="auto">
        <a:xfrm flipV="1">
          <a:off x="1114425" y="3000375"/>
          <a:ext cx="0" cy="190500"/>
        </a:xfrm>
        <a:prstGeom prst="line">
          <a:avLst/>
        </a:prstGeom>
        <a:noFill/>
        <a:ln w="9525">
          <a:solidFill>
            <a:srgbClr val="000000"/>
          </a:solidFill>
          <a:round/>
          <a:headEnd/>
          <a:tailEnd type="triangle" w="med" len="med"/>
        </a:ln>
      </xdr:spPr>
    </xdr:sp>
    <xdr:clientData/>
  </xdr:twoCellAnchor>
  <xdr:twoCellAnchor>
    <xdr:from>
      <xdr:col>2</xdr:col>
      <xdr:colOff>496358</xdr:colOff>
      <xdr:row>10</xdr:row>
      <xdr:rowOff>316441</xdr:rowOff>
    </xdr:from>
    <xdr:to>
      <xdr:col>2</xdr:col>
      <xdr:colOff>496358</xdr:colOff>
      <xdr:row>12</xdr:row>
      <xdr:rowOff>0</xdr:rowOff>
    </xdr:to>
    <xdr:sp macro="" textlink="">
      <xdr:nvSpPr>
        <xdr:cNvPr id="117819" name="Line 28"/>
        <xdr:cNvSpPr>
          <a:spLocks noChangeShapeType="1"/>
        </xdr:cNvSpPr>
      </xdr:nvSpPr>
      <xdr:spPr bwMode="auto">
        <a:xfrm flipV="1">
          <a:off x="1184275" y="2232024"/>
          <a:ext cx="0" cy="180976"/>
        </a:xfrm>
        <a:prstGeom prst="line">
          <a:avLst/>
        </a:prstGeom>
        <a:noFill/>
        <a:ln w="9525">
          <a:solidFill>
            <a:srgbClr val="000000"/>
          </a:solidFill>
          <a:round/>
          <a:headEnd/>
          <a:tailEnd type="triangle" w="med" len="med"/>
        </a:ln>
      </xdr:spPr>
    </xdr:sp>
    <xdr:clientData/>
  </xdr:twoCellAnchor>
  <xdr:twoCellAnchor>
    <xdr:from>
      <xdr:col>9</xdr:col>
      <xdr:colOff>9525</xdr:colOff>
      <xdr:row>12</xdr:row>
      <xdr:rowOff>161925</xdr:rowOff>
    </xdr:from>
    <xdr:to>
      <xdr:col>10</xdr:col>
      <xdr:colOff>0</xdr:colOff>
      <xdr:row>12</xdr:row>
      <xdr:rowOff>161925</xdr:rowOff>
    </xdr:to>
    <xdr:sp macro="" textlink="">
      <xdr:nvSpPr>
        <xdr:cNvPr id="117820" name="Line 29"/>
        <xdr:cNvSpPr>
          <a:spLocks noChangeShapeType="1"/>
        </xdr:cNvSpPr>
      </xdr:nvSpPr>
      <xdr:spPr bwMode="auto">
        <a:xfrm flipV="1">
          <a:off x="5745692" y="2574925"/>
          <a:ext cx="276225" cy="0"/>
        </a:xfrm>
        <a:prstGeom prst="line">
          <a:avLst/>
        </a:prstGeom>
        <a:noFill/>
        <a:ln w="19050">
          <a:solidFill>
            <a:srgbClr val="FF0000"/>
          </a:solidFill>
          <a:round/>
          <a:headEnd/>
          <a:tailEnd type="triangle" w="med" len="med"/>
        </a:ln>
      </xdr:spPr>
    </xdr:sp>
    <xdr:clientData/>
  </xdr:twoCellAnchor>
  <xdr:twoCellAnchor>
    <xdr:from>
      <xdr:col>6</xdr:col>
      <xdr:colOff>542925</xdr:colOff>
      <xdr:row>19</xdr:row>
      <xdr:rowOff>9525</xdr:rowOff>
    </xdr:from>
    <xdr:to>
      <xdr:col>6</xdr:col>
      <xdr:colOff>552450</xdr:colOff>
      <xdr:row>20</xdr:row>
      <xdr:rowOff>9525</xdr:rowOff>
    </xdr:to>
    <xdr:sp macro="" textlink="">
      <xdr:nvSpPr>
        <xdr:cNvPr id="117821" name="Line 30"/>
        <xdr:cNvSpPr>
          <a:spLocks noChangeShapeType="1"/>
        </xdr:cNvSpPr>
      </xdr:nvSpPr>
      <xdr:spPr bwMode="auto">
        <a:xfrm>
          <a:off x="3838575" y="4533900"/>
          <a:ext cx="9525" cy="171450"/>
        </a:xfrm>
        <a:prstGeom prst="line">
          <a:avLst/>
        </a:prstGeom>
        <a:noFill/>
        <a:ln w="19050">
          <a:solidFill>
            <a:srgbClr val="FF0000"/>
          </a:solidFill>
          <a:round/>
          <a:headEnd/>
          <a:tailEnd type="triangle" w="med" len="med"/>
        </a:ln>
      </xdr:spPr>
    </xdr:sp>
    <xdr:clientData/>
  </xdr:twoCellAnchor>
  <xdr:twoCellAnchor>
    <xdr:from>
      <xdr:col>6</xdr:col>
      <xdr:colOff>1038225</xdr:colOff>
      <xdr:row>20</xdr:row>
      <xdr:rowOff>180975</xdr:rowOff>
    </xdr:from>
    <xdr:to>
      <xdr:col>7</xdr:col>
      <xdr:colOff>276225</xdr:colOff>
      <xdr:row>20</xdr:row>
      <xdr:rowOff>190500</xdr:rowOff>
    </xdr:to>
    <xdr:sp macro="" textlink="">
      <xdr:nvSpPr>
        <xdr:cNvPr id="117822" name="Line 31"/>
        <xdr:cNvSpPr>
          <a:spLocks noChangeShapeType="1"/>
        </xdr:cNvSpPr>
      </xdr:nvSpPr>
      <xdr:spPr bwMode="auto">
        <a:xfrm flipV="1">
          <a:off x="4333875" y="4876800"/>
          <a:ext cx="285750" cy="9525"/>
        </a:xfrm>
        <a:prstGeom prst="line">
          <a:avLst/>
        </a:prstGeom>
        <a:noFill/>
        <a:ln w="9525">
          <a:solidFill>
            <a:srgbClr val="000000"/>
          </a:solidFill>
          <a:round/>
          <a:headEnd/>
          <a:tailEnd type="triangle" w="med" len="med"/>
        </a:ln>
      </xdr:spPr>
    </xdr:sp>
    <xdr:clientData/>
  </xdr:twoCellAnchor>
  <xdr:twoCellAnchor>
    <xdr:from>
      <xdr:col>10</xdr:col>
      <xdr:colOff>1036108</xdr:colOff>
      <xdr:row>12</xdr:row>
      <xdr:rowOff>152400</xdr:rowOff>
    </xdr:from>
    <xdr:to>
      <xdr:col>11</xdr:col>
      <xdr:colOff>285749</xdr:colOff>
      <xdr:row>12</xdr:row>
      <xdr:rowOff>152400</xdr:rowOff>
    </xdr:to>
    <xdr:sp macro="" textlink="">
      <xdr:nvSpPr>
        <xdr:cNvPr id="117823" name="Line 32"/>
        <xdr:cNvSpPr>
          <a:spLocks noChangeShapeType="1"/>
        </xdr:cNvSpPr>
      </xdr:nvSpPr>
      <xdr:spPr bwMode="auto">
        <a:xfrm>
          <a:off x="7058025" y="2565400"/>
          <a:ext cx="297391" cy="0"/>
        </a:xfrm>
        <a:prstGeom prst="line">
          <a:avLst/>
        </a:prstGeom>
        <a:noFill/>
        <a:ln w="9525">
          <a:solidFill>
            <a:srgbClr val="000000"/>
          </a:solidFill>
          <a:round/>
          <a:headEnd/>
          <a:tailEnd type="triangle" w="med" len="med"/>
        </a:ln>
      </xdr:spPr>
    </xdr:sp>
    <xdr:clientData/>
  </xdr:twoCellAnchor>
  <xdr:twoCellAnchor>
    <xdr:from>
      <xdr:col>9</xdr:col>
      <xdr:colOff>0</xdr:colOff>
      <xdr:row>10</xdr:row>
      <xdr:rowOff>161925</xdr:rowOff>
    </xdr:from>
    <xdr:to>
      <xdr:col>10</xdr:col>
      <xdr:colOff>0</xdr:colOff>
      <xdr:row>12</xdr:row>
      <xdr:rowOff>142875</xdr:rowOff>
    </xdr:to>
    <xdr:sp macro="" textlink="">
      <xdr:nvSpPr>
        <xdr:cNvPr id="117824" name="Line 33"/>
        <xdr:cNvSpPr>
          <a:spLocks noChangeShapeType="1"/>
        </xdr:cNvSpPr>
      </xdr:nvSpPr>
      <xdr:spPr bwMode="auto">
        <a:xfrm flipV="1">
          <a:off x="5676900" y="2362200"/>
          <a:ext cx="285750" cy="476250"/>
        </a:xfrm>
        <a:prstGeom prst="line">
          <a:avLst/>
        </a:prstGeom>
        <a:noFill/>
        <a:ln w="9525">
          <a:solidFill>
            <a:srgbClr val="000000"/>
          </a:solidFill>
          <a:round/>
          <a:headEnd/>
          <a:tailEnd type="triangle" w="med" len="med"/>
        </a:ln>
      </xdr:spPr>
    </xdr:sp>
    <xdr:clientData/>
  </xdr:twoCellAnchor>
</xdr:wsDr>
</file>

<file path=xl/drawings/drawing34.xml><?xml version="1.0" encoding="utf-8"?>
<xdr:wsDr xmlns:xdr="http://schemas.openxmlformats.org/drawingml/2006/spreadsheetDrawing" xmlns:a="http://schemas.openxmlformats.org/drawingml/2006/main">
  <xdr:twoCellAnchor>
    <xdr:from>
      <xdr:col>8</xdr:col>
      <xdr:colOff>514350</xdr:colOff>
      <xdr:row>9</xdr:row>
      <xdr:rowOff>9525</xdr:rowOff>
    </xdr:from>
    <xdr:to>
      <xdr:col>8</xdr:col>
      <xdr:colOff>523875</xdr:colOff>
      <xdr:row>12</xdr:row>
      <xdr:rowOff>0</xdr:rowOff>
    </xdr:to>
    <xdr:sp macro="" textlink="">
      <xdr:nvSpPr>
        <xdr:cNvPr id="111774" name="Line 1"/>
        <xdr:cNvSpPr>
          <a:spLocks noChangeShapeType="1"/>
        </xdr:cNvSpPr>
      </xdr:nvSpPr>
      <xdr:spPr bwMode="auto">
        <a:xfrm flipH="1">
          <a:off x="5143500" y="1885950"/>
          <a:ext cx="9525" cy="971550"/>
        </a:xfrm>
        <a:prstGeom prst="line">
          <a:avLst/>
        </a:prstGeom>
        <a:noFill/>
        <a:ln w="19050">
          <a:solidFill>
            <a:srgbClr val="FF0000"/>
          </a:solidFill>
          <a:round/>
          <a:headEnd/>
          <a:tailEnd type="triangle" w="med" len="med"/>
        </a:ln>
      </xdr:spPr>
    </xdr:sp>
    <xdr:clientData/>
  </xdr:twoCellAnchor>
  <xdr:twoCellAnchor>
    <xdr:from>
      <xdr:col>4</xdr:col>
      <xdr:colOff>1047750</xdr:colOff>
      <xdr:row>12</xdr:row>
      <xdr:rowOff>133350</xdr:rowOff>
    </xdr:from>
    <xdr:to>
      <xdr:col>8</xdr:col>
      <xdr:colOff>0</xdr:colOff>
      <xdr:row>12</xdr:row>
      <xdr:rowOff>142875</xdr:rowOff>
    </xdr:to>
    <xdr:sp macro="" textlink="">
      <xdr:nvSpPr>
        <xdr:cNvPr id="111775" name="Line 2"/>
        <xdr:cNvSpPr>
          <a:spLocks noChangeShapeType="1"/>
        </xdr:cNvSpPr>
      </xdr:nvSpPr>
      <xdr:spPr bwMode="auto">
        <a:xfrm flipH="1" flipV="1">
          <a:off x="3009900" y="3000375"/>
          <a:ext cx="1619250" cy="9525"/>
        </a:xfrm>
        <a:prstGeom prst="line">
          <a:avLst/>
        </a:prstGeom>
        <a:noFill/>
        <a:ln w="19050">
          <a:solidFill>
            <a:srgbClr val="FF0000"/>
          </a:solidFill>
          <a:round/>
          <a:headEnd/>
          <a:tailEnd type="triangle" w="med" len="med"/>
        </a:ln>
      </xdr:spPr>
    </xdr:sp>
    <xdr:clientData/>
  </xdr:twoCellAnchor>
  <xdr:twoCellAnchor>
    <xdr:from>
      <xdr:col>8</xdr:col>
      <xdr:colOff>514350</xdr:colOff>
      <xdr:row>12</xdr:row>
      <xdr:rowOff>324908</xdr:rowOff>
    </xdr:from>
    <xdr:to>
      <xdr:col>8</xdr:col>
      <xdr:colOff>514350</xdr:colOff>
      <xdr:row>14</xdr:row>
      <xdr:rowOff>3175</xdr:rowOff>
    </xdr:to>
    <xdr:sp macro="" textlink="">
      <xdr:nvSpPr>
        <xdr:cNvPr id="111776" name="Line 3"/>
        <xdr:cNvSpPr>
          <a:spLocks noChangeShapeType="1"/>
        </xdr:cNvSpPr>
      </xdr:nvSpPr>
      <xdr:spPr bwMode="auto">
        <a:xfrm flipH="1">
          <a:off x="5202767" y="2748491"/>
          <a:ext cx="0" cy="175684"/>
        </a:xfrm>
        <a:prstGeom prst="line">
          <a:avLst/>
        </a:prstGeom>
        <a:noFill/>
        <a:ln w="19050">
          <a:solidFill>
            <a:srgbClr val="FF0000"/>
          </a:solidFill>
          <a:round/>
          <a:headEnd/>
          <a:tailEnd type="triangle" w="med" len="med"/>
        </a:ln>
      </xdr:spPr>
    </xdr:sp>
    <xdr:clientData/>
  </xdr:twoCellAnchor>
  <xdr:twoCellAnchor>
    <xdr:from>
      <xdr:col>8</xdr:col>
      <xdr:colOff>1037167</xdr:colOff>
      <xdr:row>14</xdr:row>
      <xdr:rowOff>152400</xdr:rowOff>
    </xdr:from>
    <xdr:to>
      <xdr:col>9</xdr:col>
      <xdr:colOff>284692</xdr:colOff>
      <xdr:row>14</xdr:row>
      <xdr:rowOff>152400</xdr:rowOff>
    </xdr:to>
    <xdr:sp macro="" textlink="">
      <xdr:nvSpPr>
        <xdr:cNvPr id="111778" name="Line 5"/>
        <xdr:cNvSpPr>
          <a:spLocks noChangeShapeType="1"/>
        </xdr:cNvSpPr>
      </xdr:nvSpPr>
      <xdr:spPr bwMode="auto">
        <a:xfrm>
          <a:off x="5725584" y="3073400"/>
          <a:ext cx="295275" cy="0"/>
        </a:xfrm>
        <a:prstGeom prst="line">
          <a:avLst/>
        </a:prstGeom>
        <a:noFill/>
        <a:ln w="9525">
          <a:solidFill>
            <a:srgbClr val="000000"/>
          </a:solidFill>
          <a:round/>
          <a:headEnd/>
          <a:tailEnd type="triangle" w="med" len="med"/>
        </a:ln>
      </xdr:spPr>
    </xdr:sp>
    <xdr:clientData/>
  </xdr:twoCellAnchor>
  <xdr:twoCellAnchor>
    <xdr:from>
      <xdr:col>4</xdr:col>
      <xdr:colOff>478366</xdr:colOff>
      <xdr:row>9</xdr:row>
      <xdr:rowOff>0</xdr:rowOff>
    </xdr:from>
    <xdr:to>
      <xdr:col>4</xdr:col>
      <xdr:colOff>478366</xdr:colOff>
      <xdr:row>9</xdr:row>
      <xdr:rowOff>158751</xdr:rowOff>
    </xdr:to>
    <xdr:sp macro="" textlink="">
      <xdr:nvSpPr>
        <xdr:cNvPr id="111780" name="Line 7"/>
        <xdr:cNvSpPr>
          <a:spLocks noChangeShapeType="1"/>
        </xdr:cNvSpPr>
      </xdr:nvSpPr>
      <xdr:spPr bwMode="auto">
        <a:xfrm flipH="1">
          <a:off x="2499783" y="1756833"/>
          <a:ext cx="0" cy="158751"/>
        </a:xfrm>
        <a:prstGeom prst="line">
          <a:avLst/>
        </a:prstGeom>
        <a:noFill/>
        <a:ln w="9525">
          <a:solidFill>
            <a:srgbClr val="000000"/>
          </a:solidFill>
          <a:round/>
          <a:headEnd/>
          <a:tailEnd type="triangle" w="med" len="med"/>
        </a:ln>
      </xdr:spPr>
    </xdr:sp>
    <xdr:clientData/>
  </xdr:twoCellAnchor>
  <xdr:twoCellAnchor>
    <xdr:from>
      <xdr:col>2</xdr:col>
      <xdr:colOff>1046692</xdr:colOff>
      <xdr:row>12</xdr:row>
      <xdr:rowOff>142875</xdr:rowOff>
    </xdr:from>
    <xdr:to>
      <xdr:col>3</xdr:col>
      <xdr:colOff>265642</xdr:colOff>
      <xdr:row>12</xdr:row>
      <xdr:rowOff>142875</xdr:rowOff>
    </xdr:to>
    <xdr:sp macro="" textlink="">
      <xdr:nvSpPr>
        <xdr:cNvPr id="111781" name="Line 8"/>
        <xdr:cNvSpPr>
          <a:spLocks noChangeShapeType="1"/>
        </xdr:cNvSpPr>
      </xdr:nvSpPr>
      <xdr:spPr bwMode="auto">
        <a:xfrm flipH="1">
          <a:off x="1734609" y="2566458"/>
          <a:ext cx="266700" cy="0"/>
        </a:xfrm>
        <a:prstGeom prst="line">
          <a:avLst/>
        </a:prstGeom>
        <a:noFill/>
        <a:ln w="9525">
          <a:solidFill>
            <a:srgbClr val="000000"/>
          </a:solidFill>
          <a:round/>
          <a:headEnd/>
          <a:tailEnd type="triangle" w="med" len="med"/>
        </a:ln>
      </xdr:spPr>
    </xdr:sp>
    <xdr:clientData/>
  </xdr:twoCellAnchor>
  <xdr:twoCellAnchor>
    <xdr:from>
      <xdr:col>4</xdr:col>
      <xdr:colOff>476250</xdr:colOff>
      <xdr:row>5</xdr:row>
      <xdr:rowOff>0</xdr:rowOff>
    </xdr:from>
    <xdr:to>
      <xdr:col>4</xdr:col>
      <xdr:colOff>476250</xdr:colOff>
      <xdr:row>5</xdr:row>
      <xdr:rowOff>161925</xdr:rowOff>
    </xdr:to>
    <xdr:sp macro="" textlink="">
      <xdr:nvSpPr>
        <xdr:cNvPr id="111782" name="Line 9"/>
        <xdr:cNvSpPr>
          <a:spLocks noChangeShapeType="1"/>
        </xdr:cNvSpPr>
      </xdr:nvSpPr>
      <xdr:spPr bwMode="auto">
        <a:xfrm>
          <a:off x="2438400" y="876300"/>
          <a:ext cx="0" cy="161925"/>
        </a:xfrm>
        <a:prstGeom prst="line">
          <a:avLst/>
        </a:prstGeom>
        <a:noFill/>
        <a:ln w="9525">
          <a:solidFill>
            <a:srgbClr val="000000"/>
          </a:solidFill>
          <a:round/>
          <a:headEnd/>
          <a:tailEnd type="triangle" w="med" len="med"/>
        </a:ln>
      </xdr:spPr>
    </xdr:sp>
    <xdr:clientData/>
  </xdr:twoCellAnchor>
  <xdr:twoCellAnchor>
    <xdr:from>
      <xdr:col>4</xdr:col>
      <xdr:colOff>1047748</xdr:colOff>
      <xdr:row>5</xdr:row>
      <xdr:rowOff>1</xdr:rowOff>
    </xdr:from>
    <xdr:to>
      <xdr:col>11</xdr:col>
      <xdr:colOff>285749</xdr:colOff>
      <xdr:row>8</xdr:row>
      <xdr:rowOff>1</xdr:rowOff>
    </xdr:to>
    <xdr:sp macro="" textlink="">
      <xdr:nvSpPr>
        <xdr:cNvPr id="111783" name="Line 10"/>
        <xdr:cNvSpPr>
          <a:spLocks noChangeShapeType="1"/>
        </xdr:cNvSpPr>
      </xdr:nvSpPr>
      <xdr:spPr bwMode="auto">
        <a:xfrm flipH="1">
          <a:off x="3069165" y="751418"/>
          <a:ext cx="4286251" cy="666750"/>
        </a:xfrm>
        <a:prstGeom prst="line">
          <a:avLst/>
        </a:prstGeom>
        <a:noFill/>
        <a:ln w="9525">
          <a:solidFill>
            <a:srgbClr val="000000"/>
          </a:solidFill>
          <a:round/>
          <a:headEnd/>
          <a:tailEnd type="triangle" w="med" len="med"/>
        </a:ln>
      </xdr:spPr>
    </xdr:sp>
    <xdr:clientData/>
  </xdr:twoCellAnchor>
  <xdr:twoCellAnchor>
    <xdr:from>
      <xdr:col>10</xdr:col>
      <xdr:colOff>492126</xdr:colOff>
      <xdr:row>9</xdr:row>
      <xdr:rowOff>0</xdr:rowOff>
    </xdr:from>
    <xdr:to>
      <xdr:col>10</xdr:col>
      <xdr:colOff>492126</xdr:colOff>
      <xdr:row>9</xdr:row>
      <xdr:rowOff>161925</xdr:rowOff>
    </xdr:to>
    <xdr:sp macro="" textlink="">
      <xdr:nvSpPr>
        <xdr:cNvPr id="111784" name="Line 11"/>
        <xdr:cNvSpPr>
          <a:spLocks noChangeShapeType="1"/>
        </xdr:cNvSpPr>
      </xdr:nvSpPr>
      <xdr:spPr bwMode="auto">
        <a:xfrm>
          <a:off x="6514043" y="1756833"/>
          <a:ext cx="0" cy="161925"/>
        </a:xfrm>
        <a:prstGeom prst="line">
          <a:avLst/>
        </a:prstGeom>
        <a:noFill/>
        <a:ln w="9525">
          <a:solidFill>
            <a:srgbClr val="000000"/>
          </a:solidFill>
          <a:round/>
          <a:headEnd/>
          <a:tailEnd type="triangle" w="med" len="med"/>
        </a:ln>
      </xdr:spPr>
    </xdr:sp>
    <xdr:clientData/>
  </xdr:twoCellAnchor>
  <xdr:twoCellAnchor>
    <xdr:from>
      <xdr:col>4</xdr:col>
      <xdr:colOff>1038224</xdr:colOff>
      <xdr:row>10</xdr:row>
      <xdr:rowOff>161925</xdr:rowOff>
    </xdr:from>
    <xdr:to>
      <xdr:col>6</xdr:col>
      <xdr:colOff>0</xdr:colOff>
      <xdr:row>10</xdr:row>
      <xdr:rowOff>161925</xdr:rowOff>
    </xdr:to>
    <xdr:sp macro="" textlink="">
      <xdr:nvSpPr>
        <xdr:cNvPr id="111785" name="Line 12"/>
        <xdr:cNvSpPr>
          <a:spLocks noChangeShapeType="1"/>
        </xdr:cNvSpPr>
      </xdr:nvSpPr>
      <xdr:spPr bwMode="auto">
        <a:xfrm flipH="1" flipV="1">
          <a:off x="3059641" y="2088092"/>
          <a:ext cx="295276" cy="0"/>
        </a:xfrm>
        <a:prstGeom prst="line">
          <a:avLst/>
        </a:prstGeom>
        <a:noFill/>
        <a:ln w="9525">
          <a:solidFill>
            <a:srgbClr val="000000"/>
          </a:solidFill>
          <a:round/>
          <a:headEnd/>
          <a:tailEnd type="triangle" w="med" len="med"/>
        </a:ln>
      </xdr:spPr>
    </xdr:sp>
    <xdr:clientData/>
  </xdr:twoCellAnchor>
  <xdr:twoCellAnchor>
    <xdr:from>
      <xdr:col>2</xdr:col>
      <xdr:colOff>793750</xdr:colOff>
      <xdr:row>7</xdr:row>
      <xdr:rowOff>0</xdr:rowOff>
    </xdr:from>
    <xdr:to>
      <xdr:col>4</xdr:col>
      <xdr:colOff>0</xdr:colOff>
      <xdr:row>8</xdr:row>
      <xdr:rowOff>0</xdr:rowOff>
    </xdr:to>
    <xdr:sp macro="" textlink="">
      <xdr:nvSpPr>
        <xdr:cNvPr id="111786" name="Line 13"/>
        <xdr:cNvSpPr>
          <a:spLocks noChangeShapeType="1"/>
        </xdr:cNvSpPr>
      </xdr:nvSpPr>
      <xdr:spPr bwMode="auto">
        <a:xfrm>
          <a:off x="1481667" y="1248833"/>
          <a:ext cx="539750" cy="169334"/>
        </a:xfrm>
        <a:prstGeom prst="line">
          <a:avLst/>
        </a:prstGeom>
        <a:noFill/>
        <a:ln w="9525">
          <a:solidFill>
            <a:srgbClr val="000000"/>
          </a:solidFill>
          <a:round/>
          <a:headEnd/>
          <a:tailEnd type="triangle" w="med" len="med"/>
        </a:ln>
      </xdr:spPr>
    </xdr:sp>
    <xdr:clientData/>
  </xdr:twoCellAnchor>
  <xdr:twoCellAnchor>
    <xdr:from>
      <xdr:col>6</xdr:col>
      <xdr:colOff>1047749</xdr:colOff>
      <xdr:row>8</xdr:row>
      <xdr:rowOff>171449</xdr:rowOff>
    </xdr:from>
    <xdr:to>
      <xdr:col>7</xdr:col>
      <xdr:colOff>276223</xdr:colOff>
      <xdr:row>8</xdr:row>
      <xdr:rowOff>171449</xdr:rowOff>
    </xdr:to>
    <xdr:sp macro="" textlink="">
      <xdr:nvSpPr>
        <xdr:cNvPr id="111787" name="Line 14"/>
        <xdr:cNvSpPr>
          <a:spLocks noChangeShapeType="1"/>
        </xdr:cNvSpPr>
      </xdr:nvSpPr>
      <xdr:spPr bwMode="auto">
        <a:xfrm flipH="1" flipV="1">
          <a:off x="4402666" y="1589616"/>
          <a:ext cx="276224" cy="0"/>
        </a:xfrm>
        <a:prstGeom prst="line">
          <a:avLst/>
        </a:prstGeom>
        <a:noFill/>
        <a:ln w="9525">
          <a:solidFill>
            <a:srgbClr val="000000"/>
          </a:solidFill>
          <a:round/>
          <a:headEnd/>
          <a:tailEnd type="triangle" w="med" len="med"/>
        </a:ln>
      </xdr:spPr>
    </xdr:sp>
    <xdr:clientData/>
  </xdr:twoCellAnchor>
  <xdr:twoCellAnchor>
    <xdr:from>
      <xdr:col>12</xdr:col>
      <xdr:colOff>514350</xdr:colOff>
      <xdr:row>5</xdr:row>
      <xdr:rowOff>9525</xdr:rowOff>
    </xdr:from>
    <xdr:to>
      <xdr:col>12</xdr:col>
      <xdr:colOff>514350</xdr:colOff>
      <xdr:row>17</xdr:row>
      <xdr:rowOff>161925</xdr:rowOff>
    </xdr:to>
    <xdr:sp macro="" textlink="">
      <xdr:nvSpPr>
        <xdr:cNvPr id="111788" name="Line 15"/>
        <xdr:cNvSpPr>
          <a:spLocks noChangeShapeType="1"/>
        </xdr:cNvSpPr>
      </xdr:nvSpPr>
      <xdr:spPr bwMode="auto">
        <a:xfrm>
          <a:off x="7810500" y="885825"/>
          <a:ext cx="0" cy="3476625"/>
        </a:xfrm>
        <a:prstGeom prst="line">
          <a:avLst/>
        </a:prstGeom>
        <a:noFill/>
        <a:ln w="19050">
          <a:solidFill>
            <a:srgbClr val="FF0000"/>
          </a:solidFill>
          <a:round/>
          <a:headEnd/>
          <a:tailEnd type="triangle" w="med" len="med"/>
        </a:ln>
      </xdr:spPr>
    </xdr:sp>
    <xdr:clientData/>
  </xdr:twoCellAnchor>
  <xdr:twoCellAnchor>
    <xdr:from>
      <xdr:col>8</xdr:col>
      <xdr:colOff>1047749</xdr:colOff>
      <xdr:row>18</xdr:row>
      <xdr:rowOff>179917</xdr:rowOff>
    </xdr:from>
    <xdr:to>
      <xdr:col>11</xdr:col>
      <xdr:colOff>285748</xdr:colOff>
      <xdr:row>19</xdr:row>
      <xdr:rowOff>158751</xdr:rowOff>
    </xdr:to>
    <xdr:sp macro="" textlink="">
      <xdr:nvSpPr>
        <xdr:cNvPr id="111789" name="Line 16"/>
        <xdr:cNvSpPr>
          <a:spLocks noChangeShapeType="1"/>
        </xdr:cNvSpPr>
      </xdr:nvSpPr>
      <xdr:spPr bwMode="auto">
        <a:xfrm flipH="1">
          <a:off x="5736166" y="4106334"/>
          <a:ext cx="1619249" cy="317500"/>
        </a:xfrm>
        <a:prstGeom prst="line">
          <a:avLst/>
        </a:prstGeom>
        <a:noFill/>
        <a:ln w="9525">
          <a:solidFill>
            <a:srgbClr val="000000"/>
          </a:solidFill>
          <a:round/>
          <a:headEnd/>
          <a:tailEnd type="triangle" w="med" len="med"/>
        </a:ln>
      </xdr:spPr>
    </xdr:sp>
    <xdr:clientData/>
  </xdr:twoCellAnchor>
  <xdr:twoCellAnchor>
    <xdr:from>
      <xdr:col>9</xdr:col>
      <xdr:colOff>9525</xdr:colOff>
      <xdr:row>16</xdr:row>
      <xdr:rowOff>161925</xdr:rowOff>
    </xdr:from>
    <xdr:to>
      <xdr:col>10</xdr:col>
      <xdr:colOff>0</xdr:colOff>
      <xdr:row>16</xdr:row>
      <xdr:rowOff>161925</xdr:rowOff>
    </xdr:to>
    <xdr:sp macro="" textlink="">
      <xdr:nvSpPr>
        <xdr:cNvPr id="111790" name="Line 17"/>
        <xdr:cNvSpPr>
          <a:spLocks noChangeShapeType="1"/>
        </xdr:cNvSpPr>
      </xdr:nvSpPr>
      <xdr:spPr bwMode="auto">
        <a:xfrm>
          <a:off x="5686425" y="4038600"/>
          <a:ext cx="276225" cy="0"/>
        </a:xfrm>
        <a:prstGeom prst="line">
          <a:avLst/>
        </a:prstGeom>
        <a:noFill/>
        <a:ln w="9525">
          <a:solidFill>
            <a:srgbClr val="000000"/>
          </a:solidFill>
          <a:round/>
          <a:headEnd/>
          <a:tailEnd type="triangle" w="med" len="med"/>
        </a:ln>
      </xdr:spPr>
    </xdr:sp>
    <xdr:clientData/>
  </xdr:twoCellAnchor>
  <xdr:twoCellAnchor>
    <xdr:from>
      <xdr:col>8</xdr:col>
      <xdr:colOff>495300</xdr:colOff>
      <xdr:row>15</xdr:row>
      <xdr:rowOff>9525</xdr:rowOff>
    </xdr:from>
    <xdr:to>
      <xdr:col>8</xdr:col>
      <xdr:colOff>495300</xdr:colOff>
      <xdr:row>16</xdr:row>
      <xdr:rowOff>0</xdr:rowOff>
    </xdr:to>
    <xdr:sp macro="" textlink="">
      <xdr:nvSpPr>
        <xdr:cNvPr id="111791" name="Line 18"/>
        <xdr:cNvSpPr>
          <a:spLocks noChangeShapeType="1"/>
        </xdr:cNvSpPr>
      </xdr:nvSpPr>
      <xdr:spPr bwMode="auto">
        <a:xfrm>
          <a:off x="5124450" y="3714750"/>
          <a:ext cx="0" cy="161925"/>
        </a:xfrm>
        <a:prstGeom prst="line">
          <a:avLst/>
        </a:prstGeom>
        <a:noFill/>
        <a:ln w="9525">
          <a:solidFill>
            <a:srgbClr val="000000"/>
          </a:solidFill>
          <a:round/>
          <a:headEnd/>
          <a:tailEnd type="triangle" w="med" len="med"/>
        </a:ln>
      </xdr:spPr>
    </xdr:sp>
    <xdr:clientData/>
  </xdr:twoCellAnchor>
  <xdr:twoCellAnchor>
    <xdr:from>
      <xdr:col>6</xdr:col>
      <xdr:colOff>457200</xdr:colOff>
      <xdr:row>9</xdr:row>
      <xdr:rowOff>0</xdr:rowOff>
    </xdr:from>
    <xdr:to>
      <xdr:col>6</xdr:col>
      <xdr:colOff>457200</xdr:colOff>
      <xdr:row>9</xdr:row>
      <xdr:rowOff>152400</xdr:rowOff>
    </xdr:to>
    <xdr:sp macro="" textlink="">
      <xdr:nvSpPr>
        <xdr:cNvPr id="111792" name="Line 19"/>
        <xdr:cNvSpPr>
          <a:spLocks noChangeShapeType="1"/>
        </xdr:cNvSpPr>
      </xdr:nvSpPr>
      <xdr:spPr bwMode="auto">
        <a:xfrm>
          <a:off x="3752850" y="1876425"/>
          <a:ext cx="0" cy="152400"/>
        </a:xfrm>
        <a:prstGeom prst="line">
          <a:avLst/>
        </a:prstGeom>
        <a:noFill/>
        <a:ln w="9525">
          <a:solidFill>
            <a:srgbClr val="000000"/>
          </a:solidFill>
          <a:round/>
          <a:headEnd/>
          <a:tailEnd type="triangle" w="med" len="med"/>
        </a:ln>
      </xdr:spPr>
    </xdr:sp>
    <xdr:clientData/>
  </xdr:twoCellAnchor>
  <xdr:twoCellAnchor>
    <xdr:from>
      <xdr:col>2</xdr:col>
      <xdr:colOff>719665</xdr:colOff>
      <xdr:row>13</xdr:row>
      <xdr:rowOff>10582</xdr:rowOff>
    </xdr:from>
    <xdr:to>
      <xdr:col>4</xdr:col>
      <xdr:colOff>285750</xdr:colOff>
      <xdr:row>17</xdr:row>
      <xdr:rowOff>169333</xdr:rowOff>
    </xdr:to>
    <xdr:sp macro="" textlink="">
      <xdr:nvSpPr>
        <xdr:cNvPr id="111793" name="Line 20"/>
        <xdr:cNvSpPr>
          <a:spLocks noChangeShapeType="1"/>
        </xdr:cNvSpPr>
      </xdr:nvSpPr>
      <xdr:spPr bwMode="auto">
        <a:xfrm flipH="1">
          <a:off x="1407582" y="2762249"/>
          <a:ext cx="899585" cy="1164167"/>
        </a:xfrm>
        <a:prstGeom prst="line">
          <a:avLst/>
        </a:prstGeom>
        <a:noFill/>
        <a:ln w="19050">
          <a:solidFill>
            <a:srgbClr val="FF0000"/>
          </a:solidFill>
          <a:round/>
          <a:headEnd/>
          <a:tailEnd type="triangle" w="med" len="med"/>
        </a:ln>
      </xdr:spPr>
    </xdr:sp>
    <xdr:clientData/>
  </xdr:twoCellAnchor>
  <xdr:twoCellAnchor>
    <xdr:from>
      <xdr:col>4</xdr:col>
      <xdr:colOff>495300</xdr:colOff>
      <xdr:row>13</xdr:row>
      <xdr:rowOff>9525</xdr:rowOff>
    </xdr:from>
    <xdr:to>
      <xdr:col>4</xdr:col>
      <xdr:colOff>495300</xdr:colOff>
      <xdr:row>16</xdr:row>
      <xdr:rowOff>0</xdr:rowOff>
    </xdr:to>
    <xdr:sp macro="" textlink="">
      <xdr:nvSpPr>
        <xdr:cNvPr id="111794" name="Line 21"/>
        <xdr:cNvSpPr>
          <a:spLocks noChangeShapeType="1"/>
        </xdr:cNvSpPr>
      </xdr:nvSpPr>
      <xdr:spPr bwMode="auto">
        <a:xfrm>
          <a:off x="2516717" y="2761192"/>
          <a:ext cx="0" cy="667808"/>
        </a:xfrm>
        <a:prstGeom prst="line">
          <a:avLst/>
        </a:prstGeom>
        <a:noFill/>
        <a:ln w="19050">
          <a:solidFill>
            <a:srgbClr val="FF0000"/>
          </a:solidFill>
          <a:round/>
          <a:headEnd/>
          <a:tailEnd type="triangle" w="med" len="med"/>
        </a:ln>
      </xdr:spPr>
    </xdr:sp>
    <xdr:clientData/>
  </xdr:twoCellAnchor>
  <xdr:twoCellAnchor>
    <xdr:from>
      <xdr:col>5</xdr:col>
      <xdr:colOff>1</xdr:colOff>
      <xdr:row>14</xdr:row>
      <xdr:rowOff>338666</xdr:rowOff>
    </xdr:from>
    <xdr:to>
      <xdr:col>6</xdr:col>
      <xdr:colOff>1</xdr:colOff>
      <xdr:row>16</xdr:row>
      <xdr:rowOff>161924</xdr:rowOff>
    </xdr:to>
    <xdr:sp macro="" textlink="">
      <xdr:nvSpPr>
        <xdr:cNvPr id="111795" name="Line 22"/>
        <xdr:cNvSpPr>
          <a:spLocks noChangeShapeType="1"/>
        </xdr:cNvSpPr>
      </xdr:nvSpPr>
      <xdr:spPr bwMode="auto">
        <a:xfrm flipV="1">
          <a:off x="3069168" y="3259666"/>
          <a:ext cx="285750" cy="331258"/>
        </a:xfrm>
        <a:prstGeom prst="line">
          <a:avLst/>
        </a:prstGeom>
        <a:noFill/>
        <a:ln w="9525">
          <a:solidFill>
            <a:srgbClr val="000000"/>
          </a:solidFill>
          <a:round/>
          <a:headEnd/>
          <a:tailEnd type="triangle" w="med" len="med"/>
        </a:ln>
      </xdr:spPr>
    </xdr:sp>
    <xdr:clientData/>
  </xdr:twoCellAnchor>
  <xdr:twoCellAnchor>
    <xdr:from>
      <xdr:col>2</xdr:col>
      <xdr:colOff>514350</xdr:colOff>
      <xdr:row>15</xdr:row>
      <xdr:rowOff>0</xdr:rowOff>
    </xdr:from>
    <xdr:to>
      <xdr:col>2</xdr:col>
      <xdr:colOff>514350</xdr:colOff>
      <xdr:row>17</xdr:row>
      <xdr:rowOff>133350</xdr:rowOff>
    </xdr:to>
    <xdr:sp macro="" textlink="">
      <xdr:nvSpPr>
        <xdr:cNvPr id="111796" name="Line 23"/>
        <xdr:cNvSpPr>
          <a:spLocks noChangeShapeType="1"/>
        </xdr:cNvSpPr>
      </xdr:nvSpPr>
      <xdr:spPr bwMode="auto">
        <a:xfrm flipV="1">
          <a:off x="1143000" y="3705225"/>
          <a:ext cx="0" cy="628650"/>
        </a:xfrm>
        <a:prstGeom prst="line">
          <a:avLst/>
        </a:prstGeom>
        <a:noFill/>
        <a:ln w="9525">
          <a:solidFill>
            <a:srgbClr val="000000"/>
          </a:solidFill>
          <a:round/>
          <a:headEnd/>
          <a:tailEnd type="triangle" w="med" len="med"/>
        </a:ln>
      </xdr:spPr>
    </xdr:sp>
    <xdr:clientData/>
  </xdr:twoCellAnchor>
  <xdr:twoCellAnchor>
    <xdr:from>
      <xdr:col>5</xdr:col>
      <xdr:colOff>0</xdr:colOff>
      <xdr:row>16</xdr:row>
      <xdr:rowOff>161925</xdr:rowOff>
    </xdr:from>
    <xdr:to>
      <xdr:col>6</xdr:col>
      <xdr:colOff>0</xdr:colOff>
      <xdr:row>16</xdr:row>
      <xdr:rowOff>161925</xdr:rowOff>
    </xdr:to>
    <xdr:sp macro="" textlink="">
      <xdr:nvSpPr>
        <xdr:cNvPr id="111797" name="Line 24"/>
        <xdr:cNvSpPr>
          <a:spLocks noChangeShapeType="1"/>
        </xdr:cNvSpPr>
      </xdr:nvSpPr>
      <xdr:spPr bwMode="auto">
        <a:xfrm>
          <a:off x="3009900" y="4038600"/>
          <a:ext cx="285750" cy="0"/>
        </a:xfrm>
        <a:prstGeom prst="line">
          <a:avLst/>
        </a:prstGeom>
        <a:noFill/>
        <a:ln w="9525">
          <a:solidFill>
            <a:srgbClr val="000000"/>
          </a:solidFill>
          <a:round/>
          <a:headEnd/>
          <a:tailEnd type="triangle" w="med" len="med"/>
        </a:ln>
      </xdr:spPr>
    </xdr:sp>
    <xdr:clientData/>
  </xdr:twoCellAnchor>
  <xdr:twoCellAnchor>
    <xdr:from>
      <xdr:col>4</xdr:col>
      <xdr:colOff>1047750</xdr:colOff>
      <xdr:row>18</xdr:row>
      <xdr:rowOff>161925</xdr:rowOff>
    </xdr:from>
    <xdr:to>
      <xdr:col>6</xdr:col>
      <xdr:colOff>0</xdr:colOff>
      <xdr:row>18</xdr:row>
      <xdr:rowOff>161925</xdr:rowOff>
    </xdr:to>
    <xdr:sp macro="" textlink="">
      <xdr:nvSpPr>
        <xdr:cNvPr id="111799" name="Line 26"/>
        <xdr:cNvSpPr>
          <a:spLocks noChangeShapeType="1"/>
        </xdr:cNvSpPr>
      </xdr:nvSpPr>
      <xdr:spPr bwMode="auto">
        <a:xfrm>
          <a:off x="3009900" y="4533900"/>
          <a:ext cx="285750" cy="0"/>
        </a:xfrm>
        <a:prstGeom prst="line">
          <a:avLst/>
        </a:prstGeom>
        <a:noFill/>
        <a:ln w="19050">
          <a:solidFill>
            <a:srgbClr val="FF0000"/>
          </a:solidFill>
          <a:round/>
          <a:headEnd/>
          <a:tailEnd type="triangle" w="med" len="med"/>
        </a:ln>
      </xdr:spPr>
    </xdr:sp>
    <xdr:clientData/>
  </xdr:twoCellAnchor>
  <xdr:twoCellAnchor>
    <xdr:from>
      <xdr:col>7</xdr:col>
      <xdr:colOff>10583</xdr:colOff>
      <xdr:row>18</xdr:row>
      <xdr:rowOff>152399</xdr:rowOff>
    </xdr:from>
    <xdr:to>
      <xdr:col>11</xdr:col>
      <xdr:colOff>276225</xdr:colOff>
      <xdr:row>18</xdr:row>
      <xdr:rowOff>152399</xdr:rowOff>
    </xdr:to>
    <xdr:sp macro="" textlink="">
      <xdr:nvSpPr>
        <xdr:cNvPr id="111800" name="Line 27"/>
        <xdr:cNvSpPr>
          <a:spLocks noChangeShapeType="1"/>
        </xdr:cNvSpPr>
      </xdr:nvSpPr>
      <xdr:spPr bwMode="auto">
        <a:xfrm flipH="1" flipV="1">
          <a:off x="4413250" y="4078816"/>
          <a:ext cx="2932642" cy="0"/>
        </a:xfrm>
        <a:prstGeom prst="line">
          <a:avLst/>
        </a:prstGeom>
        <a:noFill/>
        <a:ln w="19050">
          <a:solidFill>
            <a:srgbClr val="FF0000"/>
          </a:solidFill>
          <a:round/>
          <a:headEnd/>
          <a:tailEnd type="triangle" w="med" len="med"/>
        </a:ln>
      </xdr:spPr>
    </xdr:sp>
    <xdr:clientData/>
  </xdr:twoCellAnchor>
  <xdr:twoCellAnchor>
    <xdr:from>
      <xdr:col>9</xdr:col>
      <xdr:colOff>9525</xdr:colOff>
      <xdr:row>20</xdr:row>
      <xdr:rowOff>159809</xdr:rowOff>
    </xdr:from>
    <xdr:to>
      <xdr:col>9</xdr:col>
      <xdr:colOff>276225</xdr:colOff>
      <xdr:row>20</xdr:row>
      <xdr:rowOff>159809</xdr:rowOff>
    </xdr:to>
    <xdr:sp macro="" textlink="">
      <xdr:nvSpPr>
        <xdr:cNvPr id="111801" name="Line 28"/>
        <xdr:cNvSpPr>
          <a:spLocks noChangeShapeType="1"/>
        </xdr:cNvSpPr>
      </xdr:nvSpPr>
      <xdr:spPr bwMode="auto">
        <a:xfrm>
          <a:off x="5745692" y="4594226"/>
          <a:ext cx="266700" cy="0"/>
        </a:xfrm>
        <a:prstGeom prst="line">
          <a:avLst/>
        </a:prstGeom>
        <a:noFill/>
        <a:ln w="9525">
          <a:solidFill>
            <a:srgbClr val="000000"/>
          </a:solidFill>
          <a:round/>
          <a:headEnd/>
          <a:tailEnd type="triangle" w="med" len="med"/>
        </a:ln>
      </xdr:spPr>
    </xdr:sp>
    <xdr:clientData/>
  </xdr:twoCellAnchor>
  <xdr:twoCellAnchor>
    <xdr:from>
      <xdr:col>6</xdr:col>
      <xdr:colOff>1038225</xdr:colOff>
      <xdr:row>20</xdr:row>
      <xdr:rowOff>161925</xdr:rowOff>
    </xdr:from>
    <xdr:to>
      <xdr:col>7</xdr:col>
      <xdr:colOff>276225</xdr:colOff>
      <xdr:row>20</xdr:row>
      <xdr:rowOff>161925</xdr:rowOff>
    </xdr:to>
    <xdr:sp macro="" textlink="">
      <xdr:nvSpPr>
        <xdr:cNvPr id="111802" name="Line 29"/>
        <xdr:cNvSpPr>
          <a:spLocks noChangeShapeType="1"/>
        </xdr:cNvSpPr>
      </xdr:nvSpPr>
      <xdr:spPr bwMode="auto">
        <a:xfrm flipH="1">
          <a:off x="4333875" y="5038725"/>
          <a:ext cx="285750" cy="0"/>
        </a:xfrm>
        <a:prstGeom prst="line">
          <a:avLst/>
        </a:prstGeom>
        <a:noFill/>
        <a:ln w="9525">
          <a:solidFill>
            <a:srgbClr val="000000"/>
          </a:solidFill>
          <a:round/>
          <a:headEnd/>
          <a:tailEnd type="triangle" w="med" len="med"/>
        </a:ln>
      </xdr:spPr>
    </xdr:sp>
    <xdr:clientData/>
  </xdr:twoCellAnchor>
  <xdr:twoCellAnchor>
    <xdr:from>
      <xdr:col>11</xdr:col>
      <xdr:colOff>10583</xdr:colOff>
      <xdr:row>20</xdr:row>
      <xdr:rowOff>182033</xdr:rowOff>
    </xdr:from>
    <xdr:to>
      <xdr:col>11</xdr:col>
      <xdr:colOff>277283</xdr:colOff>
      <xdr:row>20</xdr:row>
      <xdr:rowOff>182033</xdr:rowOff>
    </xdr:to>
    <xdr:sp macro="" textlink="">
      <xdr:nvSpPr>
        <xdr:cNvPr id="111803" name="Line 30"/>
        <xdr:cNvSpPr>
          <a:spLocks noChangeShapeType="1"/>
        </xdr:cNvSpPr>
      </xdr:nvSpPr>
      <xdr:spPr bwMode="auto">
        <a:xfrm flipV="1">
          <a:off x="7080250" y="4616450"/>
          <a:ext cx="266700" cy="0"/>
        </a:xfrm>
        <a:prstGeom prst="line">
          <a:avLst/>
        </a:prstGeom>
        <a:noFill/>
        <a:ln w="9525">
          <a:solidFill>
            <a:srgbClr val="000000"/>
          </a:solidFill>
          <a:round/>
          <a:headEnd/>
          <a:tailEnd type="triangle" w="med" len="med"/>
        </a:ln>
      </xdr:spPr>
    </xdr:sp>
    <xdr:clientData/>
  </xdr:twoCellAnchor>
  <xdr:twoCellAnchor>
    <xdr:from>
      <xdr:col>6</xdr:col>
      <xdr:colOff>457200</xdr:colOff>
      <xdr:row>18</xdr:row>
      <xdr:rowOff>323850</xdr:rowOff>
    </xdr:from>
    <xdr:to>
      <xdr:col>6</xdr:col>
      <xdr:colOff>466725</xdr:colOff>
      <xdr:row>20</xdr:row>
      <xdr:rowOff>0</xdr:rowOff>
    </xdr:to>
    <xdr:sp macro="" textlink="">
      <xdr:nvSpPr>
        <xdr:cNvPr id="111804" name="Line 31"/>
        <xdr:cNvSpPr>
          <a:spLocks noChangeShapeType="1"/>
        </xdr:cNvSpPr>
      </xdr:nvSpPr>
      <xdr:spPr bwMode="auto">
        <a:xfrm>
          <a:off x="3752850" y="4695825"/>
          <a:ext cx="9525" cy="180975"/>
        </a:xfrm>
        <a:prstGeom prst="line">
          <a:avLst/>
        </a:prstGeom>
        <a:noFill/>
        <a:ln w="9525">
          <a:solidFill>
            <a:srgbClr val="000000"/>
          </a:solidFill>
          <a:round/>
          <a:headEnd/>
          <a:tailEnd type="triangle" w="med" len="med"/>
        </a:ln>
      </xdr:spPr>
    </xdr:sp>
    <xdr:clientData/>
  </xdr:twoCellAnchor>
  <xdr:twoCellAnchor>
    <xdr:from>
      <xdr:col>2</xdr:col>
      <xdr:colOff>1038225</xdr:colOff>
      <xdr:row>8</xdr:row>
      <xdr:rowOff>152400</xdr:rowOff>
    </xdr:from>
    <xdr:to>
      <xdr:col>3</xdr:col>
      <xdr:colOff>276225</xdr:colOff>
      <xdr:row>8</xdr:row>
      <xdr:rowOff>152400</xdr:rowOff>
    </xdr:to>
    <xdr:sp macro="" textlink="">
      <xdr:nvSpPr>
        <xdr:cNvPr id="111805" name="Line 32"/>
        <xdr:cNvSpPr>
          <a:spLocks noChangeShapeType="1"/>
        </xdr:cNvSpPr>
      </xdr:nvSpPr>
      <xdr:spPr bwMode="auto">
        <a:xfrm>
          <a:off x="1666875" y="1695450"/>
          <a:ext cx="285750" cy="0"/>
        </a:xfrm>
        <a:prstGeom prst="line">
          <a:avLst/>
        </a:prstGeom>
        <a:noFill/>
        <a:ln w="9525">
          <a:solidFill>
            <a:srgbClr val="000000"/>
          </a:solidFill>
          <a:round/>
          <a:headEnd/>
          <a:tailEnd type="triangle" w="med" len="med"/>
        </a:ln>
      </xdr:spPr>
    </xdr:sp>
    <xdr:clientData/>
  </xdr:twoCellAnchor>
  <xdr:twoCellAnchor>
    <xdr:from>
      <xdr:col>2</xdr:col>
      <xdr:colOff>486831</xdr:colOff>
      <xdr:row>4</xdr:row>
      <xdr:rowOff>328083</xdr:rowOff>
    </xdr:from>
    <xdr:to>
      <xdr:col>2</xdr:col>
      <xdr:colOff>486831</xdr:colOff>
      <xdr:row>6</xdr:row>
      <xdr:rowOff>0</xdr:rowOff>
    </xdr:to>
    <xdr:sp macro="" textlink="">
      <xdr:nvSpPr>
        <xdr:cNvPr id="111806" name="Line 33"/>
        <xdr:cNvSpPr>
          <a:spLocks noChangeShapeType="1"/>
        </xdr:cNvSpPr>
      </xdr:nvSpPr>
      <xdr:spPr bwMode="auto">
        <a:xfrm flipV="1">
          <a:off x="1174748" y="751416"/>
          <a:ext cx="0" cy="169334"/>
        </a:xfrm>
        <a:prstGeom prst="line">
          <a:avLst/>
        </a:prstGeom>
        <a:noFill/>
        <a:ln w="9525">
          <a:solidFill>
            <a:srgbClr val="000000"/>
          </a:solidFill>
          <a:round/>
          <a:headEnd/>
          <a:tailEnd type="triangle" w="med" len="med"/>
        </a:ln>
      </xdr:spPr>
    </xdr:sp>
    <xdr:clientData/>
  </xdr:twoCellAnchor>
  <xdr:twoCellAnchor>
    <xdr:from>
      <xdr:col>3</xdr:col>
      <xdr:colOff>2116</xdr:colOff>
      <xdr:row>18</xdr:row>
      <xdr:rowOff>171450</xdr:rowOff>
    </xdr:from>
    <xdr:to>
      <xdr:col>4</xdr:col>
      <xdr:colOff>0</xdr:colOff>
      <xdr:row>18</xdr:row>
      <xdr:rowOff>171450</xdr:rowOff>
    </xdr:to>
    <xdr:sp macro="" textlink="">
      <xdr:nvSpPr>
        <xdr:cNvPr id="111807" name="Line 34"/>
        <xdr:cNvSpPr>
          <a:spLocks noChangeShapeType="1"/>
        </xdr:cNvSpPr>
      </xdr:nvSpPr>
      <xdr:spPr bwMode="auto">
        <a:xfrm>
          <a:off x="1737783" y="4097867"/>
          <a:ext cx="283634" cy="0"/>
        </a:xfrm>
        <a:prstGeom prst="line">
          <a:avLst/>
        </a:prstGeom>
        <a:noFill/>
        <a:ln w="19050">
          <a:solidFill>
            <a:srgbClr val="FF0000"/>
          </a:solidFill>
          <a:round/>
          <a:headEnd/>
          <a:tailEnd type="triangle" w="med" len="med"/>
        </a:ln>
      </xdr:spPr>
    </xdr:sp>
    <xdr:clientData/>
  </xdr:twoCellAnchor>
  <xdr:twoCellAnchor>
    <xdr:from>
      <xdr:col>4</xdr:col>
      <xdr:colOff>495300</xdr:colOff>
      <xdr:row>18</xdr:row>
      <xdr:rowOff>338665</xdr:rowOff>
    </xdr:from>
    <xdr:to>
      <xdr:col>4</xdr:col>
      <xdr:colOff>495300</xdr:colOff>
      <xdr:row>19</xdr:row>
      <xdr:rowOff>156634</xdr:rowOff>
    </xdr:to>
    <xdr:sp macro="" textlink="">
      <xdr:nvSpPr>
        <xdr:cNvPr id="111808" name="Line 35"/>
        <xdr:cNvSpPr>
          <a:spLocks noChangeShapeType="1"/>
        </xdr:cNvSpPr>
      </xdr:nvSpPr>
      <xdr:spPr bwMode="auto">
        <a:xfrm>
          <a:off x="2516717" y="4265082"/>
          <a:ext cx="0" cy="156635"/>
        </a:xfrm>
        <a:prstGeom prst="line">
          <a:avLst/>
        </a:prstGeom>
        <a:noFill/>
        <a:ln w="9525">
          <a:solidFill>
            <a:srgbClr val="000000"/>
          </a:solidFill>
          <a:round/>
          <a:headEnd/>
          <a:tailEnd type="triangle" w="med" len="med"/>
        </a:ln>
      </xdr:spPr>
    </xdr:sp>
    <xdr:clientData/>
  </xdr:twoCellAnchor>
  <xdr:twoCellAnchor>
    <xdr:from>
      <xdr:col>4</xdr:col>
      <xdr:colOff>486834</xdr:colOff>
      <xdr:row>7</xdr:row>
      <xdr:rowOff>1</xdr:rowOff>
    </xdr:from>
    <xdr:to>
      <xdr:col>4</xdr:col>
      <xdr:colOff>486834</xdr:colOff>
      <xdr:row>7</xdr:row>
      <xdr:rowOff>161926</xdr:rowOff>
    </xdr:to>
    <xdr:sp macro="" textlink="">
      <xdr:nvSpPr>
        <xdr:cNvPr id="37" name="Line 9"/>
        <xdr:cNvSpPr>
          <a:spLocks noChangeShapeType="1"/>
        </xdr:cNvSpPr>
      </xdr:nvSpPr>
      <xdr:spPr bwMode="auto">
        <a:xfrm>
          <a:off x="2508251" y="1248834"/>
          <a:ext cx="0" cy="161925"/>
        </a:xfrm>
        <a:prstGeom prst="line">
          <a:avLst/>
        </a:prstGeom>
        <a:noFill/>
        <a:ln w="9525">
          <a:solidFill>
            <a:srgbClr val="000000"/>
          </a:solidFill>
          <a:round/>
          <a:headEnd/>
          <a:tailEnd type="triangle" w="med" len="med"/>
        </a:ln>
      </xdr:spPr>
    </xdr:sp>
    <xdr:clientData/>
  </xdr:twoCellAnchor>
  <xdr:twoCellAnchor>
    <xdr:from>
      <xdr:col>8</xdr:col>
      <xdr:colOff>1037167</xdr:colOff>
      <xdr:row>12</xdr:row>
      <xdr:rowOff>152400</xdr:rowOff>
    </xdr:from>
    <xdr:to>
      <xdr:col>9</xdr:col>
      <xdr:colOff>284692</xdr:colOff>
      <xdr:row>12</xdr:row>
      <xdr:rowOff>152400</xdr:rowOff>
    </xdr:to>
    <xdr:sp macro="" textlink="">
      <xdr:nvSpPr>
        <xdr:cNvPr id="38" name="Line 5"/>
        <xdr:cNvSpPr>
          <a:spLocks noChangeShapeType="1"/>
        </xdr:cNvSpPr>
      </xdr:nvSpPr>
      <xdr:spPr bwMode="auto">
        <a:xfrm>
          <a:off x="5725584" y="2575983"/>
          <a:ext cx="295275" cy="0"/>
        </a:xfrm>
        <a:prstGeom prst="line">
          <a:avLst/>
        </a:prstGeom>
        <a:noFill/>
        <a:ln w="9525">
          <a:solidFill>
            <a:srgbClr val="000000"/>
          </a:solidFill>
          <a:round/>
          <a:headEnd/>
          <a:tailEnd type="triangle" w="med" len="med"/>
        </a:ln>
      </xdr:spPr>
    </xdr:sp>
    <xdr:clientData/>
  </xdr:twoCellAnchor>
</xdr:wsDr>
</file>

<file path=xl/drawings/drawing35.xml><?xml version="1.0" encoding="utf-8"?>
<xdr:wsDr xmlns:xdr="http://schemas.openxmlformats.org/drawingml/2006/spreadsheetDrawing" xmlns:a="http://schemas.openxmlformats.org/drawingml/2006/main">
  <xdr:twoCellAnchor>
    <xdr:from>
      <xdr:col>10</xdr:col>
      <xdr:colOff>525212</xdr:colOff>
      <xdr:row>6</xdr:row>
      <xdr:rowOff>324908</xdr:rowOff>
    </xdr:from>
    <xdr:to>
      <xdr:col>10</xdr:col>
      <xdr:colOff>554566</xdr:colOff>
      <xdr:row>15</xdr:row>
      <xdr:rowOff>158750</xdr:rowOff>
    </xdr:to>
    <xdr:sp macro="" textlink="">
      <xdr:nvSpPr>
        <xdr:cNvPr id="105819" name="Line 1"/>
        <xdr:cNvSpPr>
          <a:spLocks noChangeShapeType="1"/>
        </xdr:cNvSpPr>
      </xdr:nvSpPr>
      <xdr:spPr bwMode="auto">
        <a:xfrm flipH="1">
          <a:off x="6547129" y="1245658"/>
          <a:ext cx="29354" cy="2151592"/>
        </a:xfrm>
        <a:prstGeom prst="line">
          <a:avLst/>
        </a:prstGeom>
        <a:noFill/>
        <a:ln w="19050">
          <a:solidFill>
            <a:srgbClr val="FF0000"/>
          </a:solidFill>
          <a:round/>
          <a:headEnd/>
          <a:tailEnd type="triangle" w="med" len="med"/>
        </a:ln>
      </xdr:spPr>
    </xdr:sp>
    <xdr:clientData/>
  </xdr:twoCellAnchor>
  <xdr:twoCellAnchor>
    <xdr:from>
      <xdr:col>8</xdr:col>
      <xdr:colOff>1047749</xdr:colOff>
      <xdr:row>16</xdr:row>
      <xdr:rowOff>328083</xdr:rowOff>
    </xdr:from>
    <xdr:to>
      <xdr:col>10</xdr:col>
      <xdr:colOff>0</xdr:colOff>
      <xdr:row>17</xdr:row>
      <xdr:rowOff>169332</xdr:rowOff>
    </xdr:to>
    <xdr:sp macro="" textlink="">
      <xdr:nvSpPr>
        <xdr:cNvPr id="105820" name="Line 2"/>
        <xdr:cNvSpPr>
          <a:spLocks noChangeShapeType="1"/>
        </xdr:cNvSpPr>
      </xdr:nvSpPr>
      <xdr:spPr bwMode="auto">
        <a:xfrm flipH="1">
          <a:off x="5736166" y="3735916"/>
          <a:ext cx="285751" cy="169333"/>
        </a:xfrm>
        <a:prstGeom prst="line">
          <a:avLst/>
        </a:prstGeom>
        <a:noFill/>
        <a:ln w="19050">
          <a:solidFill>
            <a:srgbClr val="FF0000"/>
          </a:solidFill>
          <a:round/>
          <a:headEnd/>
          <a:tailEnd type="triangle" w="med" len="med"/>
        </a:ln>
      </xdr:spPr>
    </xdr:sp>
    <xdr:clientData/>
  </xdr:twoCellAnchor>
  <xdr:twoCellAnchor>
    <xdr:from>
      <xdr:col>11</xdr:col>
      <xdr:colOff>0</xdr:colOff>
      <xdr:row>16</xdr:row>
      <xdr:rowOff>142876</xdr:rowOff>
    </xdr:from>
    <xdr:to>
      <xdr:col>12</xdr:col>
      <xdr:colOff>0</xdr:colOff>
      <xdr:row>16</xdr:row>
      <xdr:rowOff>142876</xdr:rowOff>
    </xdr:to>
    <xdr:sp macro="" textlink="">
      <xdr:nvSpPr>
        <xdr:cNvPr id="105821" name="Line 3"/>
        <xdr:cNvSpPr>
          <a:spLocks noChangeShapeType="1"/>
        </xdr:cNvSpPr>
      </xdr:nvSpPr>
      <xdr:spPr bwMode="auto">
        <a:xfrm>
          <a:off x="7069667" y="3550709"/>
          <a:ext cx="285750" cy="0"/>
        </a:xfrm>
        <a:prstGeom prst="line">
          <a:avLst/>
        </a:prstGeom>
        <a:noFill/>
        <a:ln w="9525">
          <a:solidFill>
            <a:srgbClr val="000000"/>
          </a:solidFill>
          <a:round/>
          <a:headEnd/>
          <a:tailEnd type="triangle" w="med" len="med"/>
        </a:ln>
      </xdr:spPr>
    </xdr:sp>
    <xdr:clientData/>
  </xdr:twoCellAnchor>
  <xdr:twoCellAnchor>
    <xdr:from>
      <xdr:col>8</xdr:col>
      <xdr:colOff>1037167</xdr:colOff>
      <xdr:row>18</xdr:row>
      <xdr:rowOff>152400</xdr:rowOff>
    </xdr:from>
    <xdr:to>
      <xdr:col>9</xdr:col>
      <xdr:colOff>284692</xdr:colOff>
      <xdr:row>18</xdr:row>
      <xdr:rowOff>152400</xdr:rowOff>
    </xdr:to>
    <xdr:sp macro="" textlink="">
      <xdr:nvSpPr>
        <xdr:cNvPr id="105822" name="Line 4"/>
        <xdr:cNvSpPr>
          <a:spLocks noChangeShapeType="1"/>
        </xdr:cNvSpPr>
      </xdr:nvSpPr>
      <xdr:spPr bwMode="auto">
        <a:xfrm>
          <a:off x="5725584" y="4216400"/>
          <a:ext cx="295275" cy="0"/>
        </a:xfrm>
        <a:prstGeom prst="line">
          <a:avLst/>
        </a:prstGeom>
        <a:noFill/>
        <a:ln w="9525">
          <a:solidFill>
            <a:srgbClr val="000000"/>
          </a:solidFill>
          <a:round/>
          <a:headEnd/>
          <a:tailEnd type="triangle" w="med" len="med"/>
        </a:ln>
      </xdr:spPr>
    </xdr:sp>
    <xdr:clientData/>
  </xdr:twoCellAnchor>
  <xdr:twoCellAnchor>
    <xdr:from>
      <xdr:col>4</xdr:col>
      <xdr:colOff>478366</xdr:colOff>
      <xdr:row>8</xdr:row>
      <xdr:rowOff>303742</xdr:rowOff>
    </xdr:from>
    <xdr:to>
      <xdr:col>4</xdr:col>
      <xdr:colOff>478366</xdr:colOff>
      <xdr:row>9</xdr:row>
      <xdr:rowOff>158750</xdr:rowOff>
    </xdr:to>
    <xdr:sp macro="" textlink="">
      <xdr:nvSpPr>
        <xdr:cNvPr id="105824" name="Line 6"/>
        <xdr:cNvSpPr>
          <a:spLocks noChangeShapeType="1"/>
        </xdr:cNvSpPr>
      </xdr:nvSpPr>
      <xdr:spPr bwMode="auto">
        <a:xfrm flipH="1">
          <a:off x="2499783" y="1721909"/>
          <a:ext cx="0" cy="183091"/>
        </a:xfrm>
        <a:prstGeom prst="line">
          <a:avLst/>
        </a:prstGeom>
        <a:noFill/>
        <a:ln w="9525">
          <a:solidFill>
            <a:srgbClr val="000000"/>
          </a:solidFill>
          <a:round/>
          <a:headEnd/>
          <a:tailEnd type="triangle" w="med" len="med"/>
        </a:ln>
      </xdr:spPr>
    </xdr:sp>
    <xdr:clientData/>
  </xdr:twoCellAnchor>
  <xdr:twoCellAnchor>
    <xdr:from>
      <xdr:col>5</xdr:col>
      <xdr:colOff>0</xdr:colOff>
      <xdr:row>8</xdr:row>
      <xdr:rowOff>180975</xdr:rowOff>
    </xdr:from>
    <xdr:to>
      <xdr:col>5</xdr:col>
      <xdr:colOff>276225</xdr:colOff>
      <xdr:row>10</xdr:row>
      <xdr:rowOff>158750</xdr:rowOff>
    </xdr:to>
    <xdr:sp macro="" textlink="">
      <xdr:nvSpPr>
        <xdr:cNvPr id="105825" name="Line 7"/>
        <xdr:cNvSpPr>
          <a:spLocks noChangeShapeType="1"/>
        </xdr:cNvSpPr>
      </xdr:nvSpPr>
      <xdr:spPr bwMode="auto">
        <a:xfrm flipH="1">
          <a:off x="3069167" y="1599142"/>
          <a:ext cx="276225" cy="475191"/>
        </a:xfrm>
        <a:prstGeom prst="line">
          <a:avLst/>
        </a:prstGeom>
        <a:noFill/>
        <a:ln w="9525">
          <a:solidFill>
            <a:srgbClr val="000000"/>
          </a:solidFill>
          <a:round/>
          <a:headEnd/>
          <a:tailEnd type="triangle" w="med" len="med"/>
        </a:ln>
      </xdr:spPr>
    </xdr:sp>
    <xdr:clientData/>
  </xdr:twoCellAnchor>
  <xdr:twoCellAnchor>
    <xdr:from>
      <xdr:col>6</xdr:col>
      <xdr:colOff>1047749</xdr:colOff>
      <xdr:row>6</xdr:row>
      <xdr:rowOff>152398</xdr:rowOff>
    </xdr:from>
    <xdr:to>
      <xdr:col>9</xdr:col>
      <xdr:colOff>266696</xdr:colOff>
      <xdr:row>6</xdr:row>
      <xdr:rowOff>152398</xdr:rowOff>
    </xdr:to>
    <xdr:sp macro="" textlink="">
      <xdr:nvSpPr>
        <xdr:cNvPr id="105826" name="Line 8"/>
        <xdr:cNvSpPr>
          <a:spLocks noChangeShapeType="1"/>
        </xdr:cNvSpPr>
      </xdr:nvSpPr>
      <xdr:spPr bwMode="auto">
        <a:xfrm flipH="1" flipV="1">
          <a:off x="4402666" y="1073148"/>
          <a:ext cx="1600197" cy="0"/>
        </a:xfrm>
        <a:prstGeom prst="line">
          <a:avLst/>
        </a:prstGeom>
        <a:noFill/>
        <a:ln w="9525">
          <a:solidFill>
            <a:srgbClr val="000000"/>
          </a:solidFill>
          <a:round/>
          <a:headEnd/>
          <a:tailEnd type="triangle" w="med" len="med"/>
        </a:ln>
      </xdr:spPr>
    </xdr:sp>
    <xdr:clientData/>
  </xdr:twoCellAnchor>
  <xdr:twoCellAnchor>
    <xdr:from>
      <xdr:col>8</xdr:col>
      <xdr:colOff>485775</xdr:colOff>
      <xdr:row>18</xdr:row>
      <xdr:rowOff>337609</xdr:rowOff>
    </xdr:from>
    <xdr:to>
      <xdr:col>8</xdr:col>
      <xdr:colOff>485775</xdr:colOff>
      <xdr:row>19</xdr:row>
      <xdr:rowOff>158750</xdr:rowOff>
    </xdr:to>
    <xdr:sp macro="" textlink="">
      <xdr:nvSpPr>
        <xdr:cNvPr id="105827" name="Line 9"/>
        <xdr:cNvSpPr>
          <a:spLocks noChangeShapeType="1"/>
        </xdr:cNvSpPr>
      </xdr:nvSpPr>
      <xdr:spPr bwMode="auto">
        <a:xfrm>
          <a:off x="5174192" y="4401609"/>
          <a:ext cx="0" cy="159808"/>
        </a:xfrm>
        <a:prstGeom prst="line">
          <a:avLst/>
        </a:prstGeom>
        <a:noFill/>
        <a:ln w="9525">
          <a:solidFill>
            <a:srgbClr val="000000"/>
          </a:solidFill>
          <a:round/>
          <a:headEnd/>
          <a:tailEnd type="triangle" w="med" len="med"/>
        </a:ln>
      </xdr:spPr>
    </xdr:sp>
    <xdr:clientData/>
  </xdr:twoCellAnchor>
  <xdr:twoCellAnchor>
    <xdr:from>
      <xdr:col>6</xdr:col>
      <xdr:colOff>478366</xdr:colOff>
      <xdr:row>7</xdr:row>
      <xdr:rowOff>0</xdr:rowOff>
    </xdr:from>
    <xdr:to>
      <xdr:col>6</xdr:col>
      <xdr:colOff>478366</xdr:colOff>
      <xdr:row>7</xdr:row>
      <xdr:rowOff>152400</xdr:rowOff>
    </xdr:to>
    <xdr:sp macro="" textlink="">
      <xdr:nvSpPr>
        <xdr:cNvPr id="105828" name="Line 10"/>
        <xdr:cNvSpPr>
          <a:spLocks noChangeShapeType="1"/>
        </xdr:cNvSpPr>
      </xdr:nvSpPr>
      <xdr:spPr bwMode="auto">
        <a:xfrm>
          <a:off x="3833283" y="1248833"/>
          <a:ext cx="0" cy="152400"/>
        </a:xfrm>
        <a:prstGeom prst="line">
          <a:avLst/>
        </a:prstGeom>
        <a:noFill/>
        <a:ln w="9525">
          <a:solidFill>
            <a:srgbClr val="000000"/>
          </a:solidFill>
          <a:round/>
          <a:headEnd/>
          <a:tailEnd type="triangle" w="med" len="med"/>
        </a:ln>
      </xdr:spPr>
    </xdr:sp>
    <xdr:clientData/>
  </xdr:twoCellAnchor>
  <xdr:twoCellAnchor>
    <xdr:from>
      <xdr:col>6</xdr:col>
      <xdr:colOff>484717</xdr:colOff>
      <xdr:row>19</xdr:row>
      <xdr:rowOff>0</xdr:rowOff>
    </xdr:from>
    <xdr:to>
      <xdr:col>6</xdr:col>
      <xdr:colOff>484717</xdr:colOff>
      <xdr:row>19</xdr:row>
      <xdr:rowOff>167217</xdr:rowOff>
    </xdr:to>
    <xdr:sp macro="" textlink="">
      <xdr:nvSpPr>
        <xdr:cNvPr id="105829" name="Line 11"/>
        <xdr:cNvSpPr>
          <a:spLocks noChangeShapeType="1"/>
        </xdr:cNvSpPr>
      </xdr:nvSpPr>
      <xdr:spPr bwMode="auto">
        <a:xfrm>
          <a:off x="3839634" y="4402667"/>
          <a:ext cx="0" cy="167217"/>
        </a:xfrm>
        <a:prstGeom prst="line">
          <a:avLst/>
        </a:prstGeom>
        <a:noFill/>
        <a:ln w="9525">
          <a:solidFill>
            <a:srgbClr val="000000"/>
          </a:solidFill>
          <a:round/>
          <a:headEnd/>
          <a:tailEnd type="triangle" w="med" len="med"/>
        </a:ln>
      </xdr:spPr>
    </xdr:sp>
    <xdr:clientData/>
  </xdr:twoCellAnchor>
  <xdr:twoCellAnchor>
    <xdr:from>
      <xdr:col>7</xdr:col>
      <xdr:colOff>0</xdr:colOff>
      <xdr:row>10</xdr:row>
      <xdr:rowOff>164039</xdr:rowOff>
    </xdr:from>
    <xdr:to>
      <xdr:col>11</xdr:col>
      <xdr:colOff>275167</xdr:colOff>
      <xdr:row>10</xdr:row>
      <xdr:rowOff>164039</xdr:rowOff>
    </xdr:to>
    <xdr:sp macro="" textlink="">
      <xdr:nvSpPr>
        <xdr:cNvPr id="105830" name="Line 12"/>
        <xdr:cNvSpPr>
          <a:spLocks noChangeShapeType="1"/>
        </xdr:cNvSpPr>
      </xdr:nvSpPr>
      <xdr:spPr bwMode="auto">
        <a:xfrm flipV="1">
          <a:off x="4402667" y="2079622"/>
          <a:ext cx="2942167" cy="0"/>
        </a:xfrm>
        <a:prstGeom prst="line">
          <a:avLst/>
        </a:prstGeom>
        <a:noFill/>
        <a:ln w="9525">
          <a:solidFill>
            <a:srgbClr val="000000"/>
          </a:solidFill>
          <a:round/>
          <a:headEnd/>
          <a:tailEnd type="triangle" w="med" len="med"/>
        </a:ln>
      </xdr:spPr>
    </xdr:sp>
    <xdr:clientData/>
  </xdr:twoCellAnchor>
  <xdr:twoCellAnchor>
    <xdr:from>
      <xdr:col>12</xdr:col>
      <xdr:colOff>523875</xdr:colOff>
      <xdr:row>8</xdr:row>
      <xdr:rowOff>304800</xdr:rowOff>
    </xdr:from>
    <xdr:to>
      <xdr:col>12</xdr:col>
      <xdr:colOff>533400</xdr:colOff>
      <xdr:row>10</xdr:row>
      <xdr:rowOff>0</xdr:rowOff>
    </xdr:to>
    <xdr:sp macro="" textlink="">
      <xdr:nvSpPr>
        <xdr:cNvPr id="105831" name="Line 13"/>
        <xdr:cNvSpPr>
          <a:spLocks noChangeShapeType="1"/>
        </xdr:cNvSpPr>
      </xdr:nvSpPr>
      <xdr:spPr bwMode="auto">
        <a:xfrm flipH="1" flipV="1">
          <a:off x="7820025" y="1847850"/>
          <a:ext cx="9525" cy="190500"/>
        </a:xfrm>
        <a:prstGeom prst="line">
          <a:avLst/>
        </a:prstGeom>
        <a:noFill/>
        <a:ln w="9525">
          <a:solidFill>
            <a:srgbClr val="000000"/>
          </a:solidFill>
          <a:round/>
          <a:headEnd/>
          <a:tailEnd type="triangle" w="med" len="med"/>
        </a:ln>
      </xdr:spPr>
    </xdr:sp>
    <xdr:clientData/>
  </xdr:twoCellAnchor>
  <xdr:twoCellAnchor>
    <xdr:from>
      <xdr:col>12</xdr:col>
      <xdr:colOff>533400</xdr:colOff>
      <xdr:row>6</xdr:row>
      <xdr:rowOff>323850</xdr:rowOff>
    </xdr:from>
    <xdr:to>
      <xdr:col>12</xdr:col>
      <xdr:colOff>533400</xdr:colOff>
      <xdr:row>7</xdr:row>
      <xdr:rowOff>152400</xdr:rowOff>
    </xdr:to>
    <xdr:sp macro="" textlink="">
      <xdr:nvSpPr>
        <xdr:cNvPr id="105832" name="Line 14"/>
        <xdr:cNvSpPr>
          <a:spLocks noChangeShapeType="1"/>
        </xdr:cNvSpPr>
      </xdr:nvSpPr>
      <xdr:spPr bwMode="auto">
        <a:xfrm flipV="1">
          <a:off x="7829550" y="1371600"/>
          <a:ext cx="0" cy="152400"/>
        </a:xfrm>
        <a:prstGeom prst="line">
          <a:avLst/>
        </a:prstGeom>
        <a:noFill/>
        <a:ln w="9525">
          <a:solidFill>
            <a:srgbClr val="000000"/>
          </a:solidFill>
          <a:round/>
          <a:headEnd/>
          <a:tailEnd type="triangle" w="med" len="med"/>
        </a:ln>
      </xdr:spPr>
    </xdr:sp>
    <xdr:clientData/>
  </xdr:twoCellAnchor>
  <xdr:twoCellAnchor>
    <xdr:from>
      <xdr:col>12</xdr:col>
      <xdr:colOff>523875</xdr:colOff>
      <xdr:row>4</xdr:row>
      <xdr:rowOff>304800</xdr:rowOff>
    </xdr:from>
    <xdr:to>
      <xdr:col>12</xdr:col>
      <xdr:colOff>533400</xdr:colOff>
      <xdr:row>5</xdr:row>
      <xdr:rowOff>161925</xdr:rowOff>
    </xdr:to>
    <xdr:sp macro="" textlink="">
      <xdr:nvSpPr>
        <xdr:cNvPr id="105833" name="Line 15"/>
        <xdr:cNvSpPr>
          <a:spLocks noChangeShapeType="1"/>
        </xdr:cNvSpPr>
      </xdr:nvSpPr>
      <xdr:spPr bwMode="auto">
        <a:xfrm flipH="1" flipV="1">
          <a:off x="7820025" y="857250"/>
          <a:ext cx="9525" cy="180975"/>
        </a:xfrm>
        <a:prstGeom prst="line">
          <a:avLst/>
        </a:prstGeom>
        <a:noFill/>
        <a:ln w="9525">
          <a:solidFill>
            <a:srgbClr val="000000"/>
          </a:solidFill>
          <a:round/>
          <a:headEnd/>
          <a:tailEnd type="triangle" w="med" len="med"/>
        </a:ln>
      </xdr:spPr>
    </xdr:sp>
    <xdr:clientData/>
  </xdr:twoCellAnchor>
  <xdr:twoCellAnchor>
    <xdr:from>
      <xdr:col>5</xdr:col>
      <xdr:colOff>0</xdr:colOff>
      <xdr:row>8</xdr:row>
      <xdr:rowOff>158750</xdr:rowOff>
    </xdr:from>
    <xdr:to>
      <xdr:col>5</xdr:col>
      <xdr:colOff>276225</xdr:colOff>
      <xdr:row>10</xdr:row>
      <xdr:rowOff>133350</xdr:rowOff>
    </xdr:to>
    <xdr:sp macro="" textlink="">
      <xdr:nvSpPr>
        <xdr:cNvPr id="105834" name="Line 16"/>
        <xdr:cNvSpPr>
          <a:spLocks noChangeShapeType="1"/>
        </xdr:cNvSpPr>
      </xdr:nvSpPr>
      <xdr:spPr bwMode="auto">
        <a:xfrm flipH="1" flipV="1">
          <a:off x="3069167" y="1576917"/>
          <a:ext cx="276225" cy="472016"/>
        </a:xfrm>
        <a:prstGeom prst="line">
          <a:avLst/>
        </a:prstGeom>
        <a:noFill/>
        <a:ln w="9525">
          <a:solidFill>
            <a:srgbClr val="000000"/>
          </a:solidFill>
          <a:round/>
          <a:headEnd/>
          <a:tailEnd type="triangle" w="med" len="med"/>
        </a:ln>
      </xdr:spPr>
    </xdr:sp>
    <xdr:clientData/>
  </xdr:twoCellAnchor>
  <xdr:twoCellAnchor>
    <xdr:from>
      <xdr:col>7</xdr:col>
      <xdr:colOff>0</xdr:colOff>
      <xdr:row>8</xdr:row>
      <xdr:rowOff>328082</xdr:rowOff>
    </xdr:from>
    <xdr:to>
      <xdr:col>8</xdr:col>
      <xdr:colOff>264583</xdr:colOff>
      <xdr:row>10</xdr:row>
      <xdr:rowOff>133349</xdr:rowOff>
    </xdr:to>
    <xdr:sp macro="" textlink="">
      <xdr:nvSpPr>
        <xdr:cNvPr id="105835" name="Line 17"/>
        <xdr:cNvSpPr>
          <a:spLocks noChangeShapeType="1"/>
        </xdr:cNvSpPr>
      </xdr:nvSpPr>
      <xdr:spPr bwMode="auto">
        <a:xfrm flipV="1">
          <a:off x="4402667" y="1746249"/>
          <a:ext cx="550333" cy="302683"/>
        </a:xfrm>
        <a:prstGeom prst="line">
          <a:avLst/>
        </a:prstGeom>
        <a:noFill/>
        <a:ln w="9525">
          <a:solidFill>
            <a:srgbClr val="000000"/>
          </a:solidFill>
          <a:round/>
          <a:headEnd/>
          <a:tailEnd type="triangle" w="med" len="med"/>
        </a:ln>
      </xdr:spPr>
    </xdr:sp>
    <xdr:clientData/>
  </xdr:twoCellAnchor>
  <xdr:twoCellAnchor>
    <xdr:from>
      <xdr:col>8</xdr:col>
      <xdr:colOff>656166</xdr:colOff>
      <xdr:row>5</xdr:row>
      <xdr:rowOff>0</xdr:rowOff>
    </xdr:from>
    <xdr:to>
      <xdr:col>9</xdr:col>
      <xdr:colOff>267758</xdr:colOff>
      <xdr:row>6</xdr:row>
      <xdr:rowOff>141817</xdr:rowOff>
    </xdr:to>
    <xdr:sp macro="" textlink="">
      <xdr:nvSpPr>
        <xdr:cNvPr id="105836" name="Line 18"/>
        <xdr:cNvSpPr>
          <a:spLocks noChangeShapeType="1"/>
        </xdr:cNvSpPr>
      </xdr:nvSpPr>
      <xdr:spPr bwMode="auto">
        <a:xfrm flipH="1" flipV="1">
          <a:off x="5344583" y="751417"/>
          <a:ext cx="659342" cy="311150"/>
        </a:xfrm>
        <a:prstGeom prst="line">
          <a:avLst/>
        </a:prstGeom>
        <a:noFill/>
        <a:ln w="9525">
          <a:solidFill>
            <a:srgbClr val="000000"/>
          </a:solidFill>
          <a:round/>
          <a:headEnd/>
          <a:tailEnd type="triangle" w="med" len="med"/>
        </a:ln>
      </xdr:spPr>
    </xdr:sp>
    <xdr:clientData/>
  </xdr:twoCellAnchor>
  <xdr:twoCellAnchor>
    <xdr:from>
      <xdr:col>8</xdr:col>
      <xdr:colOff>1046691</xdr:colOff>
      <xdr:row>16</xdr:row>
      <xdr:rowOff>180975</xdr:rowOff>
    </xdr:from>
    <xdr:to>
      <xdr:col>9</xdr:col>
      <xdr:colOff>285749</xdr:colOff>
      <xdr:row>16</xdr:row>
      <xdr:rowOff>180975</xdr:rowOff>
    </xdr:to>
    <xdr:sp macro="" textlink="">
      <xdr:nvSpPr>
        <xdr:cNvPr id="105837" name="Line 19"/>
        <xdr:cNvSpPr>
          <a:spLocks noChangeShapeType="1"/>
        </xdr:cNvSpPr>
      </xdr:nvSpPr>
      <xdr:spPr bwMode="auto">
        <a:xfrm flipH="1">
          <a:off x="5735108" y="3588808"/>
          <a:ext cx="286808" cy="0"/>
        </a:xfrm>
        <a:prstGeom prst="line">
          <a:avLst/>
        </a:prstGeom>
        <a:noFill/>
        <a:ln w="19050">
          <a:solidFill>
            <a:srgbClr val="FF0000"/>
          </a:solidFill>
          <a:round/>
          <a:headEnd/>
          <a:tailEnd type="triangle" w="med" len="med"/>
        </a:ln>
      </xdr:spPr>
    </xdr:sp>
    <xdr:clientData/>
  </xdr:twoCellAnchor>
  <xdr:twoCellAnchor>
    <xdr:from>
      <xdr:col>6</xdr:col>
      <xdr:colOff>485775</xdr:colOff>
      <xdr:row>11</xdr:row>
      <xdr:rowOff>9525</xdr:rowOff>
    </xdr:from>
    <xdr:to>
      <xdr:col>6</xdr:col>
      <xdr:colOff>485775</xdr:colOff>
      <xdr:row>15</xdr:row>
      <xdr:rowOff>161925</xdr:rowOff>
    </xdr:to>
    <xdr:sp macro="" textlink="">
      <xdr:nvSpPr>
        <xdr:cNvPr id="105838" name="Line 20"/>
        <xdr:cNvSpPr>
          <a:spLocks noChangeShapeType="1"/>
        </xdr:cNvSpPr>
      </xdr:nvSpPr>
      <xdr:spPr bwMode="auto">
        <a:xfrm>
          <a:off x="3781425" y="2371725"/>
          <a:ext cx="0" cy="1143000"/>
        </a:xfrm>
        <a:prstGeom prst="line">
          <a:avLst/>
        </a:prstGeom>
        <a:noFill/>
        <a:ln w="19050">
          <a:solidFill>
            <a:srgbClr val="FF0000"/>
          </a:solidFill>
          <a:round/>
          <a:headEnd/>
          <a:tailEnd type="triangle" w="med" len="med"/>
        </a:ln>
      </xdr:spPr>
    </xdr:sp>
    <xdr:clientData/>
  </xdr:twoCellAnchor>
  <xdr:twoCellAnchor>
    <xdr:from>
      <xdr:col>6</xdr:col>
      <xdr:colOff>495300</xdr:colOff>
      <xdr:row>17</xdr:row>
      <xdr:rowOff>9525</xdr:rowOff>
    </xdr:from>
    <xdr:to>
      <xdr:col>6</xdr:col>
      <xdr:colOff>495300</xdr:colOff>
      <xdr:row>18</xdr:row>
      <xdr:rowOff>0</xdr:rowOff>
    </xdr:to>
    <xdr:sp macro="" textlink="">
      <xdr:nvSpPr>
        <xdr:cNvPr id="105839" name="Line 21"/>
        <xdr:cNvSpPr>
          <a:spLocks noChangeShapeType="1"/>
        </xdr:cNvSpPr>
      </xdr:nvSpPr>
      <xdr:spPr bwMode="auto">
        <a:xfrm flipH="1">
          <a:off x="3790950" y="3857625"/>
          <a:ext cx="0" cy="314325"/>
        </a:xfrm>
        <a:prstGeom prst="line">
          <a:avLst/>
        </a:prstGeom>
        <a:noFill/>
        <a:ln w="19050">
          <a:solidFill>
            <a:srgbClr val="FF0000"/>
          </a:solidFill>
          <a:round/>
          <a:headEnd/>
          <a:tailEnd type="triangle" w="med" len="med"/>
        </a:ln>
      </xdr:spPr>
    </xdr:sp>
    <xdr:clientData/>
  </xdr:twoCellAnchor>
  <xdr:twoCellAnchor>
    <xdr:from>
      <xdr:col>4</xdr:col>
      <xdr:colOff>1038225</xdr:colOff>
      <xdr:row>16</xdr:row>
      <xdr:rowOff>171450</xdr:rowOff>
    </xdr:from>
    <xdr:to>
      <xdr:col>6</xdr:col>
      <xdr:colOff>0</xdr:colOff>
      <xdr:row>16</xdr:row>
      <xdr:rowOff>171450</xdr:rowOff>
    </xdr:to>
    <xdr:sp macro="" textlink="">
      <xdr:nvSpPr>
        <xdr:cNvPr id="105840" name="Line 22"/>
        <xdr:cNvSpPr>
          <a:spLocks noChangeShapeType="1"/>
        </xdr:cNvSpPr>
      </xdr:nvSpPr>
      <xdr:spPr bwMode="auto">
        <a:xfrm flipH="1">
          <a:off x="3000375" y="3695700"/>
          <a:ext cx="295275" cy="0"/>
        </a:xfrm>
        <a:prstGeom prst="line">
          <a:avLst/>
        </a:prstGeom>
        <a:noFill/>
        <a:ln w="19050">
          <a:solidFill>
            <a:srgbClr val="FF0000"/>
          </a:solidFill>
          <a:round/>
          <a:headEnd/>
          <a:tailEnd type="triangle" w="med" len="med"/>
        </a:ln>
      </xdr:spPr>
    </xdr:sp>
    <xdr:clientData/>
  </xdr:twoCellAnchor>
  <xdr:twoCellAnchor>
    <xdr:from>
      <xdr:col>4</xdr:col>
      <xdr:colOff>1038225</xdr:colOff>
      <xdr:row>14</xdr:row>
      <xdr:rowOff>180975</xdr:rowOff>
    </xdr:from>
    <xdr:to>
      <xdr:col>5</xdr:col>
      <xdr:colOff>266700</xdr:colOff>
      <xdr:row>16</xdr:row>
      <xdr:rowOff>161925</xdr:rowOff>
    </xdr:to>
    <xdr:sp macro="" textlink="">
      <xdr:nvSpPr>
        <xdr:cNvPr id="105841" name="Line 23"/>
        <xdr:cNvSpPr>
          <a:spLocks noChangeShapeType="1"/>
        </xdr:cNvSpPr>
      </xdr:nvSpPr>
      <xdr:spPr bwMode="auto">
        <a:xfrm flipH="1" flipV="1">
          <a:off x="3000375" y="3209925"/>
          <a:ext cx="276225" cy="476250"/>
        </a:xfrm>
        <a:prstGeom prst="line">
          <a:avLst/>
        </a:prstGeom>
        <a:noFill/>
        <a:ln w="9525">
          <a:solidFill>
            <a:srgbClr val="000000"/>
          </a:solidFill>
          <a:round/>
          <a:headEnd/>
          <a:tailEnd type="triangle" w="med" len="med"/>
        </a:ln>
      </xdr:spPr>
    </xdr:sp>
    <xdr:clientData/>
  </xdr:twoCellAnchor>
  <xdr:twoCellAnchor>
    <xdr:from>
      <xdr:col>3</xdr:col>
      <xdr:colOff>0</xdr:colOff>
      <xdr:row>16</xdr:row>
      <xdr:rowOff>171450</xdr:rowOff>
    </xdr:from>
    <xdr:to>
      <xdr:col>3</xdr:col>
      <xdr:colOff>266700</xdr:colOff>
      <xdr:row>16</xdr:row>
      <xdr:rowOff>171450</xdr:rowOff>
    </xdr:to>
    <xdr:sp macro="" textlink="">
      <xdr:nvSpPr>
        <xdr:cNvPr id="105842" name="Line 24"/>
        <xdr:cNvSpPr>
          <a:spLocks noChangeShapeType="1"/>
        </xdr:cNvSpPr>
      </xdr:nvSpPr>
      <xdr:spPr bwMode="auto">
        <a:xfrm flipH="1">
          <a:off x="1676400" y="3695700"/>
          <a:ext cx="266700" cy="0"/>
        </a:xfrm>
        <a:prstGeom prst="line">
          <a:avLst/>
        </a:prstGeom>
        <a:noFill/>
        <a:ln w="9525">
          <a:solidFill>
            <a:srgbClr val="000000"/>
          </a:solidFill>
          <a:round/>
          <a:headEnd/>
          <a:tailEnd type="triangle" w="med" len="med"/>
        </a:ln>
      </xdr:spPr>
    </xdr:sp>
    <xdr:clientData/>
  </xdr:twoCellAnchor>
  <xdr:twoCellAnchor>
    <xdr:from>
      <xdr:col>2</xdr:col>
      <xdr:colOff>1039283</xdr:colOff>
      <xdr:row>18</xdr:row>
      <xdr:rowOff>171450</xdr:rowOff>
    </xdr:from>
    <xdr:to>
      <xdr:col>4</xdr:col>
      <xdr:colOff>1058</xdr:colOff>
      <xdr:row>18</xdr:row>
      <xdr:rowOff>171450</xdr:rowOff>
    </xdr:to>
    <xdr:sp macro="" textlink="">
      <xdr:nvSpPr>
        <xdr:cNvPr id="105843" name="Line 25"/>
        <xdr:cNvSpPr>
          <a:spLocks noChangeShapeType="1"/>
        </xdr:cNvSpPr>
      </xdr:nvSpPr>
      <xdr:spPr bwMode="auto">
        <a:xfrm flipH="1">
          <a:off x="1727200" y="4235450"/>
          <a:ext cx="295275" cy="0"/>
        </a:xfrm>
        <a:prstGeom prst="line">
          <a:avLst/>
        </a:prstGeom>
        <a:noFill/>
        <a:ln w="9525">
          <a:solidFill>
            <a:srgbClr val="000000"/>
          </a:solidFill>
          <a:round/>
          <a:headEnd/>
          <a:tailEnd type="triangle" w="med" len="med"/>
        </a:ln>
      </xdr:spPr>
    </xdr:sp>
    <xdr:clientData/>
  </xdr:twoCellAnchor>
  <xdr:twoCellAnchor>
    <xdr:from>
      <xdr:col>5</xdr:col>
      <xdr:colOff>9525</xdr:colOff>
      <xdr:row>18</xdr:row>
      <xdr:rowOff>171450</xdr:rowOff>
    </xdr:from>
    <xdr:to>
      <xdr:col>5</xdr:col>
      <xdr:colOff>276225</xdr:colOff>
      <xdr:row>18</xdr:row>
      <xdr:rowOff>171450</xdr:rowOff>
    </xdr:to>
    <xdr:sp macro="" textlink="">
      <xdr:nvSpPr>
        <xdr:cNvPr id="105844" name="Line 26"/>
        <xdr:cNvSpPr>
          <a:spLocks noChangeShapeType="1"/>
        </xdr:cNvSpPr>
      </xdr:nvSpPr>
      <xdr:spPr bwMode="auto">
        <a:xfrm flipH="1">
          <a:off x="3019425" y="4352925"/>
          <a:ext cx="266700" cy="0"/>
        </a:xfrm>
        <a:prstGeom prst="line">
          <a:avLst/>
        </a:prstGeom>
        <a:noFill/>
        <a:ln w="19050">
          <a:solidFill>
            <a:srgbClr val="FF0000"/>
          </a:solidFill>
          <a:round/>
          <a:headEnd/>
          <a:tailEnd type="triangle" w="med" len="med"/>
        </a:ln>
      </xdr:spPr>
    </xdr:sp>
    <xdr:clientData/>
  </xdr:twoCellAnchor>
  <xdr:twoCellAnchor>
    <xdr:from>
      <xdr:col>4</xdr:col>
      <xdr:colOff>1047748</xdr:colOff>
      <xdr:row>17</xdr:row>
      <xdr:rowOff>0</xdr:rowOff>
    </xdr:from>
    <xdr:to>
      <xdr:col>5</xdr:col>
      <xdr:colOff>285749</xdr:colOff>
      <xdr:row>18</xdr:row>
      <xdr:rowOff>0</xdr:rowOff>
    </xdr:to>
    <xdr:sp macro="" textlink="">
      <xdr:nvSpPr>
        <xdr:cNvPr id="105845" name="Line 27"/>
        <xdr:cNvSpPr>
          <a:spLocks noChangeShapeType="1"/>
        </xdr:cNvSpPr>
      </xdr:nvSpPr>
      <xdr:spPr bwMode="auto">
        <a:xfrm flipH="1">
          <a:off x="3069165" y="3735917"/>
          <a:ext cx="285751" cy="169333"/>
        </a:xfrm>
        <a:prstGeom prst="line">
          <a:avLst/>
        </a:prstGeom>
        <a:noFill/>
        <a:ln w="19050">
          <a:solidFill>
            <a:srgbClr val="FF0000"/>
          </a:solidFill>
          <a:round/>
          <a:headEnd/>
          <a:tailEnd type="triangle" w="med" len="med"/>
        </a:ln>
      </xdr:spPr>
    </xdr:sp>
    <xdr:clientData/>
  </xdr:twoCellAnchor>
  <xdr:twoCellAnchor>
    <xdr:from>
      <xdr:col>2</xdr:col>
      <xdr:colOff>1038225</xdr:colOff>
      <xdr:row>8</xdr:row>
      <xdr:rowOff>211666</xdr:rowOff>
    </xdr:from>
    <xdr:to>
      <xdr:col>4</xdr:col>
      <xdr:colOff>0</xdr:colOff>
      <xdr:row>10</xdr:row>
      <xdr:rowOff>171450</xdr:rowOff>
    </xdr:to>
    <xdr:sp macro="" textlink="">
      <xdr:nvSpPr>
        <xdr:cNvPr id="105846" name="Line 28"/>
        <xdr:cNvSpPr>
          <a:spLocks noChangeShapeType="1"/>
        </xdr:cNvSpPr>
      </xdr:nvSpPr>
      <xdr:spPr bwMode="auto">
        <a:xfrm flipV="1">
          <a:off x="1726142" y="1629833"/>
          <a:ext cx="295275" cy="457200"/>
        </a:xfrm>
        <a:prstGeom prst="line">
          <a:avLst/>
        </a:prstGeom>
        <a:noFill/>
        <a:ln w="9525">
          <a:solidFill>
            <a:srgbClr val="000000"/>
          </a:solidFill>
          <a:round/>
          <a:headEnd/>
          <a:tailEnd type="triangle" w="med" len="med"/>
        </a:ln>
      </xdr:spPr>
    </xdr:sp>
    <xdr:clientData/>
  </xdr:twoCellAnchor>
  <xdr:twoCellAnchor>
    <xdr:from>
      <xdr:col>2</xdr:col>
      <xdr:colOff>1038225</xdr:colOff>
      <xdr:row>6</xdr:row>
      <xdr:rowOff>171450</xdr:rowOff>
    </xdr:from>
    <xdr:to>
      <xdr:col>4</xdr:col>
      <xdr:colOff>0</xdr:colOff>
      <xdr:row>8</xdr:row>
      <xdr:rowOff>116416</xdr:rowOff>
    </xdr:to>
    <xdr:sp macro="" textlink="">
      <xdr:nvSpPr>
        <xdr:cNvPr id="105847" name="Line 29"/>
        <xdr:cNvSpPr>
          <a:spLocks noChangeShapeType="1"/>
        </xdr:cNvSpPr>
      </xdr:nvSpPr>
      <xdr:spPr bwMode="auto">
        <a:xfrm>
          <a:off x="1726142" y="1092200"/>
          <a:ext cx="295275" cy="442383"/>
        </a:xfrm>
        <a:prstGeom prst="line">
          <a:avLst/>
        </a:prstGeom>
        <a:noFill/>
        <a:ln w="9525">
          <a:solidFill>
            <a:srgbClr val="000000"/>
          </a:solidFill>
          <a:round/>
          <a:headEnd/>
          <a:tailEnd type="triangle" w="med" len="med"/>
        </a:ln>
      </xdr:spPr>
    </xdr:sp>
    <xdr:clientData/>
  </xdr:twoCellAnchor>
  <xdr:twoCellAnchor>
    <xdr:from>
      <xdr:col>4</xdr:col>
      <xdr:colOff>475192</xdr:colOff>
      <xdr:row>5</xdr:row>
      <xdr:rowOff>0</xdr:rowOff>
    </xdr:from>
    <xdr:to>
      <xdr:col>4</xdr:col>
      <xdr:colOff>475192</xdr:colOff>
      <xdr:row>5</xdr:row>
      <xdr:rowOff>152400</xdr:rowOff>
    </xdr:to>
    <xdr:sp macro="" textlink="">
      <xdr:nvSpPr>
        <xdr:cNvPr id="105848" name="Line 30"/>
        <xdr:cNvSpPr>
          <a:spLocks noChangeShapeType="1"/>
        </xdr:cNvSpPr>
      </xdr:nvSpPr>
      <xdr:spPr bwMode="auto">
        <a:xfrm>
          <a:off x="2496609" y="751417"/>
          <a:ext cx="0" cy="152400"/>
        </a:xfrm>
        <a:prstGeom prst="line">
          <a:avLst/>
        </a:prstGeom>
        <a:noFill/>
        <a:ln w="9525">
          <a:solidFill>
            <a:srgbClr val="000000"/>
          </a:solidFill>
          <a:round/>
          <a:headEnd/>
          <a:tailEnd type="triangle" w="med" len="med"/>
        </a:ln>
      </xdr:spPr>
    </xdr:sp>
    <xdr:clientData/>
  </xdr:twoCellAnchor>
  <xdr:twoCellAnchor>
    <xdr:from>
      <xdr:col>2</xdr:col>
      <xdr:colOff>533400</xdr:colOff>
      <xdr:row>6</xdr:row>
      <xdr:rowOff>314325</xdr:rowOff>
    </xdr:from>
    <xdr:to>
      <xdr:col>2</xdr:col>
      <xdr:colOff>533400</xdr:colOff>
      <xdr:row>8</xdr:row>
      <xdr:rowOff>0</xdr:rowOff>
    </xdr:to>
    <xdr:sp macro="" textlink="">
      <xdr:nvSpPr>
        <xdr:cNvPr id="105849" name="Line 31"/>
        <xdr:cNvSpPr>
          <a:spLocks noChangeShapeType="1"/>
        </xdr:cNvSpPr>
      </xdr:nvSpPr>
      <xdr:spPr bwMode="auto">
        <a:xfrm>
          <a:off x="1162050" y="1362075"/>
          <a:ext cx="0" cy="180975"/>
        </a:xfrm>
        <a:prstGeom prst="line">
          <a:avLst/>
        </a:prstGeom>
        <a:noFill/>
        <a:ln w="9525">
          <a:solidFill>
            <a:srgbClr val="000000"/>
          </a:solidFill>
          <a:round/>
          <a:headEnd/>
          <a:tailEnd type="triangle" w="med" len="med"/>
        </a:ln>
      </xdr:spPr>
    </xdr:sp>
    <xdr:clientData/>
  </xdr:twoCellAnchor>
  <xdr:twoCellAnchor>
    <xdr:from>
      <xdr:col>2</xdr:col>
      <xdr:colOff>533400</xdr:colOff>
      <xdr:row>4</xdr:row>
      <xdr:rowOff>314325</xdr:rowOff>
    </xdr:from>
    <xdr:to>
      <xdr:col>2</xdr:col>
      <xdr:colOff>533400</xdr:colOff>
      <xdr:row>5</xdr:row>
      <xdr:rowOff>161925</xdr:rowOff>
    </xdr:to>
    <xdr:sp macro="" textlink="">
      <xdr:nvSpPr>
        <xdr:cNvPr id="105850" name="Line 32"/>
        <xdr:cNvSpPr>
          <a:spLocks noChangeShapeType="1"/>
        </xdr:cNvSpPr>
      </xdr:nvSpPr>
      <xdr:spPr bwMode="auto">
        <a:xfrm flipV="1">
          <a:off x="1162050" y="866775"/>
          <a:ext cx="0" cy="171450"/>
        </a:xfrm>
        <a:prstGeom prst="line">
          <a:avLst/>
        </a:prstGeom>
        <a:noFill/>
        <a:ln w="9525">
          <a:solidFill>
            <a:srgbClr val="000000"/>
          </a:solidFill>
          <a:round/>
          <a:headEnd/>
          <a:tailEnd type="triangle" w="med" len="med"/>
        </a:ln>
      </xdr:spPr>
    </xdr:sp>
    <xdr:clientData/>
  </xdr:twoCellAnchor>
  <xdr:twoCellAnchor>
    <xdr:from>
      <xdr:col>5</xdr:col>
      <xdr:colOff>0</xdr:colOff>
      <xdr:row>10</xdr:row>
      <xdr:rowOff>171450</xdr:rowOff>
    </xdr:from>
    <xdr:to>
      <xdr:col>5</xdr:col>
      <xdr:colOff>266700</xdr:colOff>
      <xdr:row>12</xdr:row>
      <xdr:rowOff>169333</xdr:rowOff>
    </xdr:to>
    <xdr:sp macro="" textlink="">
      <xdr:nvSpPr>
        <xdr:cNvPr id="105851" name="Line 33"/>
        <xdr:cNvSpPr>
          <a:spLocks noChangeShapeType="1"/>
        </xdr:cNvSpPr>
      </xdr:nvSpPr>
      <xdr:spPr bwMode="auto">
        <a:xfrm flipH="1">
          <a:off x="3069167" y="2087033"/>
          <a:ext cx="266700" cy="495300"/>
        </a:xfrm>
        <a:prstGeom prst="line">
          <a:avLst/>
        </a:prstGeom>
        <a:noFill/>
        <a:ln w="9525">
          <a:solidFill>
            <a:srgbClr val="000000"/>
          </a:solidFill>
          <a:round/>
          <a:headEnd/>
          <a:tailEnd type="triangle" w="med" len="med"/>
        </a:ln>
      </xdr:spPr>
    </xdr:sp>
    <xdr:clientData/>
  </xdr:twoCellAnchor>
  <xdr:twoCellAnchor>
    <xdr:from>
      <xdr:col>4</xdr:col>
      <xdr:colOff>504825</xdr:colOff>
      <xdr:row>13</xdr:row>
      <xdr:rowOff>0</xdr:rowOff>
    </xdr:from>
    <xdr:to>
      <xdr:col>4</xdr:col>
      <xdr:colOff>504825</xdr:colOff>
      <xdr:row>13</xdr:row>
      <xdr:rowOff>161925</xdr:rowOff>
    </xdr:to>
    <xdr:sp macro="" textlink="">
      <xdr:nvSpPr>
        <xdr:cNvPr id="105852" name="Line 34"/>
        <xdr:cNvSpPr>
          <a:spLocks noChangeShapeType="1"/>
        </xdr:cNvSpPr>
      </xdr:nvSpPr>
      <xdr:spPr bwMode="auto">
        <a:xfrm>
          <a:off x="2466975" y="2857500"/>
          <a:ext cx="0" cy="161925"/>
        </a:xfrm>
        <a:prstGeom prst="line">
          <a:avLst/>
        </a:prstGeom>
        <a:noFill/>
        <a:ln w="9525">
          <a:solidFill>
            <a:srgbClr val="000000"/>
          </a:solidFill>
          <a:round/>
          <a:headEnd/>
          <a:tailEnd type="triangle" w="med" len="med"/>
        </a:ln>
      </xdr:spPr>
    </xdr:sp>
    <xdr:clientData/>
  </xdr:twoCellAnchor>
  <xdr:twoCellAnchor>
    <xdr:from>
      <xdr:col>8</xdr:col>
      <xdr:colOff>485775</xdr:colOff>
      <xdr:row>14</xdr:row>
      <xdr:rowOff>314325</xdr:rowOff>
    </xdr:from>
    <xdr:to>
      <xdr:col>8</xdr:col>
      <xdr:colOff>485775</xdr:colOff>
      <xdr:row>15</xdr:row>
      <xdr:rowOff>152400</xdr:rowOff>
    </xdr:to>
    <xdr:sp macro="" textlink="">
      <xdr:nvSpPr>
        <xdr:cNvPr id="105853" name="Line 35"/>
        <xdr:cNvSpPr>
          <a:spLocks noChangeShapeType="1"/>
        </xdr:cNvSpPr>
      </xdr:nvSpPr>
      <xdr:spPr bwMode="auto">
        <a:xfrm flipV="1">
          <a:off x="5114925" y="3343275"/>
          <a:ext cx="0" cy="161925"/>
        </a:xfrm>
        <a:prstGeom prst="line">
          <a:avLst/>
        </a:prstGeom>
        <a:noFill/>
        <a:ln w="9525">
          <a:solidFill>
            <a:srgbClr val="000000"/>
          </a:solidFill>
          <a:round/>
          <a:headEnd/>
          <a:tailEnd type="triangle" w="med" len="med"/>
        </a:ln>
      </xdr:spPr>
    </xdr:sp>
    <xdr:clientData/>
  </xdr:twoCellAnchor>
  <xdr:twoCellAnchor>
    <xdr:from>
      <xdr:col>7</xdr:col>
      <xdr:colOff>10583</xdr:colOff>
      <xdr:row>16</xdr:row>
      <xdr:rowOff>161925</xdr:rowOff>
    </xdr:from>
    <xdr:to>
      <xdr:col>7</xdr:col>
      <xdr:colOff>277283</xdr:colOff>
      <xdr:row>16</xdr:row>
      <xdr:rowOff>161925</xdr:rowOff>
    </xdr:to>
    <xdr:sp macro="" textlink="">
      <xdr:nvSpPr>
        <xdr:cNvPr id="105854" name="Line 36"/>
        <xdr:cNvSpPr>
          <a:spLocks noChangeShapeType="1"/>
        </xdr:cNvSpPr>
      </xdr:nvSpPr>
      <xdr:spPr bwMode="auto">
        <a:xfrm flipH="1">
          <a:off x="4413250" y="3569758"/>
          <a:ext cx="266700" cy="0"/>
        </a:xfrm>
        <a:prstGeom prst="line">
          <a:avLst/>
        </a:prstGeom>
        <a:noFill/>
        <a:ln w="19050">
          <a:solidFill>
            <a:srgbClr val="FF0000"/>
          </a:solidFill>
          <a:round/>
          <a:headEnd/>
          <a:tailEnd type="triangle" w="med" len="med"/>
        </a:ln>
      </xdr:spPr>
    </xdr:sp>
    <xdr:clientData/>
  </xdr:twoCellAnchor>
  <xdr:twoCellAnchor>
    <xdr:from>
      <xdr:col>6</xdr:col>
      <xdr:colOff>1047748</xdr:colOff>
      <xdr:row>16</xdr:row>
      <xdr:rowOff>328082</xdr:rowOff>
    </xdr:from>
    <xdr:to>
      <xdr:col>7</xdr:col>
      <xdr:colOff>285749</xdr:colOff>
      <xdr:row>17</xdr:row>
      <xdr:rowOff>169332</xdr:rowOff>
    </xdr:to>
    <xdr:sp macro="" textlink="">
      <xdr:nvSpPr>
        <xdr:cNvPr id="105855" name="Line 37"/>
        <xdr:cNvSpPr>
          <a:spLocks noChangeShapeType="1"/>
        </xdr:cNvSpPr>
      </xdr:nvSpPr>
      <xdr:spPr bwMode="auto">
        <a:xfrm flipH="1" flipV="1">
          <a:off x="4402665" y="3735915"/>
          <a:ext cx="285751" cy="169334"/>
        </a:xfrm>
        <a:prstGeom prst="line">
          <a:avLst/>
        </a:prstGeom>
        <a:noFill/>
        <a:ln w="19050">
          <a:solidFill>
            <a:srgbClr val="FF0000"/>
          </a:solidFill>
          <a:round/>
          <a:headEnd/>
          <a:tailEnd type="triangle" w="med" len="med"/>
        </a:ln>
      </xdr:spPr>
    </xdr:sp>
    <xdr:clientData/>
  </xdr:twoCellAnchor>
  <xdr:twoCellAnchor>
    <xdr:from>
      <xdr:col>4</xdr:col>
      <xdr:colOff>523875</xdr:colOff>
      <xdr:row>17</xdr:row>
      <xdr:rowOff>9525</xdr:rowOff>
    </xdr:from>
    <xdr:to>
      <xdr:col>4</xdr:col>
      <xdr:colOff>523875</xdr:colOff>
      <xdr:row>18</xdr:row>
      <xdr:rowOff>0</xdr:rowOff>
    </xdr:to>
    <xdr:sp macro="" textlink="">
      <xdr:nvSpPr>
        <xdr:cNvPr id="105856" name="Line 38"/>
        <xdr:cNvSpPr>
          <a:spLocks noChangeShapeType="1"/>
        </xdr:cNvSpPr>
      </xdr:nvSpPr>
      <xdr:spPr bwMode="auto">
        <a:xfrm flipH="1">
          <a:off x="2486025" y="3857625"/>
          <a:ext cx="0" cy="314325"/>
        </a:xfrm>
        <a:prstGeom prst="line">
          <a:avLst/>
        </a:prstGeom>
        <a:noFill/>
        <a:ln w="19050">
          <a:solidFill>
            <a:srgbClr val="FF0000"/>
          </a:solidFill>
          <a:round/>
          <a:headEnd/>
          <a:tailEnd type="triangle" w="med" len="med"/>
        </a:ln>
      </xdr:spPr>
    </xdr:sp>
    <xdr:clientData/>
  </xdr:twoCellAnchor>
  <xdr:twoCellAnchor>
    <xdr:from>
      <xdr:col>4</xdr:col>
      <xdr:colOff>475193</xdr:colOff>
      <xdr:row>7</xdr:row>
      <xdr:rowOff>0</xdr:rowOff>
    </xdr:from>
    <xdr:to>
      <xdr:col>4</xdr:col>
      <xdr:colOff>475193</xdr:colOff>
      <xdr:row>7</xdr:row>
      <xdr:rowOff>152400</xdr:rowOff>
    </xdr:to>
    <xdr:sp macro="" textlink="">
      <xdr:nvSpPr>
        <xdr:cNvPr id="40" name="Line 30"/>
        <xdr:cNvSpPr>
          <a:spLocks noChangeShapeType="1"/>
        </xdr:cNvSpPr>
      </xdr:nvSpPr>
      <xdr:spPr bwMode="auto">
        <a:xfrm>
          <a:off x="2496610" y="1248833"/>
          <a:ext cx="0" cy="152400"/>
        </a:xfrm>
        <a:prstGeom prst="line">
          <a:avLst/>
        </a:prstGeom>
        <a:noFill/>
        <a:ln w="9525">
          <a:solidFill>
            <a:srgbClr val="000000"/>
          </a:solidFill>
          <a:round/>
          <a:headEnd/>
          <a:tailEnd type="triangle" w="med" len="med"/>
        </a:ln>
      </xdr:spPr>
    </xdr:sp>
    <xdr:clientData/>
  </xdr:twoCellAnchor>
</xdr:wsDr>
</file>

<file path=xl/drawings/drawing36.xml><?xml version="1.0" encoding="utf-8"?>
<xdr:wsDr xmlns:xdr="http://schemas.openxmlformats.org/drawingml/2006/spreadsheetDrawing" xmlns:a="http://schemas.openxmlformats.org/drawingml/2006/main">
  <xdr:twoCellAnchor>
    <xdr:from>
      <xdr:col>10</xdr:col>
      <xdr:colOff>533398</xdr:colOff>
      <xdr:row>7</xdr:row>
      <xdr:rowOff>7408</xdr:rowOff>
    </xdr:from>
    <xdr:to>
      <xdr:col>10</xdr:col>
      <xdr:colOff>533398</xdr:colOff>
      <xdr:row>16</xdr:row>
      <xdr:rowOff>0</xdr:rowOff>
    </xdr:to>
    <xdr:sp macro="" textlink="">
      <xdr:nvSpPr>
        <xdr:cNvPr id="112798" name="Line 1"/>
        <xdr:cNvSpPr>
          <a:spLocks noChangeShapeType="1"/>
        </xdr:cNvSpPr>
      </xdr:nvSpPr>
      <xdr:spPr bwMode="auto">
        <a:xfrm flipH="1">
          <a:off x="6555315" y="1256241"/>
          <a:ext cx="0" cy="2151592"/>
        </a:xfrm>
        <a:prstGeom prst="line">
          <a:avLst/>
        </a:prstGeom>
        <a:noFill/>
        <a:ln w="19050">
          <a:solidFill>
            <a:srgbClr val="FF0000"/>
          </a:solidFill>
          <a:round/>
          <a:headEnd/>
          <a:tailEnd type="triangle" w="med" len="med"/>
        </a:ln>
      </xdr:spPr>
    </xdr:sp>
    <xdr:clientData/>
  </xdr:twoCellAnchor>
  <xdr:twoCellAnchor>
    <xdr:from>
      <xdr:col>10</xdr:col>
      <xdr:colOff>1038225</xdr:colOff>
      <xdr:row>14</xdr:row>
      <xdr:rowOff>158750</xdr:rowOff>
    </xdr:from>
    <xdr:to>
      <xdr:col>12</xdr:col>
      <xdr:colOff>0</xdr:colOff>
      <xdr:row>16</xdr:row>
      <xdr:rowOff>171450</xdr:rowOff>
    </xdr:to>
    <xdr:sp macro="" textlink="">
      <xdr:nvSpPr>
        <xdr:cNvPr id="112799" name="Line 2"/>
        <xdr:cNvSpPr>
          <a:spLocks noChangeShapeType="1"/>
        </xdr:cNvSpPr>
      </xdr:nvSpPr>
      <xdr:spPr bwMode="auto">
        <a:xfrm flipV="1">
          <a:off x="7060142" y="3069167"/>
          <a:ext cx="295275" cy="510116"/>
        </a:xfrm>
        <a:prstGeom prst="line">
          <a:avLst/>
        </a:prstGeom>
        <a:noFill/>
        <a:ln w="9525">
          <a:solidFill>
            <a:srgbClr val="000000"/>
          </a:solidFill>
          <a:round/>
          <a:headEnd/>
          <a:tailEnd type="triangle" w="med" len="med"/>
        </a:ln>
      </xdr:spPr>
    </xdr:sp>
    <xdr:clientData/>
  </xdr:twoCellAnchor>
  <xdr:twoCellAnchor>
    <xdr:from>
      <xdr:col>4</xdr:col>
      <xdr:colOff>478366</xdr:colOff>
      <xdr:row>8</xdr:row>
      <xdr:rowOff>314325</xdr:rowOff>
    </xdr:from>
    <xdr:to>
      <xdr:col>4</xdr:col>
      <xdr:colOff>478366</xdr:colOff>
      <xdr:row>10</xdr:row>
      <xdr:rowOff>0</xdr:rowOff>
    </xdr:to>
    <xdr:sp macro="" textlink="">
      <xdr:nvSpPr>
        <xdr:cNvPr id="112801" name="Line 4"/>
        <xdr:cNvSpPr>
          <a:spLocks noChangeShapeType="1"/>
        </xdr:cNvSpPr>
      </xdr:nvSpPr>
      <xdr:spPr bwMode="auto">
        <a:xfrm flipH="1">
          <a:off x="2499783" y="1732492"/>
          <a:ext cx="0" cy="183091"/>
        </a:xfrm>
        <a:prstGeom prst="line">
          <a:avLst/>
        </a:prstGeom>
        <a:noFill/>
        <a:ln w="9525">
          <a:solidFill>
            <a:srgbClr val="000000"/>
          </a:solidFill>
          <a:round/>
          <a:headEnd/>
          <a:tailEnd type="triangle" w="med" len="med"/>
        </a:ln>
      </xdr:spPr>
    </xdr:sp>
    <xdr:clientData/>
  </xdr:twoCellAnchor>
  <xdr:twoCellAnchor>
    <xdr:from>
      <xdr:col>5</xdr:col>
      <xdr:colOff>0</xdr:colOff>
      <xdr:row>8</xdr:row>
      <xdr:rowOff>180975</xdr:rowOff>
    </xdr:from>
    <xdr:to>
      <xdr:col>5</xdr:col>
      <xdr:colOff>276225</xdr:colOff>
      <xdr:row>10</xdr:row>
      <xdr:rowOff>158750</xdr:rowOff>
    </xdr:to>
    <xdr:sp macro="" textlink="">
      <xdr:nvSpPr>
        <xdr:cNvPr id="112802" name="Line 5"/>
        <xdr:cNvSpPr>
          <a:spLocks noChangeShapeType="1"/>
        </xdr:cNvSpPr>
      </xdr:nvSpPr>
      <xdr:spPr bwMode="auto">
        <a:xfrm flipH="1">
          <a:off x="3069167" y="1599142"/>
          <a:ext cx="276225" cy="475191"/>
        </a:xfrm>
        <a:prstGeom prst="line">
          <a:avLst/>
        </a:prstGeom>
        <a:noFill/>
        <a:ln w="9525">
          <a:solidFill>
            <a:srgbClr val="000000"/>
          </a:solidFill>
          <a:round/>
          <a:headEnd/>
          <a:tailEnd type="triangle" w="med" len="med"/>
        </a:ln>
      </xdr:spPr>
    </xdr:sp>
    <xdr:clientData/>
  </xdr:twoCellAnchor>
  <xdr:twoCellAnchor>
    <xdr:from>
      <xdr:col>6</xdr:col>
      <xdr:colOff>1047749</xdr:colOff>
      <xdr:row>6</xdr:row>
      <xdr:rowOff>152399</xdr:rowOff>
    </xdr:from>
    <xdr:to>
      <xdr:col>9</xdr:col>
      <xdr:colOff>266696</xdr:colOff>
      <xdr:row>6</xdr:row>
      <xdr:rowOff>152399</xdr:rowOff>
    </xdr:to>
    <xdr:sp macro="" textlink="">
      <xdr:nvSpPr>
        <xdr:cNvPr id="112803" name="Line 6"/>
        <xdr:cNvSpPr>
          <a:spLocks noChangeShapeType="1"/>
        </xdr:cNvSpPr>
      </xdr:nvSpPr>
      <xdr:spPr bwMode="auto">
        <a:xfrm flipH="1" flipV="1">
          <a:off x="4402666" y="1073149"/>
          <a:ext cx="1600197" cy="0"/>
        </a:xfrm>
        <a:prstGeom prst="line">
          <a:avLst/>
        </a:prstGeom>
        <a:noFill/>
        <a:ln w="9525">
          <a:solidFill>
            <a:srgbClr val="000000"/>
          </a:solidFill>
          <a:round/>
          <a:headEnd/>
          <a:tailEnd type="triangle" w="med" len="med"/>
        </a:ln>
      </xdr:spPr>
    </xdr:sp>
    <xdr:clientData/>
  </xdr:twoCellAnchor>
  <xdr:twoCellAnchor>
    <xdr:from>
      <xdr:col>6</xdr:col>
      <xdr:colOff>457200</xdr:colOff>
      <xdr:row>7</xdr:row>
      <xdr:rowOff>0</xdr:rowOff>
    </xdr:from>
    <xdr:to>
      <xdr:col>6</xdr:col>
      <xdr:colOff>457200</xdr:colOff>
      <xdr:row>7</xdr:row>
      <xdr:rowOff>152400</xdr:rowOff>
    </xdr:to>
    <xdr:sp macro="" textlink="">
      <xdr:nvSpPr>
        <xdr:cNvPr id="112804" name="Line 7"/>
        <xdr:cNvSpPr>
          <a:spLocks noChangeShapeType="1"/>
        </xdr:cNvSpPr>
      </xdr:nvSpPr>
      <xdr:spPr bwMode="auto">
        <a:xfrm>
          <a:off x="3752850" y="1371600"/>
          <a:ext cx="0" cy="152400"/>
        </a:xfrm>
        <a:prstGeom prst="line">
          <a:avLst/>
        </a:prstGeom>
        <a:noFill/>
        <a:ln w="9525">
          <a:solidFill>
            <a:srgbClr val="000000"/>
          </a:solidFill>
          <a:round/>
          <a:headEnd/>
          <a:tailEnd type="triangle" w="med" len="med"/>
        </a:ln>
      </xdr:spPr>
    </xdr:sp>
    <xdr:clientData/>
  </xdr:twoCellAnchor>
  <xdr:twoCellAnchor>
    <xdr:from>
      <xdr:col>7</xdr:col>
      <xdr:colOff>8467</xdr:colOff>
      <xdr:row>10</xdr:row>
      <xdr:rowOff>154516</xdr:rowOff>
    </xdr:from>
    <xdr:to>
      <xdr:col>11</xdr:col>
      <xdr:colOff>275166</xdr:colOff>
      <xdr:row>10</xdr:row>
      <xdr:rowOff>154516</xdr:rowOff>
    </xdr:to>
    <xdr:sp macro="" textlink="">
      <xdr:nvSpPr>
        <xdr:cNvPr id="112805" name="Line 8"/>
        <xdr:cNvSpPr>
          <a:spLocks noChangeShapeType="1"/>
        </xdr:cNvSpPr>
      </xdr:nvSpPr>
      <xdr:spPr bwMode="auto">
        <a:xfrm>
          <a:off x="4411134" y="2070099"/>
          <a:ext cx="2933699" cy="0"/>
        </a:xfrm>
        <a:prstGeom prst="line">
          <a:avLst/>
        </a:prstGeom>
        <a:noFill/>
        <a:ln w="9525">
          <a:solidFill>
            <a:srgbClr val="000000"/>
          </a:solidFill>
          <a:round/>
          <a:headEnd/>
          <a:tailEnd type="triangle" w="med" len="med"/>
        </a:ln>
      </xdr:spPr>
    </xdr:sp>
    <xdr:clientData/>
  </xdr:twoCellAnchor>
  <xdr:twoCellAnchor>
    <xdr:from>
      <xdr:col>12</xdr:col>
      <xdr:colOff>523875</xdr:colOff>
      <xdr:row>8</xdr:row>
      <xdr:rowOff>304800</xdr:rowOff>
    </xdr:from>
    <xdr:to>
      <xdr:col>12</xdr:col>
      <xdr:colOff>533400</xdr:colOff>
      <xdr:row>10</xdr:row>
      <xdr:rowOff>0</xdr:rowOff>
    </xdr:to>
    <xdr:sp macro="" textlink="">
      <xdr:nvSpPr>
        <xdr:cNvPr id="112806" name="Line 9"/>
        <xdr:cNvSpPr>
          <a:spLocks noChangeShapeType="1"/>
        </xdr:cNvSpPr>
      </xdr:nvSpPr>
      <xdr:spPr bwMode="auto">
        <a:xfrm flipH="1" flipV="1">
          <a:off x="7820025" y="1847850"/>
          <a:ext cx="9525" cy="190500"/>
        </a:xfrm>
        <a:prstGeom prst="line">
          <a:avLst/>
        </a:prstGeom>
        <a:noFill/>
        <a:ln w="9525">
          <a:solidFill>
            <a:srgbClr val="000000"/>
          </a:solidFill>
          <a:round/>
          <a:headEnd/>
          <a:tailEnd type="triangle" w="med" len="med"/>
        </a:ln>
      </xdr:spPr>
    </xdr:sp>
    <xdr:clientData/>
  </xdr:twoCellAnchor>
  <xdr:twoCellAnchor>
    <xdr:from>
      <xdr:col>12</xdr:col>
      <xdr:colOff>533400</xdr:colOff>
      <xdr:row>6</xdr:row>
      <xdr:rowOff>323850</xdr:rowOff>
    </xdr:from>
    <xdr:to>
      <xdr:col>12</xdr:col>
      <xdr:colOff>533400</xdr:colOff>
      <xdr:row>7</xdr:row>
      <xdr:rowOff>152400</xdr:rowOff>
    </xdr:to>
    <xdr:sp macro="" textlink="">
      <xdr:nvSpPr>
        <xdr:cNvPr id="112807" name="Line 10"/>
        <xdr:cNvSpPr>
          <a:spLocks noChangeShapeType="1"/>
        </xdr:cNvSpPr>
      </xdr:nvSpPr>
      <xdr:spPr bwMode="auto">
        <a:xfrm flipV="1">
          <a:off x="7829550" y="1371600"/>
          <a:ext cx="0" cy="152400"/>
        </a:xfrm>
        <a:prstGeom prst="line">
          <a:avLst/>
        </a:prstGeom>
        <a:noFill/>
        <a:ln w="9525">
          <a:solidFill>
            <a:srgbClr val="000000"/>
          </a:solidFill>
          <a:round/>
          <a:headEnd/>
          <a:tailEnd type="triangle" w="med" len="med"/>
        </a:ln>
      </xdr:spPr>
    </xdr:sp>
    <xdr:clientData/>
  </xdr:twoCellAnchor>
  <xdr:twoCellAnchor>
    <xdr:from>
      <xdr:col>12</xdr:col>
      <xdr:colOff>523875</xdr:colOff>
      <xdr:row>4</xdr:row>
      <xdr:rowOff>304800</xdr:rowOff>
    </xdr:from>
    <xdr:to>
      <xdr:col>12</xdr:col>
      <xdr:colOff>533400</xdr:colOff>
      <xdr:row>5</xdr:row>
      <xdr:rowOff>161925</xdr:rowOff>
    </xdr:to>
    <xdr:sp macro="" textlink="">
      <xdr:nvSpPr>
        <xdr:cNvPr id="112808" name="Line 11"/>
        <xdr:cNvSpPr>
          <a:spLocks noChangeShapeType="1"/>
        </xdr:cNvSpPr>
      </xdr:nvSpPr>
      <xdr:spPr bwMode="auto">
        <a:xfrm flipH="1" flipV="1">
          <a:off x="7820025" y="857250"/>
          <a:ext cx="9525" cy="180975"/>
        </a:xfrm>
        <a:prstGeom prst="line">
          <a:avLst/>
        </a:prstGeom>
        <a:noFill/>
        <a:ln w="9525">
          <a:solidFill>
            <a:srgbClr val="000000"/>
          </a:solidFill>
          <a:round/>
          <a:headEnd/>
          <a:tailEnd type="triangle" w="med" len="med"/>
        </a:ln>
      </xdr:spPr>
    </xdr:sp>
    <xdr:clientData/>
  </xdr:twoCellAnchor>
  <xdr:twoCellAnchor>
    <xdr:from>
      <xdr:col>5</xdr:col>
      <xdr:colOff>0</xdr:colOff>
      <xdr:row>8</xdr:row>
      <xdr:rowOff>169332</xdr:rowOff>
    </xdr:from>
    <xdr:to>
      <xdr:col>5</xdr:col>
      <xdr:colOff>276225</xdr:colOff>
      <xdr:row>10</xdr:row>
      <xdr:rowOff>133349</xdr:rowOff>
    </xdr:to>
    <xdr:sp macro="" textlink="">
      <xdr:nvSpPr>
        <xdr:cNvPr id="112809" name="Line 12"/>
        <xdr:cNvSpPr>
          <a:spLocks noChangeShapeType="1"/>
        </xdr:cNvSpPr>
      </xdr:nvSpPr>
      <xdr:spPr bwMode="auto">
        <a:xfrm flipH="1" flipV="1">
          <a:off x="3069167" y="1587499"/>
          <a:ext cx="276225" cy="461433"/>
        </a:xfrm>
        <a:prstGeom prst="line">
          <a:avLst/>
        </a:prstGeom>
        <a:noFill/>
        <a:ln w="9525">
          <a:solidFill>
            <a:srgbClr val="000000"/>
          </a:solidFill>
          <a:round/>
          <a:headEnd/>
          <a:tailEnd type="triangle" w="med" len="med"/>
        </a:ln>
      </xdr:spPr>
    </xdr:sp>
    <xdr:clientData/>
  </xdr:twoCellAnchor>
  <xdr:twoCellAnchor>
    <xdr:from>
      <xdr:col>8</xdr:col>
      <xdr:colOff>507999</xdr:colOff>
      <xdr:row>5</xdr:row>
      <xdr:rowOff>10583</xdr:rowOff>
    </xdr:from>
    <xdr:to>
      <xdr:col>9</xdr:col>
      <xdr:colOff>278341</xdr:colOff>
      <xdr:row>6</xdr:row>
      <xdr:rowOff>141817</xdr:rowOff>
    </xdr:to>
    <xdr:sp macro="" textlink="">
      <xdr:nvSpPr>
        <xdr:cNvPr id="112810" name="Line 13"/>
        <xdr:cNvSpPr>
          <a:spLocks noChangeShapeType="1"/>
        </xdr:cNvSpPr>
      </xdr:nvSpPr>
      <xdr:spPr bwMode="auto">
        <a:xfrm flipH="1" flipV="1">
          <a:off x="5196416" y="762000"/>
          <a:ext cx="818092" cy="300567"/>
        </a:xfrm>
        <a:prstGeom prst="line">
          <a:avLst/>
        </a:prstGeom>
        <a:noFill/>
        <a:ln w="9525">
          <a:solidFill>
            <a:srgbClr val="000000"/>
          </a:solidFill>
          <a:round/>
          <a:headEnd/>
          <a:tailEnd type="triangle" w="med" len="med"/>
        </a:ln>
      </xdr:spPr>
    </xdr:sp>
    <xdr:clientData/>
  </xdr:twoCellAnchor>
  <xdr:twoCellAnchor>
    <xdr:from>
      <xdr:col>8</xdr:col>
      <xdr:colOff>1047749</xdr:colOff>
      <xdr:row>16</xdr:row>
      <xdr:rowOff>169334</xdr:rowOff>
    </xdr:from>
    <xdr:to>
      <xdr:col>9</xdr:col>
      <xdr:colOff>277282</xdr:colOff>
      <xdr:row>16</xdr:row>
      <xdr:rowOff>170392</xdr:rowOff>
    </xdr:to>
    <xdr:sp macro="" textlink="">
      <xdr:nvSpPr>
        <xdr:cNvPr id="112811" name="Line 14"/>
        <xdr:cNvSpPr>
          <a:spLocks noChangeShapeType="1"/>
        </xdr:cNvSpPr>
      </xdr:nvSpPr>
      <xdr:spPr bwMode="auto">
        <a:xfrm flipH="1" flipV="1">
          <a:off x="5736166" y="3577167"/>
          <a:ext cx="277283" cy="1058"/>
        </a:xfrm>
        <a:prstGeom prst="line">
          <a:avLst/>
        </a:prstGeom>
        <a:noFill/>
        <a:ln w="19050">
          <a:solidFill>
            <a:srgbClr val="FF0000"/>
          </a:solidFill>
          <a:round/>
          <a:headEnd/>
          <a:tailEnd type="triangle" w="med" len="med"/>
        </a:ln>
      </xdr:spPr>
    </xdr:sp>
    <xdr:clientData/>
  </xdr:twoCellAnchor>
  <xdr:twoCellAnchor>
    <xdr:from>
      <xdr:col>3</xdr:col>
      <xdr:colOff>0</xdr:colOff>
      <xdr:row>16</xdr:row>
      <xdr:rowOff>171450</xdr:rowOff>
    </xdr:from>
    <xdr:to>
      <xdr:col>3</xdr:col>
      <xdr:colOff>266700</xdr:colOff>
      <xdr:row>16</xdr:row>
      <xdr:rowOff>171450</xdr:rowOff>
    </xdr:to>
    <xdr:sp macro="" textlink="">
      <xdr:nvSpPr>
        <xdr:cNvPr id="112812" name="Line 15"/>
        <xdr:cNvSpPr>
          <a:spLocks noChangeShapeType="1"/>
        </xdr:cNvSpPr>
      </xdr:nvSpPr>
      <xdr:spPr bwMode="auto">
        <a:xfrm flipH="1">
          <a:off x="1676400" y="3695700"/>
          <a:ext cx="266700" cy="0"/>
        </a:xfrm>
        <a:prstGeom prst="line">
          <a:avLst/>
        </a:prstGeom>
        <a:noFill/>
        <a:ln w="9525">
          <a:solidFill>
            <a:srgbClr val="000000"/>
          </a:solidFill>
          <a:round/>
          <a:headEnd/>
          <a:tailEnd type="triangle" w="med" len="med"/>
        </a:ln>
      </xdr:spPr>
    </xdr:sp>
    <xdr:clientData/>
  </xdr:twoCellAnchor>
  <xdr:twoCellAnchor>
    <xdr:from>
      <xdr:col>2</xdr:col>
      <xdr:colOff>1028700</xdr:colOff>
      <xdr:row>18</xdr:row>
      <xdr:rowOff>171450</xdr:rowOff>
    </xdr:from>
    <xdr:to>
      <xdr:col>3</xdr:col>
      <xdr:colOff>276225</xdr:colOff>
      <xdr:row>18</xdr:row>
      <xdr:rowOff>171450</xdr:rowOff>
    </xdr:to>
    <xdr:sp macro="" textlink="">
      <xdr:nvSpPr>
        <xdr:cNvPr id="112813" name="Line 16"/>
        <xdr:cNvSpPr>
          <a:spLocks noChangeShapeType="1"/>
        </xdr:cNvSpPr>
      </xdr:nvSpPr>
      <xdr:spPr bwMode="auto">
        <a:xfrm flipH="1">
          <a:off x="1657350" y="4191000"/>
          <a:ext cx="295275" cy="0"/>
        </a:xfrm>
        <a:prstGeom prst="line">
          <a:avLst/>
        </a:prstGeom>
        <a:noFill/>
        <a:ln w="9525">
          <a:solidFill>
            <a:srgbClr val="000000"/>
          </a:solidFill>
          <a:round/>
          <a:headEnd/>
          <a:tailEnd type="triangle" w="med" len="med"/>
        </a:ln>
      </xdr:spPr>
    </xdr:sp>
    <xdr:clientData/>
  </xdr:twoCellAnchor>
  <xdr:twoCellAnchor>
    <xdr:from>
      <xdr:col>2</xdr:col>
      <xdr:colOff>1038225</xdr:colOff>
      <xdr:row>8</xdr:row>
      <xdr:rowOff>211666</xdr:rowOff>
    </xdr:from>
    <xdr:to>
      <xdr:col>4</xdr:col>
      <xdr:colOff>0</xdr:colOff>
      <xdr:row>10</xdr:row>
      <xdr:rowOff>171450</xdr:rowOff>
    </xdr:to>
    <xdr:sp macro="" textlink="">
      <xdr:nvSpPr>
        <xdr:cNvPr id="112814" name="Line 17"/>
        <xdr:cNvSpPr>
          <a:spLocks noChangeShapeType="1"/>
        </xdr:cNvSpPr>
      </xdr:nvSpPr>
      <xdr:spPr bwMode="auto">
        <a:xfrm flipV="1">
          <a:off x="1726142" y="1629833"/>
          <a:ext cx="295275" cy="457200"/>
        </a:xfrm>
        <a:prstGeom prst="line">
          <a:avLst/>
        </a:prstGeom>
        <a:noFill/>
        <a:ln w="9525">
          <a:solidFill>
            <a:srgbClr val="000000"/>
          </a:solidFill>
          <a:round/>
          <a:headEnd/>
          <a:tailEnd type="triangle" w="med" len="med"/>
        </a:ln>
      </xdr:spPr>
    </xdr:sp>
    <xdr:clientData/>
  </xdr:twoCellAnchor>
  <xdr:twoCellAnchor>
    <xdr:from>
      <xdr:col>2</xdr:col>
      <xdr:colOff>1038226</xdr:colOff>
      <xdr:row>6</xdr:row>
      <xdr:rowOff>171450</xdr:rowOff>
    </xdr:from>
    <xdr:to>
      <xdr:col>4</xdr:col>
      <xdr:colOff>0</xdr:colOff>
      <xdr:row>8</xdr:row>
      <xdr:rowOff>137583</xdr:rowOff>
    </xdr:to>
    <xdr:sp macro="" textlink="">
      <xdr:nvSpPr>
        <xdr:cNvPr id="112815" name="Line 18"/>
        <xdr:cNvSpPr>
          <a:spLocks noChangeShapeType="1"/>
        </xdr:cNvSpPr>
      </xdr:nvSpPr>
      <xdr:spPr bwMode="auto">
        <a:xfrm>
          <a:off x="1726143" y="1092200"/>
          <a:ext cx="295274" cy="463550"/>
        </a:xfrm>
        <a:prstGeom prst="line">
          <a:avLst/>
        </a:prstGeom>
        <a:noFill/>
        <a:ln w="9525">
          <a:solidFill>
            <a:srgbClr val="000000"/>
          </a:solidFill>
          <a:round/>
          <a:headEnd/>
          <a:tailEnd type="triangle" w="med" len="med"/>
        </a:ln>
      </xdr:spPr>
    </xdr:sp>
    <xdr:clientData/>
  </xdr:twoCellAnchor>
  <xdr:twoCellAnchor>
    <xdr:from>
      <xdr:col>4</xdr:col>
      <xdr:colOff>485775</xdr:colOff>
      <xdr:row>5</xdr:row>
      <xdr:rowOff>0</xdr:rowOff>
    </xdr:from>
    <xdr:to>
      <xdr:col>4</xdr:col>
      <xdr:colOff>485775</xdr:colOff>
      <xdr:row>5</xdr:row>
      <xdr:rowOff>152400</xdr:rowOff>
    </xdr:to>
    <xdr:sp macro="" textlink="">
      <xdr:nvSpPr>
        <xdr:cNvPr id="112816" name="Line 19"/>
        <xdr:cNvSpPr>
          <a:spLocks noChangeShapeType="1"/>
        </xdr:cNvSpPr>
      </xdr:nvSpPr>
      <xdr:spPr bwMode="auto">
        <a:xfrm>
          <a:off x="2447925" y="876300"/>
          <a:ext cx="0" cy="152400"/>
        </a:xfrm>
        <a:prstGeom prst="line">
          <a:avLst/>
        </a:prstGeom>
        <a:noFill/>
        <a:ln w="9525">
          <a:solidFill>
            <a:srgbClr val="000000"/>
          </a:solidFill>
          <a:round/>
          <a:headEnd/>
          <a:tailEnd type="triangle" w="med" len="med"/>
        </a:ln>
      </xdr:spPr>
    </xdr:sp>
    <xdr:clientData/>
  </xdr:twoCellAnchor>
  <xdr:twoCellAnchor>
    <xdr:from>
      <xdr:col>2</xdr:col>
      <xdr:colOff>533400</xdr:colOff>
      <xdr:row>6</xdr:row>
      <xdr:rowOff>314325</xdr:rowOff>
    </xdr:from>
    <xdr:to>
      <xdr:col>2</xdr:col>
      <xdr:colOff>533400</xdr:colOff>
      <xdr:row>8</xdr:row>
      <xdr:rowOff>0</xdr:rowOff>
    </xdr:to>
    <xdr:sp macro="" textlink="">
      <xdr:nvSpPr>
        <xdr:cNvPr id="112817" name="Line 20"/>
        <xdr:cNvSpPr>
          <a:spLocks noChangeShapeType="1"/>
        </xdr:cNvSpPr>
      </xdr:nvSpPr>
      <xdr:spPr bwMode="auto">
        <a:xfrm>
          <a:off x="1221317" y="1235075"/>
          <a:ext cx="0" cy="183092"/>
        </a:xfrm>
        <a:prstGeom prst="line">
          <a:avLst/>
        </a:prstGeom>
        <a:noFill/>
        <a:ln w="9525">
          <a:solidFill>
            <a:srgbClr val="000000"/>
          </a:solidFill>
          <a:round/>
          <a:headEnd/>
          <a:tailEnd type="triangle" w="med" len="med"/>
        </a:ln>
      </xdr:spPr>
    </xdr:sp>
    <xdr:clientData/>
  </xdr:twoCellAnchor>
  <xdr:twoCellAnchor>
    <xdr:from>
      <xdr:col>10</xdr:col>
      <xdr:colOff>1046692</xdr:colOff>
      <xdr:row>16</xdr:row>
      <xdr:rowOff>182033</xdr:rowOff>
    </xdr:from>
    <xdr:to>
      <xdr:col>12</xdr:col>
      <xdr:colOff>0</xdr:colOff>
      <xdr:row>18</xdr:row>
      <xdr:rowOff>190500</xdr:rowOff>
    </xdr:to>
    <xdr:sp macro="" textlink="">
      <xdr:nvSpPr>
        <xdr:cNvPr id="112818" name="Line 21"/>
        <xdr:cNvSpPr>
          <a:spLocks noChangeShapeType="1"/>
        </xdr:cNvSpPr>
      </xdr:nvSpPr>
      <xdr:spPr bwMode="auto">
        <a:xfrm>
          <a:off x="7068609" y="3589866"/>
          <a:ext cx="286808" cy="505884"/>
        </a:xfrm>
        <a:prstGeom prst="line">
          <a:avLst/>
        </a:prstGeom>
        <a:noFill/>
        <a:ln w="9525">
          <a:solidFill>
            <a:srgbClr val="000000"/>
          </a:solidFill>
          <a:round/>
          <a:headEnd/>
          <a:tailEnd type="triangle" w="med" len="med"/>
        </a:ln>
      </xdr:spPr>
    </xdr:sp>
    <xdr:clientData/>
  </xdr:twoCellAnchor>
  <xdr:twoCellAnchor>
    <xdr:from>
      <xdr:col>10</xdr:col>
      <xdr:colOff>504825</xdr:colOff>
      <xdr:row>17</xdr:row>
      <xdr:rowOff>8467</xdr:rowOff>
    </xdr:from>
    <xdr:to>
      <xdr:col>10</xdr:col>
      <xdr:colOff>504825</xdr:colOff>
      <xdr:row>17</xdr:row>
      <xdr:rowOff>158750</xdr:rowOff>
    </xdr:to>
    <xdr:sp macro="" textlink="">
      <xdr:nvSpPr>
        <xdr:cNvPr id="112819" name="Line 22"/>
        <xdr:cNvSpPr>
          <a:spLocks noChangeShapeType="1"/>
        </xdr:cNvSpPr>
      </xdr:nvSpPr>
      <xdr:spPr bwMode="auto">
        <a:xfrm flipH="1">
          <a:off x="6526742" y="3744384"/>
          <a:ext cx="0" cy="150283"/>
        </a:xfrm>
        <a:prstGeom prst="line">
          <a:avLst/>
        </a:prstGeom>
        <a:noFill/>
        <a:ln w="19050">
          <a:solidFill>
            <a:srgbClr val="FF0000"/>
          </a:solidFill>
          <a:round/>
          <a:headEnd/>
          <a:tailEnd type="triangle" w="med" len="med"/>
        </a:ln>
      </xdr:spPr>
    </xdr:sp>
    <xdr:clientData/>
  </xdr:twoCellAnchor>
  <xdr:twoCellAnchor>
    <xdr:from>
      <xdr:col>4</xdr:col>
      <xdr:colOff>504825</xdr:colOff>
      <xdr:row>10</xdr:row>
      <xdr:rowOff>161925</xdr:rowOff>
    </xdr:from>
    <xdr:to>
      <xdr:col>6</xdr:col>
      <xdr:colOff>0</xdr:colOff>
      <xdr:row>16</xdr:row>
      <xdr:rowOff>9525</xdr:rowOff>
    </xdr:to>
    <xdr:sp macro="" textlink="">
      <xdr:nvSpPr>
        <xdr:cNvPr id="112820" name="Line 23"/>
        <xdr:cNvSpPr>
          <a:spLocks noChangeShapeType="1"/>
        </xdr:cNvSpPr>
      </xdr:nvSpPr>
      <xdr:spPr bwMode="auto">
        <a:xfrm flipH="1">
          <a:off x="2466975" y="2200275"/>
          <a:ext cx="828675" cy="1333500"/>
        </a:xfrm>
        <a:prstGeom prst="line">
          <a:avLst/>
        </a:prstGeom>
        <a:noFill/>
        <a:ln w="19050">
          <a:solidFill>
            <a:srgbClr val="FF0000"/>
          </a:solidFill>
          <a:round/>
          <a:headEnd/>
          <a:tailEnd type="triangle" w="med" len="med"/>
        </a:ln>
      </xdr:spPr>
    </xdr:sp>
    <xdr:clientData/>
  </xdr:twoCellAnchor>
  <xdr:twoCellAnchor>
    <xdr:from>
      <xdr:col>4</xdr:col>
      <xdr:colOff>495300</xdr:colOff>
      <xdr:row>19</xdr:row>
      <xdr:rowOff>1</xdr:rowOff>
    </xdr:from>
    <xdr:to>
      <xdr:col>4</xdr:col>
      <xdr:colOff>495300</xdr:colOff>
      <xdr:row>20</xdr:row>
      <xdr:rowOff>3176</xdr:rowOff>
    </xdr:to>
    <xdr:sp macro="" textlink="">
      <xdr:nvSpPr>
        <xdr:cNvPr id="112822" name="Line 25"/>
        <xdr:cNvSpPr>
          <a:spLocks noChangeShapeType="1"/>
        </xdr:cNvSpPr>
      </xdr:nvSpPr>
      <xdr:spPr bwMode="auto">
        <a:xfrm>
          <a:off x="2516717" y="4243918"/>
          <a:ext cx="0" cy="172508"/>
        </a:xfrm>
        <a:prstGeom prst="line">
          <a:avLst/>
        </a:prstGeom>
        <a:noFill/>
        <a:ln w="19050">
          <a:solidFill>
            <a:srgbClr val="FF0000"/>
          </a:solidFill>
          <a:round/>
          <a:headEnd/>
          <a:tailEnd type="triangle" w="med" len="med"/>
        </a:ln>
      </xdr:spPr>
    </xdr:sp>
    <xdr:clientData/>
  </xdr:twoCellAnchor>
  <xdr:twoCellAnchor>
    <xdr:from>
      <xdr:col>5</xdr:col>
      <xdr:colOff>0</xdr:colOff>
      <xdr:row>16</xdr:row>
      <xdr:rowOff>171449</xdr:rowOff>
    </xdr:from>
    <xdr:to>
      <xdr:col>7</xdr:col>
      <xdr:colOff>285748</xdr:colOff>
      <xdr:row>16</xdr:row>
      <xdr:rowOff>171449</xdr:rowOff>
    </xdr:to>
    <xdr:sp macro="" textlink="">
      <xdr:nvSpPr>
        <xdr:cNvPr id="112823" name="Line 26"/>
        <xdr:cNvSpPr>
          <a:spLocks noChangeShapeType="1"/>
        </xdr:cNvSpPr>
      </xdr:nvSpPr>
      <xdr:spPr bwMode="auto">
        <a:xfrm flipH="1" flipV="1">
          <a:off x="3069167" y="3579282"/>
          <a:ext cx="1619248" cy="0"/>
        </a:xfrm>
        <a:prstGeom prst="line">
          <a:avLst/>
        </a:prstGeom>
        <a:noFill/>
        <a:ln w="19050">
          <a:solidFill>
            <a:srgbClr val="FF0000"/>
          </a:solidFill>
          <a:round/>
          <a:headEnd/>
          <a:tailEnd type="triangle" w="med" len="med"/>
        </a:ln>
      </xdr:spPr>
    </xdr:sp>
    <xdr:clientData/>
  </xdr:twoCellAnchor>
  <xdr:twoCellAnchor>
    <xdr:from>
      <xdr:col>6</xdr:col>
      <xdr:colOff>484717</xdr:colOff>
      <xdr:row>15</xdr:row>
      <xdr:rowOff>0</xdr:rowOff>
    </xdr:from>
    <xdr:to>
      <xdr:col>6</xdr:col>
      <xdr:colOff>484717</xdr:colOff>
      <xdr:row>17</xdr:row>
      <xdr:rowOff>169332</xdr:rowOff>
    </xdr:to>
    <xdr:sp macro="" textlink="">
      <xdr:nvSpPr>
        <xdr:cNvPr id="112824" name="Line 27"/>
        <xdr:cNvSpPr>
          <a:spLocks noChangeShapeType="1"/>
        </xdr:cNvSpPr>
      </xdr:nvSpPr>
      <xdr:spPr bwMode="auto">
        <a:xfrm flipV="1">
          <a:off x="3839634" y="3238500"/>
          <a:ext cx="0" cy="666749"/>
        </a:xfrm>
        <a:prstGeom prst="line">
          <a:avLst/>
        </a:prstGeom>
        <a:noFill/>
        <a:ln w="9525">
          <a:solidFill>
            <a:srgbClr val="000000"/>
          </a:solidFill>
          <a:round/>
          <a:headEnd/>
          <a:tailEnd type="triangle" w="med" len="med"/>
        </a:ln>
      </xdr:spPr>
    </xdr:sp>
    <xdr:clientData/>
  </xdr:twoCellAnchor>
  <xdr:twoCellAnchor>
    <xdr:from>
      <xdr:col>2</xdr:col>
      <xdr:colOff>1038225</xdr:colOff>
      <xdr:row>20</xdr:row>
      <xdr:rowOff>152400</xdr:rowOff>
    </xdr:from>
    <xdr:to>
      <xdr:col>3</xdr:col>
      <xdr:colOff>266700</xdr:colOff>
      <xdr:row>20</xdr:row>
      <xdr:rowOff>152400</xdr:rowOff>
    </xdr:to>
    <xdr:sp macro="" textlink="">
      <xdr:nvSpPr>
        <xdr:cNvPr id="112825" name="Line 28"/>
        <xdr:cNvSpPr>
          <a:spLocks noChangeShapeType="1"/>
        </xdr:cNvSpPr>
      </xdr:nvSpPr>
      <xdr:spPr bwMode="auto">
        <a:xfrm flipH="1">
          <a:off x="1666875" y="4686300"/>
          <a:ext cx="276225" cy="0"/>
        </a:xfrm>
        <a:prstGeom prst="line">
          <a:avLst/>
        </a:prstGeom>
        <a:noFill/>
        <a:ln w="9525">
          <a:solidFill>
            <a:srgbClr val="000000"/>
          </a:solidFill>
          <a:round/>
          <a:headEnd/>
          <a:tailEnd type="triangle" w="med" len="med"/>
        </a:ln>
      </xdr:spPr>
    </xdr:sp>
    <xdr:clientData/>
  </xdr:twoCellAnchor>
  <xdr:twoCellAnchor>
    <xdr:from>
      <xdr:col>10</xdr:col>
      <xdr:colOff>495300</xdr:colOff>
      <xdr:row>18</xdr:row>
      <xdr:rowOff>322792</xdr:rowOff>
    </xdr:from>
    <xdr:to>
      <xdr:col>10</xdr:col>
      <xdr:colOff>495300</xdr:colOff>
      <xdr:row>19</xdr:row>
      <xdr:rowOff>158750</xdr:rowOff>
    </xdr:to>
    <xdr:sp macro="" textlink="">
      <xdr:nvSpPr>
        <xdr:cNvPr id="112826" name="Line 29"/>
        <xdr:cNvSpPr>
          <a:spLocks noChangeShapeType="1"/>
        </xdr:cNvSpPr>
      </xdr:nvSpPr>
      <xdr:spPr bwMode="auto">
        <a:xfrm>
          <a:off x="6517217" y="4228042"/>
          <a:ext cx="0" cy="174625"/>
        </a:xfrm>
        <a:prstGeom prst="line">
          <a:avLst/>
        </a:prstGeom>
        <a:noFill/>
        <a:ln w="9525">
          <a:solidFill>
            <a:srgbClr val="000000"/>
          </a:solidFill>
          <a:round/>
          <a:headEnd/>
          <a:tailEnd type="triangle" w="med" len="med"/>
        </a:ln>
      </xdr:spPr>
    </xdr:sp>
    <xdr:clientData/>
  </xdr:twoCellAnchor>
  <xdr:twoCellAnchor>
    <xdr:from>
      <xdr:col>4</xdr:col>
      <xdr:colOff>1038225</xdr:colOff>
      <xdr:row>18</xdr:row>
      <xdr:rowOff>152400</xdr:rowOff>
    </xdr:from>
    <xdr:to>
      <xdr:col>5</xdr:col>
      <xdr:colOff>276225</xdr:colOff>
      <xdr:row>18</xdr:row>
      <xdr:rowOff>152400</xdr:rowOff>
    </xdr:to>
    <xdr:sp macro="" textlink="">
      <xdr:nvSpPr>
        <xdr:cNvPr id="112829" name="Line 32"/>
        <xdr:cNvSpPr>
          <a:spLocks noChangeShapeType="1"/>
        </xdr:cNvSpPr>
      </xdr:nvSpPr>
      <xdr:spPr bwMode="auto">
        <a:xfrm flipH="1">
          <a:off x="3000375" y="4171950"/>
          <a:ext cx="285750" cy="0"/>
        </a:xfrm>
        <a:prstGeom prst="line">
          <a:avLst/>
        </a:prstGeom>
        <a:noFill/>
        <a:ln w="19050">
          <a:solidFill>
            <a:srgbClr val="FF0000"/>
          </a:solidFill>
          <a:round/>
          <a:headEnd/>
          <a:tailEnd type="triangle" w="med" len="med"/>
        </a:ln>
      </xdr:spPr>
    </xdr:sp>
    <xdr:clientData/>
  </xdr:twoCellAnchor>
  <xdr:twoCellAnchor>
    <xdr:from>
      <xdr:col>6</xdr:col>
      <xdr:colOff>1047749</xdr:colOff>
      <xdr:row>17</xdr:row>
      <xdr:rowOff>0</xdr:rowOff>
    </xdr:from>
    <xdr:to>
      <xdr:col>8</xdr:col>
      <xdr:colOff>523874</xdr:colOff>
      <xdr:row>18</xdr:row>
      <xdr:rowOff>169333</xdr:rowOff>
    </xdr:to>
    <xdr:sp macro="" textlink="">
      <xdr:nvSpPr>
        <xdr:cNvPr id="112830" name="Line 33"/>
        <xdr:cNvSpPr>
          <a:spLocks noChangeShapeType="1"/>
        </xdr:cNvSpPr>
      </xdr:nvSpPr>
      <xdr:spPr bwMode="auto">
        <a:xfrm flipH="1">
          <a:off x="4402666" y="3735917"/>
          <a:ext cx="809625" cy="338666"/>
        </a:xfrm>
        <a:prstGeom prst="line">
          <a:avLst/>
        </a:prstGeom>
        <a:noFill/>
        <a:ln w="19050">
          <a:solidFill>
            <a:srgbClr val="FF0000"/>
          </a:solidFill>
          <a:round/>
          <a:headEnd/>
          <a:tailEnd type="triangle" w="med" len="med"/>
        </a:ln>
      </xdr:spPr>
    </xdr:sp>
    <xdr:clientData/>
  </xdr:twoCellAnchor>
  <xdr:twoCellAnchor>
    <xdr:from>
      <xdr:col>8</xdr:col>
      <xdr:colOff>505883</xdr:colOff>
      <xdr:row>14</xdr:row>
      <xdr:rowOff>327025</xdr:rowOff>
    </xdr:from>
    <xdr:to>
      <xdr:col>8</xdr:col>
      <xdr:colOff>505883</xdr:colOff>
      <xdr:row>15</xdr:row>
      <xdr:rowOff>151342</xdr:rowOff>
    </xdr:to>
    <xdr:sp macro="" textlink="">
      <xdr:nvSpPr>
        <xdr:cNvPr id="112831" name="Line 34"/>
        <xdr:cNvSpPr>
          <a:spLocks noChangeShapeType="1"/>
        </xdr:cNvSpPr>
      </xdr:nvSpPr>
      <xdr:spPr bwMode="auto">
        <a:xfrm flipV="1">
          <a:off x="5194300" y="3237442"/>
          <a:ext cx="0" cy="152400"/>
        </a:xfrm>
        <a:prstGeom prst="line">
          <a:avLst/>
        </a:prstGeom>
        <a:noFill/>
        <a:ln w="9525">
          <a:solidFill>
            <a:srgbClr val="000000"/>
          </a:solidFill>
          <a:round/>
          <a:headEnd/>
          <a:tailEnd type="triangle" w="med" len="med"/>
        </a:ln>
      </xdr:spPr>
    </xdr:sp>
    <xdr:clientData/>
  </xdr:twoCellAnchor>
  <xdr:twoCellAnchor>
    <xdr:from>
      <xdr:col>12</xdr:col>
      <xdr:colOff>514350</xdr:colOff>
      <xdr:row>18</xdr:row>
      <xdr:rowOff>333375</xdr:rowOff>
    </xdr:from>
    <xdr:to>
      <xdr:col>12</xdr:col>
      <xdr:colOff>523875</xdr:colOff>
      <xdr:row>19</xdr:row>
      <xdr:rowOff>161925</xdr:rowOff>
    </xdr:to>
    <xdr:sp macro="" textlink="">
      <xdr:nvSpPr>
        <xdr:cNvPr id="112832" name="Line 35"/>
        <xdr:cNvSpPr>
          <a:spLocks noChangeShapeType="1"/>
        </xdr:cNvSpPr>
      </xdr:nvSpPr>
      <xdr:spPr bwMode="auto">
        <a:xfrm flipH="1">
          <a:off x="7810500" y="4352925"/>
          <a:ext cx="9525" cy="171450"/>
        </a:xfrm>
        <a:prstGeom prst="line">
          <a:avLst/>
        </a:prstGeom>
        <a:noFill/>
        <a:ln w="9525">
          <a:solidFill>
            <a:srgbClr val="000000"/>
          </a:solidFill>
          <a:round/>
          <a:headEnd/>
          <a:tailEnd type="triangle" w="med" len="med"/>
        </a:ln>
      </xdr:spPr>
    </xdr:sp>
    <xdr:clientData/>
  </xdr:twoCellAnchor>
  <xdr:twoCellAnchor>
    <xdr:from>
      <xdr:col>4</xdr:col>
      <xdr:colOff>496358</xdr:colOff>
      <xdr:row>7</xdr:row>
      <xdr:rowOff>0</xdr:rowOff>
    </xdr:from>
    <xdr:to>
      <xdr:col>4</xdr:col>
      <xdr:colOff>496358</xdr:colOff>
      <xdr:row>7</xdr:row>
      <xdr:rowOff>152400</xdr:rowOff>
    </xdr:to>
    <xdr:sp macro="" textlink="">
      <xdr:nvSpPr>
        <xdr:cNvPr id="37" name="Line 19"/>
        <xdr:cNvSpPr>
          <a:spLocks noChangeShapeType="1"/>
        </xdr:cNvSpPr>
      </xdr:nvSpPr>
      <xdr:spPr bwMode="auto">
        <a:xfrm>
          <a:off x="2517775" y="1248833"/>
          <a:ext cx="0" cy="152400"/>
        </a:xfrm>
        <a:prstGeom prst="line">
          <a:avLst/>
        </a:prstGeom>
        <a:noFill/>
        <a:ln w="9525">
          <a:solidFill>
            <a:srgbClr val="000000"/>
          </a:solidFill>
          <a:round/>
          <a:headEnd/>
          <a:tailEnd type="triangle" w="med" len="med"/>
        </a:ln>
      </xdr:spPr>
    </xdr:sp>
    <xdr:clientData/>
  </xdr:twoCellAnchor>
  <xdr:twoCellAnchor>
    <xdr:from>
      <xdr:col>4</xdr:col>
      <xdr:colOff>495300</xdr:colOff>
      <xdr:row>17</xdr:row>
      <xdr:rowOff>1</xdr:rowOff>
    </xdr:from>
    <xdr:to>
      <xdr:col>4</xdr:col>
      <xdr:colOff>495300</xdr:colOff>
      <xdr:row>18</xdr:row>
      <xdr:rowOff>3176</xdr:rowOff>
    </xdr:to>
    <xdr:sp macro="" textlink="">
      <xdr:nvSpPr>
        <xdr:cNvPr id="38" name="Line 25"/>
        <xdr:cNvSpPr>
          <a:spLocks noChangeShapeType="1"/>
        </xdr:cNvSpPr>
      </xdr:nvSpPr>
      <xdr:spPr bwMode="auto">
        <a:xfrm>
          <a:off x="2516717" y="3735918"/>
          <a:ext cx="0" cy="172508"/>
        </a:xfrm>
        <a:prstGeom prst="line">
          <a:avLst/>
        </a:prstGeom>
        <a:noFill/>
        <a:ln w="19050">
          <a:solidFill>
            <a:srgbClr val="FF0000"/>
          </a:solidFill>
          <a:round/>
          <a:headEnd/>
          <a:tailEnd type="triangle" w="med" len="med"/>
        </a:ln>
      </xdr:spPr>
    </xdr:sp>
    <xdr:clientData/>
  </xdr:twoCellAnchor>
  <xdr:twoCellAnchor>
    <xdr:from>
      <xdr:col>6</xdr:col>
      <xdr:colOff>488949</xdr:colOff>
      <xdr:row>10</xdr:row>
      <xdr:rowOff>328083</xdr:rowOff>
    </xdr:from>
    <xdr:to>
      <xdr:col>6</xdr:col>
      <xdr:colOff>488949</xdr:colOff>
      <xdr:row>11</xdr:row>
      <xdr:rowOff>152399</xdr:rowOff>
    </xdr:to>
    <xdr:sp macro="" textlink="">
      <xdr:nvSpPr>
        <xdr:cNvPr id="39" name="Line 7"/>
        <xdr:cNvSpPr>
          <a:spLocks noChangeShapeType="1"/>
        </xdr:cNvSpPr>
      </xdr:nvSpPr>
      <xdr:spPr bwMode="auto">
        <a:xfrm>
          <a:off x="3843866" y="2243666"/>
          <a:ext cx="0" cy="152400"/>
        </a:xfrm>
        <a:prstGeom prst="line">
          <a:avLst/>
        </a:prstGeom>
        <a:noFill/>
        <a:ln w="9525">
          <a:solidFill>
            <a:srgbClr val="000000"/>
          </a:solidFill>
          <a:round/>
          <a:headEnd/>
          <a:tailEnd type="triangle" w="med" len="med"/>
        </a:ln>
      </xdr:spPr>
    </xdr:sp>
    <xdr:clientData/>
  </xdr:twoCellAnchor>
  <xdr:twoCellAnchor>
    <xdr:from>
      <xdr:col>6</xdr:col>
      <xdr:colOff>488949</xdr:colOff>
      <xdr:row>13</xdr:row>
      <xdr:rowOff>10583</xdr:rowOff>
    </xdr:from>
    <xdr:to>
      <xdr:col>6</xdr:col>
      <xdr:colOff>488949</xdr:colOff>
      <xdr:row>13</xdr:row>
      <xdr:rowOff>162983</xdr:rowOff>
    </xdr:to>
    <xdr:sp macro="" textlink="">
      <xdr:nvSpPr>
        <xdr:cNvPr id="40" name="Line 7"/>
        <xdr:cNvSpPr>
          <a:spLocks noChangeShapeType="1"/>
        </xdr:cNvSpPr>
      </xdr:nvSpPr>
      <xdr:spPr bwMode="auto">
        <a:xfrm>
          <a:off x="3843866" y="2751666"/>
          <a:ext cx="0" cy="152400"/>
        </a:xfrm>
        <a:prstGeom prst="line">
          <a:avLst/>
        </a:prstGeom>
        <a:noFill/>
        <a:ln w="9525">
          <a:solidFill>
            <a:srgbClr val="000000"/>
          </a:solidFill>
          <a:round/>
          <a:headEnd/>
          <a:tailEnd type="triangle" w="med" len="med"/>
        </a:ln>
      </xdr:spPr>
    </xdr:sp>
    <xdr:clientData/>
  </xdr:twoCellAnchor>
</xdr:wsDr>
</file>

<file path=xl/drawings/drawing37.xml><?xml version="1.0" encoding="utf-8"?>
<xdr:wsDr xmlns:xdr="http://schemas.openxmlformats.org/drawingml/2006/spreadsheetDrawing" xmlns:a="http://schemas.openxmlformats.org/drawingml/2006/main">
  <xdr:twoCellAnchor>
    <xdr:from>
      <xdr:col>8</xdr:col>
      <xdr:colOff>514350</xdr:colOff>
      <xdr:row>9</xdr:row>
      <xdr:rowOff>9525</xdr:rowOff>
    </xdr:from>
    <xdr:to>
      <xdr:col>8</xdr:col>
      <xdr:colOff>523875</xdr:colOff>
      <xdr:row>13</xdr:row>
      <xdr:rowOff>161925</xdr:rowOff>
    </xdr:to>
    <xdr:sp macro="" textlink="">
      <xdr:nvSpPr>
        <xdr:cNvPr id="113822" name="Line 1"/>
        <xdr:cNvSpPr>
          <a:spLocks noChangeShapeType="1"/>
        </xdr:cNvSpPr>
      </xdr:nvSpPr>
      <xdr:spPr bwMode="auto">
        <a:xfrm flipH="1">
          <a:off x="5143500" y="1876425"/>
          <a:ext cx="9525" cy="1143000"/>
        </a:xfrm>
        <a:prstGeom prst="line">
          <a:avLst/>
        </a:prstGeom>
        <a:noFill/>
        <a:ln w="19050">
          <a:solidFill>
            <a:srgbClr val="FF0000"/>
          </a:solidFill>
          <a:round/>
          <a:headEnd/>
          <a:tailEnd type="triangle" w="med" len="med"/>
        </a:ln>
      </xdr:spPr>
    </xdr:sp>
    <xdr:clientData/>
  </xdr:twoCellAnchor>
  <xdr:twoCellAnchor>
    <xdr:from>
      <xdr:col>8</xdr:col>
      <xdr:colOff>514350</xdr:colOff>
      <xdr:row>14</xdr:row>
      <xdr:rowOff>324908</xdr:rowOff>
    </xdr:from>
    <xdr:to>
      <xdr:col>8</xdr:col>
      <xdr:colOff>514350</xdr:colOff>
      <xdr:row>16</xdr:row>
      <xdr:rowOff>3175</xdr:rowOff>
    </xdr:to>
    <xdr:sp macro="" textlink="">
      <xdr:nvSpPr>
        <xdr:cNvPr id="113823" name="Line 2"/>
        <xdr:cNvSpPr>
          <a:spLocks noChangeShapeType="1"/>
        </xdr:cNvSpPr>
      </xdr:nvSpPr>
      <xdr:spPr bwMode="auto">
        <a:xfrm flipH="1">
          <a:off x="5202767" y="3235325"/>
          <a:ext cx="0" cy="175683"/>
        </a:xfrm>
        <a:prstGeom prst="line">
          <a:avLst/>
        </a:prstGeom>
        <a:noFill/>
        <a:ln w="19050">
          <a:solidFill>
            <a:srgbClr val="FF0000"/>
          </a:solidFill>
          <a:round/>
          <a:headEnd/>
          <a:tailEnd type="triangle" w="med" len="med"/>
        </a:ln>
      </xdr:spPr>
    </xdr:sp>
    <xdr:clientData/>
  </xdr:twoCellAnchor>
  <xdr:twoCellAnchor>
    <xdr:from>
      <xdr:col>9</xdr:col>
      <xdr:colOff>0</xdr:colOff>
      <xdr:row>14</xdr:row>
      <xdr:rowOff>142875</xdr:rowOff>
    </xdr:from>
    <xdr:to>
      <xdr:col>10</xdr:col>
      <xdr:colOff>28575</xdr:colOff>
      <xdr:row>14</xdr:row>
      <xdr:rowOff>152400</xdr:rowOff>
    </xdr:to>
    <xdr:sp macro="" textlink="">
      <xdr:nvSpPr>
        <xdr:cNvPr id="113824" name="Line 3"/>
        <xdr:cNvSpPr>
          <a:spLocks noChangeShapeType="1"/>
        </xdr:cNvSpPr>
      </xdr:nvSpPr>
      <xdr:spPr bwMode="auto">
        <a:xfrm>
          <a:off x="5676900" y="3171825"/>
          <a:ext cx="314325" cy="9525"/>
        </a:xfrm>
        <a:prstGeom prst="line">
          <a:avLst/>
        </a:prstGeom>
        <a:noFill/>
        <a:ln w="9525">
          <a:solidFill>
            <a:srgbClr val="000000"/>
          </a:solidFill>
          <a:round/>
          <a:headEnd/>
          <a:tailEnd type="triangle" w="med" len="med"/>
        </a:ln>
      </xdr:spPr>
    </xdr:sp>
    <xdr:clientData/>
  </xdr:twoCellAnchor>
  <xdr:twoCellAnchor>
    <xdr:from>
      <xdr:col>9</xdr:col>
      <xdr:colOff>0</xdr:colOff>
      <xdr:row>16</xdr:row>
      <xdr:rowOff>152400</xdr:rowOff>
    </xdr:from>
    <xdr:to>
      <xdr:col>10</xdr:col>
      <xdr:colOff>9525</xdr:colOff>
      <xdr:row>16</xdr:row>
      <xdr:rowOff>152400</xdr:rowOff>
    </xdr:to>
    <xdr:sp macro="" textlink="">
      <xdr:nvSpPr>
        <xdr:cNvPr id="113825" name="Line 4"/>
        <xdr:cNvSpPr>
          <a:spLocks noChangeShapeType="1"/>
        </xdr:cNvSpPr>
      </xdr:nvSpPr>
      <xdr:spPr bwMode="auto">
        <a:xfrm>
          <a:off x="5676900" y="3676650"/>
          <a:ext cx="295275" cy="0"/>
        </a:xfrm>
        <a:prstGeom prst="line">
          <a:avLst/>
        </a:prstGeom>
        <a:noFill/>
        <a:ln w="9525">
          <a:solidFill>
            <a:srgbClr val="000000"/>
          </a:solidFill>
          <a:round/>
          <a:headEnd/>
          <a:tailEnd type="triangle" w="med" len="med"/>
        </a:ln>
      </xdr:spPr>
    </xdr:sp>
    <xdr:clientData/>
  </xdr:twoCellAnchor>
  <xdr:twoCellAnchor>
    <xdr:from>
      <xdr:col>4</xdr:col>
      <xdr:colOff>457200</xdr:colOff>
      <xdr:row>8</xdr:row>
      <xdr:rowOff>314325</xdr:rowOff>
    </xdr:from>
    <xdr:to>
      <xdr:col>4</xdr:col>
      <xdr:colOff>457200</xdr:colOff>
      <xdr:row>10</xdr:row>
      <xdr:rowOff>0</xdr:rowOff>
    </xdr:to>
    <xdr:sp macro="" textlink="">
      <xdr:nvSpPr>
        <xdr:cNvPr id="113827" name="Line 6"/>
        <xdr:cNvSpPr>
          <a:spLocks noChangeShapeType="1"/>
        </xdr:cNvSpPr>
      </xdr:nvSpPr>
      <xdr:spPr bwMode="auto">
        <a:xfrm flipH="1">
          <a:off x="2419350" y="1857375"/>
          <a:ext cx="0" cy="180975"/>
        </a:xfrm>
        <a:prstGeom prst="line">
          <a:avLst/>
        </a:prstGeom>
        <a:noFill/>
        <a:ln w="9525">
          <a:solidFill>
            <a:srgbClr val="000000"/>
          </a:solidFill>
          <a:round/>
          <a:headEnd/>
          <a:tailEnd type="triangle" w="med" len="med"/>
        </a:ln>
      </xdr:spPr>
    </xdr:sp>
    <xdr:clientData/>
  </xdr:twoCellAnchor>
  <xdr:twoCellAnchor>
    <xdr:from>
      <xdr:col>4</xdr:col>
      <xdr:colOff>476250</xdr:colOff>
      <xdr:row>5</xdr:row>
      <xdr:rowOff>0</xdr:rowOff>
    </xdr:from>
    <xdr:to>
      <xdr:col>4</xdr:col>
      <xdr:colOff>476250</xdr:colOff>
      <xdr:row>5</xdr:row>
      <xdr:rowOff>161925</xdr:rowOff>
    </xdr:to>
    <xdr:sp macro="" textlink="">
      <xdr:nvSpPr>
        <xdr:cNvPr id="113828" name="Line 7"/>
        <xdr:cNvSpPr>
          <a:spLocks noChangeShapeType="1"/>
        </xdr:cNvSpPr>
      </xdr:nvSpPr>
      <xdr:spPr bwMode="auto">
        <a:xfrm>
          <a:off x="2438400" y="876300"/>
          <a:ext cx="0" cy="161925"/>
        </a:xfrm>
        <a:prstGeom prst="line">
          <a:avLst/>
        </a:prstGeom>
        <a:noFill/>
        <a:ln w="9525">
          <a:solidFill>
            <a:srgbClr val="000000"/>
          </a:solidFill>
          <a:round/>
          <a:headEnd/>
          <a:tailEnd type="triangle" w="med" len="med"/>
        </a:ln>
      </xdr:spPr>
    </xdr:sp>
    <xdr:clientData/>
  </xdr:twoCellAnchor>
  <xdr:twoCellAnchor>
    <xdr:from>
      <xdr:col>4</xdr:col>
      <xdr:colOff>1037165</xdr:colOff>
      <xdr:row>5</xdr:row>
      <xdr:rowOff>0</xdr:rowOff>
    </xdr:from>
    <xdr:to>
      <xdr:col>12</xdr:col>
      <xdr:colOff>10582</xdr:colOff>
      <xdr:row>8</xdr:row>
      <xdr:rowOff>0</xdr:rowOff>
    </xdr:to>
    <xdr:sp macro="" textlink="">
      <xdr:nvSpPr>
        <xdr:cNvPr id="113829" name="Line 8"/>
        <xdr:cNvSpPr>
          <a:spLocks noChangeShapeType="1"/>
        </xdr:cNvSpPr>
      </xdr:nvSpPr>
      <xdr:spPr bwMode="auto">
        <a:xfrm flipH="1">
          <a:off x="3058582" y="751417"/>
          <a:ext cx="4307417" cy="666750"/>
        </a:xfrm>
        <a:prstGeom prst="line">
          <a:avLst/>
        </a:prstGeom>
        <a:noFill/>
        <a:ln w="9525">
          <a:solidFill>
            <a:srgbClr val="000000"/>
          </a:solidFill>
          <a:round/>
          <a:headEnd/>
          <a:tailEnd type="triangle" w="med" len="med"/>
        </a:ln>
      </xdr:spPr>
    </xdr:sp>
    <xdr:clientData/>
  </xdr:twoCellAnchor>
  <xdr:twoCellAnchor>
    <xdr:from>
      <xdr:col>4</xdr:col>
      <xdr:colOff>1038225</xdr:colOff>
      <xdr:row>10</xdr:row>
      <xdr:rowOff>161925</xdr:rowOff>
    </xdr:from>
    <xdr:to>
      <xdr:col>6</xdr:col>
      <xdr:colOff>0</xdr:colOff>
      <xdr:row>10</xdr:row>
      <xdr:rowOff>161925</xdr:rowOff>
    </xdr:to>
    <xdr:sp macro="" textlink="">
      <xdr:nvSpPr>
        <xdr:cNvPr id="113830" name="Line 9"/>
        <xdr:cNvSpPr>
          <a:spLocks noChangeShapeType="1"/>
        </xdr:cNvSpPr>
      </xdr:nvSpPr>
      <xdr:spPr bwMode="auto">
        <a:xfrm flipH="1" flipV="1">
          <a:off x="3059642" y="2077508"/>
          <a:ext cx="295275" cy="0"/>
        </a:xfrm>
        <a:prstGeom prst="line">
          <a:avLst/>
        </a:prstGeom>
        <a:noFill/>
        <a:ln w="9525">
          <a:solidFill>
            <a:srgbClr val="000000"/>
          </a:solidFill>
          <a:round/>
          <a:headEnd/>
          <a:tailEnd type="triangle" w="med" len="med"/>
        </a:ln>
      </xdr:spPr>
    </xdr:sp>
    <xdr:clientData/>
  </xdr:twoCellAnchor>
  <xdr:twoCellAnchor>
    <xdr:from>
      <xdr:col>2</xdr:col>
      <xdr:colOff>1046692</xdr:colOff>
      <xdr:row>6</xdr:row>
      <xdr:rowOff>142876</xdr:rowOff>
    </xdr:from>
    <xdr:to>
      <xdr:col>4</xdr:col>
      <xdr:colOff>0</xdr:colOff>
      <xdr:row>8</xdr:row>
      <xdr:rowOff>116417</xdr:rowOff>
    </xdr:to>
    <xdr:sp macro="" textlink="">
      <xdr:nvSpPr>
        <xdr:cNvPr id="113831" name="Line 10"/>
        <xdr:cNvSpPr>
          <a:spLocks noChangeShapeType="1"/>
        </xdr:cNvSpPr>
      </xdr:nvSpPr>
      <xdr:spPr bwMode="auto">
        <a:xfrm>
          <a:off x="1734609" y="1063626"/>
          <a:ext cx="286808" cy="470958"/>
        </a:xfrm>
        <a:prstGeom prst="line">
          <a:avLst/>
        </a:prstGeom>
        <a:noFill/>
        <a:ln w="9525">
          <a:solidFill>
            <a:srgbClr val="000000"/>
          </a:solidFill>
          <a:round/>
          <a:headEnd/>
          <a:tailEnd type="triangle" w="med" len="med"/>
        </a:ln>
      </xdr:spPr>
    </xdr:sp>
    <xdr:clientData/>
  </xdr:twoCellAnchor>
  <xdr:twoCellAnchor>
    <xdr:from>
      <xdr:col>12</xdr:col>
      <xdr:colOff>514350</xdr:colOff>
      <xdr:row>5</xdr:row>
      <xdr:rowOff>9525</xdr:rowOff>
    </xdr:from>
    <xdr:to>
      <xdr:col>12</xdr:col>
      <xdr:colOff>514350</xdr:colOff>
      <xdr:row>19</xdr:row>
      <xdr:rowOff>161925</xdr:rowOff>
    </xdr:to>
    <xdr:sp macro="" textlink="">
      <xdr:nvSpPr>
        <xdr:cNvPr id="113833" name="Line 12"/>
        <xdr:cNvSpPr>
          <a:spLocks noChangeShapeType="1"/>
        </xdr:cNvSpPr>
      </xdr:nvSpPr>
      <xdr:spPr bwMode="auto">
        <a:xfrm>
          <a:off x="7810500" y="885825"/>
          <a:ext cx="0" cy="3638550"/>
        </a:xfrm>
        <a:prstGeom prst="line">
          <a:avLst/>
        </a:prstGeom>
        <a:noFill/>
        <a:ln w="19050">
          <a:solidFill>
            <a:srgbClr val="FF0000"/>
          </a:solidFill>
          <a:round/>
          <a:headEnd/>
          <a:tailEnd type="triangle" w="med" len="med"/>
        </a:ln>
      </xdr:spPr>
    </xdr:sp>
    <xdr:clientData/>
  </xdr:twoCellAnchor>
  <xdr:twoCellAnchor>
    <xdr:from>
      <xdr:col>8</xdr:col>
      <xdr:colOff>1047749</xdr:colOff>
      <xdr:row>20</xdr:row>
      <xdr:rowOff>152400</xdr:rowOff>
    </xdr:from>
    <xdr:to>
      <xdr:col>11</xdr:col>
      <xdr:colOff>257173</xdr:colOff>
      <xdr:row>22</xdr:row>
      <xdr:rowOff>0</xdr:rowOff>
    </xdr:to>
    <xdr:sp macro="" textlink="">
      <xdr:nvSpPr>
        <xdr:cNvPr id="113834" name="Line 13"/>
        <xdr:cNvSpPr>
          <a:spLocks noChangeShapeType="1"/>
        </xdr:cNvSpPr>
      </xdr:nvSpPr>
      <xdr:spPr bwMode="auto">
        <a:xfrm flipH="1">
          <a:off x="5736166" y="4565650"/>
          <a:ext cx="1590674" cy="345017"/>
        </a:xfrm>
        <a:prstGeom prst="line">
          <a:avLst/>
        </a:prstGeom>
        <a:noFill/>
        <a:ln w="9525">
          <a:solidFill>
            <a:srgbClr val="000000"/>
          </a:solidFill>
          <a:round/>
          <a:headEnd/>
          <a:tailEnd type="triangle" w="med" len="med"/>
        </a:ln>
      </xdr:spPr>
    </xdr:sp>
    <xdr:clientData/>
  </xdr:twoCellAnchor>
  <xdr:twoCellAnchor>
    <xdr:from>
      <xdr:col>6</xdr:col>
      <xdr:colOff>457200</xdr:colOff>
      <xdr:row>9</xdr:row>
      <xdr:rowOff>0</xdr:rowOff>
    </xdr:from>
    <xdr:to>
      <xdr:col>6</xdr:col>
      <xdr:colOff>457200</xdr:colOff>
      <xdr:row>9</xdr:row>
      <xdr:rowOff>152400</xdr:rowOff>
    </xdr:to>
    <xdr:sp macro="" textlink="">
      <xdr:nvSpPr>
        <xdr:cNvPr id="113835" name="Line 14"/>
        <xdr:cNvSpPr>
          <a:spLocks noChangeShapeType="1"/>
        </xdr:cNvSpPr>
      </xdr:nvSpPr>
      <xdr:spPr bwMode="auto">
        <a:xfrm>
          <a:off x="3752850" y="1866900"/>
          <a:ext cx="0" cy="152400"/>
        </a:xfrm>
        <a:prstGeom prst="line">
          <a:avLst/>
        </a:prstGeom>
        <a:noFill/>
        <a:ln w="9525">
          <a:solidFill>
            <a:srgbClr val="000000"/>
          </a:solidFill>
          <a:round/>
          <a:headEnd/>
          <a:tailEnd type="triangle" w="med" len="med"/>
        </a:ln>
      </xdr:spPr>
    </xdr:sp>
    <xdr:clientData/>
  </xdr:twoCellAnchor>
  <xdr:twoCellAnchor>
    <xdr:from>
      <xdr:col>7</xdr:col>
      <xdr:colOff>0</xdr:colOff>
      <xdr:row>20</xdr:row>
      <xdr:rowOff>152398</xdr:rowOff>
    </xdr:from>
    <xdr:to>
      <xdr:col>11</xdr:col>
      <xdr:colOff>276224</xdr:colOff>
      <xdr:row>20</xdr:row>
      <xdr:rowOff>152398</xdr:rowOff>
    </xdr:to>
    <xdr:sp macro="" textlink="">
      <xdr:nvSpPr>
        <xdr:cNvPr id="113836" name="Line 15"/>
        <xdr:cNvSpPr>
          <a:spLocks noChangeShapeType="1"/>
        </xdr:cNvSpPr>
      </xdr:nvSpPr>
      <xdr:spPr bwMode="auto">
        <a:xfrm flipH="1" flipV="1">
          <a:off x="4402667" y="4565648"/>
          <a:ext cx="2943224" cy="0"/>
        </a:xfrm>
        <a:prstGeom prst="line">
          <a:avLst/>
        </a:prstGeom>
        <a:noFill/>
        <a:ln w="19050">
          <a:solidFill>
            <a:srgbClr val="FF0000"/>
          </a:solidFill>
          <a:round/>
          <a:headEnd/>
          <a:tailEnd type="triangle" w="med" len="med"/>
        </a:ln>
      </xdr:spPr>
    </xdr:sp>
    <xdr:clientData/>
  </xdr:twoCellAnchor>
  <xdr:twoCellAnchor>
    <xdr:from>
      <xdr:col>9</xdr:col>
      <xdr:colOff>9525</xdr:colOff>
      <xdr:row>22</xdr:row>
      <xdr:rowOff>180975</xdr:rowOff>
    </xdr:from>
    <xdr:to>
      <xdr:col>9</xdr:col>
      <xdr:colOff>276225</xdr:colOff>
      <xdr:row>22</xdr:row>
      <xdr:rowOff>180975</xdr:rowOff>
    </xdr:to>
    <xdr:sp macro="" textlink="">
      <xdr:nvSpPr>
        <xdr:cNvPr id="113837" name="Line 16"/>
        <xdr:cNvSpPr>
          <a:spLocks noChangeShapeType="1"/>
        </xdr:cNvSpPr>
      </xdr:nvSpPr>
      <xdr:spPr bwMode="auto">
        <a:xfrm>
          <a:off x="5686425" y="5210175"/>
          <a:ext cx="266700" cy="0"/>
        </a:xfrm>
        <a:prstGeom prst="line">
          <a:avLst/>
        </a:prstGeom>
        <a:noFill/>
        <a:ln w="9525">
          <a:solidFill>
            <a:srgbClr val="000000"/>
          </a:solidFill>
          <a:round/>
          <a:headEnd/>
          <a:tailEnd type="triangle" w="med" len="med"/>
        </a:ln>
      </xdr:spPr>
    </xdr:sp>
    <xdr:clientData/>
  </xdr:twoCellAnchor>
  <xdr:twoCellAnchor>
    <xdr:from>
      <xdr:col>11</xdr:col>
      <xdr:colOff>10583</xdr:colOff>
      <xdr:row>22</xdr:row>
      <xdr:rowOff>171450</xdr:rowOff>
    </xdr:from>
    <xdr:to>
      <xdr:col>11</xdr:col>
      <xdr:colOff>277283</xdr:colOff>
      <xdr:row>22</xdr:row>
      <xdr:rowOff>171450</xdr:rowOff>
    </xdr:to>
    <xdr:sp macro="" textlink="">
      <xdr:nvSpPr>
        <xdr:cNvPr id="113838" name="Line 17"/>
        <xdr:cNvSpPr>
          <a:spLocks noChangeShapeType="1"/>
        </xdr:cNvSpPr>
      </xdr:nvSpPr>
      <xdr:spPr bwMode="auto">
        <a:xfrm flipV="1">
          <a:off x="7080250" y="5082117"/>
          <a:ext cx="266700" cy="0"/>
        </a:xfrm>
        <a:prstGeom prst="line">
          <a:avLst/>
        </a:prstGeom>
        <a:noFill/>
        <a:ln w="9525">
          <a:solidFill>
            <a:srgbClr val="000000"/>
          </a:solidFill>
          <a:round/>
          <a:headEnd/>
          <a:tailEnd type="triangle" w="med" len="med"/>
        </a:ln>
      </xdr:spPr>
    </xdr:sp>
    <xdr:clientData/>
  </xdr:twoCellAnchor>
  <xdr:twoCellAnchor>
    <xdr:from>
      <xdr:col>6</xdr:col>
      <xdr:colOff>516466</xdr:colOff>
      <xdr:row>21</xdr:row>
      <xdr:rowOff>0</xdr:rowOff>
    </xdr:from>
    <xdr:to>
      <xdr:col>6</xdr:col>
      <xdr:colOff>516466</xdr:colOff>
      <xdr:row>22</xdr:row>
      <xdr:rowOff>0</xdr:rowOff>
    </xdr:to>
    <xdr:sp macro="" textlink="">
      <xdr:nvSpPr>
        <xdr:cNvPr id="113839" name="Line 18"/>
        <xdr:cNvSpPr>
          <a:spLocks noChangeShapeType="1"/>
        </xdr:cNvSpPr>
      </xdr:nvSpPr>
      <xdr:spPr bwMode="auto">
        <a:xfrm>
          <a:off x="3871383" y="4741333"/>
          <a:ext cx="0" cy="169334"/>
        </a:xfrm>
        <a:prstGeom prst="line">
          <a:avLst/>
        </a:prstGeom>
        <a:noFill/>
        <a:ln w="12700">
          <a:solidFill>
            <a:srgbClr val="000000"/>
          </a:solidFill>
          <a:round/>
          <a:headEnd/>
          <a:tailEnd type="triangle" w="med" len="med"/>
        </a:ln>
      </xdr:spPr>
    </xdr:sp>
    <xdr:clientData/>
  </xdr:twoCellAnchor>
  <xdr:twoCellAnchor>
    <xdr:from>
      <xdr:col>2</xdr:col>
      <xdr:colOff>1038225</xdr:colOff>
      <xdr:row>8</xdr:row>
      <xdr:rowOff>201082</xdr:rowOff>
    </xdr:from>
    <xdr:to>
      <xdr:col>4</xdr:col>
      <xdr:colOff>0</xdr:colOff>
      <xdr:row>10</xdr:row>
      <xdr:rowOff>152399</xdr:rowOff>
    </xdr:to>
    <xdr:sp macro="" textlink="">
      <xdr:nvSpPr>
        <xdr:cNvPr id="113840" name="Line 19"/>
        <xdr:cNvSpPr>
          <a:spLocks noChangeShapeType="1"/>
        </xdr:cNvSpPr>
      </xdr:nvSpPr>
      <xdr:spPr bwMode="auto">
        <a:xfrm flipV="1">
          <a:off x="1726142" y="1619249"/>
          <a:ext cx="295275" cy="448733"/>
        </a:xfrm>
        <a:prstGeom prst="line">
          <a:avLst/>
        </a:prstGeom>
        <a:noFill/>
        <a:ln w="9525">
          <a:solidFill>
            <a:srgbClr val="000000"/>
          </a:solidFill>
          <a:round/>
          <a:headEnd/>
          <a:tailEnd type="triangle" w="med" len="med"/>
        </a:ln>
      </xdr:spPr>
    </xdr:sp>
    <xdr:clientData/>
  </xdr:twoCellAnchor>
  <xdr:twoCellAnchor>
    <xdr:from>
      <xdr:col>2</xdr:col>
      <xdr:colOff>504825</xdr:colOff>
      <xdr:row>5</xdr:row>
      <xdr:rowOff>0</xdr:rowOff>
    </xdr:from>
    <xdr:to>
      <xdr:col>2</xdr:col>
      <xdr:colOff>504825</xdr:colOff>
      <xdr:row>5</xdr:row>
      <xdr:rowOff>161925</xdr:rowOff>
    </xdr:to>
    <xdr:sp macro="" textlink="">
      <xdr:nvSpPr>
        <xdr:cNvPr id="113841" name="Line 20"/>
        <xdr:cNvSpPr>
          <a:spLocks noChangeShapeType="1"/>
        </xdr:cNvSpPr>
      </xdr:nvSpPr>
      <xdr:spPr bwMode="auto">
        <a:xfrm flipV="1">
          <a:off x="1133475" y="876300"/>
          <a:ext cx="0" cy="161925"/>
        </a:xfrm>
        <a:prstGeom prst="line">
          <a:avLst/>
        </a:prstGeom>
        <a:noFill/>
        <a:ln w="9525">
          <a:solidFill>
            <a:srgbClr val="000000"/>
          </a:solidFill>
          <a:round/>
          <a:headEnd/>
          <a:tailEnd type="triangle" w="med" len="med"/>
        </a:ln>
      </xdr:spPr>
    </xdr:sp>
    <xdr:clientData/>
  </xdr:twoCellAnchor>
  <xdr:twoCellAnchor>
    <xdr:from>
      <xdr:col>2</xdr:col>
      <xdr:colOff>504825</xdr:colOff>
      <xdr:row>6</xdr:row>
      <xdr:rowOff>314325</xdr:rowOff>
    </xdr:from>
    <xdr:to>
      <xdr:col>2</xdr:col>
      <xdr:colOff>504825</xdr:colOff>
      <xdr:row>8</xdr:row>
      <xdr:rowOff>0</xdr:rowOff>
    </xdr:to>
    <xdr:sp macro="" textlink="">
      <xdr:nvSpPr>
        <xdr:cNvPr id="113842" name="Line 21"/>
        <xdr:cNvSpPr>
          <a:spLocks noChangeShapeType="1"/>
        </xdr:cNvSpPr>
      </xdr:nvSpPr>
      <xdr:spPr bwMode="auto">
        <a:xfrm>
          <a:off x="1133475" y="1362075"/>
          <a:ext cx="0" cy="180975"/>
        </a:xfrm>
        <a:prstGeom prst="line">
          <a:avLst/>
        </a:prstGeom>
        <a:noFill/>
        <a:ln w="9525">
          <a:solidFill>
            <a:srgbClr val="000000"/>
          </a:solidFill>
          <a:round/>
          <a:headEnd/>
          <a:tailEnd type="triangle" w="med" len="med"/>
        </a:ln>
      </xdr:spPr>
    </xdr:sp>
    <xdr:clientData/>
  </xdr:twoCellAnchor>
  <xdr:twoCellAnchor>
    <xdr:from>
      <xdr:col>10</xdr:col>
      <xdr:colOff>1039283</xdr:colOff>
      <xdr:row>4</xdr:row>
      <xdr:rowOff>171450</xdr:rowOff>
    </xdr:from>
    <xdr:to>
      <xdr:col>12</xdr:col>
      <xdr:colOff>10583</xdr:colOff>
      <xdr:row>4</xdr:row>
      <xdr:rowOff>171450</xdr:rowOff>
    </xdr:to>
    <xdr:sp macro="" textlink="">
      <xdr:nvSpPr>
        <xdr:cNvPr id="113843" name="Line 22"/>
        <xdr:cNvSpPr>
          <a:spLocks noChangeShapeType="1"/>
        </xdr:cNvSpPr>
      </xdr:nvSpPr>
      <xdr:spPr bwMode="auto">
        <a:xfrm flipH="1">
          <a:off x="7061200" y="594783"/>
          <a:ext cx="304800" cy="0"/>
        </a:xfrm>
        <a:prstGeom prst="line">
          <a:avLst/>
        </a:prstGeom>
        <a:noFill/>
        <a:ln w="9525">
          <a:solidFill>
            <a:srgbClr val="000000"/>
          </a:solidFill>
          <a:round/>
          <a:headEnd/>
          <a:tailEnd type="triangle" w="med" len="med"/>
        </a:ln>
      </xdr:spPr>
    </xdr:sp>
    <xdr:clientData/>
  </xdr:twoCellAnchor>
  <xdr:twoCellAnchor>
    <xdr:from>
      <xdr:col>7</xdr:col>
      <xdr:colOff>0</xdr:colOff>
      <xdr:row>12</xdr:row>
      <xdr:rowOff>148167</xdr:rowOff>
    </xdr:from>
    <xdr:to>
      <xdr:col>8</xdr:col>
      <xdr:colOff>423333</xdr:colOff>
      <xdr:row>14</xdr:row>
      <xdr:rowOff>0</xdr:rowOff>
    </xdr:to>
    <xdr:sp macro="" textlink="">
      <xdr:nvSpPr>
        <xdr:cNvPr id="113844" name="Line 23"/>
        <xdr:cNvSpPr>
          <a:spLocks noChangeShapeType="1"/>
        </xdr:cNvSpPr>
      </xdr:nvSpPr>
      <xdr:spPr bwMode="auto">
        <a:xfrm flipH="1" flipV="1">
          <a:off x="4402667" y="2561167"/>
          <a:ext cx="709083" cy="349250"/>
        </a:xfrm>
        <a:prstGeom prst="line">
          <a:avLst/>
        </a:prstGeom>
        <a:noFill/>
        <a:ln w="9525">
          <a:solidFill>
            <a:srgbClr val="000000"/>
          </a:solidFill>
          <a:round/>
          <a:headEnd/>
          <a:tailEnd type="triangle" w="med" len="med"/>
        </a:ln>
      </xdr:spPr>
    </xdr:sp>
    <xdr:clientData/>
  </xdr:twoCellAnchor>
  <xdr:twoCellAnchor>
    <xdr:from>
      <xdr:col>6</xdr:col>
      <xdr:colOff>1039283</xdr:colOff>
      <xdr:row>16</xdr:row>
      <xdr:rowOff>180975</xdr:rowOff>
    </xdr:from>
    <xdr:to>
      <xdr:col>7</xdr:col>
      <xdr:colOff>277283</xdr:colOff>
      <xdr:row>16</xdr:row>
      <xdr:rowOff>180975</xdr:rowOff>
    </xdr:to>
    <xdr:sp macro="" textlink="">
      <xdr:nvSpPr>
        <xdr:cNvPr id="113845" name="Line 24"/>
        <xdr:cNvSpPr>
          <a:spLocks noChangeShapeType="1"/>
        </xdr:cNvSpPr>
      </xdr:nvSpPr>
      <xdr:spPr bwMode="auto">
        <a:xfrm flipH="1">
          <a:off x="4394200" y="3588808"/>
          <a:ext cx="285750" cy="0"/>
        </a:xfrm>
        <a:prstGeom prst="line">
          <a:avLst/>
        </a:prstGeom>
        <a:noFill/>
        <a:ln w="19050">
          <a:solidFill>
            <a:srgbClr val="FF0000"/>
          </a:solidFill>
          <a:round/>
          <a:headEnd/>
          <a:tailEnd type="triangle" w="med" len="med"/>
        </a:ln>
      </xdr:spPr>
    </xdr:sp>
    <xdr:clientData/>
  </xdr:twoCellAnchor>
  <xdr:twoCellAnchor>
    <xdr:from>
      <xdr:col>6</xdr:col>
      <xdr:colOff>533400</xdr:colOff>
      <xdr:row>17</xdr:row>
      <xdr:rowOff>8467</xdr:rowOff>
    </xdr:from>
    <xdr:to>
      <xdr:col>6</xdr:col>
      <xdr:colOff>533400</xdr:colOff>
      <xdr:row>17</xdr:row>
      <xdr:rowOff>158750</xdr:rowOff>
    </xdr:to>
    <xdr:sp macro="" textlink="">
      <xdr:nvSpPr>
        <xdr:cNvPr id="113846" name="Line 25"/>
        <xdr:cNvSpPr>
          <a:spLocks noChangeShapeType="1"/>
        </xdr:cNvSpPr>
      </xdr:nvSpPr>
      <xdr:spPr bwMode="auto">
        <a:xfrm>
          <a:off x="3888317" y="3754967"/>
          <a:ext cx="0" cy="150283"/>
        </a:xfrm>
        <a:prstGeom prst="line">
          <a:avLst/>
        </a:prstGeom>
        <a:noFill/>
        <a:ln w="19050">
          <a:solidFill>
            <a:srgbClr val="FF0000"/>
          </a:solidFill>
          <a:round/>
          <a:headEnd/>
          <a:tailEnd type="triangle" w="med" len="med"/>
        </a:ln>
      </xdr:spPr>
    </xdr:sp>
    <xdr:clientData/>
  </xdr:twoCellAnchor>
  <xdr:twoCellAnchor>
    <xdr:from>
      <xdr:col>5</xdr:col>
      <xdr:colOff>0</xdr:colOff>
      <xdr:row>16</xdr:row>
      <xdr:rowOff>188384</xdr:rowOff>
    </xdr:from>
    <xdr:to>
      <xdr:col>5</xdr:col>
      <xdr:colOff>278341</xdr:colOff>
      <xdr:row>18</xdr:row>
      <xdr:rowOff>169334</xdr:rowOff>
    </xdr:to>
    <xdr:sp macro="" textlink="">
      <xdr:nvSpPr>
        <xdr:cNvPr id="113848" name="Line 27"/>
        <xdr:cNvSpPr>
          <a:spLocks noChangeShapeType="1"/>
        </xdr:cNvSpPr>
      </xdr:nvSpPr>
      <xdr:spPr bwMode="auto">
        <a:xfrm flipH="1">
          <a:off x="3069167" y="3596217"/>
          <a:ext cx="278341" cy="488950"/>
        </a:xfrm>
        <a:prstGeom prst="line">
          <a:avLst/>
        </a:prstGeom>
        <a:noFill/>
        <a:ln w="19050">
          <a:solidFill>
            <a:srgbClr val="FF0000"/>
          </a:solidFill>
          <a:round/>
          <a:headEnd/>
          <a:tailEnd type="triangle" w="med" len="med"/>
        </a:ln>
      </xdr:spPr>
    </xdr:sp>
    <xdr:clientData/>
  </xdr:twoCellAnchor>
  <xdr:twoCellAnchor>
    <xdr:from>
      <xdr:col>7</xdr:col>
      <xdr:colOff>9525</xdr:colOff>
      <xdr:row>18</xdr:row>
      <xdr:rowOff>161925</xdr:rowOff>
    </xdr:from>
    <xdr:to>
      <xdr:col>7</xdr:col>
      <xdr:colOff>276225</xdr:colOff>
      <xdr:row>18</xdr:row>
      <xdr:rowOff>161925</xdr:rowOff>
    </xdr:to>
    <xdr:sp macro="" textlink="">
      <xdr:nvSpPr>
        <xdr:cNvPr id="113849" name="Line 28"/>
        <xdr:cNvSpPr>
          <a:spLocks noChangeShapeType="1"/>
        </xdr:cNvSpPr>
      </xdr:nvSpPr>
      <xdr:spPr bwMode="auto">
        <a:xfrm>
          <a:off x="4352925" y="4200525"/>
          <a:ext cx="266700" cy="0"/>
        </a:xfrm>
        <a:prstGeom prst="line">
          <a:avLst/>
        </a:prstGeom>
        <a:noFill/>
        <a:ln w="9525">
          <a:solidFill>
            <a:srgbClr val="000000"/>
          </a:solidFill>
          <a:round/>
          <a:headEnd/>
          <a:tailEnd type="triangle" w="med" len="med"/>
        </a:ln>
      </xdr:spPr>
    </xdr:sp>
    <xdr:clientData/>
  </xdr:twoCellAnchor>
  <xdr:twoCellAnchor>
    <xdr:from>
      <xdr:col>2</xdr:col>
      <xdr:colOff>1038225</xdr:colOff>
      <xdr:row>18</xdr:row>
      <xdr:rowOff>161925</xdr:rowOff>
    </xdr:from>
    <xdr:to>
      <xdr:col>3</xdr:col>
      <xdr:colOff>266700</xdr:colOff>
      <xdr:row>18</xdr:row>
      <xdr:rowOff>161925</xdr:rowOff>
    </xdr:to>
    <xdr:sp macro="" textlink="">
      <xdr:nvSpPr>
        <xdr:cNvPr id="113850" name="Line 29"/>
        <xdr:cNvSpPr>
          <a:spLocks noChangeShapeType="1"/>
        </xdr:cNvSpPr>
      </xdr:nvSpPr>
      <xdr:spPr bwMode="auto">
        <a:xfrm flipH="1">
          <a:off x="1666875" y="4200525"/>
          <a:ext cx="276225" cy="0"/>
        </a:xfrm>
        <a:prstGeom prst="line">
          <a:avLst/>
        </a:prstGeom>
        <a:noFill/>
        <a:ln w="9525">
          <a:solidFill>
            <a:srgbClr val="000000"/>
          </a:solidFill>
          <a:round/>
          <a:headEnd/>
          <a:tailEnd type="triangle" w="med" len="med"/>
        </a:ln>
      </xdr:spPr>
    </xdr:sp>
    <xdr:clientData/>
  </xdr:twoCellAnchor>
  <xdr:twoCellAnchor>
    <xdr:from>
      <xdr:col>5</xdr:col>
      <xdr:colOff>6351</xdr:colOff>
      <xdr:row>18</xdr:row>
      <xdr:rowOff>171450</xdr:rowOff>
    </xdr:from>
    <xdr:to>
      <xdr:col>6</xdr:col>
      <xdr:colOff>0</xdr:colOff>
      <xdr:row>20</xdr:row>
      <xdr:rowOff>169333</xdr:rowOff>
    </xdr:to>
    <xdr:sp macro="" textlink="">
      <xdr:nvSpPr>
        <xdr:cNvPr id="113852" name="Line 31"/>
        <xdr:cNvSpPr>
          <a:spLocks noChangeShapeType="1"/>
        </xdr:cNvSpPr>
      </xdr:nvSpPr>
      <xdr:spPr bwMode="auto">
        <a:xfrm>
          <a:off x="3075518" y="4087283"/>
          <a:ext cx="279399" cy="495300"/>
        </a:xfrm>
        <a:prstGeom prst="line">
          <a:avLst/>
        </a:prstGeom>
        <a:noFill/>
        <a:ln w="19050">
          <a:solidFill>
            <a:srgbClr val="FF0000"/>
          </a:solidFill>
          <a:round/>
          <a:headEnd/>
          <a:tailEnd type="triangle" w="med" len="med"/>
        </a:ln>
      </xdr:spPr>
    </xdr:sp>
    <xdr:clientData/>
  </xdr:twoCellAnchor>
  <xdr:twoCellAnchor>
    <xdr:from>
      <xdr:col>7</xdr:col>
      <xdr:colOff>0</xdr:colOff>
      <xdr:row>22</xdr:row>
      <xdr:rowOff>152400</xdr:rowOff>
    </xdr:from>
    <xdr:to>
      <xdr:col>7</xdr:col>
      <xdr:colOff>266700</xdr:colOff>
      <xdr:row>22</xdr:row>
      <xdr:rowOff>152400</xdr:rowOff>
    </xdr:to>
    <xdr:sp macro="" textlink="">
      <xdr:nvSpPr>
        <xdr:cNvPr id="113853" name="Line 32"/>
        <xdr:cNvSpPr>
          <a:spLocks noChangeShapeType="1"/>
        </xdr:cNvSpPr>
      </xdr:nvSpPr>
      <xdr:spPr bwMode="auto">
        <a:xfrm flipH="1">
          <a:off x="4343400" y="5181600"/>
          <a:ext cx="266700" cy="0"/>
        </a:xfrm>
        <a:prstGeom prst="line">
          <a:avLst/>
        </a:prstGeom>
        <a:noFill/>
        <a:ln w="9525">
          <a:solidFill>
            <a:srgbClr val="000000"/>
          </a:solidFill>
          <a:round/>
          <a:headEnd/>
          <a:tailEnd type="triangle" w="med" len="med"/>
        </a:ln>
      </xdr:spPr>
    </xdr:sp>
    <xdr:clientData/>
  </xdr:twoCellAnchor>
  <xdr:twoCellAnchor>
    <xdr:from>
      <xdr:col>6</xdr:col>
      <xdr:colOff>523875</xdr:colOff>
      <xdr:row>15</xdr:row>
      <xdr:rowOff>9525</xdr:rowOff>
    </xdr:from>
    <xdr:to>
      <xdr:col>6</xdr:col>
      <xdr:colOff>523875</xdr:colOff>
      <xdr:row>16</xdr:row>
      <xdr:rowOff>0</xdr:rowOff>
    </xdr:to>
    <xdr:sp macro="" textlink="">
      <xdr:nvSpPr>
        <xdr:cNvPr id="113854" name="Line 33"/>
        <xdr:cNvSpPr>
          <a:spLocks noChangeShapeType="1"/>
        </xdr:cNvSpPr>
      </xdr:nvSpPr>
      <xdr:spPr bwMode="auto">
        <a:xfrm>
          <a:off x="3878792" y="3248025"/>
          <a:ext cx="0" cy="159808"/>
        </a:xfrm>
        <a:prstGeom prst="line">
          <a:avLst/>
        </a:prstGeom>
        <a:noFill/>
        <a:ln w="19050">
          <a:solidFill>
            <a:srgbClr val="FF0000"/>
          </a:solidFill>
          <a:round/>
          <a:headEnd/>
          <a:tailEnd type="triangle" w="med" len="med"/>
        </a:ln>
      </xdr:spPr>
    </xdr:sp>
    <xdr:clientData/>
  </xdr:twoCellAnchor>
  <xdr:twoCellAnchor>
    <xdr:from>
      <xdr:col>7</xdr:col>
      <xdr:colOff>0</xdr:colOff>
      <xdr:row>14</xdr:row>
      <xdr:rowOff>171450</xdr:rowOff>
    </xdr:from>
    <xdr:to>
      <xdr:col>8</xdr:col>
      <xdr:colOff>0</xdr:colOff>
      <xdr:row>14</xdr:row>
      <xdr:rowOff>171450</xdr:rowOff>
    </xdr:to>
    <xdr:sp macro="" textlink="">
      <xdr:nvSpPr>
        <xdr:cNvPr id="113855" name="Line 34"/>
        <xdr:cNvSpPr>
          <a:spLocks noChangeShapeType="1"/>
        </xdr:cNvSpPr>
      </xdr:nvSpPr>
      <xdr:spPr bwMode="auto">
        <a:xfrm flipH="1">
          <a:off x="4343400" y="3200400"/>
          <a:ext cx="285750" cy="0"/>
        </a:xfrm>
        <a:prstGeom prst="line">
          <a:avLst/>
        </a:prstGeom>
        <a:noFill/>
        <a:ln w="19050">
          <a:solidFill>
            <a:srgbClr val="FF0000"/>
          </a:solidFill>
          <a:round/>
          <a:headEnd/>
          <a:tailEnd type="triangle" w="med" len="med"/>
        </a:ln>
      </xdr:spPr>
    </xdr:sp>
    <xdr:clientData/>
  </xdr:twoCellAnchor>
  <xdr:twoCellAnchor>
    <xdr:from>
      <xdr:col>4</xdr:col>
      <xdr:colOff>1046692</xdr:colOff>
      <xdr:row>14</xdr:row>
      <xdr:rowOff>161925</xdr:rowOff>
    </xdr:from>
    <xdr:to>
      <xdr:col>5</xdr:col>
      <xdr:colOff>265642</xdr:colOff>
      <xdr:row>14</xdr:row>
      <xdr:rowOff>161925</xdr:rowOff>
    </xdr:to>
    <xdr:sp macro="" textlink="">
      <xdr:nvSpPr>
        <xdr:cNvPr id="113856" name="Line 35"/>
        <xdr:cNvSpPr>
          <a:spLocks noChangeShapeType="1"/>
        </xdr:cNvSpPr>
      </xdr:nvSpPr>
      <xdr:spPr bwMode="auto">
        <a:xfrm flipH="1">
          <a:off x="3068109" y="3072342"/>
          <a:ext cx="266700" cy="0"/>
        </a:xfrm>
        <a:prstGeom prst="line">
          <a:avLst/>
        </a:prstGeom>
        <a:noFill/>
        <a:ln w="9525">
          <a:solidFill>
            <a:srgbClr val="000000"/>
          </a:solidFill>
          <a:round/>
          <a:headEnd/>
          <a:tailEnd type="triangle" w="med" len="med"/>
        </a:ln>
      </xdr:spPr>
    </xdr:sp>
    <xdr:clientData/>
  </xdr:twoCellAnchor>
  <xdr:twoCellAnchor>
    <xdr:from>
      <xdr:col>4</xdr:col>
      <xdr:colOff>455083</xdr:colOff>
      <xdr:row>6</xdr:row>
      <xdr:rowOff>317501</xdr:rowOff>
    </xdr:from>
    <xdr:to>
      <xdr:col>4</xdr:col>
      <xdr:colOff>455083</xdr:colOff>
      <xdr:row>7</xdr:row>
      <xdr:rowOff>151343</xdr:rowOff>
    </xdr:to>
    <xdr:sp macro="" textlink="">
      <xdr:nvSpPr>
        <xdr:cNvPr id="37" name="Line 7"/>
        <xdr:cNvSpPr>
          <a:spLocks noChangeShapeType="1"/>
        </xdr:cNvSpPr>
      </xdr:nvSpPr>
      <xdr:spPr bwMode="auto">
        <a:xfrm>
          <a:off x="2476500" y="1238251"/>
          <a:ext cx="0" cy="161925"/>
        </a:xfrm>
        <a:prstGeom prst="line">
          <a:avLst/>
        </a:prstGeom>
        <a:noFill/>
        <a:ln w="9525">
          <a:solidFill>
            <a:srgbClr val="000000"/>
          </a:solidFill>
          <a:round/>
          <a:headEnd/>
          <a:tailEnd type="triangle" w="med" len="med"/>
        </a:ln>
      </xdr:spPr>
    </xdr:sp>
    <xdr:clientData/>
  </xdr:twoCellAnchor>
  <xdr:twoCellAnchor>
    <xdr:from>
      <xdr:col>4</xdr:col>
      <xdr:colOff>1046692</xdr:colOff>
      <xdr:row>16</xdr:row>
      <xdr:rowOff>161925</xdr:rowOff>
    </xdr:from>
    <xdr:to>
      <xdr:col>5</xdr:col>
      <xdr:colOff>265642</xdr:colOff>
      <xdr:row>16</xdr:row>
      <xdr:rowOff>161925</xdr:rowOff>
    </xdr:to>
    <xdr:sp macro="" textlink="">
      <xdr:nvSpPr>
        <xdr:cNvPr id="38" name="Line 35"/>
        <xdr:cNvSpPr>
          <a:spLocks noChangeShapeType="1"/>
        </xdr:cNvSpPr>
      </xdr:nvSpPr>
      <xdr:spPr bwMode="auto">
        <a:xfrm flipH="1">
          <a:off x="3068109" y="3569758"/>
          <a:ext cx="266700" cy="0"/>
        </a:xfrm>
        <a:prstGeom prst="line">
          <a:avLst/>
        </a:prstGeom>
        <a:noFill/>
        <a:ln w="9525">
          <a:solidFill>
            <a:srgbClr val="000000"/>
          </a:solidFill>
          <a:round/>
          <a:headEnd/>
          <a:tailEnd type="triangle" w="med" len="med"/>
        </a:ln>
      </xdr:spPr>
    </xdr:sp>
    <xdr:clientData/>
  </xdr:twoCellAnchor>
  <xdr:twoCellAnchor>
    <xdr:from>
      <xdr:col>6</xdr:col>
      <xdr:colOff>543983</xdr:colOff>
      <xdr:row>19</xdr:row>
      <xdr:rowOff>8467</xdr:rowOff>
    </xdr:from>
    <xdr:to>
      <xdr:col>6</xdr:col>
      <xdr:colOff>543983</xdr:colOff>
      <xdr:row>19</xdr:row>
      <xdr:rowOff>158750</xdr:rowOff>
    </xdr:to>
    <xdr:sp macro="" textlink="">
      <xdr:nvSpPr>
        <xdr:cNvPr id="39" name="Line 25"/>
        <xdr:cNvSpPr>
          <a:spLocks noChangeShapeType="1"/>
        </xdr:cNvSpPr>
      </xdr:nvSpPr>
      <xdr:spPr bwMode="auto">
        <a:xfrm>
          <a:off x="3898900" y="4252384"/>
          <a:ext cx="0" cy="150283"/>
        </a:xfrm>
        <a:prstGeom prst="line">
          <a:avLst/>
        </a:prstGeom>
        <a:noFill/>
        <a:ln w="19050">
          <a:solidFill>
            <a:srgbClr val="FF0000"/>
          </a:solidFill>
          <a:round/>
          <a:headEnd/>
          <a:tailEnd type="triangle" w="med" len="med"/>
        </a:ln>
      </xdr:spPr>
    </xdr:sp>
    <xdr:clientData/>
  </xdr:twoCellAnchor>
  <xdr:twoCellAnchor>
    <xdr:from>
      <xdr:col>6</xdr:col>
      <xdr:colOff>1027642</xdr:colOff>
      <xdr:row>8</xdr:row>
      <xdr:rowOff>161924</xdr:rowOff>
    </xdr:from>
    <xdr:to>
      <xdr:col>7</xdr:col>
      <xdr:colOff>275167</xdr:colOff>
      <xdr:row>8</xdr:row>
      <xdr:rowOff>161924</xdr:rowOff>
    </xdr:to>
    <xdr:sp macro="" textlink="">
      <xdr:nvSpPr>
        <xdr:cNvPr id="40" name="Line 9"/>
        <xdr:cNvSpPr>
          <a:spLocks noChangeShapeType="1"/>
        </xdr:cNvSpPr>
      </xdr:nvSpPr>
      <xdr:spPr bwMode="auto">
        <a:xfrm flipH="1" flipV="1">
          <a:off x="4382559" y="1580091"/>
          <a:ext cx="295275" cy="0"/>
        </a:xfrm>
        <a:prstGeom prst="line">
          <a:avLst/>
        </a:prstGeom>
        <a:noFill/>
        <a:ln w="9525">
          <a:solidFill>
            <a:srgbClr val="000000"/>
          </a:solidFill>
          <a:round/>
          <a:headEnd/>
          <a:tailEnd type="triangle" w="med" len="med"/>
        </a:ln>
      </xdr:spPr>
    </xdr:sp>
    <xdr:clientData/>
  </xdr:twoCellAnchor>
</xdr:wsDr>
</file>

<file path=xl/drawings/drawing38.xml><?xml version="1.0" encoding="utf-8"?>
<xdr:wsDr xmlns:xdr="http://schemas.openxmlformats.org/drawingml/2006/spreadsheetDrawing" xmlns:a="http://schemas.openxmlformats.org/drawingml/2006/main">
  <xdr:twoCellAnchor>
    <xdr:from>
      <xdr:col>10</xdr:col>
      <xdr:colOff>523874</xdr:colOff>
      <xdr:row>7</xdr:row>
      <xdr:rowOff>9525</xdr:rowOff>
    </xdr:from>
    <xdr:to>
      <xdr:col>10</xdr:col>
      <xdr:colOff>531339</xdr:colOff>
      <xdr:row>14</xdr:row>
      <xdr:rowOff>10583</xdr:rowOff>
    </xdr:to>
    <xdr:sp macro="" textlink="">
      <xdr:nvSpPr>
        <xdr:cNvPr id="107741" name="Line 1"/>
        <xdr:cNvSpPr>
          <a:spLocks noChangeShapeType="1"/>
        </xdr:cNvSpPr>
      </xdr:nvSpPr>
      <xdr:spPr bwMode="auto">
        <a:xfrm>
          <a:off x="6545791" y="1258358"/>
          <a:ext cx="7465" cy="1662642"/>
        </a:xfrm>
        <a:prstGeom prst="line">
          <a:avLst/>
        </a:prstGeom>
        <a:noFill/>
        <a:ln w="19050">
          <a:solidFill>
            <a:srgbClr val="FF0000"/>
          </a:solidFill>
          <a:round/>
          <a:headEnd/>
          <a:tailEnd type="triangle" w="med" len="med"/>
        </a:ln>
      </xdr:spPr>
    </xdr:sp>
    <xdr:clientData/>
  </xdr:twoCellAnchor>
  <xdr:twoCellAnchor>
    <xdr:from>
      <xdr:col>10</xdr:col>
      <xdr:colOff>514349</xdr:colOff>
      <xdr:row>14</xdr:row>
      <xdr:rowOff>314325</xdr:rowOff>
    </xdr:from>
    <xdr:to>
      <xdr:col>10</xdr:col>
      <xdr:colOff>526020</xdr:colOff>
      <xdr:row>18</xdr:row>
      <xdr:rowOff>10585</xdr:rowOff>
    </xdr:to>
    <xdr:sp macro="" textlink="">
      <xdr:nvSpPr>
        <xdr:cNvPr id="107742" name="Line 2"/>
        <xdr:cNvSpPr>
          <a:spLocks noChangeShapeType="1"/>
        </xdr:cNvSpPr>
      </xdr:nvSpPr>
      <xdr:spPr bwMode="auto">
        <a:xfrm>
          <a:off x="6536266" y="3224742"/>
          <a:ext cx="11671" cy="701676"/>
        </a:xfrm>
        <a:prstGeom prst="line">
          <a:avLst/>
        </a:prstGeom>
        <a:noFill/>
        <a:ln w="19050">
          <a:solidFill>
            <a:srgbClr val="FF0000"/>
          </a:solidFill>
          <a:round/>
          <a:headEnd/>
          <a:tailEnd type="triangle" w="med" len="med"/>
        </a:ln>
      </xdr:spPr>
    </xdr:sp>
    <xdr:clientData/>
  </xdr:twoCellAnchor>
  <xdr:twoCellAnchor>
    <xdr:from>
      <xdr:col>10</xdr:col>
      <xdr:colOff>1037167</xdr:colOff>
      <xdr:row>14</xdr:row>
      <xdr:rowOff>142876</xdr:rowOff>
    </xdr:from>
    <xdr:to>
      <xdr:col>12</xdr:col>
      <xdr:colOff>0</xdr:colOff>
      <xdr:row>14</xdr:row>
      <xdr:rowOff>142876</xdr:rowOff>
    </xdr:to>
    <xdr:sp macro="" textlink="">
      <xdr:nvSpPr>
        <xdr:cNvPr id="107743" name="Line 3"/>
        <xdr:cNvSpPr>
          <a:spLocks noChangeShapeType="1"/>
        </xdr:cNvSpPr>
      </xdr:nvSpPr>
      <xdr:spPr bwMode="auto">
        <a:xfrm>
          <a:off x="7059084" y="3053293"/>
          <a:ext cx="296333" cy="0"/>
        </a:xfrm>
        <a:prstGeom prst="line">
          <a:avLst/>
        </a:prstGeom>
        <a:noFill/>
        <a:ln w="9525">
          <a:solidFill>
            <a:srgbClr val="000000"/>
          </a:solidFill>
          <a:round/>
          <a:headEnd/>
          <a:tailEnd type="triangle" w="med" len="med"/>
        </a:ln>
      </xdr:spPr>
    </xdr:sp>
    <xdr:clientData/>
  </xdr:twoCellAnchor>
  <xdr:twoCellAnchor>
    <xdr:from>
      <xdr:col>11</xdr:col>
      <xdr:colOff>0</xdr:colOff>
      <xdr:row>18</xdr:row>
      <xdr:rowOff>152400</xdr:rowOff>
    </xdr:from>
    <xdr:to>
      <xdr:col>12</xdr:col>
      <xdr:colOff>9525</xdr:colOff>
      <xdr:row>18</xdr:row>
      <xdr:rowOff>152400</xdr:rowOff>
    </xdr:to>
    <xdr:sp macro="" textlink="">
      <xdr:nvSpPr>
        <xdr:cNvPr id="107744" name="Line 4"/>
        <xdr:cNvSpPr>
          <a:spLocks noChangeShapeType="1"/>
        </xdr:cNvSpPr>
      </xdr:nvSpPr>
      <xdr:spPr bwMode="auto">
        <a:xfrm>
          <a:off x="7010400" y="4191000"/>
          <a:ext cx="295275" cy="0"/>
        </a:xfrm>
        <a:prstGeom prst="line">
          <a:avLst/>
        </a:prstGeom>
        <a:noFill/>
        <a:ln w="9525">
          <a:solidFill>
            <a:srgbClr val="000000"/>
          </a:solidFill>
          <a:round/>
          <a:headEnd/>
          <a:tailEnd type="triangle" w="med" len="med"/>
        </a:ln>
      </xdr:spPr>
    </xdr:sp>
    <xdr:clientData/>
  </xdr:twoCellAnchor>
  <xdr:twoCellAnchor>
    <xdr:from>
      <xdr:col>4</xdr:col>
      <xdr:colOff>476250</xdr:colOff>
      <xdr:row>5</xdr:row>
      <xdr:rowOff>0</xdr:rowOff>
    </xdr:from>
    <xdr:to>
      <xdr:col>4</xdr:col>
      <xdr:colOff>476250</xdr:colOff>
      <xdr:row>5</xdr:row>
      <xdr:rowOff>161925</xdr:rowOff>
    </xdr:to>
    <xdr:sp macro="" textlink="">
      <xdr:nvSpPr>
        <xdr:cNvPr id="107746" name="Line 6"/>
        <xdr:cNvSpPr>
          <a:spLocks noChangeShapeType="1"/>
        </xdr:cNvSpPr>
      </xdr:nvSpPr>
      <xdr:spPr bwMode="auto">
        <a:xfrm>
          <a:off x="2497667" y="751417"/>
          <a:ext cx="0" cy="161925"/>
        </a:xfrm>
        <a:prstGeom prst="line">
          <a:avLst/>
        </a:prstGeom>
        <a:noFill/>
        <a:ln w="9525">
          <a:solidFill>
            <a:srgbClr val="000000"/>
          </a:solidFill>
          <a:round/>
          <a:headEnd/>
          <a:tailEnd type="triangle" w="med" len="med"/>
        </a:ln>
      </xdr:spPr>
    </xdr:sp>
    <xdr:clientData/>
  </xdr:twoCellAnchor>
  <xdr:twoCellAnchor>
    <xdr:from>
      <xdr:col>2</xdr:col>
      <xdr:colOff>1038225</xdr:colOff>
      <xdr:row>6</xdr:row>
      <xdr:rowOff>171449</xdr:rowOff>
    </xdr:from>
    <xdr:to>
      <xdr:col>4</xdr:col>
      <xdr:colOff>0</xdr:colOff>
      <xdr:row>8</xdr:row>
      <xdr:rowOff>116415</xdr:rowOff>
    </xdr:to>
    <xdr:sp macro="" textlink="">
      <xdr:nvSpPr>
        <xdr:cNvPr id="107747" name="Line 7"/>
        <xdr:cNvSpPr>
          <a:spLocks noChangeShapeType="1"/>
        </xdr:cNvSpPr>
      </xdr:nvSpPr>
      <xdr:spPr bwMode="auto">
        <a:xfrm>
          <a:off x="1726142" y="1092199"/>
          <a:ext cx="295275" cy="442383"/>
        </a:xfrm>
        <a:prstGeom prst="line">
          <a:avLst/>
        </a:prstGeom>
        <a:noFill/>
        <a:ln w="9525">
          <a:solidFill>
            <a:srgbClr val="000000"/>
          </a:solidFill>
          <a:round/>
          <a:headEnd/>
          <a:tailEnd type="triangle" w="med" len="med"/>
        </a:ln>
      </xdr:spPr>
    </xdr:sp>
    <xdr:clientData/>
  </xdr:twoCellAnchor>
  <xdr:twoCellAnchor>
    <xdr:from>
      <xdr:col>6</xdr:col>
      <xdr:colOff>1036108</xdr:colOff>
      <xdr:row>6</xdr:row>
      <xdr:rowOff>190500</xdr:rowOff>
    </xdr:from>
    <xdr:to>
      <xdr:col>10</xdr:col>
      <xdr:colOff>0</xdr:colOff>
      <xdr:row>6</xdr:row>
      <xdr:rowOff>190500</xdr:rowOff>
    </xdr:to>
    <xdr:sp macro="" textlink="">
      <xdr:nvSpPr>
        <xdr:cNvPr id="107748" name="Line 8"/>
        <xdr:cNvSpPr>
          <a:spLocks noChangeShapeType="1"/>
        </xdr:cNvSpPr>
      </xdr:nvSpPr>
      <xdr:spPr bwMode="auto">
        <a:xfrm flipH="1">
          <a:off x="4391025" y="1111250"/>
          <a:ext cx="1630892" cy="0"/>
        </a:xfrm>
        <a:prstGeom prst="line">
          <a:avLst/>
        </a:prstGeom>
        <a:noFill/>
        <a:ln w="9525">
          <a:solidFill>
            <a:srgbClr val="000000"/>
          </a:solidFill>
          <a:round/>
          <a:headEnd/>
          <a:tailEnd type="triangle" w="med" len="med"/>
        </a:ln>
      </xdr:spPr>
    </xdr:sp>
    <xdr:clientData/>
  </xdr:twoCellAnchor>
  <xdr:twoCellAnchor>
    <xdr:from>
      <xdr:col>3</xdr:col>
      <xdr:colOff>0</xdr:colOff>
      <xdr:row>8</xdr:row>
      <xdr:rowOff>171447</xdr:rowOff>
    </xdr:from>
    <xdr:to>
      <xdr:col>4</xdr:col>
      <xdr:colOff>0</xdr:colOff>
      <xdr:row>8</xdr:row>
      <xdr:rowOff>171447</xdr:rowOff>
    </xdr:to>
    <xdr:sp macro="" textlink="">
      <xdr:nvSpPr>
        <xdr:cNvPr id="107749" name="Line 9"/>
        <xdr:cNvSpPr>
          <a:spLocks noChangeShapeType="1"/>
        </xdr:cNvSpPr>
      </xdr:nvSpPr>
      <xdr:spPr bwMode="auto">
        <a:xfrm flipV="1">
          <a:off x="1735667" y="1589614"/>
          <a:ext cx="285750" cy="0"/>
        </a:xfrm>
        <a:prstGeom prst="line">
          <a:avLst/>
        </a:prstGeom>
        <a:noFill/>
        <a:ln w="9525">
          <a:solidFill>
            <a:srgbClr val="000000"/>
          </a:solidFill>
          <a:round/>
          <a:headEnd/>
          <a:tailEnd type="triangle" w="med" len="med"/>
        </a:ln>
      </xdr:spPr>
    </xdr:sp>
    <xdr:clientData/>
  </xdr:twoCellAnchor>
  <xdr:twoCellAnchor>
    <xdr:from>
      <xdr:col>2</xdr:col>
      <xdr:colOff>504825</xdr:colOff>
      <xdr:row>5</xdr:row>
      <xdr:rowOff>0</xdr:rowOff>
    </xdr:from>
    <xdr:to>
      <xdr:col>2</xdr:col>
      <xdr:colOff>504825</xdr:colOff>
      <xdr:row>5</xdr:row>
      <xdr:rowOff>161925</xdr:rowOff>
    </xdr:to>
    <xdr:sp macro="" textlink="">
      <xdr:nvSpPr>
        <xdr:cNvPr id="107750" name="Line 10"/>
        <xdr:cNvSpPr>
          <a:spLocks noChangeShapeType="1"/>
        </xdr:cNvSpPr>
      </xdr:nvSpPr>
      <xdr:spPr bwMode="auto">
        <a:xfrm flipV="1">
          <a:off x="1133475" y="876300"/>
          <a:ext cx="0" cy="161925"/>
        </a:xfrm>
        <a:prstGeom prst="line">
          <a:avLst/>
        </a:prstGeom>
        <a:noFill/>
        <a:ln w="9525">
          <a:solidFill>
            <a:srgbClr val="000000"/>
          </a:solidFill>
          <a:round/>
          <a:headEnd/>
          <a:tailEnd type="triangle" w="med" len="med"/>
        </a:ln>
      </xdr:spPr>
    </xdr:sp>
    <xdr:clientData/>
  </xdr:twoCellAnchor>
  <xdr:twoCellAnchor>
    <xdr:from>
      <xdr:col>8</xdr:col>
      <xdr:colOff>1039283</xdr:colOff>
      <xdr:row>18</xdr:row>
      <xdr:rowOff>180975</xdr:rowOff>
    </xdr:from>
    <xdr:to>
      <xdr:col>9</xdr:col>
      <xdr:colOff>277283</xdr:colOff>
      <xdr:row>18</xdr:row>
      <xdr:rowOff>180975</xdr:rowOff>
    </xdr:to>
    <xdr:sp macro="" textlink="">
      <xdr:nvSpPr>
        <xdr:cNvPr id="107751" name="Line 11"/>
        <xdr:cNvSpPr>
          <a:spLocks noChangeShapeType="1"/>
        </xdr:cNvSpPr>
      </xdr:nvSpPr>
      <xdr:spPr bwMode="auto">
        <a:xfrm flipH="1">
          <a:off x="5727700" y="4096808"/>
          <a:ext cx="285750" cy="0"/>
        </a:xfrm>
        <a:prstGeom prst="line">
          <a:avLst/>
        </a:prstGeom>
        <a:noFill/>
        <a:ln w="19050">
          <a:solidFill>
            <a:srgbClr val="FF0000"/>
          </a:solidFill>
          <a:round/>
          <a:headEnd/>
          <a:tailEnd type="triangle" w="med" len="med"/>
        </a:ln>
      </xdr:spPr>
    </xdr:sp>
    <xdr:clientData/>
  </xdr:twoCellAnchor>
  <xdr:twoCellAnchor>
    <xdr:from>
      <xdr:col>8</xdr:col>
      <xdr:colOff>1039283</xdr:colOff>
      <xdr:row>14</xdr:row>
      <xdr:rowOff>190500</xdr:rowOff>
    </xdr:from>
    <xdr:to>
      <xdr:col>9</xdr:col>
      <xdr:colOff>277283</xdr:colOff>
      <xdr:row>14</xdr:row>
      <xdr:rowOff>190500</xdr:rowOff>
    </xdr:to>
    <xdr:sp macro="" textlink="">
      <xdr:nvSpPr>
        <xdr:cNvPr id="107752" name="Line 12"/>
        <xdr:cNvSpPr>
          <a:spLocks noChangeShapeType="1"/>
        </xdr:cNvSpPr>
      </xdr:nvSpPr>
      <xdr:spPr bwMode="auto">
        <a:xfrm flipH="1">
          <a:off x="5727700" y="3100917"/>
          <a:ext cx="285750" cy="0"/>
        </a:xfrm>
        <a:prstGeom prst="line">
          <a:avLst/>
        </a:prstGeom>
        <a:noFill/>
        <a:ln w="19050">
          <a:solidFill>
            <a:srgbClr val="FF0000"/>
          </a:solidFill>
          <a:round/>
          <a:headEnd/>
          <a:tailEnd type="triangle" w="med" len="med"/>
        </a:ln>
      </xdr:spPr>
    </xdr:sp>
    <xdr:clientData/>
  </xdr:twoCellAnchor>
  <xdr:twoCellAnchor>
    <xdr:from>
      <xdr:col>10</xdr:col>
      <xdr:colOff>1046692</xdr:colOff>
      <xdr:row>6</xdr:row>
      <xdr:rowOff>161925</xdr:rowOff>
    </xdr:from>
    <xdr:to>
      <xdr:col>11</xdr:col>
      <xdr:colOff>284692</xdr:colOff>
      <xdr:row>6</xdr:row>
      <xdr:rowOff>161925</xdr:rowOff>
    </xdr:to>
    <xdr:sp macro="" textlink="">
      <xdr:nvSpPr>
        <xdr:cNvPr id="107753" name="Line 13"/>
        <xdr:cNvSpPr>
          <a:spLocks noChangeShapeType="1"/>
        </xdr:cNvSpPr>
      </xdr:nvSpPr>
      <xdr:spPr bwMode="auto">
        <a:xfrm>
          <a:off x="7068609" y="1082675"/>
          <a:ext cx="285750" cy="0"/>
        </a:xfrm>
        <a:prstGeom prst="line">
          <a:avLst/>
        </a:prstGeom>
        <a:noFill/>
        <a:ln w="9525">
          <a:solidFill>
            <a:srgbClr val="000000"/>
          </a:solidFill>
          <a:round/>
          <a:headEnd/>
          <a:tailEnd type="triangle" w="med" len="med"/>
        </a:ln>
      </xdr:spPr>
    </xdr:sp>
    <xdr:clientData/>
  </xdr:twoCellAnchor>
  <xdr:twoCellAnchor>
    <xdr:from>
      <xdr:col>11</xdr:col>
      <xdr:colOff>0</xdr:colOff>
      <xdr:row>12</xdr:row>
      <xdr:rowOff>158750</xdr:rowOff>
    </xdr:from>
    <xdr:to>
      <xdr:col>12</xdr:col>
      <xdr:colOff>0</xdr:colOff>
      <xdr:row>14</xdr:row>
      <xdr:rowOff>142875</xdr:rowOff>
    </xdr:to>
    <xdr:sp macro="" textlink="">
      <xdr:nvSpPr>
        <xdr:cNvPr id="107754" name="Line 14"/>
        <xdr:cNvSpPr>
          <a:spLocks noChangeShapeType="1"/>
        </xdr:cNvSpPr>
      </xdr:nvSpPr>
      <xdr:spPr bwMode="auto">
        <a:xfrm flipV="1">
          <a:off x="7069667" y="2571750"/>
          <a:ext cx="285750" cy="481542"/>
        </a:xfrm>
        <a:prstGeom prst="line">
          <a:avLst/>
        </a:prstGeom>
        <a:noFill/>
        <a:ln w="9525">
          <a:solidFill>
            <a:srgbClr val="000000"/>
          </a:solidFill>
          <a:round/>
          <a:headEnd/>
          <a:tailEnd type="triangle" w="med" len="med"/>
        </a:ln>
      </xdr:spPr>
    </xdr:sp>
    <xdr:clientData/>
  </xdr:twoCellAnchor>
  <xdr:twoCellAnchor>
    <xdr:from>
      <xdr:col>5</xdr:col>
      <xdr:colOff>0</xdr:colOff>
      <xdr:row>18</xdr:row>
      <xdr:rowOff>180975</xdr:rowOff>
    </xdr:from>
    <xdr:to>
      <xdr:col>5</xdr:col>
      <xdr:colOff>266700</xdr:colOff>
      <xdr:row>20</xdr:row>
      <xdr:rowOff>190500</xdr:rowOff>
    </xdr:to>
    <xdr:sp macro="" textlink="">
      <xdr:nvSpPr>
        <xdr:cNvPr id="107755" name="Line 15"/>
        <xdr:cNvSpPr>
          <a:spLocks noChangeShapeType="1"/>
        </xdr:cNvSpPr>
      </xdr:nvSpPr>
      <xdr:spPr bwMode="auto">
        <a:xfrm flipH="1">
          <a:off x="3069167" y="4096808"/>
          <a:ext cx="266700" cy="506942"/>
        </a:xfrm>
        <a:prstGeom prst="line">
          <a:avLst/>
        </a:prstGeom>
        <a:noFill/>
        <a:ln w="9525">
          <a:solidFill>
            <a:srgbClr val="000000"/>
          </a:solidFill>
          <a:round/>
          <a:headEnd/>
          <a:tailEnd type="triangle" w="med" len="med"/>
        </a:ln>
      </xdr:spPr>
    </xdr:sp>
    <xdr:clientData/>
  </xdr:twoCellAnchor>
  <xdr:twoCellAnchor>
    <xdr:from>
      <xdr:col>6</xdr:col>
      <xdr:colOff>1043518</xdr:colOff>
      <xdr:row>5</xdr:row>
      <xdr:rowOff>0</xdr:rowOff>
    </xdr:from>
    <xdr:to>
      <xdr:col>8</xdr:col>
      <xdr:colOff>455084</xdr:colOff>
      <xdr:row>6</xdr:row>
      <xdr:rowOff>180975</xdr:rowOff>
    </xdr:to>
    <xdr:sp macro="" textlink="">
      <xdr:nvSpPr>
        <xdr:cNvPr id="107756" name="Line 16"/>
        <xdr:cNvSpPr>
          <a:spLocks noChangeShapeType="1"/>
        </xdr:cNvSpPr>
      </xdr:nvSpPr>
      <xdr:spPr bwMode="auto">
        <a:xfrm flipV="1">
          <a:off x="4398435" y="751417"/>
          <a:ext cx="745066" cy="350308"/>
        </a:xfrm>
        <a:prstGeom prst="line">
          <a:avLst/>
        </a:prstGeom>
        <a:noFill/>
        <a:ln w="9525">
          <a:solidFill>
            <a:srgbClr val="000000"/>
          </a:solidFill>
          <a:round/>
          <a:headEnd/>
          <a:tailEnd type="triangle" w="med" len="med"/>
        </a:ln>
      </xdr:spPr>
    </xdr:sp>
    <xdr:clientData/>
  </xdr:twoCellAnchor>
  <xdr:twoCellAnchor>
    <xdr:from>
      <xdr:col>6</xdr:col>
      <xdr:colOff>476250</xdr:colOff>
      <xdr:row>7</xdr:row>
      <xdr:rowOff>0</xdr:rowOff>
    </xdr:from>
    <xdr:to>
      <xdr:col>6</xdr:col>
      <xdr:colOff>476250</xdr:colOff>
      <xdr:row>7</xdr:row>
      <xdr:rowOff>162983</xdr:rowOff>
    </xdr:to>
    <xdr:sp macro="" textlink="">
      <xdr:nvSpPr>
        <xdr:cNvPr id="107757" name="Line 17"/>
        <xdr:cNvSpPr>
          <a:spLocks noChangeShapeType="1"/>
        </xdr:cNvSpPr>
      </xdr:nvSpPr>
      <xdr:spPr bwMode="auto">
        <a:xfrm>
          <a:off x="3831167" y="1248833"/>
          <a:ext cx="0" cy="162983"/>
        </a:xfrm>
        <a:prstGeom prst="line">
          <a:avLst/>
        </a:prstGeom>
        <a:noFill/>
        <a:ln w="9525">
          <a:solidFill>
            <a:srgbClr val="000000"/>
          </a:solidFill>
          <a:round/>
          <a:headEnd/>
          <a:tailEnd type="triangle" w="med" len="med"/>
        </a:ln>
      </xdr:spPr>
    </xdr:sp>
    <xdr:clientData/>
  </xdr:twoCellAnchor>
  <xdr:twoCellAnchor>
    <xdr:from>
      <xdr:col>6</xdr:col>
      <xdr:colOff>494242</xdr:colOff>
      <xdr:row>9</xdr:row>
      <xdr:rowOff>1</xdr:rowOff>
    </xdr:from>
    <xdr:to>
      <xdr:col>6</xdr:col>
      <xdr:colOff>494242</xdr:colOff>
      <xdr:row>9</xdr:row>
      <xdr:rowOff>154517</xdr:rowOff>
    </xdr:to>
    <xdr:sp macro="" textlink="">
      <xdr:nvSpPr>
        <xdr:cNvPr id="107758" name="Line 18"/>
        <xdr:cNvSpPr>
          <a:spLocks noChangeShapeType="1"/>
        </xdr:cNvSpPr>
      </xdr:nvSpPr>
      <xdr:spPr bwMode="auto">
        <a:xfrm>
          <a:off x="3849159" y="1746251"/>
          <a:ext cx="0" cy="154516"/>
        </a:xfrm>
        <a:prstGeom prst="line">
          <a:avLst/>
        </a:prstGeom>
        <a:noFill/>
        <a:ln w="9525">
          <a:solidFill>
            <a:srgbClr val="000000"/>
          </a:solidFill>
          <a:round/>
          <a:headEnd/>
          <a:tailEnd type="triangle" w="med" len="med"/>
        </a:ln>
      </xdr:spPr>
    </xdr:sp>
    <xdr:clientData/>
  </xdr:twoCellAnchor>
  <xdr:twoCellAnchor>
    <xdr:from>
      <xdr:col>5</xdr:col>
      <xdr:colOff>0</xdr:colOff>
      <xdr:row>8</xdr:row>
      <xdr:rowOff>123825</xdr:rowOff>
    </xdr:from>
    <xdr:to>
      <xdr:col>6</xdr:col>
      <xdr:colOff>0</xdr:colOff>
      <xdr:row>10</xdr:row>
      <xdr:rowOff>179917</xdr:rowOff>
    </xdr:to>
    <xdr:sp macro="" textlink="">
      <xdr:nvSpPr>
        <xdr:cNvPr id="107759" name="Line 19"/>
        <xdr:cNvSpPr>
          <a:spLocks noChangeShapeType="1"/>
        </xdr:cNvSpPr>
      </xdr:nvSpPr>
      <xdr:spPr bwMode="auto">
        <a:xfrm>
          <a:off x="3069167" y="1541992"/>
          <a:ext cx="285750" cy="553508"/>
        </a:xfrm>
        <a:prstGeom prst="line">
          <a:avLst/>
        </a:prstGeom>
        <a:noFill/>
        <a:ln w="9525">
          <a:solidFill>
            <a:srgbClr val="000000"/>
          </a:solidFill>
          <a:round/>
          <a:headEnd/>
          <a:tailEnd type="triangle" w="med" len="med"/>
        </a:ln>
      </xdr:spPr>
    </xdr:sp>
    <xdr:clientData/>
  </xdr:twoCellAnchor>
  <xdr:twoCellAnchor>
    <xdr:from>
      <xdr:col>3</xdr:col>
      <xdr:colOff>9525</xdr:colOff>
      <xdr:row>10</xdr:row>
      <xdr:rowOff>179917</xdr:rowOff>
    </xdr:from>
    <xdr:to>
      <xdr:col>6</xdr:col>
      <xdr:colOff>433916</xdr:colOff>
      <xdr:row>16</xdr:row>
      <xdr:rowOff>0</xdr:rowOff>
    </xdr:to>
    <xdr:sp macro="" textlink="">
      <xdr:nvSpPr>
        <xdr:cNvPr id="107760" name="Line 20"/>
        <xdr:cNvSpPr>
          <a:spLocks noChangeShapeType="1"/>
        </xdr:cNvSpPr>
      </xdr:nvSpPr>
      <xdr:spPr bwMode="auto">
        <a:xfrm>
          <a:off x="1745192" y="2095500"/>
          <a:ext cx="2043641" cy="1312333"/>
        </a:xfrm>
        <a:prstGeom prst="line">
          <a:avLst/>
        </a:prstGeom>
        <a:noFill/>
        <a:ln w="19050">
          <a:solidFill>
            <a:srgbClr val="FF0000"/>
          </a:solidFill>
          <a:round/>
          <a:headEnd/>
          <a:tailEnd type="triangle" w="med" len="med"/>
        </a:ln>
      </xdr:spPr>
    </xdr:sp>
    <xdr:clientData/>
  </xdr:twoCellAnchor>
  <xdr:twoCellAnchor>
    <xdr:from>
      <xdr:col>3</xdr:col>
      <xdr:colOff>1</xdr:colOff>
      <xdr:row>20</xdr:row>
      <xdr:rowOff>171449</xdr:rowOff>
    </xdr:from>
    <xdr:to>
      <xdr:col>4</xdr:col>
      <xdr:colOff>1</xdr:colOff>
      <xdr:row>20</xdr:row>
      <xdr:rowOff>171449</xdr:rowOff>
    </xdr:to>
    <xdr:sp macro="" textlink="">
      <xdr:nvSpPr>
        <xdr:cNvPr id="107761" name="Line 21"/>
        <xdr:cNvSpPr>
          <a:spLocks noChangeShapeType="1"/>
        </xdr:cNvSpPr>
      </xdr:nvSpPr>
      <xdr:spPr bwMode="auto">
        <a:xfrm flipV="1">
          <a:off x="1735668" y="4584699"/>
          <a:ext cx="285750" cy="0"/>
        </a:xfrm>
        <a:prstGeom prst="line">
          <a:avLst/>
        </a:prstGeom>
        <a:noFill/>
        <a:ln w="9525">
          <a:solidFill>
            <a:srgbClr val="000000"/>
          </a:solidFill>
          <a:round/>
          <a:headEnd/>
          <a:tailEnd type="triangle" w="med" len="med"/>
        </a:ln>
      </xdr:spPr>
    </xdr:sp>
    <xdr:clientData/>
  </xdr:twoCellAnchor>
  <xdr:twoCellAnchor>
    <xdr:from>
      <xdr:col>2</xdr:col>
      <xdr:colOff>523875</xdr:colOff>
      <xdr:row>10</xdr:row>
      <xdr:rowOff>314325</xdr:rowOff>
    </xdr:from>
    <xdr:to>
      <xdr:col>2</xdr:col>
      <xdr:colOff>523875</xdr:colOff>
      <xdr:row>19</xdr:row>
      <xdr:rowOff>142875</xdr:rowOff>
    </xdr:to>
    <xdr:sp macro="" textlink="">
      <xdr:nvSpPr>
        <xdr:cNvPr id="107762" name="Line 22"/>
        <xdr:cNvSpPr>
          <a:spLocks noChangeShapeType="1"/>
        </xdr:cNvSpPr>
      </xdr:nvSpPr>
      <xdr:spPr bwMode="auto">
        <a:xfrm flipH="1">
          <a:off x="1152525" y="2352675"/>
          <a:ext cx="0" cy="2152650"/>
        </a:xfrm>
        <a:prstGeom prst="line">
          <a:avLst/>
        </a:prstGeom>
        <a:noFill/>
        <a:ln w="9525">
          <a:solidFill>
            <a:srgbClr val="000000"/>
          </a:solidFill>
          <a:round/>
          <a:headEnd/>
          <a:tailEnd type="triangle" w="med" len="med"/>
        </a:ln>
      </xdr:spPr>
    </xdr:sp>
    <xdr:clientData/>
  </xdr:twoCellAnchor>
  <xdr:twoCellAnchor>
    <xdr:from>
      <xdr:col>6</xdr:col>
      <xdr:colOff>1038225</xdr:colOff>
      <xdr:row>18</xdr:row>
      <xdr:rowOff>171450</xdr:rowOff>
    </xdr:from>
    <xdr:to>
      <xdr:col>7</xdr:col>
      <xdr:colOff>276225</xdr:colOff>
      <xdr:row>18</xdr:row>
      <xdr:rowOff>171450</xdr:rowOff>
    </xdr:to>
    <xdr:sp macro="" textlink="">
      <xdr:nvSpPr>
        <xdr:cNvPr id="107763" name="Line 23"/>
        <xdr:cNvSpPr>
          <a:spLocks noChangeShapeType="1"/>
        </xdr:cNvSpPr>
      </xdr:nvSpPr>
      <xdr:spPr bwMode="auto">
        <a:xfrm flipH="1">
          <a:off x="4333875" y="4210050"/>
          <a:ext cx="285750" cy="0"/>
        </a:xfrm>
        <a:prstGeom prst="line">
          <a:avLst/>
        </a:prstGeom>
        <a:noFill/>
        <a:ln w="19050">
          <a:solidFill>
            <a:srgbClr val="FF0000"/>
          </a:solidFill>
          <a:round/>
          <a:headEnd/>
          <a:tailEnd type="triangle" w="med" len="med"/>
        </a:ln>
      </xdr:spPr>
    </xdr:sp>
    <xdr:clientData/>
  </xdr:twoCellAnchor>
  <xdr:twoCellAnchor>
    <xdr:from>
      <xdr:col>8</xdr:col>
      <xdr:colOff>512234</xdr:colOff>
      <xdr:row>12</xdr:row>
      <xdr:rowOff>315383</xdr:rowOff>
    </xdr:from>
    <xdr:to>
      <xdr:col>8</xdr:col>
      <xdr:colOff>512234</xdr:colOff>
      <xdr:row>13</xdr:row>
      <xdr:rowOff>162983</xdr:rowOff>
    </xdr:to>
    <xdr:sp macro="" textlink="">
      <xdr:nvSpPr>
        <xdr:cNvPr id="107765" name="Line 25"/>
        <xdr:cNvSpPr>
          <a:spLocks noChangeShapeType="1"/>
        </xdr:cNvSpPr>
      </xdr:nvSpPr>
      <xdr:spPr bwMode="auto">
        <a:xfrm flipV="1">
          <a:off x="5200651" y="2728383"/>
          <a:ext cx="0" cy="175683"/>
        </a:xfrm>
        <a:prstGeom prst="line">
          <a:avLst/>
        </a:prstGeom>
        <a:noFill/>
        <a:ln w="9525">
          <a:solidFill>
            <a:srgbClr val="000000"/>
          </a:solidFill>
          <a:round/>
          <a:headEnd/>
          <a:tailEnd type="triangle" w="med" len="med"/>
        </a:ln>
      </xdr:spPr>
    </xdr:sp>
    <xdr:clientData/>
  </xdr:twoCellAnchor>
  <xdr:twoCellAnchor>
    <xdr:from>
      <xdr:col>8</xdr:col>
      <xdr:colOff>514350</xdr:colOff>
      <xdr:row>19</xdr:row>
      <xdr:rowOff>0</xdr:rowOff>
    </xdr:from>
    <xdr:to>
      <xdr:col>8</xdr:col>
      <xdr:colOff>514350</xdr:colOff>
      <xdr:row>19</xdr:row>
      <xdr:rowOff>142875</xdr:rowOff>
    </xdr:to>
    <xdr:sp macro="" textlink="">
      <xdr:nvSpPr>
        <xdr:cNvPr id="107766" name="Line 26"/>
        <xdr:cNvSpPr>
          <a:spLocks noChangeShapeType="1"/>
        </xdr:cNvSpPr>
      </xdr:nvSpPr>
      <xdr:spPr bwMode="auto">
        <a:xfrm>
          <a:off x="5143500" y="4362450"/>
          <a:ext cx="0" cy="142875"/>
        </a:xfrm>
        <a:prstGeom prst="line">
          <a:avLst/>
        </a:prstGeom>
        <a:noFill/>
        <a:ln w="9525">
          <a:solidFill>
            <a:srgbClr val="000000"/>
          </a:solidFill>
          <a:round/>
          <a:headEnd/>
          <a:tailEnd type="triangle" w="med" len="med"/>
        </a:ln>
      </xdr:spPr>
    </xdr:sp>
    <xdr:clientData/>
  </xdr:twoCellAnchor>
  <xdr:twoCellAnchor>
    <xdr:from>
      <xdr:col>2</xdr:col>
      <xdr:colOff>514350</xdr:colOff>
      <xdr:row>20</xdr:row>
      <xdr:rowOff>324908</xdr:rowOff>
    </xdr:from>
    <xdr:to>
      <xdr:col>2</xdr:col>
      <xdr:colOff>514350</xdr:colOff>
      <xdr:row>21</xdr:row>
      <xdr:rowOff>153458</xdr:rowOff>
    </xdr:to>
    <xdr:sp macro="" textlink="">
      <xdr:nvSpPr>
        <xdr:cNvPr id="107767" name="Line 27"/>
        <xdr:cNvSpPr>
          <a:spLocks noChangeShapeType="1"/>
        </xdr:cNvSpPr>
      </xdr:nvSpPr>
      <xdr:spPr bwMode="auto">
        <a:xfrm>
          <a:off x="1202267" y="4738158"/>
          <a:ext cx="0" cy="156633"/>
        </a:xfrm>
        <a:prstGeom prst="line">
          <a:avLst/>
        </a:prstGeom>
        <a:noFill/>
        <a:ln w="9525">
          <a:solidFill>
            <a:srgbClr val="000000"/>
          </a:solidFill>
          <a:round/>
          <a:headEnd/>
          <a:tailEnd type="triangle" w="med" len="med"/>
        </a:ln>
      </xdr:spPr>
    </xdr:sp>
    <xdr:clientData/>
  </xdr:twoCellAnchor>
  <xdr:twoCellAnchor>
    <xdr:from>
      <xdr:col>3</xdr:col>
      <xdr:colOff>0</xdr:colOff>
      <xdr:row>22</xdr:row>
      <xdr:rowOff>180975</xdr:rowOff>
    </xdr:from>
    <xdr:to>
      <xdr:col>3</xdr:col>
      <xdr:colOff>283634</xdr:colOff>
      <xdr:row>22</xdr:row>
      <xdr:rowOff>180975</xdr:rowOff>
    </xdr:to>
    <xdr:sp macro="" textlink="">
      <xdr:nvSpPr>
        <xdr:cNvPr id="107768" name="Line 28"/>
        <xdr:cNvSpPr>
          <a:spLocks noChangeShapeType="1"/>
        </xdr:cNvSpPr>
      </xdr:nvSpPr>
      <xdr:spPr bwMode="auto">
        <a:xfrm>
          <a:off x="1735667" y="5091642"/>
          <a:ext cx="283634" cy="0"/>
        </a:xfrm>
        <a:prstGeom prst="line">
          <a:avLst/>
        </a:prstGeom>
        <a:noFill/>
        <a:ln w="9525">
          <a:solidFill>
            <a:srgbClr val="000000"/>
          </a:solidFill>
          <a:round/>
          <a:headEnd/>
          <a:tailEnd type="triangle" w="med" len="med"/>
        </a:ln>
      </xdr:spPr>
    </xdr:sp>
    <xdr:clientData/>
  </xdr:twoCellAnchor>
  <xdr:twoCellAnchor>
    <xdr:from>
      <xdr:col>5</xdr:col>
      <xdr:colOff>1058</xdr:colOff>
      <xdr:row>22</xdr:row>
      <xdr:rowOff>171450</xdr:rowOff>
    </xdr:from>
    <xdr:to>
      <xdr:col>5</xdr:col>
      <xdr:colOff>277283</xdr:colOff>
      <xdr:row>22</xdr:row>
      <xdr:rowOff>171450</xdr:rowOff>
    </xdr:to>
    <xdr:sp macro="" textlink="">
      <xdr:nvSpPr>
        <xdr:cNvPr id="107769" name="Line 29"/>
        <xdr:cNvSpPr>
          <a:spLocks noChangeShapeType="1"/>
        </xdr:cNvSpPr>
      </xdr:nvSpPr>
      <xdr:spPr bwMode="auto">
        <a:xfrm>
          <a:off x="3070225" y="5082117"/>
          <a:ext cx="276225" cy="0"/>
        </a:xfrm>
        <a:prstGeom prst="line">
          <a:avLst/>
        </a:prstGeom>
        <a:noFill/>
        <a:ln w="9525">
          <a:solidFill>
            <a:srgbClr val="000000"/>
          </a:solidFill>
          <a:round/>
          <a:headEnd/>
          <a:tailEnd type="triangle" w="med" len="med"/>
        </a:ln>
      </xdr:spPr>
    </xdr:sp>
    <xdr:clientData/>
  </xdr:twoCellAnchor>
  <xdr:twoCellAnchor>
    <xdr:from>
      <xdr:col>3</xdr:col>
      <xdr:colOff>8467</xdr:colOff>
      <xdr:row>8</xdr:row>
      <xdr:rowOff>222250</xdr:rowOff>
    </xdr:from>
    <xdr:to>
      <xdr:col>4</xdr:col>
      <xdr:colOff>0</xdr:colOff>
      <xdr:row>10</xdr:row>
      <xdr:rowOff>152400</xdr:rowOff>
    </xdr:to>
    <xdr:sp macro="" textlink="">
      <xdr:nvSpPr>
        <xdr:cNvPr id="107770" name="Line 30"/>
        <xdr:cNvSpPr>
          <a:spLocks noChangeShapeType="1"/>
        </xdr:cNvSpPr>
      </xdr:nvSpPr>
      <xdr:spPr bwMode="auto">
        <a:xfrm flipV="1">
          <a:off x="1744134" y="1640417"/>
          <a:ext cx="277283" cy="427566"/>
        </a:xfrm>
        <a:prstGeom prst="line">
          <a:avLst/>
        </a:prstGeom>
        <a:noFill/>
        <a:ln w="9525">
          <a:solidFill>
            <a:srgbClr val="000000"/>
          </a:solidFill>
          <a:round/>
          <a:headEnd/>
          <a:tailEnd type="triangle" w="med" len="med"/>
        </a:ln>
      </xdr:spPr>
    </xdr:sp>
    <xdr:clientData/>
  </xdr:twoCellAnchor>
  <xdr:twoCellAnchor>
    <xdr:from>
      <xdr:col>3</xdr:col>
      <xdr:colOff>8466</xdr:colOff>
      <xdr:row>10</xdr:row>
      <xdr:rowOff>161925</xdr:rowOff>
    </xdr:from>
    <xdr:to>
      <xdr:col>3</xdr:col>
      <xdr:colOff>285749</xdr:colOff>
      <xdr:row>10</xdr:row>
      <xdr:rowOff>161925</xdr:rowOff>
    </xdr:to>
    <xdr:sp macro="" textlink="">
      <xdr:nvSpPr>
        <xdr:cNvPr id="107771" name="Line 31"/>
        <xdr:cNvSpPr>
          <a:spLocks noChangeShapeType="1"/>
        </xdr:cNvSpPr>
      </xdr:nvSpPr>
      <xdr:spPr bwMode="auto">
        <a:xfrm>
          <a:off x="1744133" y="2077508"/>
          <a:ext cx="277283" cy="0"/>
        </a:xfrm>
        <a:prstGeom prst="line">
          <a:avLst/>
        </a:prstGeom>
        <a:noFill/>
        <a:ln w="9525">
          <a:solidFill>
            <a:srgbClr val="000000"/>
          </a:solidFill>
          <a:round/>
          <a:headEnd/>
          <a:tailEnd type="triangle" w="med" len="med"/>
        </a:ln>
      </xdr:spPr>
    </xdr:sp>
    <xdr:clientData/>
  </xdr:twoCellAnchor>
  <xdr:twoCellAnchor>
    <xdr:from>
      <xdr:col>6</xdr:col>
      <xdr:colOff>1047749</xdr:colOff>
      <xdr:row>16</xdr:row>
      <xdr:rowOff>158748</xdr:rowOff>
    </xdr:from>
    <xdr:to>
      <xdr:col>7</xdr:col>
      <xdr:colOff>285749</xdr:colOff>
      <xdr:row>18</xdr:row>
      <xdr:rowOff>158749</xdr:rowOff>
    </xdr:to>
    <xdr:sp macro="" textlink="">
      <xdr:nvSpPr>
        <xdr:cNvPr id="107772" name="Line 32"/>
        <xdr:cNvSpPr>
          <a:spLocks noChangeShapeType="1"/>
        </xdr:cNvSpPr>
      </xdr:nvSpPr>
      <xdr:spPr bwMode="auto">
        <a:xfrm flipH="1" flipV="1">
          <a:off x="4402666" y="3566581"/>
          <a:ext cx="285750" cy="508001"/>
        </a:xfrm>
        <a:prstGeom prst="line">
          <a:avLst/>
        </a:prstGeom>
        <a:noFill/>
        <a:ln w="19050">
          <a:solidFill>
            <a:srgbClr val="FF0000"/>
          </a:solidFill>
          <a:round/>
          <a:headEnd/>
          <a:tailEnd type="triangle" w="med" len="med"/>
        </a:ln>
      </xdr:spPr>
    </xdr:sp>
    <xdr:clientData/>
  </xdr:twoCellAnchor>
  <xdr:twoCellAnchor>
    <xdr:from>
      <xdr:col>4</xdr:col>
      <xdr:colOff>514350</xdr:colOff>
      <xdr:row>17</xdr:row>
      <xdr:rowOff>9525</xdr:rowOff>
    </xdr:from>
    <xdr:to>
      <xdr:col>4</xdr:col>
      <xdr:colOff>514350</xdr:colOff>
      <xdr:row>17</xdr:row>
      <xdr:rowOff>152400</xdr:rowOff>
    </xdr:to>
    <xdr:sp macro="" textlink="">
      <xdr:nvSpPr>
        <xdr:cNvPr id="107773" name="Line 33"/>
        <xdr:cNvSpPr>
          <a:spLocks noChangeShapeType="1"/>
        </xdr:cNvSpPr>
      </xdr:nvSpPr>
      <xdr:spPr bwMode="auto">
        <a:xfrm>
          <a:off x="2476500" y="3876675"/>
          <a:ext cx="0" cy="142875"/>
        </a:xfrm>
        <a:prstGeom prst="line">
          <a:avLst/>
        </a:prstGeom>
        <a:noFill/>
        <a:ln w="9525">
          <a:solidFill>
            <a:srgbClr val="000000"/>
          </a:solidFill>
          <a:round/>
          <a:headEnd/>
          <a:tailEnd type="triangle" w="med" len="med"/>
        </a:ln>
      </xdr:spPr>
    </xdr:sp>
    <xdr:clientData/>
  </xdr:twoCellAnchor>
  <xdr:twoCellAnchor>
    <xdr:from>
      <xdr:col>5</xdr:col>
      <xdr:colOff>0</xdr:colOff>
      <xdr:row>16</xdr:row>
      <xdr:rowOff>171450</xdr:rowOff>
    </xdr:from>
    <xdr:to>
      <xdr:col>5</xdr:col>
      <xdr:colOff>276225</xdr:colOff>
      <xdr:row>16</xdr:row>
      <xdr:rowOff>171450</xdr:rowOff>
    </xdr:to>
    <xdr:sp macro="" textlink="">
      <xdr:nvSpPr>
        <xdr:cNvPr id="107774" name="Line 34"/>
        <xdr:cNvSpPr>
          <a:spLocks noChangeShapeType="1"/>
        </xdr:cNvSpPr>
      </xdr:nvSpPr>
      <xdr:spPr bwMode="auto">
        <a:xfrm flipH="1">
          <a:off x="3069167" y="3579283"/>
          <a:ext cx="276225" cy="0"/>
        </a:xfrm>
        <a:prstGeom prst="line">
          <a:avLst/>
        </a:prstGeom>
        <a:noFill/>
        <a:ln w="19050">
          <a:solidFill>
            <a:srgbClr val="FF0000"/>
          </a:solidFill>
          <a:round/>
          <a:headEnd/>
          <a:tailEnd type="triangle" w="med" len="med"/>
        </a:ln>
      </xdr:spPr>
    </xdr:sp>
    <xdr:clientData/>
  </xdr:twoCellAnchor>
  <xdr:twoCellAnchor>
    <xdr:from>
      <xdr:col>6</xdr:col>
      <xdr:colOff>495300</xdr:colOff>
      <xdr:row>13</xdr:row>
      <xdr:rowOff>0</xdr:rowOff>
    </xdr:from>
    <xdr:to>
      <xdr:col>6</xdr:col>
      <xdr:colOff>495300</xdr:colOff>
      <xdr:row>15</xdr:row>
      <xdr:rowOff>142875</xdr:rowOff>
    </xdr:to>
    <xdr:sp macro="" textlink="">
      <xdr:nvSpPr>
        <xdr:cNvPr id="107775" name="Line 35"/>
        <xdr:cNvSpPr>
          <a:spLocks noChangeShapeType="1"/>
        </xdr:cNvSpPr>
      </xdr:nvSpPr>
      <xdr:spPr bwMode="auto">
        <a:xfrm flipV="1">
          <a:off x="3790950" y="2857500"/>
          <a:ext cx="0" cy="638175"/>
        </a:xfrm>
        <a:prstGeom prst="line">
          <a:avLst/>
        </a:prstGeom>
        <a:noFill/>
        <a:ln w="9525">
          <a:solidFill>
            <a:srgbClr val="000000"/>
          </a:solidFill>
          <a:round/>
          <a:headEnd/>
          <a:tailEnd type="triangle" w="med" len="med"/>
        </a:ln>
      </xdr:spPr>
    </xdr:sp>
    <xdr:clientData/>
  </xdr:twoCellAnchor>
  <xdr:twoCellAnchor>
    <xdr:from>
      <xdr:col>4</xdr:col>
      <xdr:colOff>1047749</xdr:colOff>
      <xdr:row>16</xdr:row>
      <xdr:rowOff>232834</xdr:rowOff>
    </xdr:from>
    <xdr:to>
      <xdr:col>5</xdr:col>
      <xdr:colOff>276224</xdr:colOff>
      <xdr:row>18</xdr:row>
      <xdr:rowOff>152400</xdr:rowOff>
    </xdr:to>
    <xdr:sp macro="" textlink="">
      <xdr:nvSpPr>
        <xdr:cNvPr id="107776" name="Line 36"/>
        <xdr:cNvSpPr>
          <a:spLocks noChangeShapeType="1"/>
        </xdr:cNvSpPr>
      </xdr:nvSpPr>
      <xdr:spPr bwMode="auto">
        <a:xfrm flipH="1" flipV="1">
          <a:off x="3069166" y="3640667"/>
          <a:ext cx="276225" cy="427566"/>
        </a:xfrm>
        <a:prstGeom prst="line">
          <a:avLst/>
        </a:prstGeom>
        <a:noFill/>
        <a:ln w="19050">
          <a:solidFill>
            <a:srgbClr val="FF0000"/>
          </a:solidFill>
          <a:round/>
          <a:headEnd/>
          <a:tailEnd type="triangle" w="med" len="med"/>
        </a:ln>
      </xdr:spPr>
    </xdr:sp>
    <xdr:clientData/>
  </xdr:twoCellAnchor>
  <xdr:twoCellAnchor>
    <xdr:from>
      <xdr:col>4</xdr:col>
      <xdr:colOff>476248</xdr:colOff>
      <xdr:row>7</xdr:row>
      <xdr:rowOff>0</xdr:rowOff>
    </xdr:from>
    <xdr:to>
      <xdr:col>4</xdr:col>
      <xdr:colOff>476248</xdr:colOff>
      <xdr:row>7</xdr:row>
      <xdr:rowOff>161925</xdr:rowOff>
    </xdr:to>
    <xdr:sp macro="" textlink="">
      <xdr:nvSpPr>
        <xdr:cNvPr id="38" name="Line 6"/>
        <xdr:cNvSpPr>
          <a:spLocks noChangeShapeType="1"/>
        </xdr:cNvSpPr>
      </xdr:nvSpPr>
      <xdr:spPr bwMode="auto">
        <a:xfrm>
          <a:off x="2497665" y="1248833"/>
          <a:ext cx="0" cy="161925"/>
        </a:xfrm>
        <a:prstGeom prst="line">
          <a:avLst/>
        </a:prstGeom>
        <a:noFill/>
        <a:ln w="9525">
          <a:solidFill>
            <a:srgbClr val="000000"/>
          </a:solidFill>
          <a:round/>
          <a:headEnd/>
          <a:tailEnd type="triangle" w="med" len="med"/>
        </a:ln>
      </xdr:spPr>
    </xdr:sp>
    <xdr:clientData/>
  </xdr:twoCellAnchor>
  <xdr:twoCellAnchor>
    <xdr:from>
      <xdr:col>8</xdr:col>
      <xdr:colOff>508000</xdr:colOff>
      <xdr:row>14</xdr:row>
      <xdr:rowOff>328082</xdr:rowOff>
    </xdr:from>
    <xdr:to>
      <xdr:col>8</xdr:col>
      <xdr:colOff>508000</xdr:colOff>
      <xdr:row>15</xdr:row>
      <xdr:rowOff>162982</xdr:rowOff>
    </xdr:to>
    <xdr:sp macro="" textlink="">
      <xdr:nvSpPr>
        <xdr:cNvPr id="39" name="Line 17"/>
        <xdr:cNvSpPr>
          <a:spLocks noChangeShapeType="1"/>
        </xdr:cNvSpPr>
      </xdr:nvSpPr>
      <xdr:spPr bwMode="auto">
        <a:xfrm>
          <a:off x="5196417" y="3238499"/>
          <a:ext cx="0" cy="162983"/>
        </a:xfrm>
        <a:prstGeom prst="line">
          <a:avLst/>
        </a:prstGeom>
        <a:noFill/>
        <a:ln w="9525">
          <a:solidFill>
            <a:srgbClr val="000000"/>
          </a:solidFill>
          <a:round/>
          <a:headEnd/>
          <a:tailEnd type="triangle" w="med" len="med"/>
        </a:ln>
      </xdr:spPr>
    </xdr:sp>
    <xdr:clientData/>
  </xdr:twoCellAnchor>
</xdr:wsDr>
</file>

<file path=xl/drawings/drawing39.xml><?xml version="1.0" encoding="utf-8"?>
<xdr:wsDr xmlns:xdr="http://schemas.openxmlformats.org/drawingml/2006/spreadsheetDrawing" xmlns:a="http://schemas.openxmlformats.org/drawingml/2006/main">
  <xdr:twoCellAnchor>
    <xdr:from>
      <xdr:col>10</xdr:col>
      <xdr:colOff>523875</xdr:colOff>
      <xdr:row>5</xdr:row>
      <xdr:rowOff>7408</xdr:rowOff>
    </xdr:from>
    <xdr:to>
      <xdr:col>10</xdr:col>
      <xdr:colOff>523875</xdr:colOff>
      <xdr:row>9</xdr:row>
      <xdr:rowOff>169332</xdr:rowOff>
    </xdr:to>
    <xdr:sp macro="" textlink="">
      <xdr:nvSpPr>
        <xdr:cNvPr id="114849" name="Line 1"/>
        <xdr:cNvSpPr>
          <a:spLocks noChangeShapeType="1"/>
        </xdr:cNvSpPr>
      </xdr:nvSpPr>
      <xdr:spPr bwMode="auto">
        <a:xfrm>
          <a:off x="6545792" y="758825"/>
          <a:ext cx="0" cy="1156757"/>
        </a:xfrm>
        <a:prstGeom prst="line">
          <a:avLst/>
        </a:prstGeom>
        <a:noFill/>
        <a:ln w="19050">
          <a:solidFill>
            <a:srgbClr val="FF0000"/>
          </a:solidFill>
          <a:round/>
          <a:headEnd/>
          <a:tailEnd type="triangle" w="med" len="med"/>
        </a:ln>
      </xdr:spPr>
    </xdr:sp>
    <xdr:clientData/>
  </xdr:twoCellAnchor>
  <xdr:twoCellAnchor>
    <xdr:from>
      <xdr:col>10</xdr:col>
      <xdr:colOff>1037167</xdr:colOff>
      <xdr:row>13</xdr:row>
      <xdr:rowOff>152400</xdr:rowOff>
    </xdr:from>
    <xdr:to>
      <xdr:col>11</xdr:col>
      <xdr:colOff>284692</xdr:colOff>
      <xdr:row>13</xdr:row>
      <xdr:rowOff>152400</xdr:rowOff>
    </xdr:to>
    <xdr:sp macro="" textlink="">
      <xdr:nvSpPr>
        <xdr:cNvPr id="114850" name="Line 2"/>
        <xdr:cNvSpPr>
          <a:spLocks noChangeShapeType="1"/>
        </xdr:cNvSpPr>
      </xdr:nvSpPr>
      <xdr:spPr bwMode="auto">
        <a:xfrm>
          <a:off x="7059084" y="2724150"/>
          <a:ext cx="295275" cy="0"/>
        </a:xfrm>
        <a:prstGeom prst="line">
          <a:avLst/>
        </a:prstGeom>
        <a:noFill/>
        <a:ln w="9525">
          <a:solidFill>
            <a:srgbClr val="000000"/>
          </a:solidFill>
          <a:round/>
          <a:headEnd/>
          <a:tailEnd type="triangle" w="med" len="med"/>
        </a:ln>
      </xdr:spPr>
    </xdr:sp>
    <xdr:clientData/>
  </xdr:twoCellAnchor>
  <xdr:twoCellAnchor>
    <xdr:from>
      <xdr:col>3</xdr:col>
      <xdr:colOff>0</xdr:colOff>
      <xdr:row>8</xdr:row>
      <xdr:rowOff>171448</xdr:rowOff>
    </xdr:from>
    <xdr:to>
      <xdr:col>4</xdr:col>
      <xdr:colOff>0</xdr:colOff>
      <xdr:row>8</xdr:row>
      <xdr:rowOff>171448</xdr:rowOff>
    </xdr:to>
    <xdr:sp macro="" textlink="">
      <xdr:nvSpPr>
        <xdr:cNvPr id="114851" name="Line 3"/>
        <xdr:cNvSpPr>
          <a:spLocks noChangeShapeType="1"/>
        </xdr:cNvSpPr>
      </xdr:nvSpPr>
      <xdr:spPr bwMode="auto">
        <a:xfrm flipV="1">
          <a:off x="1735667" y="1589615"/>
          <a:ext cx="285750" cy="0"/>
        </a:xfrm>
        <a:prstGeom prst="line">
          <a:avLst/>
        </a:prstGeom>
        <a:noFill/>
        <a:ln w="9525">
          <a:solidFill>
            <a:srgbClr val="000000"/>
          </a:solidFill>
          <a:round/>
          <a:headEnd/>
          <a:tailEnd type="triangle" w="med" len="med"/>
        </a:ln>
      </xdr:spPr>
    </xdr:sp>
    <xdr:clientData/>
  </xdr:twoCellAnchor>
  <xdr:twoCellAnchor>
    <xdr:from>
      <xdr:col>2</xdr:col>
      <xdr:colOff>504825</xdr:colOff>
      <xdr:row>5</xdr:row>
      <xdr:rowOff>0</xdr:rowOff>
    </xdr:from>
    <xdr:to>
      <xdr:col>2</xdr:col>
      <xdr:colOff>504825</xdr:colOff>
      <xdr:row>5</xdr:row>
      <xdr:rowOff>161925</xdr:rowOff>
    </xdr:to>
    <xdr:sp macro="" textlink="">
      <xdr:nvSpPr>
        <xdr:cNvPr id="114852" name="Line 4"/>
        <xdr:cNvSpPr>
          <a:spLocks noChangeShapeType="1"/>
        </xdr:cNvSpPr>
      </xdr:nvSpPr>
      <xdr:spPr bwMode="auto">
        <a:xfrm flipV="1">
          <a:off x="1133475" y="876300"/>
          <a:ext cx="0" cy="161925"/>
        </a:xfrm>
        <a:prstGeom prst="line">
          <a:avLst/>
        </a:prstGeom>
        <a:noFill/>
        <a:ln w="9525">
          <a:solidFill>
            <a:srgbClr val="000000"/>
          </a:solidFill>
          <a:round/>
          <a:headEnd/>
          <a:tailEnd type="triangle" w="med" len="med"/>
        </a:ln>
      </xdr:spPr>
    </xdr:sp>
    <xdr:clientData/>
  </xdr:twoCellAnchor>
  <xdr:twoCellAnchor>
    <xdr:from>
      <xdr:col>3</xdr:col>
      <xdr:colOff>8467</xdr:colOff>
      <xdr:row>8</xdr:row>
      <xdr:rowOff>179916</xdr:rowOff>
    </xdr:from>
    <xdr:to>
      <xdr:col>4</xdr:col>
      <xdr:colOff>0</xdr:colOff>
      <xdr:row>10</xdr:row>
      <xdr:rowOff>152400</xdr:rowOff>
    </xdr:to>
    <xdr:sp macro="" textlink="">
      <xdr:nvSpPr>
        <xdr:cNvPr id="114853" name="Line 5"/>
        <xdr:cNvSpPr>
          <a:spLocks noChangeShapeType="1"/>
        </xdr:cNvSpPr>
      </xdr:nvSpPr>
      <xdr:spPr bwMode="auto">
        <a:xfrm flipV="1">
          <a:off x="1744134" y="1598083"/>
          <a:ext cx="277283" cy="469900"/>
        </a:xfrm>
        <a:prstGeom prst="line">
          <a:avLst/>
        </a:prstGeom>
        <a:noFill/>
        <a:ln w="9525">
          <a:solidFill>
            <a:srgbClr val="000000"/>
          </a:solidFill>
          <a:round/>
          <a:headEnd/>
          <a:tailEnd type="triangle" w="med" len="med"/>
        </a:ln>
      </xdr:spPr>
    </xdr:sp>
    <xdr:clientData/>
  </xdr:twoCellAnchor>
  <xdr:twoCellAnchor>
    <xdr:from>
      <xdr:col>8</xdr:col>
      <xdr:colOff>1046691</xdr:colOff>
      <xdr:row>4</xdr:row>
      <xdr:rowOff>171450</xdr:rowOff>
    </xdr:from>
    <xdr:to>
      <xdr:col>9</xdr:col>
      <xdr:colOff>285749</xdr:colOff>
      <xdr:row>4</xdr:row>
      <xdr:rowOff>171450</xdr:rowOff>
    </xdr:to>
    <xdr:sp macro="" textlink="">
      <xdr:nvSpPr>
        <xdr:cNvPr id="114854" name="Line 6"/>
        <xdr:cNvSpPr>
          <a:spLocks noChangeShapeType="1"/>
        </xdr:cNvSpPr>
      </xdr:nvSpPr>
      <xdr:spPr bwMode="auto">
        <a:xfrm flipH="1" flipV="1">
          <a:off x="5735108" y="594783"/>
          <a:ext cx="286808" cy="0"/>
        </a:xfrm>
        <a:prstGeom prst="line">
          <a:avLst/>
        </a:prstGeom>
        <a:noFill/>
        <a:ln w="9525">
          <a:solidFill>
            <a:srgbClr val="000000"/>
          </a:solidFill>
          <a:round/>
          <a:headEnd/>
          <a:tailEnd type="triangle" w="med" len="med"/>
        </a:ln>
      </xdr:spPr>
    </xdr:sp>
    <xdr:clientData/>
  </xdr:twoCellAnchor>
  <xdr:twoCellAnchor>
    <xdr:from>
      <xdr:col>7</xdr:col>
      <xdr:colOff>0</xdr:colOff>
      <xdr:row>4</xdr:row>
      <xdr:rowOff>161925</xdr:rowOff>
    </xdr:from>
    <xdr:to>
      <xdr:col>7</xdr:col>
      <xdr:colOff>266700</xdr:colOff>
      <xdr:row>4</xdr:row>
      <xdr:rowOff>161925</xdr:rowOff>
    </xdr:to>
    <xdr:sp macro="" textlink="">
      <xdr:nvSpPr>
        <xdr:cNvPr id="114855" name="Line 7"/>
        <xdr:cNvSpPr>
          <a:spLocks noChangeShapeType="1"/>
        </xdr:cNvSpPr>
      </xdr:nvSpPr>
      <xdr:spPr bwMode="auto">
        <a:xfrm flipH="1">
          <a:off x="4343400" y="714375"/>
          <a:ext cx="266700" cy="0"/>
        </a:xfrm>
        <a:prstGeom prst="line">
          <a:avLst/>
        </a:prstGeom>
        <a:noFill/>
        <a:ln w="9525">
          <a:solidFill>
            <a:srgbClr val="000000"/>
          </a:solidFill>
          <a:round/>
          <a:headEnd/>
          <a:tailEnd type="triangle" w="med" len="med"/>
        </a:ln>
      </xdr:spPr>
    </xdr:sp>
    <xdr:clientData/>
  </xdr:twoCellAnchor>
  <xdr:twoCellAnchor>
    <xdr:from>
      <xdr:col>7</xdr:col>
      <xdr:colOff>7409</xdr:colOff>
      <xdr:row>8</xdr:row>
      <xdr:rowOff>161925</xdr:rowOff>
    </xdr:from>
    <xdr:to>
      <xdr:col>7</xdr:col>
      <xdr:colOff>283634</xdr:colOff>
      <xdr:row>8</xdr:row>
      <xdr:rowOff>161925</xdr:rowOff>
    </xdr:to>
    <xdr:sp macro="" textlink="">
      <xdr:nvSpPr>
        <xdr:cNvPr id="114856" name="Line 8"/>
        <xdr:cNvSpPr>
          <a:spLocks noChangeShapeType="1"/>
        </xdr:cNvSpPr>
      </xdr:nvSpPr>
      <xdr:spPr bwMode="auto">
        <a:xfrm>
          <a:off x="4410076" y="1580092"/>
          <a:ext cx="276225" cy="0"/>
        </a:xfrm>
        <a:prstGeom prst="line">
          <a:avLst/>
        </a:prstGeom>
        <a:noFill/>
        <a:ln w="9525">
          <a:solidFill>
            <a:srgbClr val="000000"/>
          </a:solidFill>
          <a:round/>
          <a:headEnd/>
          <a:tailEnd type="triangle" w="med" len="med"/>
        </a:ln>
      </xdr:spPr>
    </xdr:sp>
    <xdr:clientData/>
  </xdr:twoCellAnchor>
  <xdr:twoCellAnchor>
    <xdr:from>
      <xdr:col>6</xdr:col>
      <xdr:colOff>1044576</xdr:colOff>
      <xdr:row>10</xdr:row>
      <xdr:rowOff>161925</xdr:rowOff>
    </xdr:from>
    <xdr:to>
      <xdr:col>8</xdr:col>
      <xdr:colOff>0</xdr:colOff>
      <xdr:row>10</xdr:row>
      <xdr:rowOff>161925</xdr:rowOff>
    </xdr:to>
    <xdr:sp macro="" textlink="">
      <xdr:nvSpPr>
        <xdr:cNvPr id="114859" name="Line 11"/>
        <xdr:cNvSpPr>
          <a:spLocks noChangeShapeType="1"/>
        </xdr:cNvSpPr>
      </xdr:nvSpPr>
      <xdr:spPr bwMode="auto">
        <a:xfrm>
          <a:off x="4399493" y="2077508"/>
          <a:ext cx="288924" cy="0"/>
        </a:xfrm>
        <a:prstGeom prst="line">
          <a:avLst/>
        </a:prstGeom>
        <a:noFill/>
        <a:ln w="9525">
          <a:solidFill>
            <a:srgbClr val="000000"/>
          </a:solidFill>
          <a:round/>
          <a:headEnd/>
          <a:tailEnd type="triangle" w="med" len="med"/>
        </a:ln>
      </xdr:spPr>
    </xdr:sp>
    <xdr:clientData/>
  </xdr:twoCellAnchor>
  <xdr:twoCellAnchor>
    <xdr:from>
      <xdr:col>6</xdr:col>
      <xdr:colOff>516466</xdr:colOff>
      <xdr:row>8</xdr:row>
      <xdr:rowOff>304800</xdr:rowOff>
    </xdr:from>
    <xdr:to>
      <xdr:col>6</xdr:col>
      <xdr:colOff>516466</xdr:colOff>
      <xdr:row>9</xdr:row>
      <xdr:rowOff>161925</xdr:rowOff>
    </xdr:to>
    <xdr:sp macro="" textlink="">
      <xdr:nvSpPr>
        <xdr:cNvPr id="114860" name="Line 12"/>
        <xdr:cNvSpPr>
          <a:spLocks noChangeShapeType="1"/>
        </xdr:cNvSpPr>
      </xdr:nvSpPr>
      <xdr:spPr bwMode="auto">
        <a:xfrm flipV="1">
          <a:off x="3871383" y="1722967"/>
          <a:ext cx="0" cy="185208"/>
        </a:xfrm>
        <a:prstGeom prst="line">
          <a:avLst/>
        </a:prstGeom>
        <a:noFill/>
        <a:ln w="9525">
          <a:solidFill>
            <a:srgbClr val="000000"/>
          </a:solidFill>
          <a:round/>
          <a:headEnd/>
          <a:tailEnd type="triangle" w="med" len="med"/>
        </a:ln>
      </xdr:spPr>
    </xdr:sp>
    <xdr:clientData/>
  </xdr:twoCellAnchor>
  <xdr:twoCellAnchor>
    <xdr:from>
      <xdr:col>8</xdr:col>
      <xdr:colOff>1040341</xdr:colOff>
      <xdr:row>10</xdr:row>
      <xdr:rowOff>152400</xdr:rowOff>
    </xdr:from>
    <xdr:to>
      <xdr:col>10</xdr:col>
      <xdr:colOff>2116</xdr:colOff>
      <xdr:row>10</xdr:row>
      <xdr:rowOff>152400</xdr:rowOff>
    </xdr:to>
    <xdr:sp macro="" textlink="">
      <xdr:nvSpPr>
        <xdr:cNvPr id="114861" name="Line 13"/>
        <xdr:cNvSpPr>
          <a:spLocks noChangeShapeType="1"/>
        </xdr:cNvSpPr>
      </xdr:nvSpPr>
      <xdr:spPr bwMode="auto">
        <a:xfrm flipH="1">
          <a:off x="5728758" y="2067983"/>
          <a:ext cx="295275" cy="0"/>
        </a:xfrm>
        <a:prstGeom prst="line">
          <a:avLst/>
        </a:prstGeom>
        <a:noFill/>
        <a:ln w="9525">
          <a:solidFill>
            <a:srgbClr val="000000"/>
          </a:solidFill>
          <a:round/>
          <a:headEnd/>
          <a:tailEnd type="triangle" w="med" len="med"/>
        </a:ln>
      </xdr:spPr>
    </xdr:sp>
    <xdr:clientData/>
  </xdr:twoCellAnchor>
  <xdr:twoCellAnchor>
    <xdr:from>
      <xdr:col>4</xdr:col>
      <xdr:colOff>495300</xdr:colOff>
      <xdr:row>5</xdr:row>
      <xdr:rowOff>0</xdr:rowOff>
    </xdr:from>
    <xdr:to>
      <xdr:col>4</xdr:col>
      <xdr:colOff>495300</xdr:colOff>
      <xdr:row>7</xdr:row>
      <xdr:rowOff>152400</xdr:rowOff>
    </xdr:to>
    <xdr:sp macro="" textlink="">
      <xdr:nvSpPr>
        <xdr:cNvPr id="114862" name="Line 14"/>
        <xdr:cNvSpPr>
          <a:spLocks noChangeShapeType="1"/>
        </xdr:cNvSpPr>
      </xdr:nvSpPr>
      <xdr:spPr bwMode="auto">
        <a:xfrm flipV="1">
          <a:off x="2457450" y="876300"/>
          <a:ext cx="0" cy="647700"/>
        </a:xfrm>
        <a:prstGeom prst="line">
          <a:avLst/>
        </a:prstGeom>
        <a:noFill/>
        <a:ln w="9525">
          <a:solidFill>
            <a:srgbClr val="000000"/>
          </a:solidFill>
          <a:round/>
          <a:headEnd/>
          <a:tailEnd type="triangle" w="med" len="med"/>
        </a:ln>
      </xdr:spPr>
    </xdr:sp>
    <xdr:clientData/>
  </xdr:twoCellAnchor>
  <xdr:twoCellAnchor>
    <xdr:from>
      <xdr:col>5</xdr:col>
      <xdr:colOff>0</xdr:colOff>
      <xdr:row>4</xdr:row>
      <xdr:rowOff>158750</xdr:rowOff>
    </xdr:from>
    <xdr:to>
      <xdr:col>6</xdr:col>
      <xdr:colOff>0</xdr:colOff>
      <xdr:row>4</xdr:row>
      <xdr:rowOff>161925</xdr:rowOff>
    </xdr:to>
    <xdr:sp macro="" textlink="">
      <xdr:nvSpPr>
        <xdr:cNvPr id="114863" name="Line 15"/>
        <xdr:cNvSpPr>
          <a:spLocks noChangeShapeType="1"/>
        </xdr:cNvSpPr>
      </xdr:nvSpPr>
      <xdr:spPr bwMode="auto">
        <a:xfrm flipH="1" flipV="1">
          <a:off x="3069167" y="582083"/>
          <a:ext cx="285750" cy="3175"/>
        </a:xfrm>
        <a:prstGeom prst="line">
          <a:avLst/>
        </a:prstGeom>
        <a:noFill/>
        <a:ln w="9525">
          <a:solidFill>
            <a:srgbClr val="000000"/>
          </a:solidFill>
          <a:round/>
          <a:headEnd/>
          <a:tailEnd type="triangle" w="med" len="med"/>
        </a:ln>
      </xdr:spPr>
    </xdr:sp>
    <xdr:clientData/>
  </xdr:twoCellAnchor>
  <xdr:twoCellAnchor>
    <xdr:from>
      <xdr:col>6</xdr:col>
      <xdr:colOff>1046692</xdr:colOff>
      <xdr:row>6</xdr:row>
      <xdr:rowOff>161925</xdr:rowOff>
    </xdr:from>
    <xdr:to>
      <xdr:col>7</xdr:col>
      <xdr:colOff>275167</xdr:colOff>
      <xdr:row>6</xdr:row>
      <xdr:rowOff>161925</xdr:rowOff>
    </xdr:to>
    <xdr:sp macro="" textlink="">
      <xdr:nvSpPr>
        <xdr:cNvPr id="114864" name="Line 16"/>
        <xdr:cNvSpPr>
          <a:spLocks noChangeShapeType="1"/>
        </xdr:cNvSpPr>
      </xdr:nvSpPr>
      <xdr:spPr bwMode="auto">
        <a:xfrm flipH="1">
          <a:off x="4401609" y="1082675"/>
          <a:ext cx="276225" cy="0"/>
        </a:xfrm>
        <a:prstGeom prst="line">
          <a:avLst/>
        </a:prstGeom>
        <a:noFill/>
        <a:ln w="9525">
          <a:solidFill>
            <a:srgbClr val="000000"/>
          </a:solidFill>
          <a:round/>
          <a:headEnd/>
          <a:tailEnd type="triangle" w="med" len="med"/>
        </a:ln>
      </xdr:spPr>
    </xdr:sp>
    <xdr:clientData/>
  </xdr:twoCellAnchor>
  <xdr:twoCellAnchor>
    <xdr:from>
      <xdr:col>8</xdr:col>
      <xdr:colOff>1038224</xdr:colOff>
      <xdr:row>4</xdr:row>
      <xdr:rowOff>179917</xdr:rowOff>
    </xdr:from>
    <xdr:to>
      <xdr:col>9</xdr:col>
      <xdr:colOff>285749</xdr:colOff>
      <xdr:row>6</xdr:row>
      <xdr:rowOff>161925</xdr:rowOff>
    </xdr:to>
    <xdr:sp macro="" textlink="">
      <xdr:nvSpPr>
        <xdr:cNvPr id="114865" name="Line 17"/>
        <xdr:cNvSpPr>
          <a:spLocks noChangeShapeType="1"/>
        </xdr:cNvSpPr>
      </xdr:nvSpPr>
      <xdr:spPr bwMode="auto">
        <a:xfrm flipH="1">
          <a:off x="5726641" y="603250"/>
          <a:ext cx="295275" cy="479425"/>
        </a:xfrm>
        <a:prstGeom prst="line">
          <a:avLst/>
        </a:prstGeom>
        <a:noFill/>
        <a:ln w="9525">
          <a:solidFill>
            <a:srgbClr val="000000"/>
          </a:solidFill>
          <a:round/>
          <a:headEnd/>
          <a:tailEnd type="triangle" w="med" len="med"/>
        </a:ln>
      </xdr:spPr>
    </xdr:sp>
    <xdr:clientData/>
  </xdr:twoCellAnchor>
  <xdr:twoCellAnchor>
    <xdr:from>
      <xdr:col>10</xdr:col>
      <xdr:colOff>1038225</xdr:colOff>
      <xdr:row>10</xdr:row>
      <xdr:rowOff>180975</xdr:rowOff>
    </xdr:from>
    <xdr:to>
      <xdr:col>12</xdr:col>
      <xdr:colOff>0</xdr:colOff>
      <xdr:row>10</xdr:row>
      <xdr:rowOff>180975</xdr:rowOff>
    </xdr:to>
    <xdr:sp macro="" textlink="">
      <xdr:nvSpPr>
        <xdr:cNvPr id="114866" name="Line 18"/>
        <xdr:cNvSpPr>
          <a:spLocks noChangeShapeType="1"/>
        </xdr:cNvSpPr>
      </xdr:nvSpPr>
      <xdr:spPr bwMode="auto">
        <a:xfrm>
          <a:off x="7000875" y="2219325"/>
          <a:ext cx="295275" cy="0"/>
        </a:xfrm>
        <a:prstGeom prst="line">
          <a:avLst/>
        </a:prstGeom>
        <a:noFill/>
        <a:ln w="9525">
          <a:solidFill>
            <a:srgbClr val="000000"/>
          </a:solidFill>
          <a:round/>
          <a:headEnd/>
          <a:tailEnd type="triangle" w="med" len="med"/>
        </a:ln>
      </xdr:spPr>
    </xdr:sp>
    <xdr:clientData/>
  </xdr:twoCellAnchor>
  <xdr:twoCellAnchor>
    <xdr:from>
      <xdr:col>10</xdr:col>
      <xdr:colOff>514350</xdr:colOff>
      <xdr:row>11</xdr:row>
      <xdr:rowOff>9525</xdr:rowOff>
    </xdr:from>
    <xdr:to>
      <xdr:col>10</xdr:col>
      <xdr:colOff>514350</xdr:colOff>
      <xdr:row>13</xdr:row>
      <xdr:rowOff>0</xdr:rowOff>
    </xdr:to>
    <xdr:sp macro="" textlink="">
      <xdr:nvSpPr>
        <xdr:cNvPr id="114867" name="Line 19"/>
        <xdr:cNvSpPr>
          <a:spLocks noChangeShapeType="1"/>
        </xdr:cNvSpPr>
      </xdr:nvSpPr>
      <xdr:spPr bwMode="auto">
        <a:xfrm>
          <a:off x="6477000" y="2371725"/>
          <a:ext cx="0" cy="323850"/>
        </a:xfrm>
        <a:prstGeom prst="line">
          <a:avLst/>
        </a:prstGeom>
        <a:noFill/>
        <a:ln w="19050">
          <a:solidFill>
            <a:srgbClr val="FF0000"/>
          </a:solidFill>
          <a:round/>
          <a:headEnd/>
          <a:tailEnd type="triangle" w="med" len="med"/>
        </a:ln>
      </xdr:spPr>
    </xdr:sp>
    <xdr:clientData/>
  </xdr:twoCellAnchor>
  <xdr:twoCellAnchor>
    <xdr:from>
      <xdr:col>8</xdr:col>
      <xdr:colOff>751416</xdr:colOff>
      <xdr:row>11</xdr:row>
      <xdr:rowOff>0</xdr:rowOff>
    </xdr:from>
    <xdr:to>
      <xdr:col>10</xdr:col>
      <xdr:colOff>264583</xdr:colOff>
      <xdr:row>13</xdr:row>
      <xdr:rowOff>0</xdr:rowOff>
    </xdr:to>
    <xdr:sp macro="" textlink="">
      <xdr:nvSpPr>
        <xdr:cNvPr id="114868" name="Line 20"/>
        <xdr:cNvSpPr>
          <a:spLocks noChangeShapeType="1"/>
        </xdr:cNvSpPr>
      </xdr:nvSpPr>
      <xdr:spPr bwMode="auto">
        <a:xfrm flipH="1">
          <a:off x="5439833" y="2243667"/>
          <a:ext cx="846667" cy="328083"/>
        </a:xfrm>
        <a:prstGeom prst="line">
          <a:avLst/>
        </a:prstGeom>
        <a:noFill/>
        <a:ln w="19050">
          <a:solidFill>
            <a:srgbClr val="FF0000"/>
          </a:solidFill>
          <a:round/>
          <a:headEnd/>
          <a:tailEnd type="triangle" w="med" len="med"/>
        </a:ln>
      </xdr:spPr>
    </xdr:sp>
    <xdr:clientData/>
  </xdr:twoCellAnchor>
  <xdr:twoCellAnchor>
    <xdr:from>
      <xdr:col>6</xdr:col>
      <xdr:colOff>1039283</xdr:colOff>
      <xdr:row>13</xdr:row>
      <xdr:rowOff>180975</xdr:rowOff>
    </xdr:from>
    <xdr:to>
      <xdr:col>8</xdr:col>
      <xdr:colOff>1058</xdr:colOff>
      <xdr:row>13</xdr:row>
      <xdr:rowOff>180975</xdr:rowOff>
    </xdr:to>
    <xdr:sp macro="" textlink="">
      <xdr:nvSpPr>
        <xdr:cNvPr id="114869" name="Line 21"/>
        <xdr:cNvSpPr>
          <a:spLocks noChangeShapeType="1"/>
        </xdr:cNvSpPr>
      </xdr:nvSpPr>
      <xdr:spPr bwMode="auto">
        <a:xfrm flipH="1">
          <a:off x="4394200" y="2752725"/>
          <a:ext cx="295275" cy="0"/>
        </a:xfrm>
        <a:prstGeom prst="line">
          <a:avLst/>
        </a:prstGeom>
        <a:noFill/>
        <a:ln w="9525">
          <a:solidFill>
            <a:srgbClr val="000000"/>
          </a:solidFill>
          <a:round/>
          <a:headEnd/>
          <a:tailEnd type="triangle" w="med" len="med"/>
        </a:ln>
      </xdr:spPr>
    </xdr:sp>
    <xdr:clientData/>
  </xdr:twoCellAnchor>
  <xdr:twoCellAnchor>
    <xdr:from>
      <xdr:col>4</xdr:col>
      <xdr:colOff>495300</xdr:colOff>
      <xdr:row>9</xdr:row>
      <xdr:rowOff>0</xdr:rowOff>
    </xdr:from>
    <xdr:to>
      <xdr:col>4</xdr:col>
      <xdr:colOff>495300</xdr:colOff>
      <xdr:row>9</xdr:row>
      <xdr:rowOff>152400</xdr:rowOff>
    </xdr:to>
    <xdr:sp macro="" textlink="">
      <xdr:nvSpPr>
        <xdr:cNvPr id="114870" name="Line 22"/>
        <xdr:cNvSpPr>
          <a:spLocks noChangeShapeType="1"/>
        </xdr:cNvSpPr>
      </xdr:nvSpPr>
      <xdr:spPr bwMode="auto">
        <a:xfrm flipV="1">
          <a:off x="2457450" y="1866900"/>
          <a:ext cx="0" cy="152400"/>
        </a:xfrm>
        <a:prstGeom prst="line">
          <a:avLst/>
        </a:prstGeom>
        <a:noFill/>
        <a:ln w="9525">
          <a:solidFill>
            <a:srgbClr val="000000"/>
          </a:solidFill>
          <a:round/>
          <a:headEnd/>
          <a:tailEnd type="triangle" w="med" len="med"/>
        </a:ln>
      </xdr:spPr>
    </xdr:sp>
    <xdr:clientData/>
  </xdr:twoCellAnchor>
  <xdr:twoCellAnchor>
    <xdr:from>
      <xdr:col>4</xdr:col>
      <xdr:colOff>495300</xdr:colOff>
      <xdr:row>11</xdr:row>
      <xdr:rowOff>10583</xdr:rowOff>
    </xdr:from>
    <xdr:to>
      <xdr:col>4</xdr:col>
      <xdr:colOff>495300</xdr:colOff>
      <xdr:row>12</xdr:row>
      <xdr:rowOff>162983</xdr:rowOff>
    </xdr:to>
    <xdr:sp macro="" textlink="">
      <xdr:nvSpPr>
        <xdr:cNvPr id="114871" name="Line 23"/>
        <xdr:cNvSpPr>
          <a:spLocks noChangeShapeType="1"/>
        </xdr:cNvSpPr>
      </xdr:nvSpPr>
      <xdr:spPr bwMode="auto">
        <a:xfrm>
          <a:off x="2516717" y="2254250"/>
          <a:ext cx="0" cy="311150"/>
        </a:xfrm>
        <a:prstGeom prst="line">
          <a:avLst/>
        </a:prstGeom>
        <a:noFill/>
        <a:ln w="9525">
          <a:solidFill>
            <a:srgbClr val="000000"/>
          </a:solidFill>
          <a:round/>
          <a:headEnd/>
          <a:tailEnd type="triangle" w="med" len="med"/>
        </a:ln>
      </xdr:spPr>
    </xdr:sp>
    <xdr:clientData/>
  </xdr:twoCellAnchor>
  <xdr:twoCellAnchor>
    <xdr:from>
      <xdr:col>2</xdr:col>
      <xdr:colOff>496358</xdr:colOff>
      <xdr:row>6</xdr:row>
      <xdr:rowOff>314325</xdr:rowOff>
    </xdr:from>
    <xdr:to>
      <xdr:col>2</xdr:col>
      <xdr:colOff>505883</xdr:colOff>
      <xdr:row>7</xdr:row>
      <xdr:rowOff>161925</xdr:rowOff>
    </xdr:to>
    <xdr:sp macro="" textlink="">
      <xdr:nvSpPr>
        <xdr:cNvPr id="114872" name="Line 24"/>
        <xdr:cNvSpPr>
          <a:spLocks noChangeShapeType="1"/>
        </xdr:cNvSpPr>
      </xdr:nvSpPr>
      <xdr:spPr bwMode="auto">
        <a:xfrm flipV="1">
          <a:off x="1184275" y="1235075"/>
          <a:ext cx="9525" cy="175683"/>
        </a:xfrm>
        <a:prstGeom prst="line">
          <a:avLst/>
        </a:prstGeom>
        <a:noFill/>
        <a:ln w="9525">
          <a:solidFill>
            <a:srgbClr val="000000"/>
          </a:solidFill>
          <a:round/>
          <a:headEnd/>
          <a:tailEnd type="triangle" w="med" len="med"/>
        </a:ln>
      </xdr:spPr>
    </xdr:sp>
    <xdr:clientData/>
  </xdr:twoCellAnchor>
  <xdr:twoCellAnchor>
    <xdr:from>
      <xdr:col>6</xdr:col>
      <xdr:colOff>1045634</xdr:colOff>
      <xdr:row>18</xdr:row>
      <xdr:rowOff>152400</xdr:rowOff>
    </xdr:from>
    <xdr:to>
      <xdr:col>7</xdr:col>
      <xdr:colOff>264584</xdr:colOff>
      <xdr:row>18</xdr:row>
      <xdr:rowOff>152400</xdr:rowOff>
    </xdr:to>
    <xdr:sp macro="" textlink="">
      <xdr:nvSpPr>
        <xdr:cNvPr id="114873" name="Line 25"/>
        <xdr:cNvSpPr>
          <a:spLocks noChangeShapeType="1"/>
        </xdr:cNvSpPr>
      </xdr:nvSpPr>
      <xdr:spPr bwMode="auto">
        <a:xfrm flipH="1">
          <a:off x="4400551" y="3888317"/>
          <a:ext cx="266700" cy="0"/>
        </a:xfrm>
        <a:prstGeom prst="line">
          <a:avLst/>
        </a:prstGeom>
        <a:noFill/>
        <a:ln w="9525">
          <a:solidFill>
            <a:srgbClr val="000000"/>
          </a:solidFill>
          <a:round/>
          <a:headEnd/>
          <a:tailEnd type="triangle" w="med" len="med"/>
        </a:ln>
      </xdr:spPr>
    </xdr:sp>
    <xdr:clientData/>
  </xdr:twoCellAnchor>
  <xdr:twoCellAnchor>
    <xdr:from>
      <xdr:col>8</xdr:col>
      <xdr:colOff>485775</xdr:colOff>
      <xdr:row>14</xdr:row>
      <xdr:rowOff>1</xdr:rowOff>
    </xdr:from>
    <xdr:to>
      <xdr:col>8</xdr:col>
      <xdr:colOff>485775</xdr:colOff>
      <xdr:row>17</xdr:row>
      <xdr:rowOff>154517</xdr:rowOff>
    </xdr:to>
    <xdr:sp macro="" textlink="">
      <xdr:nvSpPr>
        <xdr:cNvPr id="114874" name="Line 26"/>
        <xdr:cNvSpPr>
          <a:spLocks noChangeShapeType="1"/>
        </xdr:cNvSpPr>
      </xdr:nvSpPr>
      <xdr:spPr bwMode="auto">
        <a:xfrm>
          <a:off x="5174192" y="2899834"/>
          <a:ext cx="0" cy="821266"/>
        </a:xfrm>
        <a:prstGeom prst="line">
          <a:avLst/>
        </a:prstGeom>
        <a:noFill/>
        <a:ln w="19050">
          <a:solidFill>
            <a:srgbClr val="FF0000"/>
          </a:solidFill>
          <a:round/>
          <a:headEnd/>
          <a:tailEnd type="triangle" w="med" len="med"/>
        </a:ln>
      </xdr:spPr>
    </xdr:sp>
    <xdr:clientData/>
  </xdr:twoCellAnchor>
  <xdr:twoCellAnchor>
    <xdr:from>
      <xdr:col>10</xdr:col>
      <xdr:colOff>514350</xdr:colOff>
      <xdr:row>14</xdr:row>
      <xdr:rowOff>0</xdr:rowOff>
    </xdr:from>
    <xdr:to>
      <xdr:col>10</xdr:col>
      <xdr:colOff>514350</xdr:colOff>
      <xdr:row>15</xdr:row>
      <xdr:rowOff>161925</xdr:rowOff>
    </xdr:to>
    <xdr:sp macro="" textlink="">
      <xdr:nvSpPr>
        <xdr:cNvPr id="114875" name="Line 27"/>
        <xdr:cNvSpPr>
          <a:spLocks noChangeShapeType="1"/>
        </xdr:cNvSpPr>
      </xdr:nvSpPr>
      <xdr:spPr bwMode="auto">
        <a:xfrm>
          <a:off x="6477000" y="3019425"/>
          <a:ext cx="0" cy="323850"/>
        </a:xfrm>
        <a:prstGeom prst="line">
          <a:avLst/>
        </a:prstGeom>
        <a:noFill/>
        <a:ln w="19050">
          <a:solidFill>
            <a:srgbClr val="FF0000"/>
          </a:solidFill>
          <a:round/>
          <a:headEnd/>
          <a:tailEnd type="triangle" w="med" len="med"/>
        </a:ln>
      </xdr:spPr>
    </xdr:sp>
    <xdr:clientData/>
  </xdr:twoCellAnchor>
  <xdr:twoCellAnchor>
    <xdr:from>
      <xdr:col>8</xdr:col>
      <xdr:colOff>475191</xdr:colOff>
      <xdr:row>14</xdr:row>
      <xdr:rowOff>0</xdr:rowOff>
    </xdr:from>
    <xdr:to>
      <xdr:col>10</xdr:col>
      <xdr:colOff>10582</xdr:colOff>
      <xdr:row>16</xdr:row>
      <xdr:rowOff>190500</xdr:rowOff>
    </xdr:to>
    <xdr:sp macro="" textlink="">
      <xdr:nvSpPr>
        <xdr:cNvPr id="114876" name="Line 28"/>
        <xdr:cNvSpPr>
          <a:spLocks noChangeShapeType="1"/>
        </xdr:cNvSpPr>
      </xdr:nvSpPr>
      <xdr:spPr bwMode="auto">
        <a:xfrm>
          <a:off x="5163608" y="2899833"/>
          <a:ext cx="868891" cy="518584"/>
        </a:xfrm>
        <a:prstGeom prst="line">
          <a:avLst/>
        </a:prstGeom>
        <a:noFill/>
        <a:ln w="19050">
          <a:solidFill>
            <a:srgbClr val="FF0000"/>
          </a:solidFill>
          <a:round/>
          <a:headEnd/>
          <a:tailEnd type="triangle" w="med" len="med"/>
        </a:ln>
      </xdr:spPr>
    </xdr:sp>
    <xdr:clientData/>
  </xdr:twoCellAnchor>
  <xdr:twoCellAnchor>
    <xdr:from>
      <xdr:col>5</xdr:col>
      <xdr:colOff>0</xdr:colOff>
      <xdr:row>16</xdr:row>
      <xdr:rowOff>190500</xdr:rowOff>
    </xdr:from>
    <xdr:to>
      <xdr:col>9</xdr:col>
      <xdr:colOff>266700</xdr:colOff>
      <xdr:row>16</xdr:row>
      <xdr:rowOff>190500</xdr:rowOff>
    </xdr:to>
    <xdr:sp macro="" textlink="">
      <xdr:nvSpPr>
        <xdr:cNvPr id="114877" name="Line 29"/>
        <xdr:cNvSpPr>
          <a:spLocks noChangeShapeType="1"/>
        </xdr:cNvSpPr>
      </xdr:nvSpPr>
      <xdr:spPr bwMode="auto">
        <a:xfrm flipH="1">
          <a:off x="3069167" y="3418417"/>
          <a:ext cx="2933700" cy="0"/>
        </a:xfrm>
        <a:prstGeom prst="line">
          <a:avLst/>
        </a:prstGeom>
        <a:noFill/>
        <a:ln w="9525">
          <a:solidFill>
            <a:srgbClr val="000000"/>
          </a:solidFill>
          <a:round/>
          <a:headEnd/>
          <a:tailEnd type="triangle" w="med" len="med"/>
        </a:ln>
      </xdr:spPr>
    </xdr:sp>
    <xdr:clientData/>
  </xdr:twoCellAnchor>
  <xdr:twoCellAnchor>
    <xdr:from>
      <xdr:col>10</xdr:col>
      <xdr:colOff>814916</xdr:colOff>
      <xdr:row>14</xdr:row>
      <xdr:rowOff>0</xdr:rowOff>
    </xdr:from>
    <xdr:to>
      <xdr:col>12</xdr:col>
      <xdr:colOff>508000</xdr:colOff>
      <xdr:row>18</xdr:row>
      <xdr:rowOff>10583</xdr:rowOff>
    </xdr:to>
    <xdr:sp macro="" textlink="">
      <xdr:nvSpPr>
        <xdr:cNvPr id="114879" name="Line 31"/>
        <xdr:cNvSpPr>
          <a:spLocks noChangeShapeType="1"/>
        </xdr:cNvSpPr>
      </xdr:nvSpPr>
      <xdr:spPr bwMode="auto">
        <a:xfrm>
          <a:off x="6836833" y="2899833"/>
          <a:ext cx="1026584" cy="846667"/>
        </a:xfrm>
        <a:prstGeom prst="line">
          <a:avLst/>
        </a:prstGeom>
        <a:noFill/>
        <a:ln w="19050">
          <a:solidFill>
            <a:srgbClr val="FF0000"/>
          </a:solidFill>
          <a:round/>
          <a:headEnd/>
          <a:tailEnd type="triangle" w="med" len="med"/>
        </a:ln>
      </xdr:spPr>
    </xdr:sp>
    <xdr:clientData/>
  </xdr:twoCellAnchor>
  <xdr:twoCellAnchor>
    <xdr:from>
      <xdr:col>12</xdr:col>
      <xdr:colOff>495300</xdr:colOff>
      <xdr:row>19</xdr:row>
      <xdr:rowOff>0</xdr:rowOff>
    </xdr:from>
    <xdr:to>
      <xdr:col>12</xdr:col>
      <xdr:colOff>495300</xdr:colOff>
      <xdr:row>19</xdr:row>
      <xdr:rowOff>161925</xdr:rowOff>
    </xdr:to>
    <xdr:sp macro="" textlink="">
      <xdr:nvSpPr>
        <xdr:cNvPr id="114880" name="Line 35"/>
        <xdr:cNvSpPr>
          <a:spLocks noChangeShapeType="1"/>
        </xdr:cNvSpPr>
      </xdr:nvSpPr>
      <xdr:spPr bwMode="auto">
        <a:xfrm>
          <a:off x="7791450" y="4191000"/>
          <a:ext cx="0" cy="161925"/>
        </a:xfrm>
        <a:prstGeom prst="line">
          <a:avLst/>
        </a:prstGeom>
        <a:noFill/>
        <a:ln w="9525">
          <a:solidFill>
            <a:srgbClr val="000000"/>
          </a:solidFill>
          <a:round/>
          <a:headEnd/>
          <a:tailEnd type="triangle" w="med" len="med"/>
        </a:ln>
      </xdr:spPr>
    </xdr:sp>
    <xdr:clientData/>
  </xdr:twoCellAnchor>
  <xdr:twoCellAnchor>
    <xdr:from>
      <xdr:col>10</xdr:col>
      <xdr:colOff>506941</xdr:colOff>
      <xdr:row>18</xdr:row>
      <xdr:rowOff>314325</xdr:rowOff>
    </xdr:from>
    <xdr:to>
      <xdr:col>10</xdr:col>
      <xdr:colOff>506941</xdr:colOff>
      <xdr:row>19</xdr:row>
      <xdr:rowOff>152400</xdr:rowOff>
    </xdr:to>
    <xdr:sp macro="" textlink="">
      <xdr:nvSpPr>
        <xdr:cNvPr id="114881" name="Line 36"/>
        <xdr:cNvSpPr>
          <a:spLocks noChangeShapeType="1"/>
        </xdr:cNvSpPr>
      </xdr:nvSpPr>
      <xdr:spPr bwMode="auto">
        <a:xfrm>
          <a:off x="6528858" y="4050242"/>
          <a:ext cx="0" cy="166158"/>
        </a:xfrm>
        <a:prstGeom prst="line">
          <a:avLst/>
        </a:prstGeom>
        <a:noFill/>
        <a:ln w="9525">
          <a:solidFill>
            <a:srgbClr val="000000"/>
          </a:solidFill>
          <a:round/>
          <a:headEnd/>
          <a:tailEnd type="triangle" w="med" len="med"/>
        </a:ln>
      </xdr:spPr>
    </xdr:sp>
    <xdr:clientData/>
  </xdr:twoCellAnchor>
  <xdr:twoCellAnchor>
    <xdr:from>
      <xdr:col>10</xdr:col>
      <xdr:colOff>1038225</xdr:colOff>
      <xdr:row>18</xdr:row>
      <xdr:rowOff>171450</xdr:rowOff>
    </xdr:from>
    <xdr:to>
      <xdr:col>11</xdr:col>
      <xdr:colOff>276225</xdr:colOff>
      <xdr:row>18</xdr:row>
      <xdr:rowOff>171450</xdr:rowOff>
    </xdr:to>
    <xdr:sp macro="" textlink="">
      <xdr:nvSpPr>
        <xdr:cNvPr id="114882" name="Line 37"/>
        <xdr:cNvSpPr>
          <a:spLocks noChangeShapeType="1"/>
        </xdr:cNvSpPr>
      </xdr:nvSpPr>
      <xdr:spPr bwMode="auto">
        <a:xfrm flipH="1">
          <a:off x="7000875" y="4038600"/>
          <a:ext cx="285750" cy="0"/>
        </a:xfrm>
        <a:prstGeom prst="line">
          <a:avLst/>
        </a:prstGeom>
        <a:noFill/>
        <a:ln w="19050">
          <a:solidFill>
            <a:srgbClr val="FF0000"/>
          </a:solidFill>
          <a:round/>
          <a:headEnd/>
          <a:tailEnd type="triangle" w="med" len="med"/>
        </a:ln>
      </xdr:spPr>
    </xdr:sp>
    <xdr:clientData/>
  </xdr:twoCellAnchor>
  <xdr:twoCellAnchor>
    <xdr:from>
      <xdr:col>9</xdr:col>
      <xdr:colOff>0</xdr:colOff>
      <xdr:row>18</xdr:row>
      <xdr:rowOff>161925</xdr:rowOff>
    </xdr:from>
    <xdr:to>
      <xdr:col>10</xdr:col>
      <xdr:colOff>0</xdr:colOff>
      <xdr:row>18</xdr:row>
      <xdr:rowOff>161925</xdr:rowOff>
    </xdr:to>
    <xdr:sp macro="" textlink="">
      <xdr:nvSpPr>
        <xdr:cNvPr id="114883" name="Line 38"/>
        <xdr:cNvSpPr>
          <a:spLocks noChangeShapeType="1"/>
        </xdr:cNvSpPr>
      </xdr:nvSpPr>
      <xdr:spPr bwMode="auto">
        <a:xfrm>
          <a:off x="5676900" y="4029075"/>
          <a:ext cx="285750" cy="0"/>
        </a:xfrm>
        <a:prstGeom prst="line">
          <a:avLst/>
        </a:prstGeom>
        <a:noFill/>
        <a:ln w="19050">
          <a:solidFill>
            <a:srgbClr val="FF0000"/>
          </a:solidFill>
          <a:round/>
          <a:headEnd/>
          <a:tailEnd type="triangle" w="med" len="med"/>
        </a:ln>
      </xdr:spPr>
    </xdr:sp>
    <xdr:clientData/>
  </xdr:twoCellAnchor>
  <xdr:twoCellAnchor>
    <xdr:from>
      <xdr:col>4</xdr:col>
      <xdr:colOff>495300</xdr:colOff>
      <xdr:row>14</xdr:row>
      <xdr:rowOff>10584</xdr:rowOff>
    </xdr:from>
    <xdr:to>
      <xdr:col>4</xdr:col>
      <xdr:colOff>495300</xdr:colOff>
      <xdr:row>15</xdr:row>
      <xdr:rowOff>162984</xdr:rowOff>
    </xdr:to>
    <xdr:sp macro="" textlink="">
      <xdr:nvSpPr>
        <xdr:cNvPr id="37" name="Line 23"/>
        <xdr:cNvSpPr>
          <a:spLocks noChangeShapeType="1"/>
        </xdr:cNvSpPr>
      </xdr:nvSpPr>
      <xdr:spPr bwMode="auto">
        <a:xfrm>
          <a:off x="2516717" y="2910417"/>
          <a:ext cx="0" cy="311150"/>
        </a:xfrm>
        <a:prstGeom prst="line">
          <a:avLst/>
        </a:prstGeom>
        <a:noFill/>
        <a:ln w="9525">
          <a:solidFill>
            <a:srgbClr val="000000"/>
          </a:solidFill>
          <a:round/>
          <a:headEnd/>
          <a:tailEnd type="triangle" w="med" len="med"/>
        </a:ln>
      </xdr:spPr>
    </xdr:sp>
    <xdr:clientData/>
  </xdr:twoCellAnchor>
  <xdr:twoCellAnchor>
    <xdr:from>
      <xdr:col>4</xdr:col>
      <xdr:colOff>1037166</xdr:colOff>
      <xdr:row>8</xdr:row>
      <xdr:rowOff>158749</xdr:rowOff>
    </xdr:from>
    <xdr:to>
      <xdr:col>5</xdr:col>
      <xdr:colOff>275166</xdr:colOff>
      <xdr:row>8</xdr:row>
      <xdr:rowOff>161924</xdr:rowOff>
    </xdr:to>
    <xdr:sp macro="" textlink="">
      <xdr:nvSpPr>
        <xdr:cNvPr id="38" name="Line 15"/>
        <xdr:cNvSpPr>
          <a:spLocks noChangeShapeType="1"/>
        </xdr:cNvSpPr>
      </xdr:nvSpPr>
      <xdr:spPr bwMode="auto">
        <a:xfrm flipH="1" flipV="1">
          <a:off x="3058583" y="1576916"/>
          <a:ext cx="285750" cy="3175"/>
        </a:xfrm>
        <a:prstGeom prst="line">
          <a:avLst/>
        </a:prstGeom>
        <a:noFill/>
        <a:ln w="9525">
          <a:solidFill>
            <a:srgbClr val="000000"/>
          </a:solidFill>
          <a:round/>
          <a:headEnd/>
          <a:tailEnd type="triangle" w="med" len="med"/>
        </a:ln>
      </xdr:spPr>
    </xdr:sp>
    <xdr:clientData/>
  </xdr:twoCellAnchor>
  <xdr:twoCellAnchor>
    <xdr:from>
      <xdr:col>8</xdr:col>
      <xdr:colOff>505882</xdr:colOff>
      <xdr:row>7</xdr:row>
      <xdr:rowOff>0</xdr:rowOff>
    </xdr:from>
    <xdr:to>
      <xdr:col>8</xdr:col>
      <xdr:colOff>505882</xdr:colOff>
      <xdr:row>7</xdr:row>
      <xdr:rowOff>148166</xdr:rowOff>
    </xdr:to>
    <xdr:sp macro="" textlink="">
      <xdr:nvSpPr>
        <xdr:cNvPr id="39" name="Line 12"/>
        <xdr:cNvSpPr>
          <a:spLocks noChangeShapeType="1"/>
        </xdr:cNvSpPr>
      </xdr:nvSpPr>
      <xdr:spPr bwMode="auto">
        <a:xfrm>
          <a:off x="5194299" y="1248833"/>
          <a:ext cx="0" cy="148166"/>
        </a:xfrm>
        <a:prstGeom prst="line">
          <a:avLst/>
        </a:prstGeom>
        <a:noFill/>
        <a:ln w="9525">
          <a:solidFill>
            <a:srgbClr val="000000"/>
          </a:solidFill>
          <a:round/>
          <a:headEnd/>
          <a:tailEnd type="triangle" w="med" len="med"/>
        </a:ln>
      </xdr:spPr>
    </xdr:sp>
    <xdr:clientData/>
  </xdr:twoCellAnchor>
</xdr:wsDr>
</file>

<file path=xl/drawings/drawing40.xml><?xml version="1.0" encoding="utf-8"?>
<xdr:wsDr xmlns:xdr="http://schemas.openxmlformats.org/drawingml/2006/spreadsheetDrawing" xmlns:a="http://schemas.openxmlformats.org/drawingml/2006/main">
  <xdr:twoCellAnchor>
    <xdr:from>
      <xdr:col>8</xdr:col>
      <xdr:colOff>514350</xdr:colOff>
      <xdr:row>5</xdr:row>
      <xdr:rowOff>7409</xdr:rowOff>
    </xdr:from>
    <xdr:to>
      <xdr:col>8</xdr:col>
      <xdr:colOff>514350</xdr:colOff>
      <xdr:row>12</xdr:row>
      <xdr:rowOff>10583</xdr:rowOff>
    </xdr:to>
    <xdr:sp macro="" textlink="">
      <xdr:nvSpPr>
        <xdr:cNvPr id="116833" name="Line 1"/>
        <xdr:cNvSpPr>
          <a:spLocks noChangeShapeType="1"/>
        </xdr:cNvSpPr>
      </xdr:nvSpPr>
      <xdr:spPr bwMode="auto">
        <a:xfrm>
          <a:off x="5202767" y="758826"/>
          <a:ext cx="0" cy="1664757"/>
        </a:xfrm>
        <a:prstGeom prst="line">
          <a:avLst/>
        </a:prstGeom>
        <a:noFill/>
        <a:ln w="19050">
          <a:solidFill>
            <a:srgbClr val="FF0000"/>
          </a:solidFill>
          <a:round/>
          <a:headEnd/>
          <a:tailEnd type="triangle" w="med" len="med"/>
        </a:ln>
      </xdr:spPr>
    </xdr:sp>
    <xdr:clientData/>
  </xdr:twoCellAnchor>
  <xdr:twoCellAnchor>
    <xdr:from>
      <xdr:col>8</xdr:col>
      <xdr:colOff>514350</xdr:colOff>
      <xdr:row>12</xdr:row>
      <xdr:rowOff>324908</xdr:rowOff>
    </xdr:from>
    <xdr:to>
      <xdr:col>8</xdr:col>
      <xdr:colOff>514350</xdr:colOff>
      <xdr:row>14</xdr:row>
      <xdr:rowOff>3174</xdr:rowOff>
    </xdr:to>
    <xdr:sp macro="" textlink="">
      <xdr:nvSpPr>
        <xdr:cNvPr id="116834" name="Line 2"/>
        <xdr:cNvSpPr>
          <a:spLocks noChangeShapeType="1"/>
        </xdr:cNvSpPr>
      </xdr:nvSpPr>
      <xdr:spPr bwMode="auto">
        <a:xfrm flipH="1">
          <a:off x="5202767" y="2737908"/>
          <a:ext cx="0" cy="175683"/>
        </a:xfrm>
        <a:prstGeom prst="line">
          <a:avLst/>
        </a:prstGeom>
        <a:noFill/>
        <a:ln w="19050">
          <a:solidFill>
            <a:srgbClr val="FF0000"/>
          </a:solidFill>
          <a:round/>
          <a:headEnd/>
          <a:tailEnd type="triangle" w="med" len="med"/>
        </a:ln>
      </xdr:spPr>
    </xdr:sp>
    <xdr:clientData/>
  </xdr:twoCellAnchor>
  <xdr:twoCellAnchor>
    <xdr:from>
      <xdr:col>9</xdr:col>
      <xdr:colOff>0</xdr:colOff>
      <xdr:row>14</xdr:row>
      <xdr:rowOff>152400</xdr:rowOff>
    </xdr:from>
    <xdr:to>
      <xdr:col>10</xdr:col>
      <xdr:colOff>9525</xdr:colOff>
      <xdr:row>14</xdr:row>
      <xdr:rowOff>152400</xdr:rowOff>
    </xdr:to>
    <xdr:sp macro="" textlink="">
      <xdr:nvSpPr>
        <xdr:cNvPr id="116835" name="Line 3"/>
        <xdr:cNvSpPr>
          <a:spLocks noChangeShapeType="1"/>
        </xdr:cNvSpPr>
      </xdr:nvSpPr>
      <xdr:spPr bwMode="auto">
        <a:xfrm>
          <a:off x="5676900" y="3181350"/>
          <a:ext cx="295275" cy="0"/>
        </a:xfrm>
        <a:prstGeom prst="line">
          <a:avLst/>
        </a:prstGeom>
        <a:noFill/>
        <a:ln w="9525">
          <a:solidFill>
            <a:srgbClr val="000000"/>
          </a:solidFill>
          <a:round/>
          <a:headEnd/>
          <a:tailEnd type="triangle" w="med" len="med"/>
        </a:ln>
      </xdr:spPr>
    </xdr:sp>
    <xdr:clientData/>
  </xdr:twoCellAnchor>
  <xdr:twoCellAnchor>
    <xdr:from>
      <xdr:col>4</xdr:col>
      <xdr:colOff>1046691</xdr:colOff>
      <xdr:row>8</xdr:row>
      <xdr:rowOff>148166</xdr:rowOff>
    </xdr:from>
    <xdr:to>
      <xdr:col>5</xdr:col>
      <xdr:colOff>285749</xdr:colOff>
      <xdr:row>8</xdr:row>
      <xdr:rowOff>152400</xdr:rowOff>
    </xdr:to>
    <xdr:sp macro="" textlink="">
      <xdr:nvSpPr>
        <xdr:cNvPr id="116836" name="Line 4"/>
        <xdr:cNvSpPr>
          <a:spLocks noChangeShapeType="1"/>
        </xdr:cNvSpPr>
      </xdr:nvSpPr>
      <xdr:spPr bwMode="auto">
        <a:xfrm flipH="1">
          <a:off x="3068108" y="1566333"/>
          <a:ext cx="286808" cy="4234"/>
        </a:xfrm>
        <a:prstGeom prst="line">
          <a:avLst/>
        </a:prstGeom>
        <a:noFill/>
        <a:ln w="9525">
          <a:solidFill>
            <a:srgbClr val="000000"/>
          </a:solidFill>
          <a:round/>
          <a:headEnd/>
          <a:tailEnd type="triangle" w="med" len="med"/>
        </a:ln>
      </xdr:spPr>
    </xdr:sp>
    <xdr:clientData/>
  </xdr:twoCellAnchor>
  <xdr:twoCellAnchor>
    <xdr:from>
      <xdr:col>2</xdr:col>
      <xdr:colOff>1038225</xdr:colOff>
      <xdr:row>6</xdr:row>
      <xdr:rowOff>190500</xdr:rowOff>
    </xdr:from>
    <xdr:to>
      <xdr:col>4</xdr:col>
      <xdr:colOff>10583</xdr:colOff>
      <xdr:row>8</xdr:row>
      <xdr:rowOff>158750</xdr:rowOff>
    </xdr:to>
    <xdr:sp macro="" textlink="">
      <xdr:nvSpPr>
        <xdr:cNvPr id="116837" name="Line 5"/>
        <xdr:cNvSpPr>
          <a:spLocks noChangeShapeType="1"/>
        </xdr:cNvSpPr>
      </xdr:nvSpPr>
      <xdr:spPr bwMode="auto">
        <a:xfrm>
          <a:off x="1726142" y="1111250"/>
          <a:ext cx="305858" cy="465667"/>
        </a:xfrm>
        <a:prstGeom prst="line">
          <a:avLst/>
        </a:prstGeom>
        <a:noFill/>
        <a:ln w="9525">
          <a:solidFill>
            <a:srgbClr val="000000"/>
          </a:solidFill>
          <a:round/>
          <a:headEnd/>
          <a:tailEnd type="triangle" w="med" len="med"/>
        </a:ln>
      </xdr:spPr>
    </xdr:sp>
    <xdr:clientData/>
  </xdr:twoCellAnchor>
  <xdr:twoCellAnchor>
    <xdr:from>
      <xdr:col>2</xdr:col>
      <xdr:colOff>505883</xdr:colOff>
      <xdr:row>8</xdr:row>
      <xdr:rowOff>172508</xdr:rowOff>
    </xdr:from>
    <xdr:to>
      <xdr:col>3</xdr:col>
      <xdr:colOff>277283</xdr:colOff>
      <xdr:row>13</xdr:row>
      <xdr:rowOff>153458</xdr:rowOff>
    </xdr:to>
    <xdr:sp macro="" textlink="">
      <xdr:nvSpPr>
        <xdr:cNvPr id="116838" name="Line 6"/>
        <xdr:cNvSpPr>
          <a:spLocks noChangeShapeType="1"/>
        </xdr:cNvSpPr>
      </xdr:nvSpPr>
      <xdr:spPr bwMode="auto">
        <a:xfrm flipV="1">
          <a:off x="1193800" y="1590675"/>
          <a:ext cx="819150" cy="1303866"/>
        </a:xfrm>
        <a:prstGeom prst="line">
          <a:avLst/>
        </a:prstGeom>
        <a:noFill/>
        <a:ln w="9525">
          <a:solidFill>
            <a:srgbClr val="000000"/>
          </a:solidFill>
          <a:round/>
          <a:headEnd/>
          <a:tailEnd type="triangle" w="med" len="med"/>
        </a:ln>
      </xdr:spPr>
    </xdr:sp>
    <xdr:clientData/>
  </xdr:twoCellAnchor>
  <xdr:twoCellAnchor>
    <xdr:from>
      <xdr:col>2</xdr:col>
      <xdr:colOff>504825</xdr:colOff>
      <xdr:row>5</xdr:row>
      <xdr:rowOff>0</xdr:rowOff>
    </xdr:from>
    <xdr:to>
      <xdr:col>2</xdr:col>
      <xdr:colOff>504825</xdr:colOff>
      <xdr:row>5</xdr:row>
      <xdr:rowOff>161925</xdr:rowOff>
    </xdr:to>
    <xdr:sp macro="" textlink="">
      <xdr:nvSpPr>
        <xdr:cNvPr id="116839" name="Line 7"/>
        <xdr:cNvSpPr>
          <a:spLocks noChangeShapeType="1"/>
        </xdr:cNvSpPr>
      </xdr:nvSpPr>
      <xdr:spPr bwMode="auto">
        <a:xfrm flipV="1">
          <a:off x="1133475" y="876300"/>
          <a:ext cx="0" cy="161925"/>
        </a:xfrm>
        <a:prstGeom prst="line">
          <a:avLst/>
        </a:prstGeom>
        <a:noFill/>
        <a:ln w="9525">
          <a:solidFill>
            <a:srgbClr val="000000"/>
          </a:solidFill>
          <a:round/>
          <a:headEnd/>
          <a:tailEnd type="triangle" w="med" len="med"/>
        </a:ln>
      </xdr:spPr>
    </xdr:sp>
    <xdr:clientData/>
  </xdr:twoCellAnchor>
  <xdr:twoCellAnchor>
    <xdr:from>
      <xdr:col>8</xdr:col>
      <xdr:colOff>543983</xdr:colOff>
      <xdr:row>10</xdr:row>
      <xdr:rowOff>152400</xdr:rowOff>
    </xdr:from>
    <xdr:to>
      <xdr:col>9</xdr:col>
      <xdr:colOff>277283</xdr:colOff>
      <xdr:row>11</xdr:row>
      <xdr:rowOff>142875</xdr:rowOff>
    </xdr:to>
    <xdr:sp macro="" textlink="">
      <xdr:nvSpPr>
        <xdr:cNvPr id="116840" name="Line 8"/>
        <xdr:cNvSpPr>
          <a:spLocks noChangeShapeType="1"/>
        </xdr:cNvSpPr>
      </xdr:nvSpPr>
      <xdr:spPr bwMode="auto">
        <a:xfrm flipV="1">
          <a:off x="5232400" y="2067983"/>
          <a:ext cx="781050" cy="318559"/>
        </a:xfrm>
        <a:prstGeom prst="line">
          <a:avLst/>
        </a:prstGeom>
        <a:noFill/>
        <a:ln w="9525">
          <a:solidFill>
            <a:srgbClr val="000000"/>
          </a:solidFill>
          <a:round/>
          <a:headEnd/>
          <a:tailEnd type="triangle" w="med" len="med"/>
        </a:ln>
      </xdr:spPr>
    </xdr:sp>
    <xdr:clientData/>
  </xdr:twoCellAnchor>
  <xdr:twoCellAnchor>
    <xdr:from>
      <xdr:col>9</xdr:col>
      <xdr:colOff>9525</xdr:colOff>
      <xdr:row>16</xdr:row>
      <xdr:rowOff>152400</xdr:rowOff>
    </xdr:from>
    <xdr:to>
      <xdr:col>9</xdr:col>
      <xdr:colOff>276225</xdr:colOff>
      <xdr:row>16</xdr:row>
      <xdr:rowOff>152400</xdr:rowOff>
    </xdr:to>
    <xdr:sp macro="" textlink="">
      <xdr:nvSpPr>
        <xdr:cNvPr id="116841" name="Line 9"/>
        <xdr:cNvSpPr>
          <a:spLocks noChangeShapeType="1"/>
        </xdr:cNvSpPr>
      </xdr:nvSpPr>
      <xdr:spPr bwMode="auto">
        <a:xfrm>
          <a:off x="5686425" y="3676650"/>
          <a:ext cx="266700" cy="0"/>
        </a:xfrm>
        <a:prstGeom prst="line">
          <a:avLst/>
        </a:prstGeom>
        <a:noFill/>
        <a:ln w="9525">
          <a:solidFill>
            <a:srgbClr val="000000"/>
          </a:solidFill>
          <a:round/>
          <a:headEnd/>
          <a:tailEnd type="triangle" w="med" len="med"/>
        </a:ln>
      </xdr:spPr>
    </xdr:sp>
    <xdr:clientData/>
  </xdr:twoCellAnchor>
  <xdr:twoCellAnchor>
    <xdr:from>
      <xdr:col>6</xdr:col>
      <xdr:colOff>495300</xdr:colOff>
      <xdr:row>15</xdr:row>
      <xdr:rowOff>6350</xdr:rowOff>
    </xdr:from>
    <xdr:to>
      <xdr:col>6</xdr:col>
      <xdr:colOff>495300</xdr:colOff>
      <xdr:row>15</xdr:row>
      <xdr:rowOff>162983</xdr:rowOff>
    </xdr:to>
    <xdr:sp macro="" textlink="">
      <xdr:nvSpPr>
        <xdr:cNvPr id="116842" name="Line 10"/>
        <xdr:cNvSpPr>
          <a:spLocks noChangeShapeType="1"/>
        </xdr:cNvSpPr>
      </xdr:nvSpPr>
      <xdr:spPr bwMode="auto">
        <a:xfrm>
          <a:off x="3850217" y="3244850"/>
          <a:ext cx="0" cy="156633"/>
        </a:xfrm>
        <a:prstGeom prst="line">
          <a:avLst/>
        </a:prstGeom>
        <a:noFill/>
        <a:ln w="19050">
          <a:solidFill>
            <a:srgbClr val="FF0000"/>
          </a:solidFill>
          <a:round/>
          <a:headEnd/>
          <a:tailEnd type="triangle" w="med" len="med"/>
        </a:ln>
      </xdr:spPr>
    </xdr:sp>
    <xdr:clientData/>
  </xdr:twoCellAnchor>
  <xdr:twoCellAnchor>
    <xdr:from>
      <xdr:col>7</xdr:col>
      <xdr:colOff>0</xdr:colOff>
      <xdr:row>12</xdr:row>
      <xdr:rowOff>171450</xdr:rowOff>
    </xdr:from>
    <xdr:to>
      <xdr:col>8</xdr:col>
      <xdr:colOff>0</xdr:colOff>
      <xdr:row>12</xdr:row>
      <xdr:rowOff>171450</xdr:rowOff>
    </xdr:to>
    <xdr:sp macro="" textlink="">
      <xdr:nvSpPr>
        <xdr:cNvPr id="116843" name="Line 11"/>
        <xdr:cNvSpPr>
          <a:spLocks noChangeShapeType="1"/>
        </xdr:cNvSpPr>
      </xdr:nvSpPr>
      <xdr:spPr bwMode="auto">
        <a:xfrm flipH="1">
          <a:off x="4343400" y="2705100"/>
          <a:ext cx="285750" cy="0"/>
        </a:xfrm>
        <a:prstGeom prst="line">
          <a:avLst/>
        </a:prstGeom>
        <a:noFill/>
        <a:ln w="19050">
          <a:solidFill>
            <a:srgbClr val="FF0000"/>
          </a:solidFill>
          <a:round/>
          <a:headEnd/>
          <a:tailEnd type="triangle" w="med" len="med"/>
        </a:ln>
      </xdr:spPr>
    </xdr:sp>
    <xdr:clientData/>
  </xdr:twoCellAnchor>
  <xdr:twoCellAnchor>
    <xdr:from>
      <xdr:col>4</xdr:col>
      <xdr:colOff>1046692</xdr:colOff>
      <xdr:row>12</xdr:row>
      <xdr:rowOff>161925</xdr:rowOff>
    </xdr:from>
    <xdr:to>
      <xdr:col>5</xdr:col>
      <xdr:colOff>265642</xdr:colOff>
      <xdr:row>12</xdr:row>
      <xdr:rowOff>161925</xdr:rowOff>
    </xdr:to>
    <xdr:sp macro="" textlink="">
      <xdr:nvSpPr>
        <xdr:cNvPr id="116844" name="Line 12"/>
        <xdr:cNvSpPr>
          <a:spLocks noChangeShapeType="1"/>
        </xdr:cNvSpPr>
      </xdr:nvSpPr>
      <xdr:spPr bwMode="auto">
        <a:xfrm flipH="1">
          <a:off x="3068109" y="2574925"/>
          <a:ext cx="266700" cy="0"/>
        </a:xfrm>
        <a:prstGeom prst="line">
          <a:avLst/>
        </a:prstGeom>
        <a:noFill/>
        <a:ln w="9525">
          <a:solidFill>
            <a:srgbClr val="000000"/>
          </a:solidFill>
          <a:round/>
          <a:headEnd/>
          <a:tailEnd type="triangle" w="med" len="med"/>
        </a:ln>
      </xdr:spPr>
    </xdr:sp>
    <xdr:clientData/>
  </xdr:twoCellAnchor>
  <xdr:twoCellAnchor>
    <xdr:from>
      <xdr:col>2</xdr:col>
      <xdr:colOff>505883</xdr:colOff>
      <xdr:row>6</xdr:row>
      <xdr:rowOff>314325</xdr:rowOff>
    </xdr:from>
    <xdr:to>
      <xdr:col>2</xdr:col>
      <xdr:colOff>505883</xdr:colOff>
      <xdr:row>8</xdr:row>
      <xdr:rowOff>0</xdr:rowOff>
    </xdr:to>
    <xdr:sp macro="" textlink="">
      <xdr:nvSpPr>
        <xdr:cNvPr id="116845" name="Line 13"/>
        <xdr:cNvSpPr>
          <a:spLocks noChangeShapeType="1"/>
        </xdr:cNvSpPr>
      </xdr:nvSpPr>
      <xdr:spPr bwMode="auto">
        <a:xfrm>
          <a:off x="1193800" y="1235075"/>
          <a:ext cx="0" cy="183092"/>
        </a:xfrm>
        <a:prstGeom prst="line">
          <a:avLst/>
        </a:prstGeom>
        <a:noFill/>
        <a:ln w="9525">
          <a:solidFill>
            <a:srgbClr val="000000"/>
          </a:solidFill>
          <a:round/>
          <a:headEnd/>
          <a:tailEnd type="triangle" w="med" len="med"/>
        </a:ln>
      </xdr:spPr>
    </xdr:sp>
    <xdr:clientData/>
  </xdr:twoCellAnchor>
  <xdr:twoCellAnchor>
    <xdr:from>
      <xdr:col>9</xdr:col>
      <xdr:colOff>0</xdr:colOff>
      <xdr:row>4</xdr:row>
      <xdr:rowOff>201084</xdr:rowOff>
    </xdr:from>
    <xdr:to>
      <xdr:col>9</xdr:col>
      <xdr:colOff>285749</xdr:colOff>
      <xdr:row>6</xdr:row>
      <xdr:rowOff>179917</xdr:rowOff>
    </xdr:to>
    <xdr:sp macro="" textlink="">
      <xdr:nvSpPr>
        <xdr:cNvPr id="116846" name="Line 14"/>
        <xdr:cNvSpPr>
          <a:spLocks noChangeShapeType="1"/>
        </xdr:cNvSpPr>
      </xdr:nvSpPr>
      <xdr:spPr bwMode="auto">
        <a:xfrm>
          <a:off x="5736167" y="624417"/>
          <a:ext cx="285749" cy="476250"/>
        </a:xfrm>
        <a:prstGeom prst="line">
          <a:avLst/>
        </a:prstGeom>
        <a:noFill/>
        <a:ln w="9525">
          <a:solidFill>
            <a:srgbClr val="000000"/>
          </a:solidFill>
          <a:round/>
          <a:headEnd/>
          <a:tailEnd type="triangle" w="med" len="med"/>
        </a:ln>
      </xdr:spPr>
    </xdr:sp>
    <xdr:clientData/>
  </xdr:twoCellAnchor>
  <xdr:twoCellAnchor>
    <xdr:from>
      <xdr:col>9</xdr:col>
      <xdr:colOff>8467</xdr:colOff>
      <xdr:row>12</xdr:row>
      <xdr:rowOff>171450</xdr:rowOff>
    </xdr:from>
    <xdr:to>
      <xdr:col>9</xdr:col>
      <xdr:colOff>275167</xdr:colOff>
      <xdr:row>12</xdr:row>
      <xdr:rowOff>171450</xdr:rowOff>
    </xdr:to>
    <xdr:sp macro="" textlink="">
      <xdr:nvSpPr>
        <xdr:cNvPr id="116847" name="Line 16"/>
        <xdr:cNvSpPr>
          <a:spLocks noChangeShapeType="1"/>
        </xdr:cNvSpPr>
      </xdr:nvSpPr>
      <xdr:spPr bwMode="auto">
        <a:xfrm>
          <a:off x="5744634" y="2584450"/>
          <a:ext cx="266700" cy="0"/>
        </a:xfrm>
        <a:prstGeom prst="line">
          <a:avLst/>
        </a:prstGeom>
        <a:noFill/>
        <a:ln w="9525">
          <a:solidFill>
            <a:srgbClr val="000000"/>
          </a:solidFill>
          <a:round/>
          <a:headEnd/>
          <a:tailEnd type="triangle" w="med" len="med"/>
        </a:ln>
      </xdr:spPr>
    </xdr:sp>
    <xdr:clientData/>
  </xdr:twoCellAnchor>
  <xdr:twoCellAnchor>
    <xdr:from>
      <xdr:col>10</xdr:col>
      <xdr:colOff>533400</xdr:colOff>
      <xdr:row>13</xdr:row>
      <xdr:rowOff>0</xdr:rowOff>
    </xdr:from>
    <xdr:to>
      <xdr:col>10</xdr:col>
      <xdr:colOff>533400</xdr:colOff>
      <xdr:row>14</xdr:row>
      <xdr:rowOff>0</xdr:rowOff>
    </xdr:to>
    <xdr:sp macro="" textlink="">
      <xdr:nvSpPr>
        <xdr:cNvPr id="116848" name="Line 17"/>
        <xdr:cNvSpPr>
          <a:spLocks noChangeShapeType="1"/>
        </xdr:cNvSpPr>
      </xdr:nvSpPr>
      <xdr:spPr bwMode="auto">
        <a:xfrm>
          <a:off x="6496050" y="2857500"/>
          <a:ext cx="0" cy="171450"/>
        </a:xfrm>
        <a:prstGeom prst="line">
          <a:avLst/>
        </a:prstGeom>
        <a:noFill/>
        <a:ln w="9525">
          <a:solidFill>
            <a:srgbClr val="000000"/>
          </a:solidFill>
          <a:round/>
          <a:headEnd/>
          <a:tailEnd type="triangle" w="med" len="med"/>
        </a:ln>
      </xdr:spPr>
    </xdr:sp>
    <xdr:clientData/>
  </xdr:twoCellAnchor>
  <xdr:twoCellAnchor>
    <xdr:from>
      <xdr:col>4</xdr:col>
      <xdr:colOff>505883</xdr:colOff>
      <xdr:row>8</xdr:row>
      <xdr:rowOff>304800</xdr:rowOff>
    </xdr:from>
    <xdr:to>
      <xdr:col>4</xdr:col>
      <xdr:colOff>505883</xdr:colOff>
      <xdr:row>9</xdr:row>
      <xdr:rowOff>152400</xdr:rowOff>
    </xdr:to>
    <xdr:sp macro="" textlink="">
      <xdr:nvSpPr>
        <xdr:cNvPr id="116849" name="Line 18"/>
        <xdr:cNvSpPr>
          <a:spLocks noChangeShapeType="1"/>
        </xdr:cNvSpPr>
      </xdr:nvSpPr>
      <xdr:spPr bwMode="auto">
        <a:xfrm flipV="1">
          <a:off x="2527300" y="1722967"/>
          <a:ext cx="0" cy="175683"/>
        </a:xfrm>
        <a:prstGeom prst="line">
          <a:avLst/>
        </a:prstGeom>
        <a:noFill/>
        <a:ln w="9525">
          <a:solidFill>
            <a:srgbClr val="000000"/>
          </a:solidFill>
          <a:round/>
          <a:headEnd/>
          <a:tailEnd type="triangle" w="med" len="med"/>
        </a:ln>
      </xdr:spPr>
    </xdr:sp>
    <xdr:clientData/>
  </xdr:twoCellAnchor>
  <xdr:twoCellAnchor>
    <xdr:from>
      <xdr:col>9</xdr:col>
      <xdr:colOff>0</xdr:colOff>
      <xdr:row>4</xdr:row>
      <xdr:rowOff>133350</xdr:rowOff>
    </xdr:from>
    <xdr:to>
      <xdr:col>10</xdr:col>
      <xdr:colOff>0</xdr:colOff>
      <xdr:row>4</xdr:row>
      <xdr:rowOff>133350</xdr:rowOff>
    </xdr:to>
    <xdr:sp macro="" textlink="">
      <xdr:nvSpPr>
        <xdr:cNvPr id="116850" name="Line 20"/>
        <xdr:cNvSpPr>
          <a:spLocks noChangeShapeType="1"/>
        </xdr:cNvSpPr>
      </xdr:nvSpPr>
      <xdr:spPr bwMode="auto">
        <a:xfrm>
          <a:off x="5736167" y="556683"/>
          <a:ext cx="285750" cy="0"/>
        </a:xfrm>
        <a:prstGeom prst="line">
          <a:avLst/>
        </a:prstGeom>
        <a:noFill/>
        <a:ln w="9525">
          <a:solidFill>
            <a:srgbClr val="000000"/>
          </a:solidFill>
          <a:round/>
          <a:headEnd/>
          <a:tailEnd type="triangle" w="med" len="med"/>
        </a:ln>
      </xdr:spPr>
    </xdr:sp>
    <xdr:clientData/>
  </xdr:twoCellAnchor>
  <xdr:twoCellAnchor>
    <xdr:from>
      <xdr:col>7</xdr:col>
      <xdr:colOff>9525</xdr:colOff>
      <xdr:row>4</xdr:row>
      <xdr:rowOff>152400</xdr:rowOff>
    </xdr:from>
    <xdr:to>
      <xdr:col>7</xdr:col>
      <xdr:colOff>266700</xdr:colOff>
      <xdr:row>4</xdr:row>
      <xdr:rowOff>152400</xdr:rowOff>
    </xdr:to>
    <xdr:sp macro="" textlink="">
      <xdr:nvSpPr>
        <xdr:cNvPr id="116851" name="Line 21"/>
        <xdr:cNvSpPr>
          <a:spLocks noChangeShapeType="1"/>
        </xdr:cNvSpPr>
      </xdr:nvSpPr>
      <xdr:spPr bwMode="auto">
        <a:xfrm flipH="1">
          <a:off x="4352925" y="704850"/>
          <a:ext cx="257175" cy="0"/>
        </a:xfrm>
        <a:prstGeom prst="line">
          <a:avLst/>
        </a:prstGeom>
        <a:noFill/>
        <a:ln w="9525">
          <a:solidFill>
            <a:srgbClr val="000000"/>
          </a:solidFill>
          <a:round/>
          <a:headEnd/>
          <a:tailEnd type="triangle" w="med" len="med"/>
        </a:ln>
      </xdr:spPr>
    </xdr:sp>
    <xdr:clientData/>
  </xdr:twoCellAnchor>
  <xdr:twoCellAnchor>
    <xdr:from>
      <xdr:col>4</xdr:col>
      <xdr:colOff>1038225</xdr:colOff>
      <xdr:row>4</xdr:row>
      <xdr:rowOff>158750</xdr:rowOff>
    </xdr:from>
    <xdr:to>
      <xdr:col>5</xdr:col>
      <xdr:colOff>275166</xdr:colOff>
      <xdr:row>4</xdr:row>
      <xdr:rowOff>161925</xdr:rowOff>
    </xdr:to>
    <xdr:sp macro="" textlink="">
      <xdr:nvSpPr>
        <xdr:cNvPr id="116852" name="Line 22"/>
        <xdr:cNvSpPr>
          <a:spLocks noChangeShapeType="1"/>
        </xdr:cNvSpPr>
      </xdr:nvSpPr>
      <xdr:spPr bwMode="auto">
        <a:xfrm flipH="1">
          <a:off x="3059642" y="582083"/>
          <a:ext cx="284691" cy="3175"/>
        </a:xfrm>
        <a:prstGeom prst="line">
          <a:avLst/>
        </a:prstGeom>
        <a:noFill/>
        <a:ln w="9525">
          <a:solidFill>
            <a:srgbClr val="000000"/>
          </a:solidFill>
          <a:round/>
          <a:headEnd/>
          <a:tailEnd type="triangle" w="med" len="med"/>
        </a:ln>
      </xdr:spPr>
    </xdr:sp>
    <xdr:clientData/>
  </xdr:twoCellAnchor>
  <xdr:twoCellAnchor>
    <xdr:from>
      <xdr:col>4</xdr:col>
      <xdr:colOff>485775</xdr:colOff>
      <xdr:row>5</xdr:row>
      <xdr:rowOff>9525</xdr:rowOff>
    </xdr:from>
    <xdr:to>
      <xdr:col>4</xdr:col>
      <xdr:colOff>485775</xdr:colOff>
      <xdr:row>5</xdr:row>
      <xdr:rowOff>152400</xdr:rowOff>
    </xdr:to>
    <xdr:sp macro="" textlink="">
      <xdr:nvSpPr>
        <xdr:cNvPr id="116853" name="Line 23"/>
        <xdr:cNvSpPr>
          <a:spLocks noChangeShapeType="1"/>
        </xdr:cNvSpPr>
      </xdr:nvSpPr>
      <xdr:spPr bwMode="auto">
        <a:xfrm>
          <a:off x="2447925" y="885825"/>
          <a:ext cx="0" cy="142875"/>
        </a:xfrm>
        <a:prstGeom prst="line">
          <a:avLst/>
        </a:prstGeom>
        <a:noFill/>
        <a:ln w="9525">
          <a:solidFill>
            <a:srgbClr val="000000"/>
          </a:solidFill>
          <a:round/>
          <a:headEnd/>
          <a:tailEnd type="triangle" w="med" len="med"/>
        </a:ln>
      </xdr:spPr>
    </xdr:sp>
    <xdr:clientData/>
  </xdr:twoCellAnchor>
  <xdr:twoCellAnchor>
    <xdr:from>
      <xdr:col>4</xdr:col>
      <xdr:colOff>495300</xdr:colOff>
      <xdr:row>7</xdr:row>
      <xdr:rowOff>0</xdr:rowOff>
    </xdr:from>
    <xdr:to>
      <xdr:col>4</xdr:col>
      <xdr:colOff>495300</xdr:colOff>
      <xdr:row>8</xdr:row>
      <xdr:rowOff>0</xdr:rowOff>
    </xdr:to>
    <xdr:sp macro="" textlink="">
      <xdr:nvSpPr>
        <xdr:cNvPr id="116854" name="Line 24"/>
        <xdr:cNvSpPr>
          <a:spLocks noChangeShapeType="1"/>
        </xdr:cNvSpPr>
      </xdr:nvSpPr>
      <xdr:spPr bwMode="auto">
        <a:xfrm flipV="1">
          <a:off x="2457450" y="1371600"/>
          <a:ext cx="0" cy="171450"/>
        </a:xfrm>
        <a:prstGeom prst="line">
          <a:avLst/>
        </a:prstGeom>
        <a:noFill/>
        <a:ln w="9525">
          <a:solidFill>
            <a:srgbClr val="000000"/>
          </a:solidFill>
          <a:round/>
          <a:headEnd/>
          <a:tailEnd type="triangle" w="med" len="med"/>
        </a:ln>
      </xdr:spPr>
    </xdr:sp>
    <xdr:clientData/>
  </xdr:twoCellAnchor>
  <xdr:twoCellAnchor>
    <xdr:from>
      <xdr:col>4</xdr:col>
      <xdr:colOff>503767</xdr:colOff>
      <xdr:row>11</xdr:row>
      <xdr:rowOff>9525</xdr:rowOff>
    </xdr:from>
    <xdr:to>
      <xdr:col>4</xdr:col>
      <xdr:colOff>503767</xdr:colOff>
      <xdr:row>12</xdr:row>
      <xdr:rowOff>0</xdr:rowOff>
    </xdr:to>
    <xdr:sp macro="" textlink="">
      <xdr:nvSpPr>
        <xdr:cNvPr id="116855" name="Line 25"/>
        <xdr:cNvSpPr>
          <a:spLocks noChangeShapeType="1"/>
        </xdr:cNvSpPr>
      </xdr:nvSpPr>
      <xdr:spPr bwMode="auto">
        <a:xfrm>
          <a:off x="2525184" y="2253192"/>
          <a:ext cx="0" cy="159808"/>
        </a:xfrm>
        <a:prstGeom prst="line">
          <a:avLst/>
        </a:prstGeom>
        <a:noFill/>
        <a:ln w="9525">
          <a:solidFill>
            <a:srgbClr val="000000"/>
          </a:solidFill>
          <a:round/>
          <a:headEnd/>
          <a:tailEnd type="triangle" w="med" len="med"/>
        </a:ln>
      </xdr:spPr>
    </xdr:sp>
    <xdr:clientData/>
  </xdr:twoCellAnchor>
  <xdr:twoCellAnchor>
    <xdr:from>
      <xdr:col>6</xdr:col>
      <xdr:colOff>485775</xdr:colOff>
      <xdr:row>13</xdr:row>
      <xdr:rowOff>10583</xdr:rowOff>
    </xdr:from>
    <xdr:to>
      <xdr:col>6</xdr:col>
      <xdr:colOff>485775</xdr:colOff>
      <xdr:row>13</xdr:row>
      <xdr:rowOff>162983</xdr:rowOff>
    </xdr:to>
    <xdr:sp macro="" textlink="">
      <xdr:nvSpPr>
        <xdr:cNvPr id="116856" name="Line 26"/>
        <xdr:cNvSpPr>
          <a:spLocks noChangeShapeType="1"/>
        </xdr:cNvSpPr>
      </xdr:nvSpPr>
      <xdr:spPr bwMode="auto">
        <a:xfrm>
          <a:off x="3840692" y="2751666"/>
          <a:ext cx="0" cy="152400"/>
        </a:xfrm>
        <a:prstGeom prst="line">
          <a:avLst/>
        </a:prstGeom>
        <a:noFill/>
        <a:ln w="19050">
          <a:solidFill>
            <a:srgbClr val="FF0000"/>
          </a:solidFill>
          <a:round/>
          <a:headEnd/>
          <a:tailEnd type="triangle" w="med" len="med"/>
        </a:ln>
      </xdr:spPr>
    </xdr:sp>
    <xdr:clientData/>
  </xdr:twoCellAnchor>
  <xdr:twoCellAnchor>
    <xdr:from>
      <xdr:col>3</xdr:col>
      <xdr:colOff>9525</xdr:colOff>
      <xdr:row>14</xdr:row>
      <xdr:rowOff>190500</xdr:rowOff>
    </xdr:from>
    <xdr:to>
      <xdr:col>4</xdr:col>
      <xdr:colOff>0</xdr:colOff>
      <xdr:row>14</xdr:row>
      <xdr:rowOff>190500</xdr:rowOff>
    </xdr:to>
    <xdr:sp macro="" textlink="">
      <xdr:nvSpPr>
        <xdr:cNvPr id="116857" name="Line 27"/>
        <xdr:cNvSpPr>
          <a:spLocks noChangeShapeType="1"/>
        </xdr:cNvSpPr>
      </xdr:nvSpPr>
      <xdr:spPr bwMode="auto">
        <a:xfrm>
          <a:off x="1685925" y="3219450"/>
          <a:ext cx="276225" cy="0"/>
        </a:xfrm>
        <a:prstGeom prst="line">
          <a:avLst/>
        </a:prstGeom>
        <a:noFill/>
        <a:ln w="9525">
          <a:solidFill>
            <a:srgbClr val="000000"/>
          </a:solidFill>
          <a:round/>
          <a:headEnd/>
          <a:tailEnd type="triangle" w="med" len="med"/>
        </a:ln>
      </xdr:spPr>
    </xdr:sp>
    <xdr:clientData/>
  </xdr:twoCellAnchor>
  <xdr:twoCellAnchor>
    <xdr:from>
      <xdr:col>4</xdr:col>
      <xdr:colOff>1046692</xdr:colOff>
      <xdr:row>14</xdr:row>
      <xdr:rowOff>180975</xdr:rowOff>
    </xdr:from>
    <xdr:to>
      <xdr:col>5</xdr:col>
      <xdr:colOff>275167</xdr:colOff>
      <xdr:row>14</xdr:row>
      <xdr:rowOff>180975</xdr:rowOff>
    </xdr:to>
    <xdr:sp macro="" textlink="">
      <xdr:nvSpPr>
        <xdr:cNvPr id="116858" name="Line 28"/>
        <xdr:cNvSpPr>
          <a:spLocks noChangeShapeType="1"/>
        </xdr:cNvSpPr>
      </xdr:nvSpPr>
      <xdr:spPr bwMode="auto">
        <a:xfrm flipH="1" flipV="1">
          <a:off x="3068109" y="3091392"/>
          <a:ext cx="276225" cy="0"/>
        </a:xfrm>
        <a:prstGeom prst="line">
          <a:avLst/>
        </a:prstGeom>
        <a:noFill/>
        <a:ln w="9525">
          <a:solidFill>
            <a:srgbClr val="000000"/>
          </a:solidFill>
          <a:round/>
          <a:headEnd/>
          <a:tailEnd type="triangle" w="med" len="med"/>
        </a:ln>
      </xdr:spPr>
    </xdr:sp>
    <xdr:clientData/>
  </xdr:twoCellAnchor>
  <xdr:twoCellAnchor>
    <xdr:from>
      <xdr:col>8</xdr:col>
      <xdr:colOff>504825</xdr:colOff>
      <xdr:row>15</xdr:row>
      <xdr:rowOff>10583</xdr:rowOff>
    </xdr:from>
    <xdr:to>
      <xdr:col>8</xdr:col>
      <xdr:colOff>504825</xdr:colOff>
      <xdr:row>15</xdr:row>
      <xdr:rowOff>162983</xdr:rowOff>
    </xdr:to>
    <xdr:sp macro="" textlink="">
      <xdr:nvSpPr>
        <xdr:cNvPr id="116859" name="Line 29"/>
        <xdr:cNvSpPr>
          <a:spLocks noChangeShapeType="1"/>
        </xdr:cNvSpPr>
      </xdr:nvSpPr>
      <xdr:spPr bwMode="auto">
        <a:xfrm>
          <a:off x="5193242" y="3249083"/>
          <a:ext cx="0" cy="152400"/>
        </a:xfrm>
        <a:prstGeom prst="line">
          <a:avLst/>
        </a:prstGeom>
        <a:noFill/>
        <a:ln w="19050">
          <a:solidFill>
            <a:srgbClr val="FF0000"/>
          </a:solidFill>
          <a:round/>
          <a:headEnd/>
          <a:tailEnd type="triangle" w="med" len="med"/>
        </a:ln>
      </xdr:spPr>
    </xdr:sp>
    <xdr:clientData/>
  </xdr:twoCellAnchor>
  <xdr:twoCellAnchor>
    <xdr:from>
      <xdr:col>6</xdr:col>
      <xdr:colOff>514350</xdr:colOff>
      <xdr:row>17</xdr:row>
      <xdr:rowOff>0</xdr:rowOff>
    </xdr:from>
    <xdr:to>
      <xdr:col>6</xdr:col>
      <xdr:colOff>514350</xdr:colOff>
      <xdr:row>17</xdr:row>
      <xdr:rowOff>161925</xdr:rowOff>
    </xdr:to>
    <xdr:sp macro="" textlink="">
      <xdr:nvSpPr>
        <xdr:cNvPr id="116860" name="Line 30"/>
        <xdr:cNvSpPr>
          <a:spLocks noChangeShapeType="1"/>
        </xdr:cNvSpPr>
      </xdr:nvSpPr>
      <xdr:spPr bwMode="auto">
        <a:xfrm>
          <a:off x="3810000" y="3867150"/>
          <a:ext cx="0" cy="161925"/>
        </a:xfrm>
        <a:prstGeom prst="line">
          <a:avLst/>
        </a:prstGeom>
        <a:noFill/>
        <a:ln w="9525">
          <a:solidFill>
            <a:srgbClr val="000000"/>
          </a:solidFill>
          <a:round/>
          <a:headEnd/>
          <a:tailEnd type="triangle" w="med" len="med"/>
        </a:ln>
      </xdr:spPr>
    </xdr:sp>
    <xdr:clientData/>
  </xdr:twoCellAnchor>
  <xdr:twoCellAnchor>
    <xdr:from>
      <xdr:col>8</xdr:col>
      <xdr:colOff>523875</xdr:colOff>
      <xdr:row>16</xdr:row>
      <xdr:rowOff>333375</xdr:rowOff>
    </xdr:from>
    <xdr:to>
      <xdr:col>8</xdr:col>
      <xdr:colOff>523875</xdr:colOff>
      <xdr:row>18</xdr:row>
      <xdr:rowOff>0</xdr:rowOff>
    </xdr:to>
    <xdr:sp macro="" textlink="">
      <xdr:nvSpPr>
        <xdr:cNvPr id="116861" name="Line 31"/>
        <xdr:cNvSpPr>
          <a:spLocks noChangeShapeType="1"/>
        </xdr:cNvSpPr>
      </xdr:nvSpPr>
      <xdr:spPr bwMode="auto">
        <a:xfrm>
          <a:off x="5153025" y="3857625"/>
          <a:ext cx="0" cy="180975"/>
        </a:xfrm>
        <a:prstGeom prst="line">
          <a:avLst/>
        </a:prstGeom>
        <a:noFill/>
        <a:ln w="19050">
          <a:solidFill>
            <a:srgbClr val="FF0000"/>
          </a:solidFill>
          <a:round/>
          <a:headEnd/>
          <a:tailEnd type="triangle" w="med" len="med"/>
        </a:ln>
      </xdr:spPr>
    </xdr:sp>
    <xdr:clientData/>
  </xdr:twoCellAnchor>
  <xdr:twoCellAnchor>
    <xdr:from>
      <xdr:col>9</xdr:col>
      <xdr:colOff>0</xdr:colOff>
      <xdr:row>18</xdr:row>
      <xdr:rowOff>152400</xdr:rowOff>
    </xdr:from>
    <xdr:to>
      <xdr:col>10</xdr:col>
      <xdr:colOff>0</xdr:colOff>
      <xdr:row>18</xdr:row>
      <xdr:rowOff>152400</xdr:rowOff>
    </xdr:to>
    <xdr:sp macro="" textlink="">
      <xdr:nvSpPr>
        <xdr:cNvPr id="116862" name="Line 32"/>
        <xdr:cNvSpPr>
          <a:spLocks noChangeShapeType="1"/>
        </xdr:cNvSpPr>
      </xdr:nvSpPr>
      <xdr:spPr bwMode="auto">
        <a:xfrm>
          <a:off x="5676900" y="4191000"/>
          <a:ext cx="285750" cy="0"/>
        </a:xfrm>
        <a:prstGeom prst="line">
          <a:avLst/>
        </a:prstGeom>
        <a:noFill/>
        <a:ln w="9525">
          <a:solidFill>
            <a:srgbClr val="000000"/>
          </a:solidFill>
          <a:round/>
          <a:headEnd/>
          <a:tailEnd type="triangle" w="med" len="med"/>
        </a:ln>
      </xdr:spPr>
    </xdr:sp>
    <xdr:clientData/>
  </xdr:twoCellAnchor>
  <xdr:twoCellAnchor>
    <xdr:from>
      <xdr:col>2</xdr:col>
      <xdr:colOff>476250</xdr:colOff>
      <xdr:row>15</xdr:row>
      <xdr:rowOff>9525</xdr:rowOff>
    </xdr:from>
    <xdr:to>
      <xdr:col>2</xdr:col>
      <xdr:colOff>476250</xdr:colOff>
      <xdr:row>15</xdr:row>
      <xdr:rowOff>161925</xdr:rowOff>
    </xdr:to>
    <xdr:sp macro="" textlink="">
      <xdr:nvSpPr>
        <xdr:cNvPr id="116863" name="Line 33"/>
        <xdr:cNvSpPr>
          <a:spLocks noChangeShapeType="1"/>
        </xdr:cNvSpPr>
      </xdr:nvSpPr>
      <xdr:spPr bwMode="auto">
        <a:xfrm>
          <a:off x="1104900" y="3362325"/>
          <a:ext cx="0" cy="152400"/>
        </a:xfrm>
        <a:prstGeom prst="line">
          <a:avLst/>
        </a:prstGeom>
        <a:noFill/>
        <a:ln w="9525">
          <a:solidFill>
            <a:srgbClr val="000000"/>
          </a:solidFill>
          <a:round/>
          <a:headEnd/>
          <a:tailEnd type="triangle" w="med" len="med"/>
        </a:ln>
      </xdr:spPr>
    </xdr:sp>
    <xdr:clientData/>
  </xdr:twoCellAnchor>
  <xdr:twoCellAnchor>
    <xdr:from>
      <xdr:col>2</xdr:col>
      <xdr:colOff>476250</xdr:colOff>
      <xdr:row>16</xdr:row>
      <xdr:rowOff>314325</xdr:rowOff>
    </xdr:from>
    <xdr:to>
      <xdr:col>2</xdr:col>
      <xdr:colOff>476250</xdr:colOff>
      <xdr:row>17</xdr:row>
      <xdr:rowOff>161925</xdr:rowOff>
    </xdr:to>
    <xdr:sp macro="" textlink="">
      <xdr:nvSpPr>
        <xdr:cNvPr id="116864" name="Line 34"/>
        <xdr:cNvSpPr>
          <a:spLocks noChangeShapeType="1"/>
        </xdr:cNvSpPr>
      </xdr:nvSpPr>
      <xdr:spPr bwMode="auto">
        <a:xfrm>
          <a:off x="1104900" y="3838575"/>
          <a:ext cx="0" cy="190500"/>
        </a:xfrm>
        <a:prstGeom prst="line">
          <a:avLst/>
        </a:prstGeom>
        <a:noFill/>
        <a:ln w="9525">
          <a:solidFill>
            <a:srgbClr val="000000"/>
          </a:solidFill>
          <a:round/>
          <a:headEnd/>
          <a:tailEnd type="triangle" w="med" len="med"/>
        </a:ln>
      </xdr:spPr>
    </xdr:sp>
    <xdr:clientData/>
  </xdr:twoCellAnchor>
  <xdr:twoCellAnchor>
    <xdr:from>
      <xdr:col>6</xdr:col>
      <xdr:colOff>485775</xdr:colOff>
      <xdr:row>7</xdr:row>
      <xdr:rowOff>10583</xdr:rowOff>
    </xdr:from>
    <xdr:to>
      <xdr:col>6</xdr:col>
      <xdr:colOff>485775</xdr:colOff>
      <xdr:row>7</xdr:row>
      <xdr:rowOff>143933</xdr:rowOff>
    </xdr:to>
    <xdr:sp macro="" textlink="">
      <xdr:nvSpPr>
        <xdr:cNvPr id="116865" name="Line 35"/>
        <xdr:cNvSpPr>
          <a:spLocks noChangeShapeType="1"/>
        </xdr:cNvSpPr>
      </xdr:nvSpPr>
      <xdr:spPr bwMode="auto">
        <a:xfrm>
          <a:off x="3840692" y="1259416"/>
          <a:ext cx="0" cy="133350"/>
        </a:xfrm>
        <a:prstGeom prst="line">
          <a:avLst/>
        </a:prstGeom>
        <a:noFill/>
        <a:ln w="9525">
          <a:solidFill>
            <a:srgbClr val="000000"/>
          </a:solidFill>
          <a:round/>
          <a:headEnd/>
          <a:tailEnd type="triangle" w="med" len="med"/>
        </a:ln>
      </xdr:spPr>
    </xdr:sp>
    <xdr:clientData/>
  </xdr:twoCellAnchor>
  <xdr:twoCellAnchor>
    <xdr:from>
      <xdr:col>5</xdr:col>
      <xdr:colOff>8467</xdr:colOff>
      <xdr:row>10</xdr:row>
      <xdr:rowOff>142875</xdr:rowOff>
    </xdr:from>
    <xdr:to>
      <xdr:col>5</xdr:col>
      <xdr:colOff>275167</xdr:colOff>
      <xdr:row>10</xdr:row>
      <xdr:rowOff>142875</xdr:rowOff>
    </xdr:to>
    <xdr:sp macro="" textlink="">
      <xdr:nvSpPr>
        <xdr:cNvPr id="116866" name="Line 36"/>
        <xdr:cNvSpPr>
          <a:spLocks noChangeShapeType="1"/>
        </xdr:cNvSpPr>
      </xdr:nvSpPr>
      <xdr:spPr bwMode="auto">
        <a:xfrm>
          <a:off x="3077634" y="2058458"/>
          <a:ext cx="266700" cy="0"/>
        </a:xfrm>
        <a:prstGeom prst="line">
          <a:avLst/>
        </a:prstGeom>
        <a:noFill/>
        <a:ln w="9525">
          <a:solidFill>
            <a:srgbClr val="000000"/>
          </a:solidFill>
          <a:round/>
          <a:headEnd/>
          <a:tailEnd type="triangle" w="med" len="med"/>
        </a:ln>
      </xdr:spPr>
    </xdr:sp>
    <xdr:clientData/>
  </xdr:twoCellAnchor>
</xdr:wsDr>
</file>

<file path=xl/drawings/drawing41.xml><?xml version="1.0" encoding="utf-8"?>
<xdr:wsDr xmlns:xdr="http://schemas.openxmlformats.org/drawingml/2006/spreadsheetDrawing" xmlns:a="http://schemas.openxmlformats.org/drawingml/2006/main">
  <xdr:twoCellAnchor>
    <xdr:from>
      <xdr:col>10</xdr:col>
      <xdr:colOff>485774</xdr:colOff>
      <xdr:row>7</xdr:row>
      <xdr:rowOff>9525</xdr:rowOff>
    </xdr:from>
    <xdr:to>
      <xdr:col>10</xdr:col>
      <xdr:colOff>507999</xdr:colOff>
      <xdr:row>12</xdr:row>
      <xdr:rowOff>0</xdr:rowOff>
    </xdr:to>
    <xdr:sp macro="" textlink="">
      <xdr:nvSpPr>
        <xdr:cNvPr id="108765" name="Line 1"/>
        <xdr:cNvSpPr>
          <a:spLocks noChangeShapeType="1"/>
        </xdr:cNvSpPr>
      </xdr:nvSpPr>
      <xdr:spPr bwMode="auto">
        <a:xfrm>
          <a:off x="6507691" y="1311275"/>
          <a:ext cx="22225" cy="1154642"/>
        </a:xfrm>
        <a:prstGeom prst="line">
          <a:avLst/>
        </a:prstGeom>
        <a:noFill/>
        <a:ln w="19050">
          <a:solidFill>
            <a:srgbClr val="FF0000"/>
          </a:solidFill>
          <a:round/>
          <a:headEnd/>
          <a:tailEnd type="triangle" w="med" len="med"/>
        </a:ln>
      </xdr:spPr>
    </xdr:sp>
    <xdr:clientData/>
  </xdr:twoCellAnchor>
  <xdr:twoCellAnchor>
    <xdr:from>
      <xdr:col>10</xdr:col>
      <xdr:colOff>1046692</xdr:colOff>
      <xdr:row>10</xdr:row>
      <xdr:rowOff>169332</xdr:rowOff>
    </xdr:from>
    <xdr:to>
      <xdr:col>12</xdr:col>
      <xdr:colOff>0</xdr:colOff>
      <xdr:row>12</xdr:row>
      <xdr:rowOff>171449</xdr:rowOff>
    </xdr:to>
    <xdr:sp macro="" textlink="">
      <xdr:nvSpPr>
        <xdr:cNvPr id="108766" name="Line 2"/>
        <xdr:cNvSpPr>
          <a:spLocks noChangeShapeType="1"/>
        </xdr:cNvSpPr>
      </xdr:nvSpPr>
      <xdr:spPr bwMode="auto">
        <a:xfrm flipV="1">
          <a:off x="7068609" y="2137832"/>
          <a:ext cx="286808" cy="499534"/>
        </a:xfrm>
        <a:prstGeom prst="line">
          <a:avLst/>
        </a:prstGeom>
        <a:noFill/>
        <a:ln w="9525">
          <a:solidFill>
            <a:srgbClr val="000000"/>
          </a:solidFill>
          <a:round/>
          <a:headEnd/>
          <a:tailEnd type="triangle" w="med" len="med"/>
        </a:ln>
      </xdr:spPr>
    </xdr:sp>
    <xdr:clientData/>
  </xdr:twoCellAnchor>
  <xdr:twoCellAnchor>
    <xdr:from>
      <xdr:col>4</xdr:col>
      <xdr:colOff>506941</xdr:colOff>
      <xdr:row>7</xdr:row>
      <xdr:rowOff>0</xdr:rowOff>
    </xdr:from>
    <xdr:to>
      <xdr:col>4</xdr:col>
      <xdr:colOff>507516</xdr:colOff>
      <xdr:row>8</xdr:row>
      <xdr:rowOff>0</xdr:rowOff>
    </xdr:to>
    <xdr:sp macro="" textlink="">
      <xdr:nvSpPr>
        <xdr:cNvPr id="108767" name="Line 3"/>
        <xdr:cNvSpPr>
          <a:spLocks noChangeShapeType="1"/>
        </xdr:cNvSpPr>
      </xdr:nvSpPr>
      <xdr:spPr bwMode="auto">
        <a:xfrm>
          <a:off x="2528358" y="1301750"/>
          <a:ext cx="575" cy="169333"/>
        </a:xfrm>
        <a:prstGeom prst="line">
          <a:avLst/>
        </a:prstGeom>
        <a:noFill/>
        <a:ln w="9525">
          <a:solidFill>
            <a:srgbClr val="000000"/>
          </a:solidFill>
          <a:round/>
          <a:headEnd/>
          <a:tailEnd type="triangle" w="med" len="med"/>
        </a:ln>
      </xdr:spPr>
    </xdr:sp>
    <xdr:clientData/>
  </xdr:twoCellAnchor>
  <xdr:twoCellAnchor>
    <xdr:from>
      <xdr:col>4</xdr:col>
      <xdr:colOff>497416</xdr:colOff>
      <xdr:row>5</xdr:row>
      <xdr:rowOff>0</xdr:rowOff>
    </xdr:from>
    <xdr:to>
      <xdr:col>4</xdr:col>
      <xdr:colOff>497416</xdr:colOff>
      <xdr:row>5</xdr:row>
      <xdr:rowOff>161925</xdr:rowOff>
    </xdr:to>
    <xdr:sp macro="" textlink="">
      <xdr:nvSpPr>
        <xdr:cNvPr id="108768" name="Line 4"/>
        <xdr:cNvSpPr>
          <a:spLocks noChangeShapeType="1"/>
        </xdr:cNvSpPr>
      </xdr:nvSpPr>
      <xdr:spPr bwMode="auto">
        <a:xfrm>
          <a:off x="2518833" y="804333"/>
          <a:ext cx="0" cy="161925"/>
        </a:xfrm>
        <a:prstGeom prst="line">
          <a:avLst/>
        </a:prstGeom>
        <a:noFill/>
        <a:ln w="9525">
          <a:solidFill>
            <a:srgbClr val="000000"/>
          </a:solidFill>
          <a:round/>
          <a:headEnd/>
          <a:tailEnd type="triangle" w="med" len="med"/>
        </a:ln>
      </xdr:spPr>
    </xdr:sp>
    <xdr:clientData/>
  </xdr:twoCellAnchor>
  <xdr:twoCellAnchor>
    <xdr:from>
      <xdr:col>2</xdr:col>
      <xdr:colOff>1046692</xdr:colOff>
      <xdr:row>6</xdr:row>
      <xdr:rowOff>171450</xdr:rowOff>
    </xdr:from>
    <xdr:to>
      <xdr:col>4</xdr:col>
      <xdr:colOff>0</xdr:colOff>
      <xdr:row>8</xdr:row>
      <xdr:rowOff>116417</xdr:rowOff>
    </xdr:to>
    <xdr:sp macro="" textlink="">
      <xdr:nvSpPr>
        <xdr:cNvPr id="108769" name="Line 5"/>
        <xdr:cNvSpPr>
          <a:spLocks noChangeShapeType="1"/>
        </xdr:cNvSpPr>
      </xdr:nvSpPr>
      <xdr:spPr bwMode="auto">
        <a:xfrm>
          <a:off x="1734609" y="1145117"/>
          <a:ext cx="286808" cy="442383"/>
        </a:xfrm>
        <a:prstGeom prst="line">
          <a:avLst/>
        </a:prstGeom>
        <a:noFill/>
        <a:ln w="9525">
          <a:solidFill>
            <a:srgbClr val="000000"/>
          </a:solidFill>
          <a:round/>
          <a:headEnd/>
          <a:tailEnd type="triangle" w="med" len="med"/>
        </a:ln>
      </xdr:spPr>
    </xdr:sp>
    <xdr:clientData/>
  </xdr:twoCellAnchor>
  <xdr:twoCellAnchor>
    <xdr:from>
      <xdr:col>2</xdr:col>
      <xdr:colOff>504825</xdr:colOff>
      <xdr:row>5</xdr:row>
      <xdr:rowOff>0</xdr:rowOff>
    </xdr:from>
    <xdr:to>
      <xdr:col>2</xdr:col>
      <xdr:colOff>504825</xdr:colOff>
      <xdr:row>5</xdr:row>
      <xdr:rowOff>161925</xdr:rowOff>
    </xdr:to>
    <xdr:sp macro="" textlink="">
      <xdr:nvSpPr>
        <xdr:cNvPr id="108770" name="Line 6"/>
        <xdr:cNvSpPr>
          <a:spLocks noChangeShapeType="1"/>
        </xdr:cNvSpPr>
      </xdr:nvSpPr>
      <xdr:spPr bwMode="auto">
        <a:xfrm flipV="1">
          <a:off x="1133475" y="876300"/>
          <a:ext cx="0" cy="161925"/>
        </a:xfrm>
        <a:prstGeom prst="line">
          <a:avLst/>
        </a:prstGeom>
        <a:noFill/>
        <a:ln w="9525">
          <a:solidFill>
            <a:srgbClr val="000000"/>
          </a:solidFill>
          <a:round/>
          <a:headEnd/>
          <a:tailEnd type="triangle" w="med" len="med"/>
        </a:ln>
      </xdr:spPr>
    </xdr:sp>
    <xdr:clientData/>
  </xdr:twoCellAnchor>
  <xdr:twoCellAnchor>
    <xdr:from>
      <xdr:col>8</xdr:col>
      <xdr:colOff>550332</xdr:colOff>
      <xdr:row>12</xdr:row>
      <xdr:rowOff>152400</xdr:rowOff>
    </xdr:from>
    <xdr:to>
      <xdr:col>9</xdr:col>
      <xdr:colOff>247649</xdr:colOff>
      <xdr:row>14</xdr:row>
      <xdr:rowOff>0</xdr:rowOff>
    </xdr:to>
    <xdr:sp macro="" textlink="">
      <xdr:nvSpPr>
        <xdr:cNvPr id="108771" name="Line 7"/>
        <xdr:cNvSpPr>
          <a:spLocks noChangeShapeType="1"/>
        </xdr:cNvSpPr>
      </xdr:nvSpPr>
      <xdr:spPr bwMode="auto">
        <a:xfrm flipH="1">
          <a:off x="5238749" y="2618317"/>
          <a:ext cx="745067" cy="345016"/>
        </a:xfrm>
        <a:prstGeom prst="line">
          <a:avLst/>
        </a:prstGeom>
        <a:noFill/>
        <a:ln w="19050">
          <a:solidFill>
            <a:srgbClr val="FF0000"/>
          </a:solidFill>
          <a:round/>
          <a:headEnd/>
          <a:tailEnd type="triangle" w="med" len="med"/>
        </a:ln>
      </xdr:spPr>
    </xdr:sp>
    <xdr:clientData/>
  </xdr:twoCellAnchor>
  <xdr:twoCellAnchor>
    <xdr:from>
      <xdr:col>11</xdr:col>
      <xdr:colOff>8467</xdr:colOff>
      <xdr:row>12</xdr:row>
      <xdr:rowOff>169332</xdr:rowOff>
    </xdr:from>
    <xdr:to>
      <xdr:col>12</xdr:col>
      <xdr:colOff>1</xdr:colOff>
      <xdr:row>12</xdr:row>
      <xdr:rowOff>171448</xdr:rowOff>
    </xdr:to>
    <xdr:sp macro="" textlink="">
      <xdr:nvSpPr>
        <xdr:cNvPr id="108772" name="Line 8"/>
        <xdr:cNvSpPr>
          <a:spLocks noChangeShapeType="1"/>
        </xdr:cNvSpPr>
      </xdr:nvSpPr>
      <xdr:spPr bwMode="auto">
        <a:xfrm flipV="1">
          <a:off x="7078134" y="2635249"/>
          <a:ext cx="277284" cy="2116"/>
        </a:xfrm>
        <a:prstGeom prst="line">
          <a:avLst/>
        </a:prstGeom>
        <a:noFill/>
        <a:ln w="9525">
          <a:solidFill>
            <a:srgbClr val="000000"/>
          </a:solidFill>
          <a:round/>
          <a:headEnd/>
          <a:tailEnd type="triangle" w="med" len="med"/>
        </a:ln>
      </xdr:spPr>
    </xdr:sp>
    <xdr:clientData/>
  </xdr:twoCellAnchor>
  <xdr:twoCellAnchor>
    <xdr:from>
      <xdr:col>5</xdr:col>
      <xdr:colOff>0</xdr:colOff>
      <xdr:row>8</xdr:row>
      <xdr:rowOff>158749</xdr:rowOff>
    </xdr:from>
    <xdr:to>
      <xdr:col>6</xdr:col>
      <xdr:colOff>10583</xdr:colOff>
      <xdr:row>8</xdr:row>
      <xdr:rowOff>161924</xdr:rowOff>
    </xdr:to>
    <xdr:sp macro="" textlink="">
      <xdr:nvSpPr>
        <xdr:cNvPr id="108773" name="Line 9"/>
        <xdr:cNvSpPr>
          <a:spLocks noChangeShapeType="1"/>
        </xdr:cNvSpPr>
      </xdr:nvSpPr>
      <xdr:spPr bwMode="auto">
        <a:xfrm flipV="1">
          <a:off x="3069167" y="1629832"/>
          <a:ext cx="296333" cy="3175"/>
        </a:xfrm>
        <a:prstGeom prst="line">
          <a:avLst/>
        </a:prstGeom>
        <a:noFill/>
        <a:ln w="9525">
          <a:solidFill>
            <a:srgbClr val="000000"/>
          </a:solidFill>
          <a:round/>
          <a:headEnd/>
          <a:tailEnd type="triangle" w="med" len="med"/>
        </a:ln>
      </xdr:spPr>
    </xdr:sp>
    <xdr:clientData/>
  </xdr:twoCellAnchor>
  <xdr:twoCellAnchor>
    <xdr:from>
      <xdr:col>2</xdr:col>
      <xdr:colOff>1046692</xdr:colOff>
      <xdr:row>8</xdr:row>
      <xdr:rowOff>201083</xdr:rowOff>
    </xdr:from>
    <xdr:to>
      <xdr:col>4</xdr:col>
      <xdr:colOff>0</xdr:colOff>
      <xdr:row>10</xdr:row>
      <xdr:rowOff>152399</xdr:rowOff>
    </xdr:to>
    <xdr:sp macro="" textlink="">
      <xdr:nvSpPr>
        <xdr:cNvPr id="108774" name="Line 10"/>
        <xdr:cNvSpPr>
          <a:spLocks noChangeShapeType="1"/>
        </xdr:cNvSpPr>
      </xdr:nvSpPr>
      <xdr:spPr bwMode="auto">
        <a:xfrm flipV="1">
          <a:off x="1734609" y="1672166"/>
          <a:ext cx="286808" cy="448733"/>
        </a:xfrm>
        <a:prstGeom prst="line">
          <a:avLst/>
        </a:prstGeom>
        <a:noFill/>
        <a:ln w="9525">
          <a:solidFill>
            <a:srgbClr val="000000"/>
          </a:solidFill>
          <a:round/>
          <a:headEnd/>
          <a:tailEnd type="triangle" w="med" len="med"/>
        </a:ln>
      </xdr:spPr>
    </xdr:sp>
    <xdr:clientData/>
  </xdr:twoCellAnchor>
  <xdr:twoCellAnchor>
    <xdr:from>
      <xdr:col>2</xdr:col>
      <xdr:colOff>516466</xdr:colOff>
      <xdr:row>7</xdr:row>
      <xdr:rowOff>0</xdr:rowOff>
    </xdr:from>
    <xdr:to>
      <xdr:col>2</xdr:col>
      <xdr:colOff>516466</xdr:colOff>
      <xdr:row>7</xdr:row>
      <xdr:rowOff>152400</xdr:rowOff>
    </xdr:to>
    <xdr:sp macro="" textlink="">
      <xdr:nvSpPr>
        <xdr:cNvPr id="108775" name="Line 11"/>
        <xdr:cNvSpPr>
          <a:spLocks noChangeShapeType="1"/>
        </xdr:cNvSpPr>
      </xdr:nvSpPr>
      <xdr:spPr bwMode="auto">
        <a:xfrm>
          <a:off x="1204383" y="1301750"/>
          <a:ext cx="0" cy="152400"/>
        </a:xfrm>
        <a:prstGeom prst="line">
          <a:avLst/>
        </a:prstGeom>
        <a:noFill/>
        <a:ln w="9525">
          <a:solidFill>
            <a:srgbClr val="000000"/>
          </a:solidFill>
          <a:round/>
          <a:headEnd/>
          <a:tailEnd type="triangle" w="med" len="med"/>
        </a:ln>
      </xdr:spPr>
    </xdr:sp>
    <xdr:clientData/>
  </xdr:twoCellAnchor>
  <xdr:twoCellAnchor>
    <xdr:from>
      <xdr:col>4</xdr:col>
      <xdr:colOff>504825</xdr:colOff>
      <xdr:row>11</xdr:row>
      <xdr:rowOff>9525</xdr:rowOff>
    </xdr:from>
    <xdr:to>
      <xdr:col>4</xdr:col>
      <xdr:colOff>504825</xdr:colOff>
      <xdr:row>12</xdr:row>
      <xdr:rowOff>9525</xdr:rowOff>
    </xdr:to>
    <xdr:sp macro="" textlink="">
      <xdr:nvSpPr>
        <xdr:cNvPr id="108776" name="Line 12"/>
        <xdr:cNvSpPr>
          <a:spLocks noChangeShapeType="1"/>
        </xdr:cNvSpPr>
      </xdr:nvSpPr>
      <xdr:spPr bwMode="auto">
        <a:xfrm>
          <a:off x="2466975" y="2371725"/>
          <a:ext cx="0" cy="171450"/>
        </a:xfrm>
        <a:prstGeom prst="line">
          <a:avLst/>
        </a:prstGeom>
        <a:noFill/>
        <a:ln w="19050">
          <a:solidFill>
            <a:srgbClr val="FF0000"/>
          </a:solidFill>
          <a:round/>
          <a:headEnd/>
          <a:tailEnd type="triangle" w="med" len="med"/>
        </a:ln>
      </xdr:spPr>
    </xdr:sp>
    <xdr:clientData/>
  </xdr:twoCellAnchor>
  <xdr:twoCellAnchor>
    <xdr:from>
      <xdr:col>5</xdr:col>
      <xdr:colOff>8466</xdr:colOff>
      <xdr:row>12</xdr:row>
      <xdr:rowOff>148166</xdr:rowOff>
    </xdr:from>
    <xdr:to>
      <xdr:col>9</xdr:col>
      <xdr:colOff>285749</xdr:colOff>
      <xdr:row>12</xdr:row>
      <xdr:rowOff>152400</xdr:rowOff>
    </xdr:to>
    <xdr:sp macro="" textlink="">
      <xdr:nvSpPr>
        <xdr:cNvPr id="108777" name="Line 13"/>
        <xdr:cNvSpPr>
          <a:spLocks noChangeShapeType="1"/>
        </xdr:cNvSpPr>
      </xdr:nvSpPr>
      <xdr:spPr bwMode="auto">
        <a:xfrm flipH="1">
          <a:off x="3077633" y="2614083"/>
          <a:ext cx="2944283" cy="4234"/>
        </a:xfrm>
        <a:prstGeom prst="line">
          <a:avLst/>
        </a:prstGeom>
        <a:noFill/>
        <a:ln w="19050">
          <a:solidFill>
            <a:srgbClr val="FF0000"/>
          </a:solidFill>
          <a:round/>
          <a:headEnd/>
          <a:tailEnd type="triangle" w="med" len="med"/>
        </a:ln>
      </xdr:spPr>
    </xdr:sp>
    <xdr:clientData/>
  </xdr:twoCellAnchor>
  <xdr:twoCellAnchor>
    <xdr:from>
      <xdr:col>8</xdr:col>
      <xdr:colOff>1046690</xdr:colOff>
      <xdr:row>6</xdr:row>
      <xdr:rowOff>152400</xdr:rowOff>
    </xdr:from>
    <xdr:to>
      <xdr:col>9</xdr:col>
      <xdr:colOff>285749</xdr:colOff>
      <xdr:row>6</xdr:row>
      <xdr:rowOff>152400</xdr:rowOff>
    </xdr:to>
    <xdr:sp macro="" textlink="">
      <xdr:nvSpPr>
        <xdr:cNvPr id="108778" name="Line 14"/>
        <xdr:cNvSpPr>
          <a:spLocks noChangeShapeType="1"/>
        </xdr:cNvSpPr>
      </xdr:nvSpPr>
      <xdr:spPr bwMode="auto">
        <a:xfrm flipH="1">
          <a:off x="5735107" y="1126067"/>
          <a:ext cx="286809" cy="0"/>
        </a:xfrm>
        <a:prstGeom prst="line">
          <a:avLst/>
        </a:prstGeom>
        <a:noFill/>
        <a:ln w="9525">
          <a:solidFill>
            <a:srgbClr val="000000"/>
          </a:solidFill>
          <a:round/>
          <a:headEnd/>
          <a:tailEnd type="triangle" w="med" len="med"/>
        </a:ln>
      </xdr:spPr>
    </xdr:sp>
    <xdr:clientData/>
  </xdr:twoCellAnchor>
  <xdr:twoCellAnchor>
    <xdr:from>
      <xdr:col>6</xdr:col>
      <xdr:colOff>1038225</xdr:colOff>
      <xdr:row>6</xdr:row>
      <xdr:rowOff>171450</xdr:rowOff>
    </xdr:from>
    <xdr:to>
      <xdr:col>7</xdr:col>
      <xdr:colOff>276225</xdr:colOff>
      <xdr:row>6</xdr:row>
      <xdr:rowOff>171450</xdr:rowOff>
    </xdr:to>
    <xdr:sp macro="" textlink="">
      <xdr:nvSpPr>
        <xdr:cNvPr id="108779" name="Line 15"/>
        <xdr:cNvSpPr>
          <a:spLocks noChangeShapeType="1"/>
        </xdr:cNvSpPr>
      </xdr:nvSpPr>
      <xdr:spPr bwMode="auto">
        <a:xfrm flipH="1">
          <a:off x="4333875" y="1219200"/>
          <a:ext cx="285750" cy="0"/>
        </a:xfrm>
        <a:prstGeom prst="line">
          <a:avLst/>
        </a:prstGeom>
        <a:noFill/>
        <a:ln w="9525">
          <a:solidFill>
            <a:srgbClr val="000000"/>
          </a:solidFill>
          <a:round/>
          <a:headEnd/>
          <a:tailEnd type="triangle" w="med" len="med"/>
        </a:ln>
      </xdr:spPr>
    </xdr:sp>
    <xdr:clientData/>
  </xdr:twoCellAnchor>
  <xdr:twoCellAnchor>
    <xdr:from>
      <xdr:col>6</xdr:col>
      <xdr:colOff>514350</xdr:colOff>
      <xdr:row>7</xdr:row>
      <xdr:rowOff>0</xdr:rowOff>
    </xdr:from>
    <xdr:to>
      <xdr:col>6</xdr:col>
      <xdr:colOff>514350</xdr:colOff>
      <xdr:row>7</xdr:row>
      <xdr:rowOff>161925</xdr:rowOff>
    </xdr:to>
    <xdr:sp macro="" textlink="">
      <xdr:nvSpPr>
        <xdr:cNvPr id="108780" name="Line 16"/>
        <xdr:cNvSpPr>
          <a:spLocks noChangeShapeType="1"/>
        </xdr:cNvSpPr>
      </xdr:nvSpPr>
      <xdr:spPr bwMode="auto">
        <a:xfrm>
          <a:off x="3810000" y="1371600"/>
          <a:ext cx="0" cy="161925"/>
        </a:xfrm>
        <a:prstGeom prst="line">
          <a:avLst/>
        </a:prstGeom>
        <a:noFill/>
        <a:ln w="9525">
          <a:solidFill>
            <a:srgbClr val="000000"/>
          </a:solidFill>
          <a:round/>
          <a:headEnd/>
          <a:tailEnd type="triangle" w="med" len="med"/>
        </a:ln>
      </xdr:spPr>
    </xdr:sp>
    <xdr:clientData/>
  </xdr:twoCellAnchor>
  <xdr:twoCellAnchor>
    <xdr:from>
      <xdr:col>9</xdr:col>
      <xdr:colOff>0</xdr:colOff>
      <xdr:row>14</xdr:row>
      <xdr:rowOff>161925</xdr:rowOff>
    </xdr:from>
    <xdr:to>
      <xdr:col>10</xdr:col>
      <xdr:colOff>0</xdr:colOff>
      <xdr:row>14</xdr:row>
      <xdr:rowOff>161925</xdr:rowOff>
    </xdr:to>
    <xdr:sp macro="" textlink="">
      <xdr:nvSpPr>
        <xdr:cNvPr id="108781" name="Line 17"/>
        <xdr:cNvSpPr>
          <a:spLocks noChangeShapeType="1"/>
        </xdr:cNvSpPr>
      </xdr:nvSpPr>
      <xdr:spPr bwMode="auto">
        <a:xfrm>
          <a:off x="5676900" y="3190875"/>
          <a:ext cx="285750" cy="0"/>
        </a:xfrm>
        <a:prstGeom prst="line">
          <a:avLst/>
        </a:prstGeom>
        <a:noFill/>
        <a:ln w="9525">
          <a:solidFill>
            <a:srgbClr val="000000"/>
          </a:solidFill>
          <a:round/>
          <a:headEnd/>
          <a:tailEnd type="triangle" w="med" len="med"/>
        </a:ln>
      </xdr:spPr>
    </xdr:sp>
    <xdr:clientData/>
  </xdr:twoCellAnchor>
  <xdr:twoCellAnchor>
    <xdr:from>
      <xdr:col>7</xdr:col>
      <xdr:colOff>0</xdr:colOff>
      <xdr:row>20</xdr:row>
      <xdr:rowOff>142875</xdr:rowOff>
    </xdr:from>
    <xdr:to>
      <xdr:col>8</xdr:col>
      <xdr:colOff>0</xdr:colOff>
      <xdr:row>20</xdr:row>
      <xdr:rowOff>142875</xdr:rowOff>
    </xdr:to>
    <xdr:sp macro="" textlink="">
      <xdr:nvSpPr>
        <xdr:cNvPr id="108782" name="Line 18"/>
        <xdr:cNvSpPr>
          <a:spLocks noChangeShapeType="1"/>
        </xdr:cNvSpPr>
      </xdr:nvSpPr>
      <xdr:spPr bwMode="auto">
        <a:xfrm>
          <a:off x="4343400" y="4676775"/>
          <a:ext cx="285750" cy="0"/>
        </a:xfrm>
        <a:prstGeom prst="line">
          <a:avLst/>
        </a:prstGeom>
        <a:noFill/>
        <a:ln w="9525">
          <a:solidFill>
            <a:srgbClr val="000000"/>
          </a:solidFill>
          <a:round/>
          <a:headEnd/>
          <a:tailEnd type="triangle" w="med" len="med"/>
        </a:ln>
      </xdr:spPr>
    </xdr:sp>
    <xdr:clientData/>
  </xdr:twoCellAnchor>
  <xdr:twoCellAnchor>
    <xdr:from>
      <xdr:col>2</xdr:col>
      <xdr:colOff>486832</xdr:colOff>
      <xdr:row>10</xdr:row>
      <xdr:rowOff>152400</xdr:rowOff>
    </xdr:from>
    <xdr:to>
      <xdr:col>3</xdr:col>
      <xdr:colOff>285749</xdr:colOff>
      <xdr:row>18</xdr:row>
      <xdr:rowOff>0</xdr:rowOff>
    </xdr:to>
    <xdr:sp macro="" textlink="">
      <xdr:nvSpPr>
        <xdr:cNvPr id="108783" name="Line 19"/>
        <xdr:cNvSpPr>
          <a:spLocks noChangeShapeType="1"/>
        </xdr:cNvSpPr>
      </xdr:nvSpPr>
      <xdr:spPr bwMode="auto">
        <a:xfrm flipH="1">
          <a:off x="1174749" y="2120900"/>
          <a:ext cx="846667" cy="1847850"/>
        </a:xfrm>
        <a:prstGeom prst="line">
          <a:avLst/>
        </a:prstGeom>
        <a:noFill/>
        <a:ln w="9525">
          <a:solidFill>
            <a:srgbClr val="000000"/>
          </a:solidFill>
          <a:round/>
          <a:headEnd/>
          <a:tailEnd type="triangle" w="med" len="med"/>
        </a:ln>
      </xdr:spPr>
    </xdr:sp>
    <xdr:clientData/>
  </xdr:twoCellAnchor>
  <xdr:twoCellAnchor>
    <xdr:from>
      <xdr:col>4</xdr:col>
      <xdr:colOff>514350</xdr:colOff>
      <xdr:row>8</xdr:row>
      <xdr:rowOff>314325</xdr:rowOff>
    </xdr:from>
    <xdr:to>
      <xdr:col>4</xdr:col>
      <xdr:colOff>514350</xdr:colOff>
      <xdr:row>10</xdr:row>
      <xdr:rowOff>0</xdr:rowOff>
    </xdr:to>
    <xdr:sp macro="" textlink="">
      <xdr:nvSpPr>
        <xdr:cNvPr id="108784" name="Line 20"/>
        <xdr:cNvSpPr>
          <a:spLocks noChangeShapeType="1"/>
        </xdr:cNvSpPr>
      </xdr:nvSpPr>
      <xdr:spPr bwMode="auto">
        <a:xfrm flipV="1">
          <a:off x="2476500" y="1857375"/>
          <a:ext cx="0" cy="180975"/>
        </a:xfrm>
        <a:prstGeom prst="line">
          <a:avLst/>
        </a:prstGeom>
        <a:noFill/>
        <a:ln w="9525">
          <a:solidFill>
            <a:srgbClr val="000000"/>
          </a:solidFill>
          <a:round/>
          <a:headEnd/>
          <a:tailEnd type="triangle" w="med" len="med"/>
        </a:ln>
      </xdr:spPr>
    </xdr:sp>
    <xdr:clientData/>
  </xdr:twoCellAnchor>
  <xdr:twoCellAnchor>
    <xdr:from>
      <xdr:col>4</xdr:col>
      <xdr:colOff>504825</xdr:colOff>
      <xdr:row>12</xdr:row>
      <xdr:rowOff>314325</xdr:rowOff>
    </xdr:from>
    <xdr:to>
      <xdr:col>4</xdr:col>
      <xdr:colOff>504825</xdr:colOff>
      <xdr:row>13</xdr:row>
      <xdr:rowOff>152400</xdr:rowOff>
    </xdr:to>
    <xdr:sp macro="" textlink="">
      <xdr:nvSpPr>
        <xdr:cNvPr id="108785" name="Line 21"/>
        <xdr:cNvSpPr>
          <a:spLocks noChangeShapeType="1"/>
        </xdr:cNvSpPr>
      </xdr:nvSpPr>
      <xdr:spPr bwMode="auto">
        <a:xfrm>
          <a:off x="2466975" y="2847975"/>
          <a:ext cx="0" cy="161925"/>
        </a:xfrm>
        <a:prstGeom prst="line">
          <a:avLst/>
        </a:prstGeom>
        <a:noFill/>
        <a:ln w="9525">
          <a:solidFill>
            <a:srgbClr val="000000"/>
          </a:solidFill>
          <a:round/>
          <a:headEnd/>
          <a:tailEnd type="triangle" w="med" len="med"/>
        </a:ln>
      </xdr:spPr>
    </xdr:sp>
    <xdr:clientData/>
  </xdr:twoCellAnchor>
  <xdr:twoCellAnchor>
    <xdr:from>
      <xdr:col>3</xdr:col>
      <xdr:colOff>0</xdr:colOff>
      <xdr:row>18</xdr:row>
      <xdr:rowOff>171450</xdr:rowOff>
    </xdr:from>
    <xdr:to>
      <xdr:col>3</xdr:col>
      <xdr:colOff>266700</xdr:colOff>
      <xdr:row>18</xdr:row>
      <xdr:rowOff>171450</xdr:rowOff>
    </xdr:to>
    <xdr:sp macro="" textlink="">
      <xdr:nvSpPr>
        <xdr:cNvPr id="108786" name="Line 22"/>
        <xdr:cNvSpPr>
          <a:spLocks noChangeShapeType="1"/>
        </xdr:cNvSpPr>
      </xdr:nvSpPr>
      <xdr:spPr bwMode="auto">
        <a:xfrm>
          <a:off x="1676400" y="4210050"/>
          <a:ext cx="266700" cy="0"/>
        </a:xfrm>
        <a:prstGeom prst="line">
          <a:avLst/>
        </a:prstGeom>
        <a:noFill/>
        <a:ln w="9525">
          <a:solidFill>
            <a:srgbClr val="000000"/>
          </a:solidFill>
          <a:round/>
          <a:headEnd/>
          <a:tailEnd type="triangle" w="med" len="med"/>
        </a:ln>
      </xdr:spPr>
    </xdr:sp>
    <xdr:clientData/>
  </xdr:twoCellAnchor>
  <xdr:twoCellAnchor>
    <xdr:from>
      <xdr:col>5</xdr:col>
      <xdr:colOff>7408</xdr:colOff>
      <xdr:row>10</xdr:row>
      <xdr:rowOff>169333</xdr:rowOff>
    </xdr:from>
    <xdr:to>
      <xdr:col>7</xdr:col>
      <xdr:colOff>285749</xdr:colOff>
      <xdr:row>10</xdr:row>
      <xdr:rowOff>171450</xdr:rowOff>
    </xdr:to>
    <xdr:sp macro="" textlink="">
      <xdr:nvSpPr>
        <xdr:cNvPr id="108787" name="Line 23"/>
        <xdr:cNvSpPr>
          <a:spLocks noChangeShapeType="1"/>
        </xdr:cNvSpPr>
      </xdr:nvSpPr>
      <xdr:spPr bwMode="auto">
        <a:xfrm flipV="1">
          <a:off x="3076575" y="2137833"/>
          <a:ext cx="1611841" cy="2117"/>
        </a:xfrm>
        <a:prstGeom prst="line">
          <a:avLst/>
        </a:prstGeom>
        <a:noFill/>
        <a:ln w="9525">
          <a:solidFill>
            <a:srgbClr val="000000"/>
          </a:solidFill>
          <a:round/>
          <a:headEnd/>
          <a:tailEnd type="triangle" w="med" len="med"/>
        </a:ln>
      </xdr:spPr>
    </xdr:sp>
    <xdr:clientData/>
  </xdr:twoCellAnchor>
  <xdr:twoCellAnchor>
    <xdr:from>
      <xdr:col>5</xdr:col>
      <xdr:colOff>0</xdr:colOff>
      <xdr:row>10</xdr:row>
      <xdr:rowOff>200025</xdr:rowOff>
    </xdr:from>
    <xdr:to>
      <xdr:col>8</xdr:col>
      <xdr:colOff>476250</xdr:colOff>
      <xdr:row>14</xdr:row>
      <xdr:rowOff>0</xdr:rowOff>
    </xdr:to>
    <xdr:sp macro="" textlink="">
      <xdr:nvSpPr>
        <xdr:cNvPr id="108788" name="Line 24"/>
        <xdr:cNvSpPr>
          <a:spLocks noChangeShapeType="1"/>
        </xdr:cNvSpPr>
      </xdr:nvSpPr>
      <xdr:spPr bwMode="auto">
        <a:xfrm>
          <a:off x="3069167" y="2168525"/>
          <a:ext cx="2095500" cy="794808"/>
        </a:xfrm>
        <a:prstGeom prst="line">
          <a:avLst/>
        </a:prstGeom>
        <a:noFill/>
        <a:ln w="19050">
          <a:solidFill>
            <a:srgbClr val="FF0000"/>
          </a:solidFill>
          <a:round/>
          <a:headEnd/>
          <a:tailEnd type="triangle" w="med" len="med"/>
        </a:ln>
      </xdr:spPr>
    </xdr:sp>
    <xdr:clientData/>
  </xdr:twoCellAnchor>
  <xdr:twoCellAnchor>
    <xdr:from>
      <xdr:col>5</xdr:col>
      <xdr:colOff>0</xdr:colOff>
      <xdr:row>16</xdr:row>
      <xdr:rowOff>180975</xdr:rowOff>
    </xdr:from>
    <xdr:to>
      <xdr:col>5</xdr:col>
      <xdr:colOff>276225</xdr:colOff>
      <xdr:row>16</xdr:row>
      <xdr:rowOff>180975</xdr:rowOff>
    </xdr:to>
    <xdr:sp macro="" textlink="">
      <xdr:nvSpPr>
        <xdr:cNvPr id="108789" name="Line 25"/>
        <xdr:cNvSpPr>
          <a:spLocks noChangeShapeType="1"/>
        </xdr:cNvSpPr>
      </xdr:nvSpPr>
      <xdr:spPr bwMode="auto">
        <a:xfrm flipH="1">
          <a:off x="3009900" y="3705225"/>
          <a:ext cx="276225" cy="0"/>
        </a:xfrm>
        <a:prstGeom prst="line">
          <a:avLst/>
        </a:prstGeom>
        <a:noFill/>
        <a:ln w="9525">
          <a:solidFill>
            <a:srgbClr val="000000"/>
          </a:solidFill>
          <a:round/>
          <a:headEnd/>
          <a:tailEnd type="triangle" w="med" len="med"/>
        </a:ln>
      </xdr:spPr>
    </xdr:sp>
    <xdr:clientData/>
  </xdr:twoCellAnchor>
  <xdr:twoCellAnchor>
    <xdr:from>
      <xdr:col>5</xdr:col>
      <xdr:colOff>8467</xdr:colOff>
      <xdr:row>12</xdr:row>
      <xdr:rowOff>161925</xdr:rowOff>
    </xdr:from>
    <xdr:to>
      <xdr:col>6</xdr:col>
      <xdr:colOff>518583</xdr:colOff>
      <xdr:row>16</xdr:row>
      <xdr:rowOff>0</xdr:rowOff>
    </xdr:to>
    <xdr:sp macro="" textlink="">
      <xdr:nvSpPr>
        <xdr:cNvPr id="108790" name="Line 26"/>
        <xdr:cNvSpPr>
          <a:spLocks noChangeShapeType="1"/>
        </xdr:cNvSpPr>
      </xdr:nvSpPr>
      <xdr:spPr bwMode="auto">
        <a:xfrm>
          <a:off x="3077634" y="2627842"/>
          <a:ext cx="795866" cy="832908"/>
        </a:xfrm>
        <a:prstGeom prst="line">
          <a:avLst/>
        </a:prstGeom>
        <a:noFill/>
        <a:ln w="19050">
          <a:solidFill>
            <a:srgbClr val="FF0000"/>
          </a:solidFill>
          <a:round/>
          <a:headEnd/>
          <a:tailEnd type="triangle" w="med" len="med"/>
        </a:ln>
      </xdr:spPr>
    </xdr:sp>
    <xdr:clientData/>
  </xdr:twoCellAnchor>
  <xdr:twoCellAnchor>
    <xdr:from>
      <xdr:col>8</xdr:col>
      <xdr:colOff>485775</xdr:colOff>
      <xdr:row>15</xdr:row>
      <xdr:rowOff>10583</xdr:rowOff>
    </xdr:from>
    <xdr:to>
      <xdr:col>8</xdr:col>
      <xdr:colOff>486833</xdr:colOff>
      <xdr:row>17</xdr:row>
      <xdr:rowOff>169332</xdr:rowOff>
    </xdr:to>
    <xdr:sp macro="" textlink="">
      <xdr:nvSpPr>
        <xdr:cNvPr id="108791" name="Line 27"/>
        <xdr:cNvSpPr>
          <a:spLocks noChangeShapeType="1"/>
        </xdr:cNvSpPr>
      </xdr:nvSpPr>
      <xdr:spPr bwMode="auto">
        <a:xfrm>
          <a:off x="5174192" y="3302000"/>
          <a:ext cx="1058" cy="666749"/>
        </a:xfrm>
        <a:prstGeom prst="line">
          <a:avLst/>
        </a:prstGeom>
        <a:noFill/>
        <a:ln w="19050">
          <a:solidFill>
            <a:srgbClr val="FF0000"/>
          </a:solidFill>
          <a:round/>
          <a:headEnd/>
          <a:tailEnd type="triangle" w="med" len="med"/>
        </a:ln>
      </xdr:spPr>
    </xdr:sp>
    <xdr:clientData/>
  </xdr:twoCellAnchor>
  <xdr:twoCellAnchor>
    <xdr:from>
      <xdr:col>9</xdr:col>
      <xdr:colOff>0</xdr:colOff>
      <xdr:row>18</xdr:row>
      <xdr:rowOff>152400</xdr:rowOff>
    </xdr:from>
    <xdr:to>
      <xdr:col>10</xdr:col>
      <xdr:colOff>0</xdr:colOff>
      <xdr:row>18</xdr:row>
      <xdr:rowOff>152400</xdr:rowOff>
    </xdr:to>
    <xdr:sp macro="" textlink="">
      <xdr:nvSpPr>
        <xdr:cNvPr id="108792" name="Line 28"/>
        <xdr:cNvSpPr>
          <a:spLocks noChangeShapeType="1"/>
        </xdr:cNvSpPr>
      </xdr:nvSpPr>
      <xdr:spPr bwMode="auto">
        <a:xfrm flipV="1">
          <a:off x="5676900" y="4191000"/>
          <a:ext cx="285750" cy="0"/>
        </a:xfrm>
        <a:prstGeom prst="line">
          <a:avLst/>
        </a:prstGeom>
        <a:noFill/>
        <a:ln w="9525">
          <a:solidFill>
            <a:srgbClr val="000000"/>
          </a:solidFill>
          <a:round/>
          <a:headEnd/>
          <a:tailEnd type="triangle" w="med" len="med"/>
        </a:ln>
      </xdr:spPr>
    </xdr:sp>
    <xdr:clientData/>
  </xdr:twoCellAnchor>
  <xdr:twoCellAnchor>
    <xdr:from>
      <xdr:col>10</xdr:col>
      <xdr:colOff>514350</xdr:colOff>
      <xdr:row>14</xdr:row>
      <xdr:rowOff>327025</xdr:rowOff>
    </xdr:from>
    <xdr:to>
      <xdr:col>10</xdr:col>
      <xdr:colOff>518583</xdr:colOff>
      <xdr:row>18</xdr:row>
      <xdr:rowOff>0</xdr:rowOff>
    </xdr:to>
    <xdr:sp macro="" textlink="">
      <xdr:nvSpPr>
        <xdr:cNvPr id="108793" name="Line 29"/>
        <xdr:cNvSpPr>
          <a:spLocks noChangeShapeType="1"/>
        </xdr:cNvSpPr>
      </xdr:nvSpPr>
      <xdr:spPr bwMode="auto">
        <a:xfrm>
          <a:off x="6536267" y="3290358"/>
          <a:ext cx="4233" cy="678392"/>
        </a:xfrm>
        <a:prstGeom prst="line">
          <a:avLst/>
        </a:prstGeom>
        <a:noFill/>
        <a:ln w="9525">
          <a:solidFill>
            <a:srgbClr val="000000"/>
          </a:solidFill>
          <a:round/>
          <a:headEnd/>
          <a:tailEnd type="triangle" w="med" len="med"/>
        </a:ln>
      </xdr:spPr>
    </xdr:sp>
    <xdr:clientData/>
  </xdr:twoCellAnchor>
  <xdr:twoCellAnchor>
    <xdr:from>
      <xdr:col>6</xdr:col>
      <xdr:colOff>514350</xdr:colOff>
      <xdr:row>17</xdr:row>
      <xdr:rowOff>10583</xdr:rowOff>
    </xdr:from>
    <xdr:to>
      <xdr:col>6</xdr:col>
      <xdr:colOff>514350</xdr:colOff>
      <xdr:row>17</xdr:row>
      <xdr:rowOff>153458</xdr:rowOff>
    </xdr:to>
    <xdr:sp macro="" textlink="">
      <xdr:nvSpPr>
        <xdr:cNvPr id="108794" name="Line 30"/>
        <xdr:cNvSpPr>
          <a:spLocks noChangeShapeType="1"/>
        </xdr:cNvSpPr>
      </xdr:nvSpPr>
      <xdr:spPr bwMode="auto">
        <a:xfrm>
          <a:off x="3869267" y="3810000"/>
          <a:ext cx="0" cy="142875"/>
        </a:xfrm>
        <a:prstGeom prst="line">
          <a:avLst/>
        </a:prstGeom>
        <a:noFill/>
        <a:ln w="19050">
          <a:solidFill>
            <a:srgbClr val="FF0000"/>
          </a:solidFill>
          <a:round/>
          <a:headEnd/>
          <a:tailEnd type="triangle" w="med" len="med"/>
        </a:ln>
      </xdr:spPr>
    </xdr:sp>
    <xdr:clientData/>
  </xdr:twoCellAnchor>
  <xdr:twoCellAnchor>
    <xdr:from>
      <xdr:col>7</xdr:col>
      <xdr:colOff>0</xdr:colOff>
      <xdr:row>18</xdr:row>
      <xdr:rowOff>169333</xdr:rowOff>
    </xdr:from>
    <xdr:to>
      <xdr:col>7</xdr:col>
      <xdr:colOff>277283</xdr:colOff>
      <xdr:row>18</xdr:row>
      <xdr:rowOff>171450</xdr:rowOff>
    </xdr:to>
    <xdr:sp macro="" textlink="">
      <xdr:nvSpPr>
        <xdr:cNvPr id="108795" name="Line 31"/>
        <xdr:cNvSpPr>
          <a:spLocks noChangeShapeType="1"/>
        </xdr:cNvSpPr>
      </xdr:nvSpPr>
      <xdr:spPr bwMode="auto">
        <a:xfrm flipH="1" flipV="1">
          <a:off x="4402667" y="4138083"/>
          <a:ext cx="277283" cy="2117"/>
        </a:xfrm>
        <a:prstGeom prst="line">
          <a:avLst/>
        </a:prstGeom>
        <a:noFill/>
        <a:ln w="19050">
          <a:solidFill>
            <a:srgbClr val="FF0000"/>
          </a:solidFill>
          <a:round/>
          <a:headEnd/>
          <a:tailEnd type="triangle" w="med" len="med"/>
        </a:ln>
      </xdr:spPr>
    </xdr:sp>
    <xdr:clientData/>
  </xdr:twoCellAnchor>
  <xdr:twoCellAnchor>
    <xdr:from>
      <xdr:col>3</xdr:col>
      <xdr:colOff>0</xdr:colOff>
      <xdr:row>22</xdr:row>
      <xdr:rowOff>180975</xdr:rowOff>
    </xdr:from>
    <xdr:to>
      <xdr:col>3</xdr:col>
      <xdr:colOff>266700</xdr:colOff>
      <xdr:row>22</xdr:row>
      <xdr:rowOff>180975</xdr:rowOff>
    </xdr:to>
    <xdr:sp macro="" textlink="">
      <xdr:nvSpPr>
        <xdr:cNvPr id="108796" name="Line 32"/>
        <xdr:cNvSpPr>
          <a:spLocks noChangeShapeType="1"/>
        </xdr:cNvSpPr>
      </xdr:nvSpPr>
      <xdr:spPr bwMode="auto">
        <a:xfrm>
          <a:off x="1676400" y="5210175"/>
          <a:ext cx="266700" cy="0"/>
        </a:xfrm>
        <a:prstGeom prst="line">
          <a:avLst/>
        </a:prstGeom>
        <a:noFill/>
        <a:ln w="9525">
          <a:solidFill>
            <a:srgbClr val="000000"/>
          </a:solidFill>
          <a:round/>
          <a:headEnd/>
          <a:tailEnd type="triangle" w="med" len="med"/>
        </a:ln>
      </xdr:spPr>
    </xdr:sp>
    <xdr:clientData/>
  </xdr:twoCellAnchor>
  <xdr:twoCellAnchor>
    <xdr:from>
      <xdr:col>2</xdr:col>
      <xdr:colOff>487891</xdr:colOff>
      <xdr:row>21</xdr:row>
      <xdr:rowOff>0</xdr:rowOff>
    </xdr:from>
    <xdr:to>
      <xdr:col>2</xdr:col>
      <xdr:colOff>487891</xdr:colOff>
      <xdr:row>21</xdr:row>
      <xdr:rowOff>152400</xdr:rowOff>
    </xdr:to>
    <xdr:sp macro="" textlink="">
      <xdr:nvSpPr>
        <xdr:cNvPr id="108797" name="Line 33"/>
        <xdr:cNvSpPr>
          <a:spLocks noChangeShapeType="1"/>
        </xdr:cNvSpPr>
      </xdr:nvSpPr>
      <xdr:spPr bwMode="auto">
        <a:xfrm>
          <a:off x="1175808" y="4794250"/>
          <a:ext cx="0" cy="152400"/>
        </a:xfrm>
        <a:prstGeom prst="line">
          <a:avLst/>
        </a:prstGeom>
        <a:noFill/>
        <a:ln w="9525">
          <a:solidFill>
            <a:srgbClr val="000000"/>
          </a:solidFill>
          <a:round/>
          <a:headEnd/>
          <a:tailEnd type="triangle" w="med" len="med"/>
        </a:ln>
      </xdr:spPr>
    </xdr:sp>
    <xdr:clientData/>
  </xdr:twoCellAnchor>
  <xdr:twoCellAnchor>
    <xdr:from>
      <xdr:col>2</xdr:col>
      <xdr:colOff>487891</xdr:colOff>
      <xdr:row>19</xdr:row>
      <xdr:rowOff>9525</xdr:rowOff>
    </xdr:from>
    <xdr:to>
      <xdr:col>2</xdr:col>
      <xdr:colOff>487891</xdr:colOff>
      <xdr:row>19</xdr:row>
      <xdr:rowOff>152400</xdr:rowOff>
    </xdr:to>
    <xdr:sp macro="" textlink="">
      <xdr:nvSpPr>
        <xdr:cNvPr id="108798" name="Line 34"/>
        <xdr:cNvSpPr>
          <a:spLocks noChangeShapeType="1"/>
        </xdr:cNvSpPr>
      </xdr:nvSpPr>
      <xdr:spPr bwMode="auto">
        <a:xfrm flipH="1">
          <a:off x="1175808" y="4306358"/>
          <a:ext cx="0" cy="142875"/>
        </a:xfrm>
        <a:prstGeom prst="line">
          <a:avLst/>
        </a:prstGeom>
        <a:noFill/>
        <a:ln w="9525">
          <a:solidFill>
            <a:srgbClr val="000000"/>
          </a:solidFill>
          <a:round/>
          <a:headEnd/>
          <a:tailEnd type="triangle" w="med" len="med"/>
        </a:ln>
      </xdr:spPr>
    </xdr:sp>
    <xdr:clientData/>
  </xdr:twoCellAnchor>
  <xdr:twoCellAnchor>
    <xdr:from>
      <xdr:col>6</xdr:col>
      <xdr:colOff>516466</xdr:colOff>
      <xdr:row>19</xdr:row>
      <xdr:rowOff>7408</xdr:rowOff>
    </xdr:from>
    <xdr:to>
      <xdr:col>6</xdr:col>
      <xdr:colOff>516466</xdr:colOff>
      <xdr:row>20</xdr:row>
      <xdr:rowOff>13757</xdr:rowOff>
    </xdr:to>
    <xdr:sp macro="" textlink="">
      <xdr:nvSpPr>
        <xdr:cNvPr id="108799" name="Line 35"/>
        <xdr:cNvSpPr>
          <a:spLocks noChangeShapeType="1"/>
        </xdr:cNvSpPr>
      </xdr:nvSpPr>
      <xdr:spPr bwMode="auto">
        <a:xfrm>
          <a:off x="3871383" y="4304241"/>
          <a:ext cx="0" cy="175683"/>
        </a:xfrm>
        <a:prstGeom prst="line">
          <a:avLst/>
        </a:prstGeom>
        <a:noFill/>
        <a:ln w="19050">
          <a:solidFill>
            <a:srgbClr val="FF0000"/>
          </a:solidFill>
          <a:round/>
          <a:headEnd/>
          <a:tailEnd type="triangle" w="med" len="med"/>
        </a:ln>
      </xdr:spPr>
    </xdr:sp>
    <xdr:clientData/>
  </xdr:twoCellAnchor>
  <xdr:twoCellAnchor>
    <xdr:from>
      <xdr:col>5</xdr:col>
      <xdr:colOff>0</xdr:colOff>
      <xdr:row>18</xdr:row>
      <xdr:rowOff>180975</xdr:rowOff>
    </xdr:from>
    <xdr:to>
      <xdr:col>5</xdr:col>
      <xdr:colOff>276225</xdr:colOff>
      <xdr:row>18</xdr:row>
      <xdr:rowOff>180975</xdr:rowOff>
    </xdr:to>
    <xdr:sp macro="" textlink="">
      <xdr:nvSpPr>
        <xdr:cNvPr id="108800" name="Line 36"/>
        <xdr:cNvSpPr>
          <a:spLocks noChangeShapeType="1"/>
        </xdr:cNvSpPr>
      </xdr:nvSpPr>
      <xdr:spPr bwMode="auto">
        <a:xfrm flipH="1">
          <a:off x="3009900" y="4219575"/>
          <a:ext cx="276225" cy="0"/>
        </a:xfrm>
        <a:prstGeom prst="line">
          <a:avLst/>
        </a:prstGeom>
        <a:noFill/>
        <a:ln w="9525">
          <a:solidFill>
            <a:srgbClr val="000000"/>
          </a:solidFill>
          <a:round/>
          <a:headEnd/>
          <a:tailEnd type="triangle" w="med" len="med"/>
        </a:ln>
      </xdr:spPr>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10</xdr:col>
      <xdr:colOff>19050</xdr:colOff>
      <xdr:row>28</xdr:row>
      <xdr:rowOff>0</xdr:rowOff>
    </xdr:from>
    <xdr:to>
      <xdr:col>11</xdr:col>
      <xdr:colOff>57150</xdr:colOff>
      <xdr:row>32</xdr:row>
      <xdr:rowOff>123825</xdr:rowOff>
    </xdr:to>
    <xdr:pic>
      <xdr:nvPicPr>
        <xdr:cNvPr id="3" name="Рисунок 2" descr="Склеп.gif"/>
        <xdr:cNvPicPr>
          <a:picLocks noChangeAspect="1"/>
        </xdr:cNvPicPr>
      </xdr:nvPicPr>
      <xdr:blipFill>
        <a:blip xmlns:r="http://schemas.openxmlformats.org/officeDocument/2006/relationships" r:embed="rId1" cstate="print"/>
        <a:stretch>
          <a:fillRect/>
        </a:stretch>
      </xdr:blipFill>
      <xdr:spPr>
        <a:xfrm>
          <a:off x="6477000" y="4562475"/>
          <a:ext cx="609600" cy="771525"/>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1</xdr:col>
      <xdr:colOff>47625</xdr:colOff>
      <xdr:row>2</xdr:row>
      <xdr:rowOff>0</xdr:rowOff>
    </xdr:from>
    <xdr:to>
      <xdr:col>1</xdr:col>
      <xdr:colOff>542925</xdr:colOff>
      <xdr:row>3</xdr:row>
      <xdr:rowOff>114300</xdr:rowOff>
    </xdr:to>
    <xdr:pic>
      <xdr:nvPicPr>
        <xdr:cNvPr id="34888" name="Picture 1" descr="1"/>
        <xdr:cNvPicPr>
          <a:picLocks noChangeAspect="1" noChangeArrowheads="1"/>
        </xdr:cNvPicPr>
      </xdr:nvPicPr>
      <xdr:blipFill>
        <a:blip xmlns:r="http://schemas.openxmlformats.org/officeDocument/2006/relationships" r:embed="rId1" r:link="rId2" cstate="print"/>
        <a:srcRect/>
        <a:stretch>
          <a:fillRect/>
        </a:stretch>
      </xdr:blipFill>
      <xdr:spPr bwMode="auto">
        <a:xfrm>
          <a:off x="200025" y="219075"/>
          <a:ext cx="495300" cy="276225"/>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xdr:from>
      <xdr:col>1</xdr:col>
      <xdr:colOff>47625</xdr:colOff>
      <xdr:row>2</xdr:row>
      <xdr:rowOff>0</xdr:rowOff>
    </xdr:from>
    <xdr:to>
      <xdr:col>1</xdr:col>
      <xdr:colOff>542925</xdr:colOff>
      <xdr:row>3</xdr:row>
      <xdr:rowOff>152400</xdr:rowOff>
    </xdr:to>
    <xdr:pic>
      <xdr:nvPicPr>
        <xdr:cNvPr id="38985" name="Picture 10" descr="1"/>
        <xdr:cNvPicPr>
          <a:picLocks noChangeAspect="1" noChangeArrowheads="1"/>
        </xdr:cNvPicPr>
      </xdr:nvPicPr>
      <xdr:blipFill>
        <a:blip xmlns:r="http://schemas.openxmlformats.org/officeDocument/2006/relationships" r:embed="rId1" r:link="rId2" cstate="print"/>
        <a:srcRect/>
        <a:stretch>
          <a:fillRect/>
        </a:stretch>
      </xdr:blipFill>
      <xdr:spPr bwMode="auto">
        <a:xfrm>
          <a:off x="200025" y="219075"/>
          <a:ext cx="495300" cy="314325"/>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xdr:from>
      <xdr:col>1</xdr:col>
      <xdr:colOff>66675</xdr:colOff>
      <xdr:row>2</xdr:row>
      <xdr:rowOff>9525</xdr:rowOff>
    </xdr:from>
    <xdr:to>
      <xdr:col>1</xdr:col>
      <xdr:colOff>561975</xdr:colOff>
      <xdr:row>3</xdr:row>
      <xdr:rowOff>152400</xdr:rowOff>
    </xdr:to>
    <xdr:pic>
      <xdr:nvPicPr>
        <xdr:cNvPr id="40009" name="Picture 10" descr="1"/>
        <xdr:cNvPicPr>
          <a:picLocks noChangeAspect="1" noChangeArrowheads="1"/>
        </xdr:cNvPicPr>
      </xdr:nvPicPr>
      <xdr:blipFill>
        <a:blip xmlns:r="http://schemas.openxmlformats.org/officeDocument/2006/relationships" r:embed="rId1" r:link="rId2" cstate="print"/>
        <a:srcRect/>
        <a:stretch>
          <a:fillRect/>
        </a:stretch>
      </xdr:blipFill>
      <xdr:spPr bwMode="auto">
        <a:xfrm>
          <a:off x="219075" y="228600"/>
          <a:ext cx="495300" cy="304800"/>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xdr:from>
      <xdr:col>1</xdr:col>
      <xdr:colOff>57150</xdr:colOff>
      <xdr:row>2</xdr:row>
      <xdr:rowOff>9525</xdr:rowOff>
    </xdr:from>
    <xdr:to>
      <xdr:col>1</xdr:col>
      <xdr:colOff>542925</xdr:colOff>
      <xdr:row>3</xdr:row>
      <xdr:rowOff>152400</xdr:rowOff>
    </xdr:to>
    <xdr:pic>
      <xdr:nvPicPr>
        <xdr:cNvPr id="41031" name="Picture 8" descr="1"/>
        <xdr:cNvPicPr>
          <a:picLocks noChangeAspect="1" noChangeArrowheads="1"/>
        </xdr:cNvPicPr>
      </xdr:nvPicPr>
      <xdr:blipFill>
        <a:blip xmlns:r="http://schemas.openxmlformats.org/officeDocument/2006/relationships" r:embed="rId1" r:link="rId2" cstate="print"/>
        <a:srcRect/>
        <a:stretch>
          <a:fillRect/>
        </a:stretch>
      </xdr:blipFill>
      <xdr:spPr bwMode="auto">
        <a:xfrm>
          <a:off x="209550" y="228600"/>
          <a:ext cx="485775" cy="304800"/>
        </a:xfrm>
        <a:prstGeom prst="rect">
          <a:avLst/>
        </a:prstGeom>
        <a:noFill/>
        <a:ln w="9525">
          <a:noFill/>
          <a:miter lim="800000"/>
          <a:headEnd/>
          <a:tailEnd/>
        </a:ln>
      </xdr:spPr>
    </xdr:pic>
    <xdr:clientData/>
  </xdr:twoCellAnchor>
</xdr:wsDr>
</file>

<file path=xl/drawings/drawing47.xml><?xml version="1.0" encoding="utf-8"?>
<xdr:wsDr xmlns:xdr="http://schemas.openxmlformats.org/drawingml/2006/spreadsheetDrawing" xmlns:a="http://schemas.openxmlformats.org/drawingml/2006/main">
  <xdr:twoCellAnchor>
    <xdr:from>
      <xdr:col>1</xdr:col>
      <xdr:colOff>57150</xdr:colOff>
      <xdr:row>2</xdr:row>
      <xdr:rowOff>0</xdr:rowOff>
    </xdr:from>
    <xdr:to>
      <xdr:col>1</xdr:col>
      <xdr:colOff>542925</xdr:colOff>
      <xdr:row>3</xdr:row>
      <xdr:rowOff>142875</xdr:rowOff>
    </xdr:to>
    <xdr:pic>
      <xdr:nvPicPr>
        <xdr:cNvPr id="42053" name="Picture 4" descr="1"/>
        <xdr:cNvPicPr>
          <a:picLocks noChangeAspect="1" noChangeArrowheads="1"/>
        </xdr:cNvPicPr>
      </xdr:nvPicPr>
      <xdr:blipFill>
        <a:blip xmlns:r="http://schemas.openxmlformats.org/officeDocument/2006/relationships" r:embed="rId1" r:link="rId2" cstate="print"/>
        <a:srcRect/>
        <a:stretch>
          <a:fillRect/>
        </a:stretch>
      </xdr:blipFill>
      <xdr:spPr bwMode="auto">
        <a:xfrm>
          <a:off x="209550" y="219075"/>
          <a:ext cx="485775" cy="304800"/>
        </a:xfrm>
        <a:prstGeom prst="rect">
          <a:avLst/>
        </a:prstGeom>
        <a:noFill/>
        <a:ln w="9525">
          <a:noFill/>
          <a:miter lim="800000"/>
          <a:headEnd/>
          <a:tailEnd/>
        </a:ln>
      </xdr:spPr>
    </xdr:pic>
    <xdr:clientData/>
  </xdr:twoCellAnchor>
</xdr:wsDr>
</file>

<file path=xl/drawings/drawing48.xml><?xml version="1.0" encoding="utf-8"?>
<xdr:wsDr xmlns:xdr="http://schemas.openxmlformats.org/drawingml/2006/spreadsheetDrawing" xmlns:a="http://schemas.openxmlformats.org/drawingml/2006/main">
  <xdr:twoCellAnchor>
    <xdr:from>
      <xdr:col>1</xdr:col>
      <xdr:colOff>66675</xdr:colOff>
      <xdr:row>2</xdr:row>
      <xdr:rowOff>9525</xdr:rowOff>
    </xdr:from>
    <xdr:to>
      <xdr:col>1</xdr:col>
      <xdr:colOff>542925</xdr:colOff>
      <xdr:row>3</xdr:row>
      <xdr:rowOff>152400</xdr:rowOff>
    </xdr:to>
    <xdr:pic>
      <xdr:nvPicPr>
        <xdr:cNvPr id="43076" name="Picture 5" descr="1"/>
        <xdr:cNvPicPr>
          <a:picLocks noChangeAspect="1" noChangeArrowheads="1"/>
        </xdr:cNvPicPr>
      </xdr:nvPicPr>
      <xdr:blipFill>
        <a:blip xmlns:r="http://schemas.openxmlformats.org/officeDocument/2006/relationships" r:embed="rId1" r:link="rId2" cstate="print"/>
        <a:srcRect/>
        <a:stretch>
          <a:fillRect/>
        </a:stretch>
      </xdr:blipFill>
      <xdr:spPr bwMode="auto">
        <a:xfrm>
          <a:off x="219075" y="228600"/>
          <a:ext cx="476250" cy="304800"/>
        </a:xfrm>
        <a:prstGeom prst="rect">
          <a:avLst/>
        </a:prstGeom>
        <a:noFill/>
        <a:ln w="9525">
          <a:noFill/>
          <a:miter lim="800000"/>
          <a:headEnd/>
          <a:tailEnd/>
        </a:ln>
      </xdr:spPr>
    </xdr:pic>
    <xdr:clientData/>
  </xdr:twoCellAnchor>
</xdr:wsDr>
</file>

<file path=xl/drawings/drawing49.xml><?xml version="1.0" encoding="utf-8"?>
<xdr:wsDr xmlns:xdr="http://schemas.openxmlformats.org/drawingml/2006/spreadsheetDrawing" xmlns:a="http://schemas.openxmlformats.org/drawingml/2006/main">
  <xdr:twoCellAnchor>
    <xdr:from>
      <xdr:col>1</xdr:col>
      <xdr:colOff>66675</xdr:colOff>
      <xdr:row>2</xdr:row>
      <xdr:rowOff>9525</xdr:rowOff>
    </xdr:from>
    <xdr:to>
      <xdr:col>1</xdr:col>
      <xdr:colOff>552450</xdr:colOff>
      <xdr:row>3</xdr:row>
      <xdr:rowOff>152400</xdr:rowOff>
    </xdr:to>
    <xdr:pic>
      <xdr:nvPicPr>
        <xdr:cNvPr id="44103" name="Picture 6" descr="1"/>
        <xdr:cNvPicPr>
          <a:picLocks noChangeAspect="1" noChangeArrowheads="1"/>
        </xdr:cNvPicPr>
      </xdr:nvPicPr>
      <xdr:blipFill>
        <a:blip xmlns:r="http://schemas.openxmlformats.org/officeDocument/2006/relationships" r:embed="rId1" r:link="rId2" cstate="print"/>
        <a:srcRect/>
        <a:stretch>
          <a:fillRect/>
        </a:stretch>
      </xdr:blipFill>
      <xdr:spPr bwMode="auto">
        <a:xfrm>
          <a:off x="219075" y="228600"/>
          <a:ext cx="485775" cy="304800"/>
        </a:xfrm>
        <a:prstGeom prst="rect">
          <a:avLst/>
        </a:prstGeom>
        <a:noFill/>
        <a:ln w="9525">
          <a:noFill/>
          <a:miter lim="800000"/>
          <a:headEnd/>
          <a:tailEnd/>
        </a:ln>
      </xdr:spPr>
    </xdr:pic>
    <xdr:clientData/>
  </xdr:twoCellAnchor>
</xdr:wsDr>
</file>

<file path=xl/drawings/drawing50.xml><?xml version="1.0" encoding="utf-8"?>
<xdr:wsDr xmlns:xdr="http://schemas.openxmlformats.org/drawingml/2006/spreadsheetDrawing" xmlns:a="http://schemas.openxmlformats.org/drawingml/2006/main">
  <xdr:twoCellAnchor>
    <xdr:from>
      <xdr:col>1</xdr:col>
      <xdr:colOff>66675</xdr:colOff>
      <xdr:row>1</xdr:row>
      <xdr:rowOff>47625</xdr:rowOff>
    </xdr:from>
    <xdr:to>
      <xdr:col>1</xdr:col>
      <xdr:colOff>542925</xdr:colOff>
      <xdr:row>3</xdr:row>
      <xdr:rowOff>142875</xdr:rowOff>
    </xdr:to>
    <xdr:pic>
      <xdr:nvPicPr>
        <xdr:cNvPr id="45122" name="Picture 1" descr="1"/>
        <xdr:cNvPicPr>
          <a:picLocks noChangeAspect="1" noChangeArrowheads="1"/>
        </xdr:cNvPicPr>
      </xdr:nvPicPr>
      <xdr:blipFill>
        <a:blip xmlns:r="http://schemas.openxmlformats.org/officeDocument/2006/relationships" r:embed="rId1" r:link="rId2" cstate="print"/>
        <a:srcRect/>
        <a:stretch>
          <a:fillRect/>
        </a:stretch>
      </xdr:blipFill>
      <xdr:spPr bwMode="auto">
        <a:xfrm>
          <a:off x="219075" y="209550"/>
          <a:ext cx="476250" cy="314325"/>
        </a:xfrm>
        <a:prstGeom prst="rect">
          <a:avLst/>
        </a:prstGeom>
        <a:noFill/>
        <a:ln w="9525">
          <a:noFill/>
          <a:miter lim="800000"/>
          <a:headEnd/>
          <a:tailEnd/>
        </a:ln>
      </xdr:spPr>
    </xdr:pic>
    <xdr:clientData/>
  </xdr:twoCellAnchor>
</xdr:wsDr>
</file>

<file path=xl/drawings/drawing51.xml><?xml version="1.0" encoding="utf-8"?>
<xdr:wsDr xmlns:xdr="http://schemas.openxmlformats.org/drawingml/2006/spreadsheetDrawing" xmlns:a="http://schemas.openxmlformats.org/drawingml/2006/main">
  <xdr:twoCellAnchor>
    <xdr:from>
      <xdr:col>1</xdr:col>
      <xdr:colOff>66675</xdr:colOff>
      <xdr:row>2</xdr:row>
      <xdr:rowOff>0</xdr:rowOff>
    </xdr:from>
    <xdr:to>
      <xdr:col>1</xdr:col>
      <xdr:colOff>552450</xdr:colOff>
      <xdr:row>3</xdr:row>
      <xdr:rowOff>161925</xdr:rowOff>
    </xdr:to>
    <xdr:pic>
      <xdr:nvPicPr>
        <xdr:cNvPr id="3" name="Picture 2" descr="1"/>
        <xdr:cNvPicPr>
          <a:picLocks noChangeAspect="1" noChangeArrowheads="1"/>
        </xdr:cNvPicPr>
      </xdr:nvPicPr>
      <xdr:blipFill>
        <a:blip xmlns:r="http://schemas.openxmlformats.org/officeDocument/2006/relationships" r:embed="rId1" r:link="rId2" cstate="print"/>
        <a:srcRect/>
        <a:stretch>
          <a:fillRect/>
        </a:stretch>
      </xdr:blipFill>
      <xdr:spPr bwMode="auto">
        <a:xfrm>
          <a:off x="314325" y="219075"/>
          <a:ext cx="485775" cy="304800"/>
        </a:xfrm>
        <a:prstGeom prst="rect">
          <a:avLst/>
        </a:prstGeom>
        <a:noFill/>
        <a:ln w="9525">
          <a:noFill/>
          <a:miter lim="800000"/>
          <a:headEnd/>
          <a:tailEnd/>
        </a:ln>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9525</xdr:colOff>
      <xdr:row>6</xdr:row>
      <xdr:rowOff>9525</xdr:rowOff>
    </xdr:from>
    <xdr:to>
      <xdr:col>2</xdr:col>
      <xdr:colOff>0</xdr:colOff>
      <xdr:row>9</xdr:row>
      <xdr:rowOff>133350</xdr:rowOff>
    </xdr:to>
    <xdr:pic>
      <xdr:nvPicPr>
        <xdr:cNvPr id="9"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7175" y="1104900"/>
          <a:ext cx="552450" cy="609600"/>
        </a:xfrm>
        <a:prstGeom prst="rect">
          <a:avLst/>
        </a:prstGeom>
        <a:noFill/>
      </xdr:spPr>
    </xdr:pic>
    <xdr:clientData/>
  </xdr:twoCellAnchor>
  <xdr:twoCellAnchor editAs="oneCell">
    <xdr:from>
      <xdr:col>1</xdr:col>
      <xdr:colOff>9525</xdr:colOff>
      <xdr:row>10</xdr:row>
      <xdr:rowOff>9525</xdr:rowOff>
    </xdr:from>
    <xdr:to>
      <xdr:col>2</xdr:col>
      <xdr:colOff>0</xdr:colOff>
      <xdr:row>13</xdr:row>
      <xdr:rowOff>133350</xdr:rowOff>
    </xdr:to>
    <xdr:pic>
      <xdr:nvPicPr>
        <xdr:cNvPr id="153"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257175" y="1752600"/>
          <a:ext cx="552450" cy="609600"/>
        </a:xfrm>
        <a:prstGeom prst="rect">
          <a:avLst/>
        </a:prstGeom>
        <a:noFill/>
      </xdr:spPr>
    </xdr:pic>
    <xdr:clientData/>
  </xdr:twoCellAnchor>
  <xdr:twoCellAnchor editAs="oneCell">
    <xdr:from>
      <xdr:col>1</xdr:col>
      <xdr:colOff>9525</xdr:colOff>
      <xdr:row>18</xdr:row>
      <xdr:rowOff>9525</xdr:rowOff>
    </xdr:from>
    <xdr:to>
      <xdr:col>2</xdr:col>
      <xdr:colOff>0</xdr:colOff>
      <xdr:row>21</xdr:row>
      <xdr:rowOff>133350</xdr:rowOff>
    </xdr:to>
    <xdr:pic>
      <xdr:nvPicPr>
        <xdr:cNvPr id="157"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257175" y="3048000"/>
          <a:ext cx="552450" cy="609600"/>
        </a:xfrm>
        <a:prstGeom prst="rect">
          <a:avLst/>
        </a:prstGeom>
        <a:noFill/>
      </xdr:spPr>
    </xdr:pic>
    <xdr:clientData/>
  </xdr:twoCellAnchor>
  <xdr:twoCellAnchor editAs="oneCell">
    <xdr:from>
      <xdr:col>1</xdr:col>
      <xdr:colOff>9525</xdr:colOff>
      <xdr:row>22</xdr:row>
      <xdr:rowOff>9525</xdr:rowOff>
    </xdr:from>
    <xdr:to>
      <xdr:col>2</xdr:col>
      <xdr:colOff>0</xdr:colOff>
      <xdr:row>25</xdr:row>
      <xdr:rowOff>133350</xdr:rowOff>
    </xdr:to>
    <xdr:pic>
      <xdr:nvPicPr>
        <xdr:cNvPr id="159"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257175" y="3695700"/>
          <a:ext cx="552450" cy="609600"/>
        </a:xfrm>
        <a:prstGeom prst="rect">
          <a:avLst/>
        </a:prstGeom>
        <a:noFill/>
      </xdr:spPr>
    </xdr:pic>
    <xdr:clientData/>
  </xdr:twoCellAnchor>
  <xdr:twoCellAnchor editAs="oneCell">
    <xdr:from>
      <xdr:col>1</xdr:col>
      <xdr:colOff>9525</xdr:colOff>
      <xdr:row>30</xdr:row>
      <xdr:rowOff>9525</xdr:rowOff>
    </xdr:from>
    <xdr:to>
      <xdr:col>2</xdr:col>
      <xdr:colOff>0</xdr:colOff>
      <xdr:row>33</xdr:row>
      <xdr:rowOff>133350</xdr:rowOff>
    </xdr:to>
    <xdr:pic>
      <xdr:nvPicPr>
        <xdr:cNvPr id="161"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57175" y="4991100"/>
          <a:ext cx="552450" cy="609600"/>
        </a:xfrm>
        <a:prstGeom prst="rect">
          <a:avLst/>
        </a:prstGeom>
        <a:noFill/>
      </xdr:spPr>
    </xdr:pic>
    <xdr:clientData/>
  </xdr:twoCellAnchor>
  <xdr:twoCellAnchor editAs="oneCell">
    <xdr:from>
      <xdr:col>1</xdr:col>
      <xdr:colOff>9525</xdr:colOff>
      <xdr:row>34</xdr:row>
      <xdr:rowOff>9525</xdr:rowOff>
    </xdr:from>
    <xdr:to>
      <xdr:col>2</xdr:col>
      <xdr:colOff>0</xdr:colOff>
      <xdr:row>37</xdr:row>
      <xdr:rowOff>133350</xdr:rowOff>
    </xdr:to>
    <xdr:pic>
      <xdr:nvPicPr>
        <xdr:cNvPr id="163"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257175" y="5638800"/>
          <a:ext cx="552450" cy="609600"/>
        </a:xfrm>
        <a:prstGeom prst="rect">
          <a:avLst/>
        </a:prstGeom>
        <a:noFill/>
      </xdr:spPr>
    </xdr:pic>
    <xdr:clientData/>
  </xdr:twoCellAnchor>
  <xdr:twoCellAnchor editAs="oneCell">
    <xdr:from>
      <xdr:col>1</xdr:col>
      <xdr:colOff>9525</xdr:colOff>
      <xdr:row>42</xdr:row>
      <xdr:rowOff>9525</xdr:rowOff>
    </xdr:from>
    <xdr:to>
      <xdr:col>2</xdr:col>
      <xdr:colOff>0</xdr:colOff>
      <xdr:row>45</xdr:row>
      <xdr:rowOff>133350</xdr:rowOff>
    </xdr:to>
    <xdr:pic>
      <xdr:nvPicPr>
        <xdr:cNvPr id="165"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257175" y="6934200"/>
          <a:ext cx="552450" cy="609600"/>
        </a:xfrm>
        <a:prstGeom prst="rect">
          <a:avLst/>
        </a:prstGeom>
        <a:noFill/>
      </xdr:spPr>
    </xdr:pic>
    <xdr:clientData/>
  </xdr:twoCellAnchor>
  <xdr:twoCellAnchor editAs="oneCell">
    <xdr:from>
      <xdr:col>1</xdr:col>
      <xdr:colOff>9525</xdr:colOff>
      <xdr:row>46</xdr:row>
      <xdr:rowOff>9525</xdr:rowOff>
    </xdr:from>
    <xdr:to>
      <xdr:col>2</xdr:col>
      <xdr:colOff>0</xdr:colOff>
      <xdr:row>49</xdr:row>
      <xdr:rowOff>133350</xdr:rowOff>
    </xdr:to>
    <xdr:pic>
      <xdr:nvPicPr>
        <xdr:cNvPr id="167"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257175" y="7581900"/>
          <a:ext cx="552450" cy="609600"/>
        </a:xfrm>
        <a:prstGeom prst="rect">
          <a:avLst/>
        </a:prstGeom>
        <a:noFill/>
      </xdr:spPr>
    </xdr:pic>
    <xdr:clientData/>
  </xdr:twoCellAnchor>
  <xdr:twoCellAnchor editAs="oneCell">
    <xdr:from>
      <xdr:col>1</xdr:col>
      <xdr:colOff>9525</xdr:colOff>
      <xdr:row>54</xdr:row>
      <xdr:rowOff>9525</xdr:rowOff>
    </xdr:from>
    <xdr:to>
      <xdr:col>2</xdr:col>
      <xdr:colOff>0</xdr:colOff>
      <xdr:row>57</xdr:row>
      <xdr:rowOff>133350</xdr:rowOff>
    </xdr:to>
    <xdr:pic>
      <xdr:nvPicPr>
        <xdr:cNvPr id="169"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257175" y="8877300"/>
          <a:ext cx="552450" cy="609600"/>
        </a:xfrm>
        <a:prstGeom prst="rect">
          <a:avLst/>
        </a:prstGeom>
        <a:noFill/>
      </xdr:spPr>
    </xdr:pic>
    <xdr:clientData/>
  </xdr:twoCellAnchor>
  <xdr:twoCellAnchor editAs="oneCell">
    <xdr:from>
      <xdr:col>1</xdr:col>
      <xdr:colOff>9525</xdr:colOff>
      <xdr:row>58</xdr:row>
      <xdr:rowOff>9525</xdr:rowOff>
    </xdr:from>
    <xdr:to>
      <xdr:col>2</xdr:col>
      <xdr:colOff>0</xdr:colOff>
      <xdr:row>61</xdr:row>
      <xdr:rowOff>133350</xdr:rowOff>
    </xdr:to>
    <xdr:pic>
      <xdr:nvPicPr>
        <xdr:cNvPr id="171"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257175" y="9525000"/>
          <a:ext cx="552450" cy="609600"/>
        </a:xfrm>
        <a:prstGeom prst="rect">
          <a:avLst/>
        </a:prstGeom>
        <a:noFill/>
      </xdr:spPr>
    </xdr:pic>
    <xdr:clientData/>
  </xdr:twoCellAnchor>
  <xdr:twoCellAnchor editAs="oneCell">
    <xdr:from>
      <xdr:col>1</xdr:col>
      <xdr:colOff>9525</xdr:colOff>
      <xdr:row>66</xdr:row>
      <xdr:rowOff>9525</xdr:rowOff>
    </xdr:from>
    <xdr:to>
      <xdr:col>2</xdr:col>
      <xdr:colOff>0</xdr:colOff>
      <xdr:row>69</xdr:row>
      <xdr:rowOff>133350</xdr:rowOff>
    </xdr:to>
    <xdr:pic>
      <xdr:nvPicPr>
        <xdr:cNvPr id="173"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257175" y="10820400"/>
          <a:ext cx="552450" cy="609600"/>
        </a:xfrm>
        <a:prstGeom prst="rect">
          <a:avLst/>
        </a:prstGeom>
        <a:noFill/>
      </xdr:spPr>
    </xdr:pic>
    <xdr:clientData/>
  </xdr:twoCellAnchor>
  <xdr:twoCellAnchor editAs="oneCell">
    <xdr:from>
      <xdr:col>1</xdr:col>
      <xdr:colOff>9525</xdr:colOff>
      <xdr:row>70</xdr:row>
      <xdr:rowOff>9525</xdr:rowOff>
    </xdr:from>
    <xdr:to>
      <xdr:col>2</xdr:col>
      <xdr:colOff>0</xdr:colOff>
      <xdr:row>73</xdr:row>
      <xdr:rowOff>133350</xdr:rowOff>
    </xdr:to>
    <xdr:pic>
      <xdr:nvPicPr>
        <xdr:cNvPr id="175"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257175" y="11468100"/>
          <a:ext cx="552450" cy="609600"/>
        </a:xfrm>
        <a:prstGeom prst="rect">
          <a:avLst/>
        </a:prstGeom>
        <a:noFill/>
      </xdr:spPr>
    </xdr:pic>
    <xdr:clientData/>
  </xdr:twoCellAnchor>
  <xdr:twoCellAnchor editAs="oneCell">
    <xdr:from>
      <xdr:col>1</xdr:col>
      <xdr:colOff>9525</xdr:colOff>
      <xdr:row>80</xdr:row>
      <xdr:rowOff>9525</xdr:rowOff>
    </xdr:from>
    <xdr:to>
      <xdr:col>2</xdr:col>
      <xdr:colOff>0</xdr:colOff>
      <xdr:row>83</xdr:row>
      <xdr:rowOff>133350</xdr:rowOff>
    </xdr:to>
    <xdr:pic>
      <xdr:nvPicPr>
        <xdr:cNvPr id="177"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257175" y="13087350"/>
          <a:ext cx="552450" cy="609600"/>
        </a:xfrm>
        <a:prstGeom prst="rect">
          <a:avLst/>
        </a:prstGeom>
        <a:noFill/>
      </xdr:spPr>
    </xdr:pic>
    <xdr:clientData/>
  </xdr:twoCellAnchor>
  <xdr:twoCellAnchor editAs="oneCell">
    <xdr:from>
      <xdr:col>1</xdr:col>
      <xdr:colOff>9525</xdr:colOff>
      <xdr:row>84</xdr:row>
      <xdr:rowOff>9525</xdr:rowOff>
    </xdr:from>
    <xdr:to>
      <xdr:col>2</xdr:col>
      <xdr:colOff>0</xdr:colOff>
      <xdr:row>87</xdr:row>
      <xdr:rowOff>133350</xdr:rowOff>
    </xdr:to>
    <xdr:pic>
      <xdr:nvPicPr>
        <xdr:cNvPr id="179"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257175" y="13735050"/>
          <a:ext cx="552450" cy="609600"/>
        </a:xfrm>
        <a:prstGeom prst="rect">
          <a:avLst/>
        </a:prstGeom>
        <a:noFill/>
      </xdr:spPr>
    </xdr:pic>
    <xdr:clientData/>
  </xdr:twoCellAnchor>
  <xdr:twoCellAnchor editAs="oneCell">
    <xdr:from>
      <xdr:col>1</xdr:col>
      <xdr:colOff>9525</xdr:colOff>
      <xdr:row>92</xdr:row>
      <xdr:rowOff>9525</xdr:rowOff>
    </xdr:from>
    <xdr:to>
      <xdr:col>2</xdr:col>
      <xdr:colOff>0</xdr:colOff>
      <xdr:row>95</xdr:row>
      <xdr:rowOff>133350</xdr:rowOff>
    </xdr:to>
    <xdr:pic>
      <xdr:nvPicPr>
        <xdr:cNvPr id="19" name="Picture 2"/>
        <xdr:cNvPicPr>
          <a:picLocks noChangeAspect="1" noChangeArrowheads="1"/>
        </xdr:cNvPicPr>
      </xdr:nvPicPr>
      <xdr:blipFill>
        <a:blip xmlns:r="http://schemas.openxmlformats.org/officeDocument/2006/relationships" r:embed="rId15" cstate="print"/>
        <a:srcRect/>
        <a:stretch>
          <a:fillRect/>
        </a:stretch>
      </xdr:blipFill>
      <xdr:spPr bwMode="auto">
        <a:xfrm>
          <a:off x="257175" y="15030450"/>
          <a:ext cx="552450" cy="609600"/>
        </a:xfrm>
        <a:prstGeom prst="rect">
          <a:avLst/>
        </a:prstGeom>
        <a:noFill/>
      </xdr:spPr>
    </xdr:pic>
    <xdr:clientData/>
  </xdr:twoCellAnchor>
  <xdr:twoCellAnchor editAs="oneCell">
    <xdr:from>
      <xdr:col>1</xdr:col>
      <xdr:colOff>9525</xdr:colOff>
      <xdr:row>96</xdr:row>
      <xdr:rowOff>9525</xdr:rowOff>
    </xdr:from>
    <xdr:to>
      <xdr:col>2</xdr:col>
      <xdr:colOff>0</xdr:colOff>
      <xdr:row>99</xdr:row>
      <xdr:rowOff>133350</xdr:rowOff>
    </xdr:to>
    <xdr:pic>
      <xdr:nvPicPr>
        <xdr:cNvPr id="21" name="Picture 4"/>
        <xdr:cNvPicPr>
          <a:picLocks noChangeAspect="1" noChangeArrowheads="1"/>
        </xdr:cNvPicPr>
      </xdr:nvPicPr>
      <xdr:blipFill>
        <a:blip xmlns:r="http://schemas.openxmlformats.org/officeDocument/2006/relationships" r:embed="rId16" cstate="print"/>
        <a:srcRect/>
        <a:stretch>
          <a:fillRect/>
        </a:stretch>
      </xdr:blipFill>
      <xdr:spPr bwMode="auto">
        <a:xfrm>
          <a:off x="257175" y="15678150"/>
          <a:ext cx="552450" cy="609600"/>
        </a:xfrm>
        <a:prstGeom prst="rect">
          <a:avLst/>
        </a:prstGeom>
        <a:noFill/>
      </xdr:spPr>
    </xdr:pic>
    <xdr:clientData/>
  </xdr:twoCellAnchor>
  <xdr:twoCellAnchor editAs="oneCell">
    <xdr:from>
      <xdr:col>1</xdr:col>
      <xdr:colOff>9525</xdr:colOff>
      <xdr:row>104</xdr:row>
      <xdr:rowOff>9525</xdr:rowOff>
    </xdr:from>
    <xdr:to>
      <xdr:col>2</xdr:col>
      <xdr:colOff>0</xdr:colOff>
      <xdr:row>107</xdr:row>
      <xdr:rowOff>133350</xdr:rowOff>
    </xdr:to>
    <xdr:pic>
      <xdr:nvPicPr>
        <xdr:cNvPr id="23" name="Picture 6"/>
        <xdr:cNvPicPr>
          <a:picLocks noChangeAspect="1" noChangeArrowheads="1"/>
        </xdr:cNvPicPr>
      </xdr:nvPicPr>
      <xdr:blipFill>
        <a:blip xmlns:r="http://schemas.openxmlformats.org/officeDocument/2006/relationships" r:embed="rId17" cstate="print"/>
        <a:srcRect/>
        <a:stretch>
          <a:fillRect/>
        </a:stretch>
      </xdr:blipFill>
      <xdr:spPr bwMode="auto">
        <a:xfrm>
          <a:off x="257175" y="16973550"/>
          <a:ext cx="552450" cy="609600"/>
        </a:xfrm>
        <a:prstGeom prst="rect">
          <a:avLst/>
        </a:prstGeom>
        <a:noFill/>
      </xdr:spPr>
    </xdr:pic>
    <xdr:clientData/>
  </xdr:twoCellAnchor>
  <xdr:twoCellAnchor editAs="oneCell">
    <xdr:from>
      <xdr:col>1</xdr:col>
      <xdr:colOff>9525</xdr:colOff>
      <xdr:row>108</xdr:row>
      <xdr:rowOff>9525</xdr:rowOff>
    </xdr:from>
    <xdr:to>
      <xdr:col>2</xdr:col>
      <xdr:colOff>0</xdr:colOff>
      <xdr:row>111</xdr:row>
      <xdr:rowOff>133350</xdr:rowOff>
    </xdr:to>
    <xdr:pic>
      <xdr:nvPicPr>
        <xdr:cNvPr id="25" name="Picture 8"/>
        <xdr:cNvPicPr>
          <a:picLocks noChangeAspect="1" noChangeArrowheads="1"/>
        </xdr:cNvPicPr>
      </xdr:nvPicPr>
      <xdr:blipFill>
        <a:blip xmlns:r="http://schemas.openxmlformats.org/officeDocument/2006/relationships" r:embed="rId18" cstate="print"/>
        <a:srcRect/>
        <a:stretch>
          <a:fillRect/>
        </a:stretch>
      </xdr:blipFill>
      <xdr:spPr bwMode="auto">
        <a:xfrm>
          <a:off x="257175" y="17621250"/>
          <a:ext cx="552450" cy="609600"/>
        </a:xfrm>
        <a:prstGeom prst="rect">
          <a:avLst/>
        </a:prstGeom>
        <a:noFill/>
      </xdr:spPr>
    </xdr:pic>
    <xdr:clientData/>
  </xdr:twoCellAnchor>
  <xdr:twoCellAnchor editAs="oneCell">
    <xdr:from>
      <xdr:col>1</xdr:col>
      <xdr:colOff>9525</xdr:colOff>
      <xdr:row>116</xdr:row>
      <xdr:rowOff>9525</xdr:rowOff>
    </xdr:from>
    <xdr:to>
      <xdr:col>2</xdr:col>
      <xdr:colOff>0</xdr:colOff>
      <xdr:row>119</xdr:row>
      <xdr:rowOff>133350</xdr:rowOff>
    </xdr:to>
    <xdr:pic>
      <xdr:nvPicPr>
        <xdr:cNvPr id="27" name="Picture 10"/>
        <xdr:cNvPicPr>
          <a:picLocks noChangeAspect="1" noChangeArrowheads="1"/>
        </xdr:cNvPicPr>
      </xdr:nvPicPr>
      <xdr:blipFill>
        <a:blip xmlns:r="http://schemas.openxmlformats.org/officeDocument/2006/relationships" r:embed="rId19" cstate="print"/>
        <a:srcRect/>
        <a:stretch>
          <a:fillRect/>
        </a:stretch>
      </xdr:blipFill>
      <xdr:spPr bwMode="auto">
        <a:xfrm>
          <a:off x="257175" y="18916650"/>
          <a:ext cx="552450" cy="609600"/>
        </a:xfrm>
        <a:prstGeom prst="rect">
          <a:avLst/>
        </a:prstGeom>
        <a:noFill/>
      </xdr:spPr>
    </xdr:pic>
    <xdr:clientData/>
  </xdr:twoCellAnchor>
  <xdr:twoCellAnchor editAs="oneCell">
    <xdr:from>
      <xdr:col>1</xdr:col>
      <xdr:colOff>9525</xdr:colOff>
      <xdr:row>120</xdr:row>
      <xdr:rowOff>9525</xdr:rowOff>
    </xdr:from>
    <xdr:to>
      <xdr:col>2</xdr:col>
      <xdr:colOff>0</xdr:colOff>
      <xdr:row>123</xdr:row>
      <xdr:rowOff>133350</xdr:rowOff>
    </xdr:to>
    <xdr:pic>
      <xdr:nvPicPr>
        <xdr:cNvPr id="29" name="Picture 12"/>
        <xdr:cNvPicPr>
          <a:picLocks noChangeAspect="1" noChangeArrowheads="1"/>
        </xdr:cNvPicPr>
      </xdr:nvPicPr>
      <xdr:blipFill>
        <a:blip xmlns:r="http://schemas.openxmlformats.org/officeDocument/2006/relationships" r:embed="rId20" cstate="print"/>
        <a:srcRect/>
        <a:stretch>
          <a:fillRect/>
        </a:stretch>
      </xdr:blipFill>
      <xdr:spPr bwMode="auto">
        <a:xfrm>
          <a:off x="257175" y="19564350"/>
          <a:ext cx="552450" cy="609600"/>
        </a:xfrm>
        <a:prstGeom prst="rect">
          <a:avLst/>
        </a:prstGeom>
        <a:noFill/>
      </xdr:spPr>
    </xdr:pic>
    <xdr:clientData/>
  </xdr:twoCellAnchor>
  <xdr:twoCellAnchor editAs="oneCell">
    <xdr:from>
      <xdr:col>1</xdr:col>
      <xdr:colOff>9525</xdr:colOff>
      <xdr:row>128</xdr:row>
      <xdr:rowOff>9525</xdr:rowOff>
    </xdr:from>
    <xdr:to>
      <xdr:col>2</xdr:col>
      <xdr:colOff>0</xdr:colOff>
      <xdr:row>131</xdr:row>
      <xdr:rowOff>133350</xdr:rowOff>
    </xdr:to>
    <xdr:pic>
      <xdr:nvPicPr>
        <xdr:cNvPr id="24"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257175" y="20859750"/>
          <a:ext cx="552450" cy="609600"/>
        </a:xfrm>
        <a:prstGeom prst="rect">
          <a:avLst/>
        </a:prstGeom>
        <a:noFill/>
      </xdr:spPr>
    </xdr:pic>
    <xdr:clientData/>
  </xdr:twoCellAnchor>
  <xdr:twoCellAnchor editAs="oneCell">
    <xdr:from>
      <xdr:col>1</xdr:col>
      <xdr:colOff>9525</xdr:colOff>
      <xdr:row>132</xdr:row>
      <xdr:rowOff>9525</xdr:rowOff>
    </xdr:from>
    <xdr:to>
      <xdr:col>2</xdr:col>
      <xdr:colOff>0</xdr:colOff>
      <xdr:row>135</xdr:row>
      <xdr:rowOff>133350</xdr:rowOff>
    </xdr:to>
    <xdr:pic>
      <xdr:nvPicPr>
        <xdr:cNvPr id="26" name="Picture 4"/>
        <xdr:cNvPicPr>
          <a:picLocks noChangeAspect="1" noChangeArrowheads="1"/>
        </xdr:cNvPicPr>
      </xdr:nvPicPr>
      <xdr:blipFill>
        <a:blip xmlns:r="http://schemas.openxmlformats.org/officeDocument/2006/relationships" r:embed="rId22" cstate="print"/>
        <a:srcRect/>
        <a:stretch>
          <a:fillRect/>
        </a:stretch>
      </xdr:blipFill>
      <xdr:spPr bwMode="auto">
        <a:xfrm>
          <a:off x="257175" y="21507450"/>
          <a:ext cx="552450" cy="609600"/>
        </a:xfrm>
        <a:prstGeom prst="rect">
          <a:avLst/>
        </a:prstGeom>
        <a:noFill/>
      </xdr:spPr>
    </xdr:pic>
    <xdr:clientData/>
  </xdr:twoCellAnchor>
  <xdr:twoCellAnchor editAs="oneCell">
    <xdr:from>
      <xdr:col>1</xdr:col>
      <xdr:colOff>9525</xdr:colOff>
      <xdr:row>140</xdr:row>
      <xdr:rowOff>9525</xdr:rowOff>
    </xdr:from>
    <xdr:to>
      <xdr:col>2</xdr:col>
      <xdr:colOff>0</xdr:colOff>
      <xdr:row>143</xdr:row>
      <xdr:rowOff>133350</xdr:rowOff>
    </xdr:to>
    <xdr:pic>
      <xdr:nvPicPr>
        <xdr:cNvPr id="28" name="Picture 6"/>
        <xdr:cNvPicPr>
          <a:picLocks noChangeAspect="1" noChangeArrowheads="1"/>
        </xdr:cNvPicPr>
      </xdr:nvPicPr>
      <xdr:blipFill>
        <a:blip xmlns:r="http://schemas.openxmlformats.org/officeDocument/2006/relationships" r:embed="rId23" cstate="print"/>
        <a:srcRect/>
        <a:stretch>
          <a:fillRect/>
        </a:stretch>
      </xdr:blipFill>
      <xdr:spPr bwMode="auto">
        <a:xfrm>
          <a:off x="257175" y="22802850"/>
          <a:ext cx="552450" cy="609600"/>
        </a:xfrm>
        <a:prstGeom prst="rect">
          <a:avLst/>
        </a:prstGeom>
        <a:noFill/>
      </xdr:spPr>
    </xdr:pic>
    <xdr:clientData/>
  </xdr:twoCellAnchor>
  <xdr:twoCellAnchor editAs="oneCell">
    <xdr:from>
      <xdr:col>1</xdr:col>
      <xdr:colOff>9525</xdr:colOff>
      <xdr:row>144</xdr:row>
      <xdr:rowOff>9525</xdr:rowOff>
    </xdr:from>
    <xdr:to>
      <xdr:col>2</xdr:col>
      <xdr:colOff>0</xdr:colOff>
      <xdr:row>147</xdr:row>
      <xdr:rowOff>133350</xdr:rowOff>
    </xdr:to>
    <xdr:pic>
      <xdr:nvPicPr>
        <xdr:cNvPr id="30" name="Picture 8"/>
        <xdr:cNvPicPr>
          <a:picLocks noChangeAspect="1" noChangeArrowheads="1"/>
        </xdr:cNvPicPr>
      </xdr:nvPicPr>
      <xdr:blipFill>
        <a:blip xmlns:r="http://schemas.openxmlformats.org/officeDocument/2006/relationships" r:embed="rId24" cstate="print"/>
        <a:srcRect/>
        <a:stretch>
          <a:fillRect/>
        </a:stretch>
      </xdr:blipFill>
      <xdr:spPr bwMode="auto">
        <a:xfrm>
          <a:off x="257175" y="23450550"/>
          <a:ext cx="552450" cy="609600"/>
        </a:xfrm>
        <a:prstGeom prst="rect">
          <a:avLst/>
        </a:prstGeom>
        <a:noFill/>
      </xdr:spPr>
    </xdr:pic>
    <xdr:clientData/>
  </xdr:twoCellAnchor>
  <xdr:twoCellAnchor editAs="oneCell">
    <xdr:from>
      <xdr:col>1</xdr:col>
      <xdr:colOff>9525</xdr:colOff>
      <xdr:row>152</xdr:row>
      <xdr:rowOff>9525</xdr:rowOff>
    </xdr:from>
    <xdr:to>
      <xdr:col>2</xdr:col>
      <xdr:colOff>0</xdr:colOff>
      <xdr:row>155</xdr:row>
      <xdr:rowOff>133350</xdr:rowOff>
    </xdr:to>
    <xdr:pic>
      <xdr:nvPicPr>
        <xdr:cNvPr id="31" name="Picture 10"/>
        <xdr:cNvPicPr>
          <a:picLocks noChangeAspect="1" noChangeArrowheads="1"/>
        </xdr:cNvPicPr>
      </xdr:nvPicPr>
      <xdr:blipFill>
        <a:blip xmlns:r="http://schemas.openxmlformats.org/officeDocument/2006/relationships" r:embed="rId25" cstate="print"/>
        <a:srcRect/>
        <a:stretch>
          <a:fillRect/>
        </a:stretch>
      </xdr:blipFill>
      <xdr:spPr bwMode="auto">
        <a:xfrm>
          <a:off x="257175" y="24745950"/>
          <a:ext cx="552450" cy="609600"/>
        </a:xfrm>
        <a:prstGeom prst="rect">
          <a:avLst/>
        </a:prstGeom>
        <a:noFill/>
      </xdr:spPr>
    </xdr:pic>
    <xdr:clientData/>
  </xdr:twoCellAnchor>
  <xdr:twoCellAnchor editAs="oneCell">
    <xdr:from>
      <xdr:col>1</xdr:col>
      <xdr:colOff>9525</xdr:colOff>
      <xdr:row>156</xdr:row>
      <xdr:rowOff>9525</xdr:rowOff>
    </xdr:from>
    <xdr:to>
      <xdr:col>2</xdr:col>
      <xdr:colOff>0</xdr:colOff>
      <xdr:row>159</xdr:row>
      <xdr:rowOff>133350</xdr:rowOff>
    </xdr:to>
    <xdr:pic>
      <xdr:nvPicPr>
        <xdr:cNvPr id="33" name="Picture 12"/>
        <xdr:cNvPicPr>
          <a:picLocks noChangeAspect="1" noChangeArrowheads="1"/>
        </xdr:cNvPicPr>
      </xdr:nvPicPr>
      <xdr:blipFill>
        <a:blip xmlns:r="http://schemas.openxmlformats.org/officeDocument/2006/relationships" r:embed="rId26" cstate="print"/>
        <a:srcRect/>
        <a:stretch>
          <a:fillRect/>
        </a:stretch>
      </xdr:blipFill>
      <xdr:spPr bwMode="auto">
        <a:xfrm>
          <a:off x="257175" y="25393650"/>
          <a:ext cx="552450" cy="609600"/>
        </a:xfrm>
        <a:prstGeom prst="rect">
          <a:avLst/>
        </a:prstGeom>
        <a:noFill/>
      </xdr:spPr>
    </xdr:pic>
    <xdr:clientData/>
  </xdr:twoCellAnchor>
  <xdr:twoCellAnchor editAs="oneCell">
    <xdr:from>
      <xdr:col>1</xdr:col>
      <xdr:colOff>9525</xdr:colOff>
      <xdr:row>164</xdr:row>
      <xdr:rowOff>9525</xdr:rowOff>
    </xdr:from>
    <xdr:to>
      <xdr:col>2</xdr:col>
      <xdr:colOff>0</xdr:colOff>
      <xdr:row>167</xdr:row>
      <xdr:rowOff>133350</xdr:rowOff>
    </xdr:to>
    <xdr:pic>
      <xdr:nvPicPr>
        <xdr:cNvPr id="35" name="Picture 14"/>
        <xdr:cNvPicPr>
          <a:picLocks noChangeAspect="1" noChangeArrowheads="1"/>
        </xdr:cNvPicPr>
      </xdr:nvPicPr>
      <xdr:blipFill>
        <a:blip xmlns:r="http://schemas.openxmlformats.org/officeDocument/2006/relationships" r:embed="rId27" cstate="print"/>
        <a:srcRect/>
        <a:stretch>
          <a:fillRect/>
        </a:stretch>
      </xdr:blipFill>
      <xdr:spPr bwMode="auto">
        <a:xfrm>
          <a:off x="257175" y="26689050"/>
          <a:ext cx="552450" cy="609600"/>
        </a:xfrm>
        <a:prstGeom prst="rect">
          <a:avLst/>
        </a:prstGeom>
        <a:noFill/>
      </xdr:spPr>
    </xdr:pic>
    <xdr:clientData/>
  </xdr:twoCellAnchor>
  <xdr:twoCellAnchor editAs="oneCell">
    <xdr:from>
      <xdr:col>1</xdr:col>
      <xdr:colOff>9525</xdr:colOff>
      <xdr:row>168</xdr:row>
      <xdr:rowOff>9525</xdr:rowOff>
    </xdr:from>
    <xdr:to>
      <xdr:col>2</xdr:col>
      <xdr:colOff>0</xdr:colOff>
      <xdr:row>171</xdr:row>
      <xdr:rowOff>133350</xdr:rowOff>
    </xdr:to>
    <xdr:pic>
      <xdr:nvPicPr>
        <xdr:cNvPr id="37" name="Picture 16"/>
        <xdr:cNvPicPr>
          <a:picLocks noChangeAspect="1" noChangeArrowheads="1"/>
        </xdr:cNvPicPr>
      </xdr:nvPicPr>
      <xdr:blipFill>
        <a:blip xmlns:r="http://schemas.openxmlformats.org/officeDocument/2006/relationships" r:embed="rId28" cstate="print"/>
        <a:srcRect/>
        <a:stretch>
          <a:fillRect/>
        </a:stretch>
      </xdr:blipFill>
      <xdr:spPr bwMode="auto">
        <a:xfrm>
          <a:off x="257175" y="27336750"/>
          <a:ext cx="552450" cy="609600"/>
        </a:xfrm>
        <a:prstGeom prst="rect">
          <a:avLst/>
        </a:prstGeom>
        <a:noFill/>
      </xdr:spPr>
    </xdr:pic>
    <xdr:clientData/>
  </xdr:twoCellAnchor>
  <xdr:twoCellAnchor editAs="oneCell">
    <xdr:from>
      <xdr:col>1</xdr:col>
      <xdr:colOff>9525</xdr:colOff>
      <xdr:row>176</xdr:row>
      <xdr:rowOff>9525</xdr:rowOff>
    </xdr:from>
    <xdr:to>
      <xdr:col>2</xdr:col>
      <xdr:colOff>0</xdr:colOff>
      <xdr:row>179</xdr:row>
      <xdr:rowOff>133350</xdr:rowOff>
    </xdr:to>
    <xdr:pic>
      <xdr:nvPicPr>
        <xdr:cNvPr id="39" name="Picture 18"/>
        <xdr:cNvPicPr>
          <a:picLocks noChangeAspect="1" noChangeArrowheads="1"/>
        </xdr:cNvPicPr>
      </xdr:nvPicPr>
      <xdr:blipFill>
        <a:blip xmlns:r="http://schemas.openxmlformats.org/officeDocument/2006/relationships" r:embed="rId29" cstate="print"/>
        <a:srcRect/>
        <a:stretch>
          <a:fillRect/>
        </a:stretch>
      </xdr:blipFill>
      <xdr:spPr bwMode="auto">
        <a:xfrm>
          <a:off x="257175" y="28632150"/>
          <a:ext cx="552450" cy="609600"/>
        </a:xfrm>
        <a:prstGeom prst="rect">
          <a:avLst/>
        </a:prstGeom>
        <a:noFill/>
      </xdr:spPr>
    </xdr:pic>
    <xdr:clientData/>
  </xdr:twoCellAnchor>
  <xdr:twoCellAnchor editAs="oneCell">
    <xdr:from>
      <xdr:col>1</xdr:col>
      <xdr:colOff>0</xdr:colOff>
      <xdr:row>180</xdr:row>
      <xdr:rowOff>0</xdr:rowOff>
    </xdr:from>
    <xdr:to>
      <xdr:col>1</xdr:col>
      <xdr:colOff>552450</xdr:colOff>
      <xdr:row>183</xdr:row>
      <xdr:rowOff>123825</xdr:rowOff>
    </xdr:to>
    <xdr:pic>
      <xdr:nvPicPr>
        <xdr:cNvPr id="41" name="Picture 20"/>
        <xdr:cNvPicPr>
          <a:picLocks noChangeAspect="1" noChangeArrowheads="1"/>
        </xdr:cNvPicPr>
      </xdr:nvPicPr>
      <xdr:blipFill>
        <a:blip xmlns:r="http://schemas.openxmlformats.org/officeDocument/2006/relationships" r:embed="rId30" cstate="print"/>
        <a:srcRect/>
        <a:stretch>
          <a:fillRect/>
        </a:stretch>
      </xdr:blipFill>
      <xdr:spPr bwMode="auto">
        <a:xfrm>
          <a:off x="247650" y="29270325"/>
          <a:ext cx="552450" cy="609600"/>
        </a:xfrm>
        <a:prstGeom prst="rect">
          <a:avLst/>
        </a:prstGeom>
        <a:noFill/>
      </xdr:spPr>
    </xdr:pic>
    <xdr:clientData/>
  </xdr:twoCellAnchor>
  <xdr:twoCellAnchor editAs="oneCell">
    <xdr:from>
      <xdr:col>1</xdr:col>
      <xdr:colOff>9525</xdr:colOff>
      <xdr:row>188</xdr:row>
      <xdr:rowOff>9525</xdr:rowOff>
    </xdr:from>
    <xdr:to>
      <xdr:col>2</xdr:col>
      <xdr:colOff>0</xdr:colOff>
      <xdr:row>191</xdr:row>
      <xdr:rowOff>133350</xdr:rowOff>
    </xdr:to>
    <xdr:pic>
      <xdr:nvPicPr>
        <xdr:cNvPr id="43" name="Picture 22"/>
        <xdr:cNvPicPr>
          <a:picLocks noChangeAspect="1" noChangeArrowheads="1"/>
        </xdr:cNvPicPr>
      </xdr:nvPicPr>
      <xdr:blipFill>
        <a:blip xmlns:r="http://schemas.openxmlformats.org/officeDocument/2006/relationships" r:embed="rId31" cstate="print"/>
        <a:srcRect/>
        <a:stretch>
          <a:fillRect/>
        </a:stretch>
      </xdr:blipFill>
      <xdr:spPr bwMode="auto">
        <a:xfrm>
          <a:off x="257175" y="30575250"/>
          <a:ext cx="552450" cy="609600"/>
        </a:xfrm>
        <a:prstGeom prst="rect">
          <a:avLst/>
        </a:prstGeom>
        <a:noFill/>
      </xdr:spPr>
    </xdr:pic>
    <xdr:clientData/>
  </xdr:twoCellAnchor>
  <xdr:twoCellAnchor editAs="oneCell">
    <xdr:from>
      <xdr:col>1</xdr:col>
      <xdr:colOff>9525</xdr:colOff>
      <xdr:row>192</xdr:row>
      <xdr:rowOff>9525</xdr:rowOff>
    </xdr:from>
    <xdr:to>
      <xdr:col>2</xdr:col>
      <xdr:colOff>0</xdr:colOff>
      <xdr:row>195</xdr:row>
      <xdr:rowOff>133350</xdr:rowOff>
    </xdr:to>
    <xdr:pic>
      <xdr:nvPicPr>
        <xdr:cNvPr id="45" name="Picture 24"/>
        <xdr:cNvPicPr>
          <a:picLocks noChangeAspect="1" noChangeArrowheads="1"/>
        </xdr:cNvPicPr>
      </xdr:nvPicPr>
      <xdr:blipFill>
        <a:blip xmlns:r="http://schemas.openxmlformats.org/officeDocument/2006/relationships" r:embed="rId32" cstate="print"/>
        <a:srcRect/>
        <a:stretch>
          <a:fillRect/>
        </a:stretch>
      </xdr:blipFill>
      <xdr:spPr bwMode="auto">
        <a:xfrm>
          <a:off x="257175" y="31222950"/>
          <a:ext cx="552450" cy="609600"/>
        </a:xfrm>
        <a:prstGeom prst="rect">
          <a:avLst/>
        </a:prstGeom>
        <a:noFill/>
      </xdr:spPr>
    </xdr:pic>
    <xdr:clientData/>
  </xdr:twoCellAnchor>
  <xdr:twoCellAnchor editAs="oneCell">
    <xdr:from>
      <xdr:col>1</xdr:col>
      <xdr:colOff>9525</xdr:colOff>
      <xdr:row>200</xdr:row>
      <xdr:rowOff>9525</xdr:rowOff>
    </xdr:from>
    <xdr:to>
      <xdr:col>2</xdr:col>
      <xdr:colOff>0</xdr:colOff>
      <xdr:row>203</xdr:row>
      <xdr:rowOff>133350</xdr:rowOff>
    </xdr:to>
    <xdr:pic>
      <xdr:nvPicPr>
        <xdr:cNvPr id="47" name="Picture 26"/>
        <xdr:cNvPicPr>
          <a:picLocks noChangeAspect="1" noChangeArrowheads="1"/>
        </xdr:cNvPicPr>
      </xdr:nvPicPr>
      <xdr:blipFill>
        <a:blip xmlns:r="http://schemas.openxmlformats.org/officeDocument/2006/relationships" r:embed="rId33" cstate="print"/>
        <a:srcRect/>
        <a:stretch>
          <a:fillRect/>
        </a:stretch>
      </xdr:blipFill>
      <xdr:spPr bwMode="auto">
        <a:xfrm>
          <a:off x="257175" y="32518350"/>
          <a:ext cx="552450" cy="609600"/>
        </a:xfrm>
        <a:prstGeom prst="rect">
          <a:avLst/>
        </a:prstGeom>
        <a:noFill/>
      </xdr:spPr>
    </xdr:pic>
    <xdr:clientData/>
  </xdr:twoCellAnchor>
  <xdr:twoCellAnchor editAs="oneCell">
    <xdr:from>
      <xdr:col>1</xdr:col>
      <xdr:colOff>9525</xdr:colOff>
      <xdr:row>204</xdr:row>
      <xdr:rowOff>9525</xdr:rowOff>
    </xdr:from>
    <xdr:to>
      <xdr:col>2</xdr:col>
      <xdr:colOff>0</xdr:colOff>
      <xdr:row>207</xdr:row>
      <xdr:rowOff>133350</xdr:rowOff>
    </xdr:to>
    <xdr:pic>
      <xdr:nvPicPr>
        <xdr:cNvPr id="49" name="Picture 28"/>
        <xdr:cNvPicPr>
          <a:picLocks noChangeAspect="1" noChangeArrowheads="1"/>
        </xdr:cNvPicPr>
      </xdr:nvPicPr>
      <xdr:blipFill>
        <a:blip xmlns:r="http://schemas.openxmlformats.org/officeDocument/2006/relationships" r:embed="rId34" cstate="print"/>
        <a:srcRect/>
        <a:stretch>
          <a:fillRect/>
        </a:stretch>
      </xdr:blipFill>
      <xdr:spPr bwMode="auto">
        <a:xfrm>
          <a:off x="257175" y="33166050"/>
          <a:ext cx="552450" cy="609600"/>
        </a:xfrm>
        <a:prstGeom prst="rect">
          <a:avLst/>
        </a:prstGeom>
        <a:noFill/>
      </xdr:spPr>
    </xdr:pic>
    <xdr:clientData/>
  </xdr:twoCellAnchor>
  <xdr:twoCellAnchor editAs="oneCell">
    <xdr:from>
      <xdr:col>1</xdr:col>
      <xdr:colOff>9525</xdr:colOff>
      <xdr:row>212</xdr:row>
      <xdr:rowOff>9525</xdr:rowOff>
    </xdr:from>
    <xdr:to>
      <xdr:col>2</xdr:col>
      <xdr:colOff>0</xdr:colOff>
      <xdr:row>215</xdr:row>
      <xdr:rowOff>133350</xdr:rowOff>
    </xdr:to>
    <xdr:pic>
      <xdr:nvPicPr>
        <xdr:cNvPr id="53" name="Picture 31"/>
        <xdr:cNvPicPr>
          <a:picLocks noChangeAspect="1" noChangeArrowheads="1"/>
        </xdr:cNvPicPr>
      </xdr:nvPicPr>
      <xdr:blipFill>
        <a:blip xmlns:r="http://schemas.openxmlformats.org/officeDocument/2006/relationships" r:embed="rId35" cstate="print"/>
        <a:srcRect/>
        <a:stretch>
          <a:fillRect/>
        </a:stretch>
      </xdr:blipFill>
      <xdr:spPr bwMode="auto">
        <a:xfrm>
          <a:off x="257175" y="34461450"/>
          <a:ext cx="552450" cy="609600"/>
        </a:xfrm>
        <a:prstGeom prst="rect">
          <a:avLst/>
        </a:prstGeom>
        <a:noFill/>
      </xdr:spPr>
    </xdr:pic>
    <xdr:clientData/>
  </xdr:twoCellAnchor>
  <xdr:twoCellAnchor editAs="oneCell">
    <xdr:from>
      <xdr:col>1</xdr:col>
      <xdr:colOff>9525</xdr:colOff>
      <xdr:row>216</xdr:row>
      <xdr:rowOff>9525</xdr:rowOff>
    </xdr:from>
    <xdr:to>
      <xdr:col>2</xdr:col>
      <xdr:colOff>0</xdr:colOff>
      <xdr:row>219</xdr:row>
      <xdr:rowOff>133350</xdr:rowOff>
    </xdr:to>
    <xdr:pic>
      <xdr:nvPicPr>
        <xdr:cNvPr id="55" name="Picture 33"/>
        <xdr:cNvPicPr>
          <a:picLocks noChangeAspect="1" noChangeArrowheads="1"/>
        </xdr:cNvPicPr>
      </xdr:nvPicPr>
      <xdr:blipFill>
        <a:blip xmlns:r="http://schemas.openxmlformats.org/officeDocument/2006/relationships" r:embed="rId36" cstate="print"/>
        <a:srcRect/>
        <a:stretch>
          <a:fillRect/>
        </a:stretch>
      </xdr:blipFill>
      <xdr:spPr bwMode="auto">
        <a:xfrm>
          <a:off x="257175" y="35109150"/>
          <a:ext cx="552450" cy="609600"/>
        </a:xfrm>
        <a:prstGeom prst="rect">
          <a:avLst/>
        </a:prstGeom>
        <a:noFill/>
      </xdr:spPr>
    </xdr:pic>
    <xdr:clientData/>
  </xdr:twoCellAnchor>
  <xdr:twoCellAnchor editAs="oneCell">
    <xdr:from>
      <xdr:col>1</xdr:col>
      <xdr:colOff>9525</xdr:colOff>
      <xdr:row>224</xdr:row>
      <xdr:rowOff>9525</xdr:rowOff>
    </xdr:from>
    <xdr:to>
      <xdr:col>2</xdr:col>
      <xdr:colOff>0</xdr:colOff>
      <xdr:row>227</xdr:row>
      <xdr:rowOff>133350</xdr:rowOff>
    </xdr:to>
    <xdr:pic>
      <xdr:nvPicPr>
        <xdr:cNvPr id="57" name="Picture 35"/>
        <xdr:cNvPicPr>
          <a:picLocks noChangeAspect="1" noChangeArrowheads="1"/>
        </xdr:cNvPicPr>
      </xdr:nvPicPr>
      <xdr:blipFill>
        <a:blip xmlns:r="http://schemas.openxmlformats.org/officeDocument/2006/relationships" r:embed="rId37" cstate="print"/>
        <a:srcRect/>
        <a:stretch>
          <a:fillRect/>
        </a:stretch>
      </xdr:blipFill>
      <xdr:spPr bwMode="auto">
        <a:xfrm>
          <a:off x="257175" y="36404550"/>
          <a:ext cx="552450" cy="609600"/>
        </a:xfrm>
        <a:prstGeom prst="rect">
          <a:avLst/>
        </a:prstGeom>
        <a:noFill/>
      </xdr:spPr>
    </xdr:pic>
    <xdr:clientData/>
  </xdr:twoCellAnchor>
  <xdr:twoCellAnchor editAs="oneCell">
    <xdr:from>
      <xdr:col>1</xdr:col>
      <xdr:colOff>9525</xdr:colOff>
      <xdr:row>228</xdr:row>
      <xdr:rowOff>9525</xdr:rowOff>
    </xdr:from>
    <xdr:to>
      <xdr:col>2</xdr:col>
      <xdr:colOff>0</xdr:colOff>
      <xdr:row>231</xdr:row>
      <xdr:rowOff>133350</xdr:rowOff>
    </xdr:to>
    <xdr:pic>
      <xdr:nvPicPr>
        <xdr:cNvPr id="59" name="Picture 37"/>
        <xdr:cNvPicPr>
          <a:picLocks noChangeAspect="1" noChangeArrowheads="1"/>
        </xdr:cNvPicPr>
      </xdr:nvPicPr>
      <xdr:blipFill>
        <a:blip xmlns:r="http://schemas.openxmlformats.org/officeDocument/2006/relationships" r:embed="rId38" cstate="print"/>
        <a:srcRect/>
        <a:stretch>
          <a:fillRect/>
        </a:stretch>
      </xdr:blipFill>
      <xdr:spPr bwMode="auto">
        <a:xfrm>
          <a:off x="257175" y="37052250"/>
          <a:ext cx="552450" cy="609600"/>
        </a:xfrm>
        <a:prstGeom prst="rect">
          <a:avLst/>
        </a:prstGeom>
        <a:noFill/>
      </xdr:spPr>
    </xdr:pic>
    <xdr:clientData/>
  </xdr:twoCellAnchor>
  <xdr:twoCellAnchor editAs="oneCell">
    <xdr:from>
      <xdr:col>1</xdr:col>
      <xdr:colOff>9525</xdr:colOff>
      <xdr:row>238</xdr:row>
      <xdr:rowOff>9525</xdr:rowOff>
    </xdr:from>
    <xdr:to>
      <xdr:col>2</xdr:col>
      <xdr:colOff>0</xdr:colOff>
      <xdr:row>241</xdr:row>
      <xdr:rowOff>133350</xdr:rowOff>
    </xdr:to>
    <xdr:pic>
      <xdr:nvPicPr>
        <xdr:cNvPr id="61" name="Picture 39"/>
        <xdr:cNvPicPr>
          <a:picLocks noChangeAspect="1" noChangeArrowheads="1"/>
        </xdr:cNvPicPr>
      </xdr:nvPicPr>
      <xdr:blipFill>
        <a:blip xmlns:r="http://schemas.openxmlformats.org/officeDocument/2006/relationships" r:embed="rId39" cstate="print"/>
        <a:srcRect/>
        <a:stretch>
          <a:fillRect/>
        </a:stretch>
      </xdr:blipFill>
      <xdr:spPr bwMode="auto">
        <a:xfrm>
          <a:off x="257175" y="38671500"/>
          <a:ext cx="552450" cy="609600"/>
        </a:xfrm>
        <a:prstGeom prst="rect">
          <a:avLst/>
        </a:prstGeom>
        <a:noFill/>
      </xdr:spPr>
    </xdr:pic>
    <xdr:clientData/>
  </xdr:twoCellAnchor>
  <xdr:twoCellAnchor editAs="oneCell">
    <xdr:from>
      <xdr:col>1</xdr:col>
      <xdr:colOff>9525</xdr:colOff>
      <xdr:row>242</xdr:row>
      <xdr:rowOff>9525</xdr:rowOff>
    </xdr:from>
    <xdr:to>
      <xdr:col>2</xdr:col>
      <xdr:colOff>0</xdr:colOff>
      <xdr:row>245</xdr:row>
      <xdr:rowOff>133350</xdr:rowOff>
    </xdr:to>
    <xdr:pic>
      <xdr:nvPicPr>
        <xdr:cNvPr id="63" name="Picture 41"/>
        <xdr:cNvPicPr>
          <a:picLocks noChangeAspect="1" noChangeArrowheads="1"/>
        </xdr:cNvPicPr>
      </xdr:nvPicPr>
      <xdr:blipFill>
        <a:blip xmlns:r="http://schemas.openxmlformats.org/officeDocument/2006/relationships" r:embed="rId40" cstate="print"/>
        <a:srcRect/>
        <a:stretch>
          <a:fillRect/>
        </a:stretch>
      </xdr:blipFill>
      <xdr:spPr bwMode="auto">
        <a:xfrm>
          <a:off x="257175" y="39319200"/>
          <a:ext cx="552450" cy="609600"/>
        </a:xfrm>
        <a:prstGeom prst="rect">
          <a:avLst/>
        </a:prstGeom>
        <a:noFill/>
      </xdr:spPr>
    </xdr:pic>
    <xdr:clientData/>
  </xdr:twoCellAnchor>
  <xdr:twoCellAnchor editAs="oneCell">
    <xdr:from>
      <xdr:col>1</xdr:col>
      <xdr:colOff>9525</xdr:colOff>
      <xdr:row>250</xdr:row>
      <xdr:rowOff>9525</xdr:rowOff>
    </xdr:from>
    <xdr:to>
      <xdr:col>2</xdr:col>
      <xdr:colOff>0</xdr:colOff>
      <xdr:row>253</xdr:row>
      <xdr:rowOff>133350</xdr:rowOff>
    </xdr:to>
    <xdr:pic>
      <xdr:nvPicPr>
        <xdr:cNvPr id="65" name="Picture 43"/>
        <xdr:cNvPicPr>
          <a:picLocks noChangeAspect="1" noChangeArrowheads="1"/>
        </xdr:cNvPicPr>
      </xdr:nvPicPr>
      <xdr:blipFill>
        <a:blip xmlns:r="http://schemas.openxmlformats.org/officeDocument/2006/relationships" r:embed="rId41" cstate="print"/>
        <a:srcRect/>
        <a:stretch>
          <a:fillRect/>
        </a:stretch>
      </xdr:blipFill>
      <xdr:spPr bwMode="auto">
        <a:xfrm>
          <a:off x="257175" y="40614600"/>
          <a:ext cx="552450" cy="609600"/>
        </a:xfrm>
        <a:prstGeom prst="rect">
          <a:avLst/>
        </a:prstGeom>
        <a:noFill/>
      </xdr:spPr>
    </xdr:pic>
    <xdr:clientData/>
  </xdr:twoCellAnchor>
  <xdr:twoCellAnchor editAs="oneCell">
    <xdr:from>
      <xdr:col>1</xdr:col>
      <xdr:colOff>9525</xdr:colOff>
      <xdr:row>254</xdr:row>
      <xdr:rowOff>9525</xdr:rowOff>
    </xdr:from>
    <xdr:to>
      <xdr:col>2</xdr:col>
      <xdr:colOff>0</xdr:colOff>
      <xdr:row>257</xdr:row>
      <xdr:rowOff>133350</xdr:rowOff>
    </xdr:to>
    <xdr:pic>
      <xdr:nvPicPr>
        <xdr:cNvPr id="67" name="Picture 45"/>
        <xdr:cNvPicPr>
          <a:picLocks noChangeAspect="1" noChangeArrowheads="1"/>
        </xdr:cNvPicPr>
      </xdr:nvPicPr>
      <xdr:blipFill>
        <a:blip xmlns:r="http://schemas.openxmlformats.org/officeDocument/2006/relationships" r:embed="rId42" cstate="print"/>
        <a:srcRect/>
        <a:stretch>
          <a:fillRect/>
        </a:stretch>
      </xdr:blipFill>
      <xdr:spPr bwMode="auto">
        <a:xfrm>
          <a:off x="257175" y="41262300"/>
          <a:ext cx="552450" cy="609600"/>
        </a:xfrm>
        <a:prstGeom prst="rect">
          <a:avLst/>
        </a:prstGeom>
        <a:noFill/>
      </xdr:spPr>
    </xdr:pic>
    <xdr:clientData/>
  </xdr:twoCellAnchor>
  <xdr:twoCellAnchor editAs="oneCell">
    <xdr:from>
      <xdr:col>1</xdr:col>
      <xdr:colOff>9525</xdr:colOff>
      <xdr:row>262</xdr:row>
      <xdr:rowOff>9525</xdr:rowOff>
    </xdr:from>
    <xdr:to>
      <xdr:col>2</xdr:col>
      <xdr:colOff>0</xdr:colOff>
      <xdr:row>265</xdr:row>
      <xdr:rowOff>133350</xdr:rowOff>
    </xdr:to>
    <xdr:pic>
      <xdr:nvPicPr>
        <xdr:cNvPr id="69" name="Picture 47"/>
        <xdr:cNvPicPr>
          <a:picLocks noChangeAspect="1" noChangeArrowheads="1"/>
        </xdr:cNvPicPr>
      </xdr:nvPicPr>
      <xdr:blipFill>
        <a:blip xmlns:r="http://schemas.openxmlformats.org/officeDocument/2006/relationships" r:embed="rId43" cstate="print"/>
        <a:srcRect/>
        <a:stretch>
          <a:fillRect/>
        </a:stretch>
      </xdr:blipFill>
      <xdr:spPr bwMode="auto">
        <a:xfrm>
          <a:off x="257175" y="42557700"/>
          <a:ext cx="552450" cy="609600"/>
        </a:xfrm>
        <a:prstGeom prst="rect">
          <a:avLst/>
        </a:prstGeom>
        <a:noFill/>
      </xdr:spPr>
    </xdr:pic>
    <xdr:clientData/>
  </xdr:twoCellAnchor>
  <xdr:twoCellAnchor editAs="oneCell">
    <xdr:from>
      <xdr:col>1</xdr:col>
      <xdr:colOff>9525</xdr:colOff>
      <xdr:row>266</xdr:row>
      <xdr:rowOff>9525</xdr:rowOff>
    </xdr:from>
    <xdr:to>
      <xdr:col>2</xdr:col>
      <xdr:colOff>0</xdr:colOff>
      <xdr:row>269</xdr:row>
      <xdr:rowOff>133350</xdr:rowOff>
    </xdr:to>
    <xdr:pic>
      <xdr:nvPicPr>
        <xdr:cNvPr id="71" name="Picture 49"/>
        <xdr:cNvPicPr>
          <a:picLocks noChangeAspect="1" noChangeArrowheads="1"/>
        </xdr:cNvPicPr>
      </xdr:nvPicPr>
      <xdr:blipFill>
        <a:blip xmlns:r="http://schemas.openxmlformats.org/officeDocument/2006/relationships" r:embed="rId44" cstate="print"/>
        <a:srcRect/>
        <a:stretch>
          <a:fillRect/>
        </a:stretch>
      </xdr:blipFill>
      <xdr:spPr bwMode="auto">
        <a:xfrm>
          <a:off x="257175" y="43205400"/>
          <a:ext cx="552450" cy="609600"/>
        </a:xfrm>
        <a:prstGeom prst="rect">
          <a:avLst/>
        </a:prstGeom>
        <a:noFill/>
      </xdr:spPr>
    </xdr:pic>
    <xdr:clientData/>
  </xdr:twoCellAnchor>
  <xdr:twoCellAnchor editAs="oneCell">
    <xdr:from>
      <xdr:col>1</xdr:col>
      <xdr:colOff>9525</xdr:colOff>
      <xdr:row>276</xdr:row>
      <xdr:rowOff>9525</xdr:rowOff>
    </xdr:from>
    <xdr:to>
      <xdr:col>2</xdr:col>
      <xdr:colOff>0</xdr:colOff>
      <xdr:row>279</xdr:row>
      <xdr:rowOff>133350</xdr:rowOff>
    </xdr:to>
    <xdr:pic>
      <xdr:nvPicPr>
        <xdr:cNvPr id="73" name="Picture 51"/>
        <xdr:cNvPicPr>
          <a:picLocks noChangeAspect="1" noChangeArrowheads="1"/>
        </xdr:cNvPicPr>
      </xdr:nvPicPr>
      <xdr:blipFill>
        <a:blip xmlns:r="http://schemas.openxmlformats.org/officeDocument/2006/relationships" r:embed="rId45" cstate="print"/>
        <a:srcRect/>
        <a:stretch>
          <a:fillRect/>
        </a:stretch>
      </xdr:blipFill>
      <xdr:spPr bwMode="auto">
        <a:xfrm>
          <a:off x="257175" y="44824650"/>
          <a:ext cx="552450" cy="609600"/>
        </a:xfrm>
        <a:prstGeom prst="rect">
          <a:avLst/>
        </a:prstGeom>
        <a:noFill/>
      </xdr:spPr>
    </xdr:pic>
    <xdr:clientData/>
  </xdr:twoCellAnchor>
  <xdr:twoCellAnchor editAs="oneCell">
    <xdr:from>
      <xdr:col>1</xdr:col>
      <xdr:colOff>9525</xdr:colOff>
      <xdr:row>280</xdr:row>
      <xdr:rowOff>9525</xdr:rowOff>
    </xdr:from>
    <xdr:to>
      <xdr:col>2</xdr:col>
      <xdr:colOff>0</xdr:colOff>
      <xdr:row>283</xdr:row>
      <xdr:rowOff>133350</xdr:rowOff>
    </xdr:to>
    <xdr:pic>
      <xdr:nvPicPr>
        <xdr:cNvPr id="75" name="Picture 53"/>
        <xdr:cNvPicPr>
          <a:picLocks noChangeAspect="1" noChangeArrowheads="1"/>
        </xdr:cNvPicPr>
      </xdr:nvPicPr>
      <xdr:blipFill>
        <a:blip xmlns:r="http://schemas.openxmlformats.org/officeDocument/2006/relationships" r:embed="rId46" cstate="print"/>
        <a:srcRect/>
        <a:stretch>
          <a:fillRect/>
        </a:stretch>
      </xdr:blipFill>
      <xdr:spPr bwMode="auto">
        <a:xfrm>
          <a:off x="257175" y="45472350"/>
          <a:ext cx="552450" cy="609600"/>
        </a:xfrm>
        <a:prstGeom prst="rect">
          <a:avLst/>
        </a:prstGeom>
        <a:noFill/>
      </xdr:spPr>
    </xdr:pic>
    <xdr:clientData/>
  </xdr:twoCellAnchor>
  <xdr:twoCellAnchor editAs="oneCell">
    <xdr:from>
      <xdr:col>1</xdr:col>
      <xdr:colOff>9525</xdr:colOff>
      <xdr:row>288</xdr:row>
      <xdr:rowOff>9525</xdr:rowOff>
    </xdr:from>
    <xdr:to>
      <xdr:col>2</xdr:col>
      <xdr:colOff>0</xdr:colOff>
      <xdr:row>291</xdr:row>
      <xdr:rowOff>133350</xdr:rowOff>
    </xdr:to>
    <xdr:pic>
      <xdr:nvPicPr>
        <xdr:cNvPr id="77" name="Picture 55"/>
        <xdr:cNvPicPr>
          <a:picLocks noChangeAspect="1" noChangeArrowheads="1"/>
        </xdr:cNvPicPr>
      </xdr:nvPicPr>
      <xdr:blipFill>
        <a:blip xmlns:r="http://schemas.openxmlformats.org/officeDocument/2006/relationships" r:embed="rId47" cstate="print"/>
        <a:srcRect/>
        <a:stretch>
          <a:fillRect/>
        </a:stretch>
      </xdr:blipFill>
      <xdr:spPr bwMode="auto">
        <a:xfrm>
          <a:off x="257175" y="46767750"/>
          <a:ext cx="552450" cy="609600"/>
        </a:xfrm>
        <a:prstGeom prst="rect">
          <a:avLst/>
        </a:prstGeom>
        <a:noFill/>
      </xdr:spPr>
    </xdr:pic>
    <xdr:clientData/>
  </xdr:twoCellAnchor>
  <xdr:twoCellAnchor editAs="oneCell">
    <xdr:from>
      <xdr:col>1</xdr:col>
      <xdr:colOff>9525</xdr:colOff>
      <xdr:row>292</xdr:row>
      <xdr:rowOff>9525</xdr:rowOff>
    </xdr:from>
    <xdr:to>
      <xdr:col>2</xdr:col>
      <xdr:colOff>0</xdr:colOff>
      <xdr:row>295</xdr:row>
      <xdr:rowOff>133350</xdr:rowOff>
    </xdr:to>
    <xdr:pic>
      <xdr:nvPicPr>
        <xdr:cNvPr id="79" name="Picture 57"/>
        <xdr:cNvPicPr>
          <a:picLocks noChangeAspect="1" noChangeArrowheads="1"/>
        </xdr:cNvPicPr>
      </xdr:nvPicPr>
      <xdr:blipFill>
        <a:blip xmlns:r="http://schemas.openxmlformats.org/officeDocument/2006/relationships" r:embed="rId48" cstate="print"/>
        <a:srcRect/>
        <a:stretch>
          <a:fillRect/>
        </a:stretch>
      </xdr:blipFill>
      <xdr:spPr bwMode="auto">
        <a:xfrm>
          <a:off x="257175" y="47415450"/>
          <a:ext cx="552450" cy="609600"/>
        </a:xfrm>
        <a:prstGeom prst="rect">
          <a:avLst/>
        </a:prstGeom>
        <a:noFill/>
      </xdr:spPr>
    </xdr:pic>
    <xdr:clientData/>
  </xdr:twoCellAnchor>
  <xdr:twoCellAnchor editAs="oneCell">
    <xdr:from>
      <xdr:col>1</xdr:col>
      <xdr:colOff>9525</xdr:colOff>
      <xdr:row>300</xdr:row>
      <xdr:rowOff>9525</xdr:rowOff>
    </xdr:from>
    <xdr:to>
      <xdr:col>2</xdr:col>
      <xdr:colOff>0</xdr:colOff>
      <xdr:row>303</xdr:row>
      <xdr:rowOff>133350</xdr:rowOff>
    </xdr:to>
    <xdr:pic>
      <xdr:nvPicPr>
        <xdr:cNvPr id="81" name="Picture 59"/>
        <xdr:cNvPicPr>
          <a:picLocks noChangeAspect="1" noChangeArrowheads="1"/>
        </xdr:cNvPicPr>
      </xdr:nvPicPr>
      <xdr:blipFill>
        <a:blip xmlns:r="http://schemas.openxmlformats.org/officeDocument/2006/relationships" r:embed="rId49" cstate="print"/>
        <a:srcRect/>
        <a:stretch>
          <a:fillRect/>
        </a:stretch>
      </xdr:blipFill>
      <xdr:spPr bwMode="auto">
        <a:xfrm>
          <a:off x="257175" y="48710850"/>
          <a:ext cx="552450" cy="609600"/>
        </a:xfrm>
        <a:prstGeom prst="rect">
          <a:avLst/>
        </a:prstGeom>
        <a:noFill/>
      </xdr:spPr>
    </xdr:pic>
    <xdr:clientData/>
  </xdr:twoCellAnchor>
  <xdr:twoCellAnchor editAs="oneCell">
    <xdr:from>
      <xdr:col>1</xdr:col>
      <xdr:colOff>9525</xdr:colOff>
      <xdr:row>304</xdr:row>
      <xdr:rowOff>9525</xdr:rowOff>
    </xdr:from>
    <xdr:to>
      <xdr:col>2</xdr:col>
      <xdr:colOff>0</xdr:colOff>
      <xdr:row>307</xdr:row>
      <xdr:rowOff>133350</xdr:rowOff>
    </xdr:to>
    <xdr:pic>
      <xdr:nvPicPr>
        <xdr:cNvPr id="83" name="Picture 61"/>
        <xdr:cNvPicPr>
          <a:picLocks noChangeAspect="1" noChangeArrowheads="1"/>
        </xdr:cNvPicPr>
      </xdr:nvPicPr>
      <xdr:blipFill>
        <a:blip xmlns:r="http://schemas.openxmlformats.org/officeDocument/2006/relationships" r:embed="rId50" cstate="print"/>
        <a:srcRect/>
        <a:stretch>
          <a:fillRect/>
        </a:stretch>
      </xdr:blipFill>
      <xdr:spPr bwMode="auto">
        <a:xfrm>
          <a:off x="257175" y="49358550"/>
          <a:ext cx="552450" cy="609600"/>
        </a:xfrm>
        <a:prstGeom prst="rect">
          <a:avLst/>
        </a:prstGeom>
        <a:noFill/>
      </xdr:spPr>
    </xdr:pic>
    <xdr:clientData/>
  </xdr:twoCellAnchor>
  <xdr:twoCellAnchor editAs="oneCell">
    <xdr:from>
      <xdr:col>1</xdr:col>
      <xdr:colOff>9525</xdr:colOff>
      <xdr:row>313</xdr:row>
      <xdr:rowOff>9525</xdr:rowOff>
    </xdr:from>
    <xdr:to>
      <xdr:col>2</xdr:col>
      <xdr:colOff>0</xdr:colOff>
      <xdr:row>316</xdr:row>
      <xdr:rowOff>133350</xdr:rowOff>
    </xdr:to>
    <xdr:pic>
      <xdr:nvPicPr>
        <xdr:cNvPr id="85" name="Picture 63"/>
        <xdr:cNvPicPr>
          <a:picLocks noChangeAspect="1" noChangeArrowheads="1"/>
        </xdr:cNvPicPr>
      </xdr:nvPicPr>
      <xdr:blipFill>
        <a:blip xmlns:r="http://schemas.openxmlformats.org/officeDocument/2006/relationships" r:embed="rId51" cstate="print"/>
        <a:srcRect/>
        <a:stretch>
          <a:fillRect/>
        </a:stretch>
      </xdr:blipFill>
      <xdr:spPr bwMode="auto">
        <a:xfrm>
          <a:off x="257175" y="50815875"/>
          <a:ext cx="552450" cy="609600"/>
        </a:xfrm>
        <a:prstGeom prst="rect">
          <a:avLst/>
        </a:prstGeom>
        <a:noFill/>
      </xdr:spPr>
    </xdr:pic>
    <xdr:clientData/>
  </xdr:twoCellAnchor>
  <xdr:twoCellAnchor editAs="oneCell">
    <xdr:from>
      <xdr:col>1</xdr:col>
      <xdr:colOff>9525</xdr:colOff>
      <xdr:row>317</xdr:row>
      <xdr:rowOff>9525</xdr:rowOff>
    </xdr:from>
    <xdr:to>
      <xdr:col>2</xdr:col>
      <xdr:colOff>0</xdr:colOff>
      <xdr:row>320</xdr:row>
      <xdr:rowOff>133350</xdr:rowOff>
    </xdr:to>
    <xdr:pic>
      <xdr:nvPicPr>
        <xdr:cNvPr id="87" name="Picture 65"/>
        <xdr:cNvPicPr>
          <a:picLocks noChangeAspect="1" noChangeArrowheads="1"/>
        </xdr:cNvPicPr>
      </xdr:nvPicPr>
      <xdr:blipFill>
        <a:blip xmlns:r="http://schemas.openxmlformats.org/officeDocument/2006/relationships" r:embed="rId52" cstate="print"/>
        <a:srcRect/>
        <a:stretch>
          <a:fillRect/>
        </a:stretch>
      </xdr:blipFill>
      <xdr:spPr bwMode="auto">
        <a:xfrm>
          <a:off x="257175" y="51463575"/>
          <a:ext cx="552450" cy="609600"/>
        </a:xfrm>
        <a:prstGeom prst="rect">
          <a:avLst/>
        </a:prstGeom>
        <a:noFill/>
      </xdr:spPr>
    </xdr:pic>
    <xdr:clientData/>
  </xdr:twoCellAnchor>
  <xdr:twoCellAnchor editAs="oneCell">
    <xdr:from>
      <xdr:col>1</xdr:col>
      <xdr:colOff>9525</xdr:colOff>
      <xdr:row>325</xdr:row>
      <xdr:rowOff>9525</xdr:rowOff>
    </xdr:from>
    <xdr:to>
      <xdr:col>2</xdr:col>
      <xdr:colOff>0</xdr:colOff>
      <xdr:row>328</xdr:row>
      <xdr:rowOff>133350</xdr:rowOff>
    </xdr:to>
    <xdr:pic>
      <xdr:nvPicPr>
        <xdr:cNvPr id="89" name="Picture 67"/>
        <xdr:cNvPicPr>
          <a:picLocks noChangeAspect="1" noChangeArrowheads="1"/>
        </xdr:cNvPicPr>
      </xdr:nvPicPr>
      <xdr:blipFill>
        <a:blip xmlns:r="http://schemas.openxmlformats.org/officeDocument/2006/relationships" r:embed="rId53" cstate="print"/>
        <a:srcRect/>
        <a:stretch>
          <a:fillRect/>
        </a:stretch>
      </xdr:blipFill>
      <xdr:spPr bwMode="auto">
        <a:xfrm>
          <a:off x="257175" y="52758975"/>
          <a:ext cx="552450" cy="609600"/>
        </a:xfrm>
        <a:prstGeom prst="rect">
          <a:avLst/>
        </a:prstGeom>
        <a:noFill/>
      </xdr:spPr>
    </xdr:pic>
    <xdr:clientData/>
  </xdr:twoCellAnchor>
  <xdr:twoCellAnchor editAs="oneCell">
    <xdr:from>
      <xdr:col>1</xdr:col>
      <xdr:colOff>9525</xdr:colOff>
      <xdr:row>329</xdr:row>
      <xdr:rowOff>9525</xdr:rowOff>
    </xdr:from>
    <xdr:to>
      <xdr:col>2</xdr:col>
      <xdr:colOff>0</xdr:colOff>
      <xdr:row>332</xdr:row>
      <xdr:rowOff>133350</xdr:rowOff>
    </xdr:to>
    <xdr:pic>
      <xdr:nvPicPr>
        <xdr:cNvPr id="91" name="Picture 69"/>
        <xdr:cNvPicPr>
          <a:picLocks noChangeAspect="1" noChangeArrowheads="1"/>
        </xdr:cNvPicPr>
      </xdr:nvPicPr>
      <xdr:blipFill>
        <a:blip xmlns:r="http://schemas.openxmlformats.org/officeDocument/2006/relationships" r:embed="rId54" cstate="print"/>
        <a:srcRect/>
        <a:stretch>
          <a:fillRect/>
        </a:stretch>
      </xdr:blipFill>
      <xdr:spPr bwMode="auto">
        <a:xfrm>
          <a:off x="257175" y="53406675"/>
          <a:ext cx="552450" cy="609600"/>
        </a:xfrm>
        <a:prstGeom prst="rect">
          <a:avLst/>
        </a:prstGeom>
        <a:noFill/>
      </xdr:spPr>
    </xdr:pic>
    <xdr:clientData/>
  </xdr:twoCellAnchor>
  <xdr:twoCellAnchor editAs="oneCell">
    <xdr:from>
      <xdr:col>1</xdr:col>
      <xdr:colOff>9525</xdr:colOff>
      <xdr:row>337</xdr:row>
      <xdr:rowOff>9525</xdr:rowOff>
    </xdr:from>
    <xdr:to>
      <xdr:col>2</xdr:col>
      <xdr:colOff>0</xdr:colOff>
      <xdr:row>340</xdr:row>
      <xdr:rowOff>133350</xdr:rowOff>
    </xdr:to>
    <xdr:pic>
      <xdr:nvPicPr>
        <xdr:cNvPr id="58" name="Picture 2"/>
        <xdr:cNvPicPr>
          <a:picLocks noChangeAspect="1" noChangeArrowheads="1"/>
        </xdr:cNvPicPr>
      </xdr:nvPicPr>
      <xdr:blipFill>
        <a:blip xmlns:r="http://schemas.openxmlformats.org/officeDocument/2006/relationships" r:embed="rId55" cstate="print"/>
        <a:srcRect/>
        <a:stretch>
          <a:fillRect/>
        </a:stretch>
      </xdr:blipFill>
      <xdr:spPr bwMode="auto">
        <a:xfrm>
          <a:off x="257175" y="54702075"/>
          <a:ext cx="552450" cy="609600"/>
        </a:xfrm>
        <a:prstGeom prst="rect">
          <a:avLst/>
        </a:prstGeom>
        <a:noFill/>
      </xdr:spPr>
    </xdr:pic>
    <xdr:clientData/>
  </xdr:twoCellAnchor>
  <xdr:twoCellAnchor editAs="oneCell">
    <xdr:from>
      <xdr:col>1</xdr:col>
      <xdr:colOff>9525</xdr:colOff>
      <xdr:row>341</xdr:row>
      <xdr:rowOff>9525</xdr:rowOff>
    </xdr:from>
    <xdr:to>
      <xdr:col>2</xdr:col>
      <xdr:colOff>0</xdr:colOff>
      <xdr:row>344</xdr:row>
      <xdr:rowOff>133350</xdr:rowOff>
    </xdr:to>
    <xdr:pic>
      <xdr:nvPicPr>
        <xdr:cNvPr id="60" name="Picture 4"/>
        <xdr:cNvPicPr>
          <a:picLocks noChangeAspect="1" noChangeArrowheads="1"/>
        </xdr:cNvPicPr>
      </xdr:nvPicPr>
      <xdr:blipFill>
        <a:blip xmlns:r="http://schemas.openxmlformats.org/officeDocument/2006/relationships" r:embed="rId56" cstate="print"/>
        <a:srcRect/>
        <a:stretch>
          <a:fillRect/>
        </a:stretch>
      </xdr:blipFill>
      <xdr:spPr bwMode="auto">
        <a:xfrm>
          <a:off x="257175" y="55349775"/>
          <a:ext cx="552450" cy="609600"/>
        </a:xfrm>
        <a:prstGeom prst="rect">
          <a:avLst/>
        </a:prstGeom>
        <a:noFill/>
      </xdr:spPr>
    </xdr:pic>
    <xdr:clientData/>
  </xdr:twoCellAnchor>
  <xdr:twoCellAnchor editAs="oneCell">
    <xdr:from>
      <xdr:col>1</xdr:col>
      <xdr:colOff>9525</xdr:colOff>
      <xdr:row>351</xdr:row>
      <xdr:rowOff>9525</xdr:rowOff>
    </xdr:from>
    <xdr:to>
      <xdr:col>2</xdr:col>
      <xdr:colOff>0</xdr:colOff>
      <xdr:row>354</xdr:row>
      <xdr:rowOff>133350</xdr:rowOff>
    </xdr:to>
    <xdr:pic>
      <xdr:nvPicPr>
        <xdr:cNvPr id="62" name="Picture 6"/>
        <xdr:cNvPicPr>
          <a:picLocks noChangeAspect="1" noChangeArrowheads="1"/>
        </xdr:cNvPicPr>
      </xdr:nvPicPr>
      <xdr:blipFill>
        <a:blip xmlns:r="http://schemas.openxmlformats.org/officeDocument/2006/relationships" r:embed="rId57" cstate="print"/>
        <a:srcRect/>
        <a:stretch>
          <a:fillRect/>
        </a:stretch>
      </xdr:blipFill>
      <xdr:spPr bwMode="auto">
        <a:xfrm>
          <a:off x="257175" y="56969025"/>
          <a:ext cx="552450" cy="609600"/>
        </a:xfrm>
        <a:prstGeom prst="rect">
          <a:avLst/>
        </a:prstGeom>
        <a:noFill/>
      </xdr:spPr>
    </xdr:pic>
    <xdr:clientData/>
  </xdr:twoCellAnchor>
  <xdr:twoCellAnchor editAs="oneCell">
    <xdr:from>
      <xdr:col>1</xdr:col>
      <xdr:colOff>9525</xdr:colOff>
      <xdr:row>355</xdr:row>
      <xdr:rowOff>9525</xdr:rowOff>
    </xdr:from>
    <xdr:to>
      <xdr:col>2</xdr:col>
      <xdr:colOff>0</xdr:colOff>
      <xdr:row>358</xdr:row>
      <xdr:rowOff>133350</xdr:rowOff>
    </xdr:to>
    <xdr:pic>
      <xdr:nvPicPr>
        <xdr:cNvPr id="64" name="Picture 8"/>
        <xdr:cNvPicPr>
          <a:picLocks noChangeAspect="1" noChangeArrowheads="1"/>
        </xdr:cNvPicPr>
      </xdr:nvPicPr>
      <xdr:blipFill>
        <a:blip xmlns:r="http://schemas.openxmlformats.org/officeDocument/2006/relationships" r:embed="rId58" cstate="print"/>
        <a:srcRect/>
        <a:stretch>
          <a:fillRect/>
        </a:stretch>
      </xdr:blipFill>
      <xdr:spPr bwMode="auto">
        <a:xfrm>
          <a:off x="257175" y="57616725"/>
          <a:ext cx="552450" cy="609600"/>
        </a:xfrm>
        <a:prstGeom prst="rect">
          <a:avLst/>
        </a:prstGeom>
        <a:noFill/>
      </xdr:spPr>
    </xdr:pic>
    <xdr:clientData/>
  </xdr:twoCellAnchor>
  <xdr:twoCellAnchor editAs="oneCell">
    <xdr:from>
      <xdr:col>1</xdr:col>
      <xdr:colOff>9525</xdr:colOff>
      <xdr:row>363</xdr:row>
      <xdr:rowOff>9525</xdr:rowOff>
    </xdr:from>
    <xdr:to>
      <xdr:col>2</xdr:col>
      <xdr:colOff>0</xdr:colOff>
      <xdr:row>366</xdr:row>
      <xdr:rowOff>133350</xdr:rowOff>
    </xdr:to>
    <xdr:pic>
      <xdr:nvPicPr>
        <xdr:cNvPr id="66" name="Picture 10"/>
        <xdr:cNvPicPr>
          <a:picLocks noChangeAspect="1" noChangeArrowheads="1"/>
        </xdr:cNvPicPr>
      </xdr:nvPicPr>
      <xdr:blipFill>
        <a:blip xmlns:r="http://schemas.openxmlformats.org/officeDocument/2006/relationships" r:embed="rId59" cstate="print"/>
        <a:srcRect/>
        <a:stretch>
          <a:fillRect/>
        </a:stretch>
      </xdr:blipFill>
      <xdr:spPr bwMode="auto">
        <a:xfrm>
          <a:off x="257175" y="58912125"/>
          <a:ext cx="552450" cy="609600"/>
        </a:xfrm>
        <a:prstGeom prst="rect">
          <a:avLst/>
        </a:prstGeom>
        <a:noFill/>
      </xdr:spPr>
    </xdr:pic>
    <xdr:clientData/>
  </xdr:twoCellAnchor>
  <xdr:twoCellAnchor editAs="oneCell">
    <xdr:from>
      <xdr:col>1</xdr:col>
      <xdr:colOff>9525</xdr:colOff>
      <xdr:row>367</xdr:row>
      <xdr:rowOff>9525</xdr:rowOff>
    </xdr:from>
    <xdr:to>
      <xdr:col>2</xdr:col>
      <xdr:colOff>0</xdr:colOff>
      <xdr:row>370</xdr:row>
      <xdr:rowOff>133350</xdr:rowOff>
    </xdr:to>
    <xdr:pic>
      <xdr:nvPicPr>
        <xdr:cNvPr id="68" name="Picture 12"/>
        <xdr:cNvPicPr>
          <a:picLocks noChangeAspect="1" noChangeArrowheads="1"/>
        </xdr:cNvPicPr>
      </xdr:nvPicPr>
      <xdr:blipFill>
        <a:blip xmlns:r="http://schemas.openxmlformats.org/officeDocument/2006/relationships" r:embed="rId60" cstate="print"/>
        <a:srcRect/>
        <a:stretch>
          <a:fillRect/>
        </a:stretch>
      </xdr:blipFill>
      <xdr:spPr bwMode="auto">
        <a:xfrm>
          <a:off x="257175" y="59559825"/>
          <a:ext cx="552450" cy="609600"/>
        </a:xfrm>
        <a:prstGeom prst="rect">
          <a:avLst/>
        </a:prstGeom>
        <a:noFill/>
      </xdr:spPr>
    </xdr:pic>
    <xdr:clientData/>
  </xdr:twoCellAnchor>
  <xdr:twoCellAnchor editAs="oneCell">
    <xdr:from>
      <xdr:col>1</xdr:col>
      <xdr:colOff>9525</xdr:colOff>
      <xdr:row>375</xdr:row>
      <xdr:rowOff>9525</xdr:rowOff>
    </xdr:from>
    <xdr:to>
      <xdr:col>2</xdr:col>
      <xdr:colOff>0</xdr:colOff>
      <xdr:row>378</xdr:row>
      <xdr:rowOff>133350</xdr:rowOff>
    </xdr:to>
    <xdr:pic>
      <xdr:nvPicPr>
        <xdr:cNvPr id="70" name="Picture 14"/>
        <xdr:cNvPicPr>
          <a:picLocks noChangeAspect="1" noChangeArrowheads="1"/>
        </xdr:cNvPicPr>
      </xdr:nvPicPr>
      <xdr:blipFill>
        <a:blip xmlns:r="http://schemas.openxmlformats.org/officeDocument/2006/relationships" r:embed="rId61" cstate="print"/>
        <a:srcRect/>
        <a:stretch>
          <a:fillRect/>
        </a:stretch>
      </xdr:blipFill>
      <xdr:spPr bwMode="auto">
        <a:xfrm>
          <a:off x="257175" y="60855225"/>
          <a:ext cx="552450" cy="609600"/>
        </a:xfrm>
        <a:prstGeom prst="rect">
          <a:avLst/>
        </a:prstGeom>
        <a:noFill/>
      </xdr:spPr>
    </xdr:pic>
    <xdr:clientData/>
  </xdr:twoCellAnchor>
  <xdr:twoCellAnchor editAs="oneCell">
    <xdr:from>
      <xdr:col>1</xdr:col>
      <xdr:colOff>9525</xdr:colOff>
      <xdr:row>379</xdr:row>
      <xdr:rowOff>9525</xdr:rowOff>
    </xdr:from>
    <xdr:to>
      <xdr:col>2</xdr:col>
      <xdr:colOff>0</xdr:colOff>
      <xdr:row>382</xdr:row>
      <xdr:rowOff>133350</xdr:rowOff>
    </xdr:to>
    <xdr:pic>
      <xdr:nvPicPr>
        <xdr:cNvPr id="72" name="Picture 16"/>
        <xdr:cNvPicPr>
          <a:picLocks noChangeAspect="1" noChangeArrowheads="1"/>
        </xdr:cNvPicPr>
      </xdr:nvPicPr>
      <xdr:blipFill>
        <a:blip xmlns:r="http://schemas.openxmlformats.org/officeDocument/2006/relationships" r:embed="rId62" cstate="print"/>
        <a:srcRect/>
        <a:stretch>
          <a:fillRect/>
        </a:stretch>
      </xdr:blipFill>
      <xdr:spPr bwMode="auto">
        <a:xfrm>
          <a:off x="257175" y="61502925"/>
          <a:ext cx="552450" cy="609600"/>
        </a:xfrm>
        <a:prstGeom prst="rect">
          <a:avLst/>
        </a:prstGeom>
        <a:noFill/>
      </xdr:spPr>
    </xdr:pic>
    <xdr:clientData/>
  </xdr:twoCellAnchor>
  <xdr:twoCellAnchor editAs="oneCell">
    <xdr:from>
      <xdr:col>1</xdr:col>
      <xdr:colOff>9525</xdr:colOff>
      <xdr:row>387</xdr:row>
      <xdr:rowOff>9525</xdr:rowOff>
    </xdr:from>
    <xdr:to>
      <xdr:col>2</xdr:col>
      <xdr:colOff>0</xdr:colOff>
      <xdr:row>390</xdr:row>
      <xdr:rowOff>133350</xdr:rowOff>
    </xdr:to>
    <xdr:pic>
      <xdr:nvPicPr>
        <xdr:cNvPr id="74" name="Picture 18"/>
        <xdr:cNvPicPr>
          <a:picLocks noChangeAspect="1" noChangeArrowheads="1"/>
        </xdr:cNvPicPr>
      </xdr:nvPicPr>
      <xdr:blipFill>
        <a:blip xmlns:r="http://schemas.openxmlformats.org/officeDocument/2006/relationships" r:embed="rId63" cstate="print"/>
        <a:srcRect/>
        <a:stretch>
          <a:fillRect/>
        </a:stretch>
      </xdr:blipFill>
      <xdr:spPr bwMode="auto">
        <a:xfrm>
          <a:off x="257175" y="62798325"/>
          <a:ext cx="552450" cy="609600"/>
        </a:xfrm>
        <a:prstGeom prst="rect">
          <a:avLst/>
        </a:prstGeom>
        <a:noFill/>
      </xdr:spPr>
    </xdr:pic>
    <xdr:clientData/>
  </xdr:twoCellAnchor>
  <xdr:twoCellAnchor editAs="oneCell">
    <xdr:from>
      <xdr:col>1</xdr:col>
      <xdr:colOff>9525</xdr:colOff>
      <xdr:row>391</xdr:row>
      <xdr:rowOff>9525</xdr:rowOff>
    </xdr:from>
    <xdr:to>
      <xdr:col>2</xdr:col>
      <xdr:colOff>0</xdr:colOff>
      <xdr:row>394</xdr:row>
      <xdr:rowOff>133350</xdr:rowOff>
    </xdr:to>
    <xdr:pic>
      <xdr:nvPicPr>
        <xdr:cNvPr id="76" name="Picture 20"/>
        <xdr:cNvPicPr>
          <a:picLocks noChangeAspect="1" noChangeArrowheads="1"/>
        </xdr:cNvPicPr>
      </xdr:nvPicPr>
      <xdr:blipFill>
        <a:blip xmlns:r="http://schemas.openxmlformats.org/officeDocument/2006/relationships" r:embed="rId64" cstate="print"/>
        <a:srcRect/>
        <a:stretch>
          <a:fillRect/>
        </a:stretch>
      </xdr:blipFill>
      <xdr:spPr bwMode="auto">
        <a:xfrm>
          <a:off x="257175" y="63446025"/>
          <a:ext cx="552450" cy="609600"/>
        </a:xfrm>
        <a:prstGeom prst="rect">
          <a:avLst/>
        </a:prstGeom>
        <a:noFill/>
      </xdr:spPr>
    </xdr:pic>
    <xdr:clientData/>
  </xdr:twoCellAnchor>
  <xdr:twoCellAnchor editAs="oneCell">
    <xdr:from>
      <xdr:col>1</xdr:col>
      <xdr:colOff>9525</xdr:colOff>
      <xdr:row>399</xdr:row>
      <xdr:rowOff>9525</xdr:rowOff>
    </xdr:from>
    <xdr:to>
      <xdr:col>2</xdr:col>
      <xdr:colOff>0</xdr:colOff>
      <xdr:row>402</xdr:row>
      <xdr:rowOff>133350</xdr:rowOff>
    </xdr:to>
    <xdr:pic>
      <xdr:nvPicPr>
        <xdr:cNvPr id="78" name="Picture 22"/>
        <xdr:cNvPicPr>
          <a:picLocks noChangeAspect="1" noChangeArrowheads="1"/>
        </xdr:cNvPicPr>
      </xdr:nvPicPr>
      <xdr:blipFill>
        <a:blip xmlns:r="http://schemas.openxmlformats.org/officeDocument/2006/relationships" r:embed="rId65" cstate="print"/>
        <a:srcRect/>
        <a:stretch>
          <a:fillRect/>
        </a:stretch>
      </xdr:blipFill>
      <xdr:spPr bwMode="auto">
        <a:xfrm>
          <a:off x="257175" y="64741425"/>
          <a:ext cx="552450" cy="609600"/>
        </a:xfrm>
        <a:prstGeom prst="rect">
          <a:avLst/>
        </a:prstGeom>
        <a:noFill/>
      </xdr:spPr>
    </xdr:pic>
    <xdr:clientData/>
  </xdr:twoCellAnchor>
  <xdr:twoCellAnchor editAs="oneCell">
    <xdr:from>
      <xdr:col>1</xdr:col>
      <xdr:colOff>9525</xdr:colOff>
      <xdr:row>403</xdr:row>
      <xdr:rowOff>9525</xdr:rowOff>
    </xdr:from>
    <xdr:to>
      <xdr:col>2</xdr:col>
      <xdr:colOff>0</xdr:colOff>
      <xdr:row>406</xdr:row>
      <xdr:rowOff>133350</xdr:rowOff>
    </xdr:to>
    <xdr:pic>
      <xdr:nvPicPr>
        <xdr:cNvPr id="80" name="Picture 24"/>
        <xdr:cNvPicPr>
          <a:picLocks noChangeAspect="1" noChangeArrowheads="1"/>
        </xdr:cNvPicPr>
      </xdr:nvPicPr>
      <xdr:blipFill>
        <a:blip xmlns:r="http://schemas.openxmlformats.org/officeDocument/2006/relationships" r:embed="rId66" cstate="print"/>
        <a:srcRect/>
        <a:stretch>
          <a:fillRect/>
        </a:stretch>
      </xdr:blipFill>
      <xdr:spPr bwMode="auto">
        <a:xfrm>
          <a:off x="257175" y="65389125"/>
          <a:ext cx="552450" cy="609600"/>
        </a:xfrm>
        <a:prstGeom prst="rect">
          <a:avLst/>
        </a:prstGeom>
        <a:noFill/>
      </xdr:spPr>
    </xdr:pic>
    <xdr:clientData/>
  </xdr:twoCellAnchor>
  <xdr:twoCellAnchor editAs="oneCell">
    <xdr:from>
      <xdr:col>1</xdr:col>
      <xdr:colOff>9525</xdr:colOff>
      <xdr:row>411</xdr:row>
      <xdr:rowOff>9525</xdr:rowOff>
    </xdr:from>
    <xdr:to>
      <xdr:col>2</xdr:col>
      <xdr:colOff>0</xdr:colOff>
      <xdr:row>414</xdr:row>
      <xdr:rowOff>133350</xdr:rowOff>
    </xdr:to>
    <xdr:pic>
      <xdr:nvPicPr>
        <xdr:cNvPr id="82" name="Picture 26"/>
        <xdr:cNvPicPr>
          <a:picLocks noChangeAspect="1" noChangeArrowheads="1"/>
        </xdr:cNvPicPr>
      </xdr:nvPicPr>
      <xdr:blipFill>
        <a:blip xmlns:r="http://schemas.openxmlformats.org/officeDocument/2006/relationships" r:embed="rId67" cstate="print"/>
        <a:srcRect/>
        <a:stretch>
          <a:fillRect/>
        </a:stretch>
      </xdr:blipFill>
      <xdr:spPr bwMode="auto">
        <a:xfrm>
          <a:off x="257175" y="66684525"/>
          <a:ext cx="552450" cy="609600"/>
        </a:xfrm>
        <a:prstGeom prst="rect">
          <a:avLst/>
        </a:prstGeom>
        <a:noFill/>
      </xdr:spPr>
    </xdr:pic>
    <xdr:clientData/>
  </xdr:twoCellAnchor>
  <xdr:twoCellAnchor editAs="oneCell">
    <xdr:from>
      <xdr:col>1</xdr:col>
      <xdr:colOff>9525</xdr:colOff>
      <xdr:row>415</xdr:row>
      <xdr:rowOff>9525</xdr:rowOff>
    </xdr:from>
    <xdr:to>
      <xdr:col>2</xdr:col>
      <xdr:colOff>0</xdr:colOff>
      <xdr:row>418</xdr:row>
      <xdr:rowOff>133350</xdr:rowOff>
    </xdr:to>
    <xdr:pic>
      <xdr:nvPicPr>
        <xdr:cNvPr id="84" name="Picture 28"/>
        <xdr:cNvPicPr>
          <a:picLocks noChangeAspect="1" noChangeArrowheads="1"/>
        </xdr:cNvPicPr>
      </xdr:nvPicPr>
      <xdr:blipFill>
        <a:blip xmlns:r="http://schemas.openxmlformats.org/officeDocument/2006/relationships" r:embed="rId68" cstate="print"/>
        <a:srcRect/>
        <a:stretch>
          <a:fillRect/>
        </a:stretch>
      </xdr:blipFill>
      <xdr:spPr bwMode="auto">
        <a:xfrm>
          <a:off x="257175" y="67332225"/>
          <a:ext cx="552450" cy="609600"/>
        </a:xfrm>
        <a:prstGeom prst="rect">
          <a:avLst/>
        </a:prstGeom>
        <a:noFill/>
      </xdr:spPr>
    </xdr:pic>
    <xdr:clientData/>
  </xdr:twoCellAnchor>
  <xdr:twoCellAnchor editAs="oneCell">
    <xdr:from>
      <xdr:col>1</xdr:col>
      <xdr:colOff>9525</xdr:colOff>
      <xdr:row>423</xdr:row>
      <xdr:rowOff>9525</xdr:rowOff>
    </xdr:from>
    <xdr:to>
      <xdr:col>2</xdr:col>
      <xdr:colOff>0</xdr:colOff>
      <xdr:row>426</xdr:row>
      <xdr:rowOff>133350</xdr:rowOff>
    </xdr:to>
    <xdr:pic>
      <xdr:nvPicPr>
        <xdr:cNvPr id="86" name="Picture 30"/>
        <xdr:cNvPicPr>
          <a:picLocks noChangeAspect="1" noChangeArrowheads="1"/>
        </xdr:cNvPicPr>
      </xdr:nvPicPr>
      <xdr:blipFill>
        <a:blip xmlns:r="http://schemas.openxmlformats.org/officeDocument/2006/relationships" r:embed="rId69" cstate="print"/>
        <a:srcRect/>
        <a:stretch>
          <a:fillRect/>
        </a:stretch>
      </xdr:blipFill>
      <xdr:spPr bwMode="auto">
        <a:xfrm>
          <a:off x="257175" y="68627625"/>
          <a:ext cx="552450" cy="609600"/>
        </a:xfrm>
        <a:prstGeom prst="rect">
          <a:avLst/>
        </a:prstGeom>
        <a:noFill/>
      </xdr:spPr>
    </xdr:pic>
    <xdr:clientData/>
  </xdr:twoCellAnchor>
  <xdr:twoCellAnchor editAs="oneCell">
    <xdr:from>
      <xdr:col>1</xdr:col>
      <xdr:colOff>9525</xdr:colOff>
      <xdr:row>427</xdr:row>
      <xdr:rowOff>9525</xdr:rowOff>
    </xdr:from>
    <xdr:to>
      <xdr:col>2</xdr:col>
      <xdr:colOff>0</xdr:colOff>
      <xdr:row>430</xdr:row>
      <xdr:rowOff>133350</xdr:rowOff>
    </xdr:to>
    <xdr:pic>
      <xdr:nvPicPr>
        <xdr:cNvPr id="88" name="Picture 32"/>
        <xdr:cNvPicPr>
          <a:picLocks noChangeAspect="1" noChangeArrowheads="1"/>
        </xdr:cNvPicPr>
      </xdr:nvPicPr>
      <xdr:blipFill>
        <a:blip xmlns:r="http://schemas.openxmlformats.org/officeDocument/2006/relationships" r:embed="rId70" cstate="print"/>
        <a:srcRect/>
        <a:stretch>
          <a:fillRect/>
        </a:stretch>
      </xdr:blipFill>
      <xdr:spPr bwMode="auto">
        <a:xfrm>
          <a:off x="257175" y="69275325"/>
          <a:ext cx="552450" cy="609600"/>
        </a:xfrm>
        <a:prstGeom prst="rect">
          <a:avLst/>
        </a:prstGeom>
        <a:noFill/>
      </xdr:spPr>
    </xdr:pic>
    <xdr:clientData/>
  </xdr:twoCellAnchor>
  <xdr:twoCellAnchor editAs="oneCell">
    <xdr:from>
      <xdr:col>1</xdr:col>
      <xdr:colOff>9525</xdr:colOff>
      <xdr:row>435</xdr:row>
      <xdr:rowOff>9525</xdr:rowOff>
    </xdr:from>
    <xdr:to>
      <xdr:col>2</xdr:col>
      <xdr:colOff>0</xdr:colOff>
      <xdr:row>438</xdr:row>
      <xdr:rowOff>133350</xdr:rowOff>
    </xdr:to>
    <xdr:pic>
      <xdr:nvPicPr>
        <xdr:cNvPr id="90" name="Picture 36"/>
        <xdr:cNvPicPr>
          <a:picLocks noChangeAspect="1" noChangeArrowheads="1"/>
        </xdr:cNvPicPr>
      </xdr:nvPicPr>
      <xdr:blipFill>
        <a:blip xmlns:r="http://schemas.openxmlformats.org/officeDocument/2006/relationships" r:embed="rId71" cstate="print"/>
        <a:srcRect/>
        <a:stretch>
          <a:fillRect/>
        </a:stretch>
      </xdr:blipFill>
      <xdr:spPr bwMode="auto">
        <a:xfrm>
          <a:off x="257175" y="70570725"/>
          <a:ext cx="552450" cy="609600"/>
        </a:xfrm>
        <a:prstGeom prst="rect">
          <a:avLst/>
        </a:prstGeom>
        <a:noFill/>
      </xdr:spPr>
    </xdr:pic>
    <xdr:clientData/>
  </xdr:twoCellAnchor>
  <xdr:twoCellAnchor editAs="oneCell">
    <xdr:from>
      <xdr:col>1</xdr:col>
      <xdr:colOff>9525</xdr:colOff>
      <xdr:row>439</xdr:row>
      <xdr:rowOff>9525</xdr:rowOff>
    </xdr:from>
    <xdr:to>
      <xdr:col>2</xdr:col>
      <xdr:colOff>0</xdr:colOff>
      <xdr:row>442</xdr:row>
      <xdr:rowOff>133350</xdr:rowOff>
    </xdr:to>
    <xdr:pic>
      <xdr:nvPicPr>
        <xdr:cNvPr id="92" name="Picture 38"/>
        <xdr:cNvPicPr>
          <a:picLocks noChangeAspect="1" noChangeArrowheads="1"/>
        </xdr:cNvPicPr>
      </xdr:nvPicPr>
      <xdr:blipFill>
        <a:blip xmlns:r="http://schemas.openxmlformats.org/officeDocument/2006/relationships" r:embed="rId72" cstate="print"/>
        <a:srcRect/>
        <a:stretch>
          <a:fillRect/>
        </a:stretch>
      </xdr:blipFill>
      <xdr:spPr bwMode="auto">
        <a:xfrm>
          <a:off x="257175" y="71218425"/>
          <a:ext cx="552450" cy="609600"/>
        </a:xfrm>
        <a:prstGeom prst="rect">
          <a:avLst/>
        </a:prstGeom>
        <a:noFill/>
      </xdr:spPr>
    </xdr:pic>
    <xdr:clientData/>
  </xdr:twoCellAnchor>
  <xdr:twoCellAnchor editAs="oneCell">
    <xdr:from>
      <xdr:col>1</xdr:col>
      <xdr:colOff>9525</xdr:colOff>
      <xdr:row>447</xdr:row>
      <xdr:rowOff>9525</xdr:rowOff>
    </xdr:from>
    <xdr:to>
      <xdr:col>2</xdr:col>
      <xdr:colOff>0</xdr:colOff>
      <xdr:row>450</xdr:row>
      <xdr:rowOff>133350</xdr:rowOff>
    </xdr:to>
    <xdr:pic>
      <xdr:nvPicPr>
        <xdr:cNvPr id="94" name="Picture 40"/>
        <xdr:cNvPicPr>
          <a:picLocks noChangeAspect="1" noChangeArrowheads="1"/>
        </xdr:cNvPicPr>
      </xdr:nvPicPr>
      <xdr:blipFill>
        <a:blip xmlns:r="http://schemas.openxmlformats.org/officeDocument/2006/relationships" r:embed="rId73" cstate="print"/>
        <a:srcRect/>
        <a:stretch>
          <a:fillRect/>
        </a:stretch>
      </xdr:blipFill>
      <xdr:spPr bwMode="auto">
        <a:xfrm>
          <a:off x="257175" y="72513825"/>
          <a:ext cx="552450" cy="609600"/>
        </a:xfrm>
        <a:prstGeom prst="rect">
          <a:avLst/>
        </a:prstGeom>
        <a:noFill/>
      </xdr:spPr>
    </xdr:pic>
    <xdr:clientData/>
  </xdr:twoCellAnchor>
  <xdr:twoCellAnchor editAs="oneCell">
    <xdr:from>
      <xdr:col>1</xdr:col>
      <xdr:colOff>9525</xdr:colOff>
      <xdr:row>451</xdr:row>
      <xdr:rowOff>9525</xdr:rowOff>
    </xdr:from>
    <xdr:to>
      <xdr:col>2</xdr:col>
      <xdr:colOff>0</xdr:colOff>
      <xdr:row>454</xdr:row>
      <xdr:rowOff>133350</xdr:rowOff>
    </xdr:to>
    <xdr:pic>
      <xdr:nvPicPr>
        <xdr:cNvPr id="96" name="Picture 42"/>
        <xdr:cNvPicPr>
          <a:picLocks noChangeAspect="1" noChangeArrowheads="1"/>
        </xdr:cNvPicPr>
      </xdr:nvPicPr>
      <xdr:blipFill>
        <a:blip xmlns:r="http://schemas.openxmlformats.org/officeDocument/2006/relationships" r:embed="rId74" cstate="print"/>
        <a:srcRect/>
        <a:stretch>
          <a:fillRect/>
        </a:stretch>
      </xdr:blipFill>
      <xdr:spPr bwMode="auto">
        <a:xfrm>
          <a:off x="257175" y="73161525"/>
          <a:ext cx="552450" cy="609600"/>
        </a:xfrm>
        <a:prstGeom prst="rect">
          <a:avLst/>
        </a:prstGeom>
        <a:noFill/>
      </xdr:spPr>
    </xdr:pic>
    <xdr:clientData/>
  </xdr:twoCellAnchor>
  <xdr:twoCellAnchor editAs="oneCell">
    <xdr:from>
      <xdr:col>1</xdr:col>
      <xdr:colOff>9525</xdr:colOff>
      <xdr:row>459</xdr:row>
      <xdr:rowOff>9525</xdr:rowOff>
    </xdr:from>
    <xdr:to>
      <xdr:col>2</xdr:col>
      <xdr:colOff>0</xdr:colOff>
      <xdr:row>462</xdr:row>
      <xdr:rowOff>133350</xdr:rowOff>
    </xdr:to>
    <xdr:pic>
      <xdr:nvPicPr>
        <xdr:cNvPr id="98" name="Picture 44"/>
        <xdr:cNvPicPr>
          <a:picLocks noChangeAspect="1" noChangeArrowheads="1"/>
        </xdr:cNvPicPr>
      </xdr:nvPicPr>
      <xdr:blipFill>
        <a:blip xmlns:r="http://schemas.openxmlformats.org/officeDocument/2006/relationships" r:embed="rId75" cstate="print"/>
        <a:srcRect/>
        <a:stretch>
          <a:fillRect/>
        </a:stretch>
      </xdr:blipFill>
      <xdr:spPr bwMode="auto">
        <a:xfrm>
          <a:off x="257175" y="74456925"/>
          <a:ext cx="552450" cy="609600"/>
        </a:xfrm>
        <a:prstGeom prst="rect">
          <a:avLst/>
        </a:prstGeom>
        <a:noFill/>
      </xdr:spPr>
    </xdr:pic>
    <xdr:clientData/>
  </xdr:twoCellAnchor>
  <xdr:twoCellAnchor editAs="oneCell">
    <xdr:from>
      <xdr:col>1</xdr:col>
      <xdr:colOff>9525</xdr:colOff>
      <xdr:row>463</xdr:row>
      <xdr:rowOff>9525</xdr:rowOff>
    </xdr:from>
    <xdr:to>
      <xdr:col>2</xdr:col>
      <xdr:colOff>0</xdr:colOff>
      <xdr:row>466</xdr:row>
      <xdr:rowOff>133350</xdr:rowOff>
    </xdr:to>
    <xdr:pic>
      <xdr:nvPicPr>
        <xdr:cNvPr id="100" name="Picture 46"/>
        <xdr:cNvPicPr>
          <a:picLocks noChangeAspect="1" noChangeArrowheads="1"/>
        </xdr:cNvPicPr>
      </xdr:nvPicPr>
      <xdr:blipFill>
        <a:blip xmlns:r="http://schemas.openxmlformats.org/officeDocument/2006/relationships" r:embed="rId76" cstate="print"/>
        <a:srcRect/>
        <a:stretch>
          <a:fillRect/>
        </a:stretch>
      </xdr:blipFill>
      <xdr:spPr bwMode="auto">
        <a:xfrm>
          <a:off x="257175" y="75104625"/>
          <a:ext cx="552450" cy="609600"/>
        </a:xfrm>
        <a:prstGeom prst="rect">
          <a:avLst/>
        </a:prstGeom>
        <a:noFill/>
      </xdr:spPr>
    </xdr:pic>
    <xdr:clientData/>
  </xdr:twoCellAnchor>
  <xdr:twoCellAnchor editAs="oneCell">
    <xdr:from>
      <xdr:col>1</xdr:col>
      <xdr:colOff>9525</xdr:colOff>
      <xdr:row>471</xdr:row>
      <xdr:rowOff>9525</xdr:rowOff>
    </xdr:from>
    <xdr:to>
      <xdr:col>2</xdr:col>
      <xdr:colOff>0</xdr:colOff>
      <xdr:row>474</xdr:row>
      <xdr:rowOff>133350</xdr:rowOff>
    </xdr:to>
    <xdr:pic>
      <xdr:nvPicPr>
        <xdr:cNvPr id="102" name="Picture 48"/>
        <xdr:cNvPicPr>
          <a:picLocks noChangeAspect="1" noChangeArrowheads="1"/>
        </xdr:cNvPicPr>
      </xdr:nvPicPr>
      <xdr:blipFill>
        <a:blip xmlns:r="http://schemas.openxmlformats.org/officeDocument/2006/relationships" r:embed="rId77" cstate="print"/>
        <a:srcRect/>
        <a:stretch>
          <a:fillRect/>
        </a:stretch>
      </xdr:blipFill>
      <xdr:spPr bwMode="auto">
        <a:xfrm>
          <a:off x="257175" y="76400025"/>
          <a:ext cx="552450" cy="609600"/>
        </a:xfrm>
        <a:prstGeom prst="rect">
          <a:avLst/>
        </a:prstGeom>
        <a:noFill/>
      </xdr:spPr>
    </xdr:pic>
    <xdr:clientData/>
  </xdr:twoCellAnchor>
  <xdr:twoCellAnchor editAs="oneCell">
    <xdr:from>
      <xdr:col>1</xdr:col>
      <xdr:colOff>9525</xdr:colOff>
      <xdr:row>475</xdr:row>
      <xdr:rowOff>9525</xdr:rowOff>
    </xdr:from>
    <xdr:to>
      <xdr:col>2</xdr:col>
      <xdr:colOff>0</xdr:colOff>
      <xdr:row>478</xdr:row>
      <xdr:rowOff>133350</xdr:rowOff>
    </xdr:to>
    <xdr:pic>
      <xdr:nvPicPr>
        <xdr:cNvPr id="104" name="Picture 50"/>
        <xdr:cNvPicPr>
          <a:picLocks noChangeAspect="1" noChangeArrowheads="1"/>
        </xdr:cNvPicPr>
      </xdr:nvPicPr>
      <xdr:blipFill>
        <a:blip xmlns:r="http://schemas.openxmlformats.org/officeDocument/2006/relationships" r:embed="rId78" cstate="print"/>
        <a:srcRect/>
        <a:stretch>
          <a:fillRect/>
        </a:stretch>
      </xdr:blipFill>
      <xdr:spPr bwMode="auto">
        <a:xfrm>
          <a:off x="257175" y="77047725"/>
          <a:ext cx="552450" cy="609600"/>
        </a:xfrm>
        <a:prstGeom prst="rect">
          <a:avLst/>
        </a:prstGeom>
        <a:noFill/>
      </xdr:spPr>
    </xdr:pic>
    <xdr:clientData/>
  </xdr:twoCellAnchor>
  <xdr:twoCellAnchor editAs="oneCell">
    <xdr:from>
      <xdr:col>1</xdr:col>
      <xdr:colOff>9525</xdr:colOff>
      <xdr:row>483</xdr:row>
      <xdr:rowOff>9525</xdr:rowOff>
    </xdr:from>
    <xdr:to>
      <xdr:col>2</xdr:col>
      <xdr:colOff>0</xdr:colOff>
      <xdr:row>486</xdr:row>
      <xdr:rowOff>133350</xdr:rowOff>
    </xdr:to>
    <xdr:pic>
      <xdr:nvPicPr>
        <xdr:cNvPr id="106" name="Picture 52"/>
        <xdr:cNvPicPr>
          <a:picLocks noChangeAspect="1" noChangeArrowheads="1"/>
        </xdr:cNvPicPr>
      </xdr:nvPicPr>
      <xdr:blipFill>
        <a:blip xmlns:r="http://schemas.openxmlformats.org/officeDocument/2006/relationships" r:embed="rId79" cstate="print"/>
        <a:srcRect/>
        <a:stretch>
          <a:fillRect/>
        </a:stretch>
      </xdr:blipFill>
      <xdr:spPr bwMode="auto">
        <a:xfrm>
          <a:off x="257175" y="78343125"/>
          <a:ext cx="552450" cy="609600"/>
        </a:xfrm>
        <a:prstGeom prst="rect">
          <a:avLst/>
        </a:prstGeom>
        <a:noFill/>
      </xdr:spPr>
    </xdr:pic>
    <xdr:clientData/>
  </xdr:twoCellAnchor>
  <xdr:twoCellAnchor editAs="oneCell">
    <xdr:from>
      <xdr:col>1</xdr:col>
      <xdr:colOff>9525</xdr:colOff>
      <xdr:row>487</xdr:row>
      <xdr:rowOff>9525</xdr:rowOff>
    </xdr:from>
    <xdr:to>
      <xdr:col>2</xdr:col>
      <xdr:colOff>0</xdr:colOff>
      <xdr:row>490</xdr:row>
      <xdr:rowOff>133350</xdr:rowOff>
    </xdr:to>
    <xdr:pic>
      <xdr:nvPicPr>
        <xdr:cNvPr id="108" name="Picture 54"/>
        <xdr:cNvPicPr>
          <a:picLocks noChangeAspect="1" noChangeArrowheads="1"/>
        </xdr:cNvPicPr>
      </xdr:nvPicPr>
      <xdr:blipFill>
        <a:blip xmlns:r="http://schemas.openxmlformats.org/officeDocument/2006/relationships" r:embed="rId80" cstate="print"/>
        <a:srcRect/>
        <a:stretch>
          <a:fillRect/>
        </a:stretch>
      </xdr:blipFill>
      <xdr:spPr bwMode="auto">
        <a:xfrm>
          <a:off x="257175" y="78990825"/>
          <a:ext cx="552450" cy="609600"/>
        </a:xfrm>
        <a:prstGeom prst="rect">
          <a:avLst/>
        </a:prstGeom>
        <a:noFill/>
      </xdr:spPr>
    </xdr:pic>
    <xdr:clientData/>
  </xdr:twoCellAnchor>
  <xdr:twoCellAnchor editAs="oneCell">
    <xdr:from>
      <xdr:col>1</xdr:col>
      <xdr:colOff>9525</xdr:colOff>
      <xdr:row>495</xdr:row>
      <xdr:rowOff>9525</xdr:rowOff>
    </xdr:from>
    <xdr:to>
      <xdr:col>2</xdr:col>
      <xdr:colOff>0</xdr:colOff>
      <xdr:row>498</xdr:row>
      <xdr:rowOff>133350</xdr:rowOff>
    </xdr:to>
    <xdr:pic>
      <xdr:nvPicPr>
        <xdr:cNvPr id="110" name="Picture 56"/>
        <xdr:cNvPicPr>
          <a:picLocks noChangeAspect="1" noChangeArrowheads="1"/>
        </xdr:cNvPicPr>
      </xdr:nvPicPr>
      <xdr:blipFill>
        <a:blip xmlns:r="http://schemas.openxmlformats.org/officeDocument/2006/relationships" r:embed="rId81" cstate="print"/>
        <a:srcRect/>
        <a:stretch>
          <a:fillRect/>
        </a:stretch>
      </xdr:blipFill>
      <xdr:spPr bwMode="auto">
        <a:xfrm>
          <a:off x="257175" y="80286225"/>
          <a:ext cx="552450" cy="609600"/>
        </a:xfrm>
        <a:prstGeom prst="rect">
          <a:avLst/>
        </a:prstGeom>
        <a:noFill/>
      </xdr:spPr>
    </xdr:pic>
    <xdr:clientData/>
  </xdr:twoCellAnchor>
  <xdr:twoCellAnchor editAs="oneCell">
    <xdr:from>
      <xdr:col>1</xdr:col>
      <xdr:colOff>9525</xdr:colOff>
      <xdr:row>499</xdr:row>
      <xdr:rowOff>9525</xdr:rowOff>
    </xdr:from>
    <xdr:to>
      <xdr:col>2</xdr:col>
      <xdr:colOff>0</xdr:colOff>
      <xdr:row>502</xdr:row>
      <xdr:rowOff>133350</xdr:rowOff>
    </xdr:to>
    <xdr:pic>
      <xdr:nvPicPr>
        <xdr:cNvPr id="112" name="Picture 58"/>
        <xdr:cNvPicPr>
          <a:picLocks noChangeAspect="1" noChangeArrowheads="1"/>
        </xdr:cNvPicPr>
      </xdr:nvPicPr>
      <xdr:blipFill>
        <a:blip xmlns:r="http://schemas.openxmlformats.org/officeDocument/2006/relationships" r:embed="rId82" cstate="print"/>
        <a:srcRect/>
        <a:stretch>
          <a:fillRect/>
        </a:stretch>
      </xdr:blipFill>
      <xdr:spPr bwMode="auto">
        <a:xfrm>
          <a:off x="257175" y="80933925"/>
          <a:ext cx="552450" cy="609600"/>
        </a:xfrm>
        <a:prstGeom prst="rect">
          <a:avLst/>
        </a:prstGeom>
        <a:noFill/>
      </xdr:spPr>
    </xdr:pic>
    <xdr:clientData/>
  </xdr:twoCellAnchor>
  <xdr:twoCellAnchor editAs="oneCell">
    <xdr:from>
      <xdr:col>1</xdr:col>
      <xdr:colOff>9525</xdr:colOff>
      <xdr:row>507</xdr:row>
      <xdr:rowOff>9525</xdr:rowOff>
    </xdr:from>
    <xdr:to>
      <xdr:col>2</xdr:col>
      <xdr:colOff>0</xdr:colOff>
      <xdr:row>510</xdr:row>
      <xdr:rowOff>133350</xdr:rowOff>
    </xdr:to>
    <xdr:pic>
      <xdr:nvPicPr>
        <xdr:cNvPr id="114" name="Picture 60"/>
        <xdr:cNvPicPr>
          <a:picLocks noChangeAspect="1" noChangeArrowheads="1"/>
        </xdr:cNvPicPr>
      </xdr:nvPicPr>
      <xdr:blipFill>
        <a:blip xmlns:r="http://schemas.openxmlformats.org/officeDocument/2006/relationships" r:embed="rId83" cstate="print"/>
        <a:srcRect/>
        <a:stretch>
          <a:fillRect/>
        </a:stretch>
      </xdr:blipFill>
      <xdr:spPr bwMode="auto">
        <a:xfrm>
          <a:off x="257175" y="82229325"/>
          <a:ext cx="552450" cy="609600"/>
        </a:xfrm>
        <a:prstGeom prst="rect">
          <a:avLst/>
        </a:prstGeom>
        <a:noFill/>
      </xdr:spPr>
    </xdr:pic>
    <xdr:clientData/>
  </xdr:twoCellAnchor>
  <xdr:twoCellAnchor editAs="oneCell">
    <xdr:from>
      <xdr:col>1</xdr:col>
      <xdr:colOff>9525</xdr:colOff>
      <xdr:row>511</xdr:row>
      <xdr:rowOff>9525</xdr:rowOff>
    </xdr:from>
    <xdr:to>
      <xdr:col>2</xdr:col>
      <xdr:colOff>0</xdr:colOff>
      <xdr:row>514</xdr:row>
      <xdr:rowOff>133350</xdr:rowOff>
    </xdr:to>
    <xdr:pic>
      <xdr:nvPicPr>
        <xdr:cNvPr id="116" name="Picture 62"/>
        <xdr:cNvPicPr>
          <a:picLocks noChangeAspect="1" noChangeArrowheads="1"/>
        </xdr:cNvPicPr>
      </xdr:nvPicPr>
      <xdr:blipFill>
        <a:blip xmlns:r="http://schemas.openxmlformats.org/officeDocument/2006/relationships" r:embed="rId84" cstate="print"/>
        <a:srcRect/>
        <a:stretch>
          <a:fillRect/>
        </a:stretch>
      </xdr:blipFill>
      <xdr:spPr bwMode="auto">
        <a:xfrm>
          <a:off x="257175" y="82877025"/>
          <a:ext cx="552450" cy="609600"/>
        </a:xfrm>
        <a:prstGeom prst="rect">
          <a:avLst/>
        </a:prstGeom>
        <a:noFill/>
      </xdr:spPr>
    </xdr:pic>
    <xdr:clientData/>
  </xdr:twoCellAnchor>
  <xdr:twoCellAnchor editAs="oneCell">
    <xdr:from>
      <xdr:col>1</xdr:col>
      <xdr:colOff>9525</xdr:colOff>
      <xdr:row>519</xdr:row>
      <xdr:rowOff>9525</xdr:rowOff>
    </xdr:from>
    <xdr:to>
      <xdr:col>2</xdr:col>
      <xdr:colOff>0</xdr:colOff>
      <xdr:row>522</xdr:row>
      <xdr:rowOff>133350</xdr:rowOff>
    </xdr:to>
    <xdr:pic>
      <xdr:nvPicPr>
        <xdr:cNvPr id="93" name="Picture 2"/>
        <xdr:cNvPicPr>
          <a:picLocks noChangeAspect="1" noChangeArrowheads="1"/>
        </xdr:cNvPicPr>
      </xdr:nvPicPr>
      <xdr:blipFill>
        <a:blip xmlns:r="http://schemas.openxmlformats.org/officeDocument/2006/relationships" r:embed="rId85" cstate="print"/>
        <a:srcRect/>
        <a:stretch>
          <a:fillRect/>
        </a:stretch>
      </xdr:blipFill>
      <xdr:spPr bwMode="auto">
        <a:xfrm>
          <a:off x="257175" y="84172425"/>
          <a:ext cx="552450" cy="609600"/>
        </a:xfrm>
        <a:prstGeom prst="rect">
          <a:avLst/>
        </a:prstGeom>
        <a:noFill/>
      </xdr:spPr>
    </xdr:pic>
    <xdr:clientData/>
  </xdr:twoCellAnchor>
  <xdr:twoCellAnchor editAs="oneCell">
    <xdr:from>
      <xdr:col>1</xdr:col>
      <xdr:colOff>9525</xdr:colOff>
      <xdr:row>523</xdr:row>
      <xdr:rowOff>9525</xdr:rowOff>
    </xdr:from>
    <xdr:to>
      <xdr:col>2</xdr:col>
      <xdr:colOff>0</xdr:colOff>
      <xdr:row>526</xdr:row>
      <xdr:rowOff>133350</xdr:rowOff>
    </xdr:to>
    <xdr:pic>
      <xdr:nvPicPr>
        <xdr:cNvPr id="95" name="Picture 4"/>
        <xdr:cNvPicPr>
          <a:picLocks noChangeAspect="1" noChangeArrowheads="1"/>
        </xdr:cNvPicPr>
      </xdr:nvPicPr>
      <xdr:blipFill>
        <a:blip xmlns:r="http://schemas.openxmlformats.org/officeDocument/2006/relationships" r:embed="rId86" cstate="print"/>
        <a:srcRect/>
        <a:stretch>
          <a:fillRect/>
        </a:stretch>
      </xdr:blipFill>
      <xdr:spPr bwMode="auto">
        <a:xfrm>
          <a:off x="257175" y="84820125"/>
          <a:ext cx="552450" cy="609600"/>
        </a:xfrm>
        <a:prstGeom prst="rect">
          <a:avLst/>
        </a:prstGeom>
        <a:noFill/>
      </xdr:spPr>
    </xdr:pic>
    <xdr:clientData/>
  </xdr:twoCellAnchor>
  <xdr:twoCellAnchor editAs="oneCell">
    <xdr:from>
      <xdr:col>1</xdr:col>
      <xdr:colOff>9525</xdr:colOff>
      <xdr:row>531</xdr:row>
      <xdr:rowOff>9525</xdr:rowOff>
    </xdr:from>
    <xdr:to>
      <xdr:col>2</xdr:col>
      <xdr:colOff>0</xdr:colOff>
      <xdr:row>534</xdr:row>
      <xdr:rowOff>133350</xdr:rowOff>
    </xdr:to>
    <xdr:pic>
      <xdr:nvPicPr>
        <xdr:cNvPr id="97" name="Picture 6"/>
        <xdr:cNvPicPr>
          <a:picLocks noChangeAspect="1" noChangeArrowheads="1"/>
        </xdr:cNvPicPr>
      </xdr:nvPicPr>
      <xdr:blipFill>
        <a:blip xmlns:r="http://schemas.openxmlformats.org/officeDocument/2006/relationships" r:embed="rId87" cstate="print"/>
        <a:srcRect/>
        <a:stretch>
          <a:fillRect/>
        </a:stretch>
      </xdr:blipFill>
      <xdr:spPr bwMode="auto">
        <a:xfrm>
          <a:off x="257175" y="86115525"/>
          <a:ext cx="552450" cy="609600"/>
        </a:xfrm>
        <a:prstGeom prst="rect">
          <a:avLst/>
        </a:prstGeom>
        <a:noFill/>
      </xdr:spPr>
    </xdr:pic>
    <xdr:clientData/>
  </xdr:twoCellAnchor>
  <xdr:twoCellAnchor editAs="oneCell">
    <xdr:from>
      <xdr:col>1</xdr:col>
      <xdr:colOff>9525</xdr:colOff>
      <xdr:row>535</xdr:row>
      <xdr:rowOff>9525</xdr:rowOff>
    </xdr:from>
    <xdr:to>
      <xdr:col>2</xdr:col>
      <xdr:colOff>0</xdr:colOff>
      <xdr:row>538</xdr:row>
      <xdr:rowOff>133350</xdr:rowOff>
    </xdr:to>
    <xdr:pic>
      <xdr:nvPicPr>
        <xdr:cNvPr id="99" name="Picture 8"/>
        <xdr:cNvPicPr>
          <a:picLocks noChangeAspect="1" noChangeArrowheads="1"/>
        </xdr:cNvPicPr>
      </xdr:nvPicPr>
      <xdr:blipFill>
        <a:blip xmlns:r="http://schemas.openxmlformats.org/officeDocument/2006/relationships" r:embed="rId88" cstate="print"/>
        <a:srcRect/>
        <a:stretch>
          <a:fillRect/>
        </a:stretch>
      </xdr:blipFill>
      <xdr:spPr bwMode="auto">
        <a:xfrm>
          <a:off x="257175" y="86763225"/>
          <a:ext cx="552450" cy="609600"/>
        </a:xfrm>
        <a:prstGeom prst="rect">
          <a:avLst/>
        </a:prstGeom>
        <a:noFill/>
      </xdr:spPr>
    </xdr:pic>
    <xdr:clientData/>
  </xdr:twoCellAnchor>
  <xdr:twoCellAnchor editAs="oneCell">
    <xdr:from>
      <xdr:col>1</xdr:col>
      <xdr:colOff>9525</xdr:colOff>
      <xdr:row>543</xdr:row>
      <xdr:rowOff>9525</xdr:rowOff>
    </xdr:from>
    <xdr:to>
      <xdr:col>2</xdr:col>
      <xdr:colOff>0</xdr:colOff>
      <xdr:row>546</xdr:row>
      <xdr:rowOff>133350</xdr:rowOff>
    </xdr:to>
    <xdr:pic>
      <xdr:nvPicPr>
        <xdr:cNvPr id="101" name="Picture 10"/>
        <xdr:cNvPicPr>
          <a:picLocks noChangeAspect="1" noChangeArrowheads="1"/>
        </xdr:cNvPicPr>
      </xdr:nvPicPr>
      <xdr:blipFill>
        <a:blip xmlns:r="http://schemas.openxmlformats.org/officeDocument/2006/relationships" r:embed="rId89" cstate="print"/>
        <a:srcRect/>
        <a:stretch>
          <a:fillRect/>
        </a:stretch>
      </xdr:blipFill>
      <xdr:spPr bwMode="auto">
        <a:xfrm>
          <a:off x="257175" y="88058625"/>
          <a:ext cx="552450" cy="609600"/>
        </a:xfrm>
        <a:prstGeom prst="rect">
          <a:avLst/>
        </a:prstGeom>
        <a:noFill/>
      </xdr:spPr>
    </xdr:pic>
    <xdr:clientData/>
  </xdr:twoCellAnchor>
  <xdr:twoCellAnchor editAs="oneCell">
    <xdr:from>
      <xdr:col>1</xdr:col>
      <xdr:colOff>9525</xdr:colOff>
      <xdr:row>547</xdr:row>
      <xdr:rowOff>9525</xdr:rowOff>
    </xdr:from>
    <xdr:to>
      <xdr:col>2</xdr:col>
      <xdr:colOff>0</xdr:colOff>
      <xdr:row>550</xdr:row>
      <xdr:rowOff>133350</xdr:rowOff>
    </xdr:to>
    <xdr:pic>
      <xdr:nvPicPr>
        <xdr:cNvPr id="103" name="Picture 12"/>
        <xdr:cNvPicPr>
          <a:picLocks noChangeAspect="1" noChangeArrowheads="1"/>
        </xdr:cNvPicPr>
      </xdr:nvPicPr>
      <xdr:blipFill>
        <a:blip xmlns:r="http://schemas.openxmlformats.org/officeDocument/2006/relationships" r:embed="rId90" cstate="print"/>
        <a:srcRect/>
        <a:stretch>
          <a:fillRect/>
        </a:stretch>
      </xdr:blipFill>
      <xdr:spPr bwMode="auto">
        <a:xfrm>
          <a:off x="257175" y="88706325"/>
          <a:ext cx="552450" cy="609600"/>
        </a:xfrm>
        <a:prstGeom prst="rect">
          <a:avLst/>
        </a:prstGeom>
        <a:noFill/>
      </xdr:spPr>
    </xdr:pic>
    <xdr:clientData/>
  </xdr:twoCellAnchor>
  <xdr:twoCellAnchor editAs="oneCell">
    <xdr:from>
      <xdr:col>1</xdr:col>
      <xdr:colOff>9525</xdr:colOff>
      <xdr:row>555</xdr:row>
      <xdr:rowOff>9525</xdr:rowOff>
    </xdr:from>
    <xdr:to>
      <xdr:col>2</xdr:col>
      <xdr:colOff>0</xdr:colOff>
      <xdr:row>558</xdr:row>
      <xdr:rowOff>133350</xdr:rowOff>
    </xdr:to>
    <xdr:pic>
      <xdr:nvPicPr>
        <xdr:cNvPr id="105" name="Picture 14"/>
        <xdr:cNvPicPr>
          <a:picLocks noChangeAspect="1" noChangeArrowheads="1"/>
        </xdr:cNvPicPr>
      </xdr:nvPicPr>
      <xdr:blipFill>
        <a:blip xmlns:r="http://schemas.openxmlformats.org/officeDocument/2006/relationships" r:embed="rId91" cstate="print"/>
        <a:srcRect/>
        <a:stretch>
          <a:fillRect/>
        </a:stretch>
      </xdr:blipFill>
      <xdr:spPr bwMode="auto">
        <a:xfrm>
          <a:off x="257175" y="90001725"/>
          <a:ext cx="552450" cy="609600"/>
        </a:xfrm>
        <a:prstGeom prst="rect">
          <a:avLst/>
        </a:prstGeom>
        <a:noFill/>
      </xdr:spPr>
    </xdr:pic>
    <xdr:clientData/>
  </xdr:twoCellAnchor>
  <xdr:twoCellAnchor editAs="oneCell">
    <xdr:from>
      <xdr:col>1</xdr:col>
      <xdr:colOff>9525</xdr:colOff>
      <xdr:row>559</xdr:row>
      <xdr:rowOff>9525</xdr:rowOff>
    </xdr:from>
    <xdr:to>
      <xdr:col>2</xdr:col>
      <xdr:colOff>0</xdr:colOff>
      <xdr:row>562</xdr:row>
      <xdr:rowOff>133350</xdr:rowOff>
    </xdr:to>
    <xdr:pic>
      <xdr:nvPicPr>
        <xdr:cNvPr id="107" name="Picture 16"/>
        <xdr:cNvPicPr>
          <a:picLocks noChangeAspect="1" noChangeArrowheads="1"/>
        </xdr:cNvPicPr>
      </xdr:nvPicPr>
      <xdr:blipFill>
        <a:blip xmlns:r="http://schemas.openxmlformats.org/officeDocument/2006/relationships" r:embed="rId92" cstate="print"/>
        <a:srcRect/>
        <a:stretch>
          <a:fillRect/>
        </a:stretch>
      </xdr:blipFill>
      <xdr:spPr bwMode="auto">
        <a:xfrm>
          <a:off x="257175" y="90649425"/>
          <a:ext cx="552450" cy="609600"/>
        </a:xfrm>
        <a:prstGeom prst="rect">
          <a:avLst/>
        </a:prstGeom>
        <a:noFill/>
      </xdr:spPr>
    </xdr:pic>
    <xdr:clientData/>
  </xdr:twoCellAnchor>
  <xdr:twoCellAnchor editAs="oneCell">
    <xdr:from>
      <xdr:col>1</xdr:col>
      <xdr:colOff>9525</xdr:colOff>
      <xdr:row>567</xdr:row>
      <xdr:rowOff>9525</xdr:rowOff>
    </xdr:from>
    <xdr:to>
      <xdr:col>2</xdr:col>
      <xdr:colOff>0</xdr:colOff>
      <xdr:row>570</xdr:row>
      <xdr:rowOff>133350</xdr:rowOff>
    </xdr:to>
    <xdr:pic>
      <xdr:nvPicPr>
        <xdr:cNvPr id="109" name="Picture 18"/>
        <xdr:cNvPicPr>
          <a:picLocks noChangeAspect="1" noChangeArrowheads="1"/>
        </xdr:cNvPicPr>
      </xdr:nvPicPr>
      <xdr:blipFill>
        <a:blip xmlns:r="http://schemas.openxmlformats.org/officeDocument/2006/relationships" r:embed="rId93" cstate="print"/>
        <a:srcRect/>
        <a:stretch>
          <a:fillRect/>
        </a:stretch>
      </xdr:blipFill>
      <xdr:spPr bwMode="auto">
        <a:xfrm>
          <a:off x="257175" y="91944825"/>
          <a:ext cx="552450" cy="609600"/>
        </a:xfrm>
        <a:prstGeom prst="rect">
          <a:avLst/>
        </a:prstGeom>
        <a:noFill/>
      </xdr:spPr>
    </xdr:pic>
    <xdr:clientData/>
  </xdr:twoCellAnchor>
  <xdr:twoCellAnchor editAs="oneCell">
    <xdr:from>
      <xdr:col>1</xdr:col>
      <xdr:colOff>9525</xdr:colOff>
      <xdr:row>571</xdr:row>
      <xdr:rowOff>9525</xdr:rowOff>
    </xdr:from>
    <xdr:to>
      <xdr:col>2</xdr:col>
      <xdr:colOff>0</xdr:colOff>
      <xdr:row>574</xdr:row>
      <xdr:rowOff>133350</xdr:rowOff>
    </xdr:to>
    <xdr:pic>
      <xdr:nvPicPr>
        <xdr:cNvPr id="111" name="Picture 20"/>
        <xdr:cNvPicPr>
          <a:picLocks noChangeAspect="1" noChangeArrowheads="1"/>
        </xdr:cNvPicPr>
      </xdr:nvPicPr>
      <xdr:blipFill>
        <a:blip xmlns:r="http://schemas.openxmlformats.org/officeDocument/2006/relationships" r:embed="rId94" cstate="print"/>
        <a:srcRect/>
        <a:stretch>
          <a:fillRect/>
        </a:stretch>
      </xdr:blipFill>
      <xdr:spPr bwMode="auto">
        <a:xfrm>
          <a:off x="257175" y="92592525"/>
          <a:ext cx="552450" cy="609600"/>
        </a:xfrm>
        <a:prstGeom prst="rect">
          <a:avLst/>
        </a:prstGeom>
        <a:noFill/>
      </xdr:spPr>
    </xdr:pic>
    <xdr:clientData/>
  </xdr:twoCellAnchor>
  <xdr:twoCellAnchor editAs="oneCell">
    <xdr:from>
      <xdr:col>1</xdr:col>
      <xdr:colOff>9525</xdr:colOff>
      <xdr:row>579</xdr:row>
      <xdr:rowOff>9525</xdr:rowOff>
    </xdr:from>
    <xdr:to>
      <xdr:col>2</xdr:col>
      <xdr:colOff>0</xdr:colOff>
      <xdr:row>582</xdr:row>
      <xdr:rowOff>133350</xdr:rowOff>
    </xdr:to>
    <xdr:pic>
      <xdr:nvPicPr>
        <xdr:cNvPr id="113" name="Picture 22"/>
        <xdr:cNvPicPr>
          <a:picLocks noChangeAspect="1" noChangeArrowheads="1"/>
        </xdr:cNvPicPr>
      </xdr:nvPicPr>
      <xdr:blipFill>
        <a:blip xmlns:r="http://schemas.openxmlformats.org/officeDocument/2006/relationships" r:embed="rId95" cstate="print"/>
        <a:srcRect/>
        <a:stretch>
          <a:fillRect/>
        </a:stretch>
      </xdr:blipFill>
      <xdr:spPr bwMode="auto">
        <a:xfrm>
          <a:off x="257175" y="93887925"/>
          <a:ext cx="552450" cy="609600"/>
        </a:xfrm>
        <a:prstGeom prst="rect">
          <a:avLst/>
        </a:prstGeom>
        <a:noFill/>
      </xdr:spPr>
    </xdr:pic>
    <xdr:clientData/>
  </xdr:twoCellAnchor>
  <xdr:twoCellAnchor editAs="oneCell">
    <xdr:from>
      <xdr:col>1</xdr:col>
      <xdr:colOff>9525</xdr:colOff>
      <xdr:row>583</xdr:row>
      <xdr:rowOff>9525</xdr:rowOff>
    </xdr:from>
    <xdr:to>
      <xdr:col>2</xdr:col>
      <xdr:colOff>0</xdr:colOff>
      <xdr:row>586</xdr:row>
      <xdr:rowOff>133350</xdr:rowOff>
    </xdr:to>
    <xdr:pic>
      <xdr:nvPicPr>
        <xdr:cNvPr id="115" name="Picture 24"/>
        <xdr:cNvPicPr>
          <a:picLocks noChangeAspect="1" noChangeArrowheads="1"/>
        </xdr:cNvPicPr>
      </xdr:nvPicPr>
      <xdr:blipFill>
        <a:blip xmlns:r="http://schemas.openxmlformats.org/officeDocument/2006/relationships" r:embed="rId96" cstate="print"/>
        <a:srcRect/>
        <a:stretch>
          <a:fillRect/>
        </a:stretch>
      </xdr:blipFill>
      <xdr:spPr bwMode="auto">
        <a:xfrm>
          <a:off x="257175" y="94535625"/>
          <a:ext cx="552450" cy="609600"/>
        </a:xfrm>
        <a:prstGeom prst="rect">
          <a:avLst/>
        </a:prstGeom>
        <a:noFill/>
      </xdr:spPr>
    </xdr:pic>
    <xdr:clientData/>
  </xdr:twoCellAnchor>
  <xdr:twoCellAnchor editAs="oneCell">
    <xdr:from>
      <xdr:col>1</xdr:col>
      <xdr:colOff>9525</xdr:colOff>
      <xdr:row>593</xdr:row>
      <xdr:rowOff>9525</xdr:rowOff>
    </xdr:from>
    <xdr:to>
      <xdr:col>2</xdr:col>
      <xdr:colOff>0</xdr:colOff>
      <xdr:row>596</xdr:row>
      <xdr:rowOff>133350</xdr:rowOff>
    </xdr:to>
    <xdr:pic>
      <xdr:nvPicPr>
        <xdr:cNvPr id="117" name="Picture 26"/>
        <xdr:cNvPicPr>
          <a:picLocks noChangeAspect="1" noChangeArrowheads="1"/>
        </xdr:cNvPicPr>
      </xdr:nvPicPr>
      <xdr:blipFill>
        <a:blip xmlns:r="http://schemas.openxmlformats.org/officeDocument/2006/relationships" r:embed="rId97" cstate="print"/>
        <a:srcRect/>
        <a:stretch>
          <a:fillRect/>
        </a:stretch>
      </xdr:blipFill>
      <xdr:spPr bwMode="auto">
        <a:xfrm>
          <a:off x="257175" y="96164400"/>
          <a:ext cx="552450" cy="609600"/>
        </a:xfrm>
        <a:prstGeom prst="rect">
          <a:avLst/>
        </a:prstGeom>
        <a:noFill/>
      </xdr:spPr>
    </xdr:pic>
    <xdr:clientData/>
  </xdr:twoCellAnchor>
  <xdr:twoCellAnchor editAs="oneCell">
    <xdr:from>
      <xdr:col>1</xdr:col>
      <xdr:colOff>9525</xdr:colOff>
      <xdr:row>597</xdr:row>
      <xdr:rowOff>9525</xdr:rowOff>
    </xdr:from>
    <xdr:to>
      <xdr:col>2</xdr:col>
      <xdr:colOff>0</xdr:colOff>
      <xdr:row>600</xdr:row>
      <xdr:rowOff>133350</xdr:rowOff>
    </xdr:to>
    <xdr:pic>
      <xdr:nvPicPr>
        <xdr:cNvPr id="118" name="Picture 28"/>
        <xdr:cNvPicPr>
          <a:picLocks noChangeAspect="1" noChangeArrowheads="1"/>
        </xdr:cNvPicPr>
      </xdr:nvPicPr>
      <xdr:blipFill>
        <a:blip xmlns:r="http://schemas.openxmlformats.org/officeDocument/2006/relationships" r:embed="rId98" cstate="print"/>
        <a:srcRect/>
        <a:stretch>
          <a:fillRect/>
        </a:stretch>
      </xdr:blipFill>
      <xdr:spPr bwMode="auto">
        <a:xfrm>
          <a:off x="257175" y="96812100"/>
          <a:ext cx="552450" cy="609600"/>
        </a:xfrm>
        <a:prstGeom prst="rect">
          <a:avLst/>
        </a:prstGeom>
        <a:noFill/>
      </xdr:spPr>
    </xdr:pic>
    <xdr:clientData/>
  </xdr:twoCellAnchor>
  <xdr:twoCellAnchor editAs="oneCell">
    <xdr:from>
      <xdr:col>1</xdr:col>
      <xdr:colOff>9525</xdr:colOff>
      <xdr:row>605</xdr:row>
      <xdr:rowOff>9525</xdr:rowOff>
    </xdr:from>
    <xdr:to>
      <xdr:col>2</xdr:col>
      <xdr:colOff>0</xdr:colOff>
      <xdr:row>608</xdr:row>
      <xdr:rowOff>133350</xdr:rowOff>
    </xdr:to>
    <xdr:pic>
      <xdr:nvPicPr>
        <xdr:cNvPr id="119" name="Picture 2"/>
        <xdr:cNvPicPr>
          <a:picLocks noChangeAspect="1" noChangeArrowheads="1"/>
        </xdr:cNvPicPr>
      </xdr:nvPicPr>
      <xdr:blipFill>
        <a:blip xmlns:r="http://schemas.openxmlformats.org/officeDocument/2006/relationships" r:embed="rId99" cstate="print"/>
        <a:srcRect/>
        <a:stretch>
          <a:fillRect/>
        </a:stretch>
      </xdr:blipFill>
      <xdr:spPr bwMode="auto">
        <a:xfrm>
          <a:off x="257175" y="98107500"/>
          <a:ext cx="552450" cy="609600"/>
        </a:xfrm>
        <a:prstGeom prst="rect">
          <a:avLst/>
        </a:prstGeom>
        <a:noFill/>
      </xdr:spPr>
    </xdr:pic>
    <xdr:clientData/>
  </xdr:twoCellAnchor>
  <xdr:twoCellAnchor editAs="oneCell">
    <xdr:from>
      <xdr:col>1</xdr:col>
      <xdr:colOff>9525</xdr:colOff>
      <xdr:row>609</xdr:row>
      <xdr:rowOff>9525</xdr:rowOff>
    </xdr:from>
    <xdr:to>
      <xdr:col>2</xdr:col>
      <xdr:colOff>0</xdr:colOff>
      <xdr:row>612</xdr:row>
      <xdr:rowOff>133350</xdr:rowOff>
    </xdr:to>
    <xdr:pic>
      <xdr:nvPicPr>
        <xdr:cNvPr id="120" name="Picture 4"/>
        <xdr:cNvPicPr>
          <a:picLocks noChangeAspect="1" noChangeArrowheads="1"/>
        </xdr:cNvPicPr>
      </xdr:nvPicPr>
      <xdr:blipFill>
        <a:blip xmlns:r="http://schemas.openxmlformats.org/officeDocument/2006/relationships" r:embed="rId100" cstate="print"/>
        <a:srcRect/>
        <a:stretch>
          <a:fillRect/>
        </a:stretch>
      </xdr:blipFill>
      <xdr:spPr bwMode="auto">
        <a:xfrm>
          <a:off x="257175" y="98755200"/>
          <a:ext cx="552450" cy="609600"/>
        </a:xfrm>
        <a:prstGeom prst="rect">
          <a:avLst/>
        </a:prstGeom>
        <a:noFill/>
      </xdr:spPr>
    </xdr:pic>
    <xdr:clientData/>
  </xdr:twoCellAnchor>
  <xdr:twoCellAnchor editAs="oneCell">
    <xdr:from>
      <xdr:col>1</xdr:col>
      <xdr:colOff>9525</xdr:colOff>
      <xdr:row>617</xdr:row>
      <xdr:rowOff>9525</xdr:rowOff>
    </xdr:from>
    <xdr:to>
      <xdr:col>2</xdr:col>
      <xdr:colOff>0</xdr:colOff>
      <xdr:row>620</xdr:row>
      <xdr:rowOff>133350</xdr:rowOff>
    </xdr:to>
    <xdr:pic>
      <xdr:nvPicPr>
        <xdr:cNvPr id="121" name="Picture 6"/>
        <xdr:cNvPicPr>
          <a:picLocks noChangeAspect="1" noChangeArrowheads="1"/>
        </xdr:cNvPicPr>
      </xdr:nvPicPr>
      <xdr:blipFill>
        <a:blip xmlns:r="http://schemas.openxmlformats.org/officeDocument/2006/relationships" r:embed="rId101" cstate="print"/>
        <a:srcRect/>
        <a:stretch>
          <a:fillRect/>
        </a:stretch>
      </xdr:blipFill>
      <xdr:spPr bwMode="auto">
        <a:xfrm>
          <a:off x="257175" y="100050600"/>
          <a:ext cx="552450" cy="609600"/>
        </a:xfrm>
        <a:prstGeom prst="rect">
          <a:avLst/>
        </a:prstGeom>
        <a:noFill/>
      </xdr:spPr>
    </xdr:pic>
    <xdr:clientData/>
  </xdr:twoCellAnchor>
  <xdr:twoCellAnchor editAs="oneCell">
    <xdr:from>
      <xdr:col>1</xdr:col>
      <xdr:colOff>9525</xdr:colOff>
      <xdr:row>621</xdr:row>
      <xdr:rowOff>9525</xdr:rowOff>
    </xdr:from>
    <xdr:to>
      <xdr:col>2</xdr:col>
      <xdr:colOff>0</xdr:colOff>
      <xdr:row>624</xdr:row>
      <xdr:rowOff>133350</xdr:rowOff>
    </xdr:to>
    <xdr:pic>
      <xdr:nvPicPr>
        <xdr:cNvPr id="122" name="Picture 8"/>
        <xdr:cNvPicPr>
          <a:picLocks noChangeAspect="1" noChangeArrowheads="1"/>
        </xdr:cNvPicPr>
      </xdr:nvPicPr>
      <xdr:blipFill>
        <a:blip xmlns:r="http://schemas.openxmlformats.org/officeDocument/2006/relationships" r:embed="rId102" cstate="print"/>
        <a:srcRect/>
        <a:stretch>
          <a:fillRect/>
        </a:stretch>
      </xdr:blipFill>
      <xdr:spPr bwMode="auto">
        <a:xfrm>
          <a:off x="257175" y="100698300"/>
          <a:ext cx="552450" cy="609600"/>
        </a:xfrm>
        <a:prstGeom prst="rect">
          <a:avLst/>
        </a:prstGeom>
        <a:noFill/>
      </xdr:spPr>
    </xdr:pic>
    <xdr:clientData/>
  </xdr:twoCellAnchor>
  <xdr:twoCellAnchor editAs="oneCell">
    <xdr:from>
      <xdr:col>1</xdr:col>
      <xdr:colOff>9525</xdr:colOff>
      <xdr:row>629</xdr:row>
      <xdr:rowOff>9525</xdr:rowOff>
    </xdr:from>
    <xdr:to>
      <xdr:col>2</xdr:col>
      <xdr:colOff>0</xdr:colOff>
      <xdr:row>632</xdr:row>
      <xdr:rowOff>133350</xdr:rowOff>
    </xdr:to>
    <xdr:pic>
      <xdr:nvPicPr>
        <xdr:cNvPr id="123" name="Picture 10"/>
        <xdr:cNvPicPr>
          <a:picLocks noChangeAspect="1" noChangeArrowheads="1"/>
        </xdr:cNvPicPr>
      </xdr:nvPicPr>
      <xdr:blipFill>
        <a:blip xmlns:r="http://schemas.openxmlformats.org/officeDocument/2006/relationships" r:embed="rId103" cstate="print"/>
        <a:srcRect/>
        <a:stretch>
          <a:fillRect/>
        </a:stretch>
      </xdr:blipFill>
      <xdr:spPr bwMode="auto">
        <a:xfrm>
          <a:off x="257175" y="101993700"/>
          <a:ext cx="552450" cy="609600"/>
        </a:xfrm>
        <a:prstGeom prst="rect">
          <a:avLst/>
        </a:prstGeom>
        <a:noFill/>
      </xdr:spPr>
    </xdr:pic>
    <xdr:clientData/>
  </xdr:twoCellAnchor>
  <xdr:twoCellAnchor editAs="oneCell">
    <xdr:from>
      <xdr:col>1</xdr:col>
      <xdr:colOff>9525</xdr:colOff>
      <xdr:row>633</xdr:row>
      <xdr:rowOff>9525</xdr:rowOff>
    </xdr:from>
    <xdr:to>
      <xdr:col>2</xdr:col>
      <xdr:colOff>0</xdr:colOff>
      <xdr:row>636</xdr:row>
      <xdr:rowOff>133350</xdr:rowOff>
    </xdr:to>
    <xdr:pic>
      <xdr:nvPicPr>
        <xdr:cNvPr id="124" name="Picture 12"/>
        <xdr:cNvPicPr>
          <a:picLocks noChangeAspect="1" noChangeArrowheads="1"/>
        </xdr:cNvPicPr>
      </xdr:nvPicPr>
      <xdr:blipFill>
        <a:blip xmlns:r="http://schemas.openxmlformats.org/officeDocument/2006/relationships" r:embed="rId104" cstate="print"/>
        <a:srcRect/>
        <a:stretch>
          <a:fillRect/>
        </a:stretch>
      </xdr:blipFill>
      <xdr:spPr bwMode="auto">
        <a:xfrm>
          <a:off x="257175" y="102641400"/>
          <a:ext cx="552450" cy="609600"/>
        </a:xfrm>
        <a:prstGeom prst="rect">
          <a:avLst/>
        </a:prstGeom>
        <a:noFill/>
      </xdr:spPr>
    </xdr:pic>
    <xdr:clientData/>
  </xdr:twoCellAnchor>
  <xdr:twoCellAnchor editAs="oneCell">
    <xdr:from>
      <xdr:col>1</xdr:col>
      <xdr:colOff>9525</xdr:colOff>
      <xdr:row>641</xdr:row>
      <xdr:rowOff>9525</xdr:rowOff>
    </xdr:from>
    <xdr:to>
      <xdr:col>2</xdr:col>
      <xdr:colOff>0</xdr:colOff>
      <xdr:row>644</xdr:row>
      <xdr:rowOff>133350</xdr:rowOff>
    </xdr:to>
    <xdr:pic>
      <xdr:nvPicPr>
        <xdr:cNvPr id="125" name="Picture 14"/>
        <xdr:cNvPicPr>
          <a:picLocks noChangeAspect="1" noChangeArrowheads="1"/>
        </xdr:cNvPicPr>
      </xdr:nvPicPr>
      <xdr:blipFill>
        <a:blip xmlns:r="http://schemas.openxmlformats.org/officeDocument/2006/relationships" r:embed="rId105" cstate="print"/>
        <a:srcRect/>
        <a:stretch>
          <a:fillRect/>
        </a:stretch>
      </xdr:blipFill>
      <xdr:spPr bwMode="auto">
        <a:xfrm>
          <a:off x="257175" y="103936800"/>
          <a:ext cx="552450" cy="609600"/>
        </a:xfrm>
        <a:prstGeom prst="rect">
          <a:avLst/>
        </a:prstGeom>
        <a:noFill/>
      </xdr:spPr>
    </xdr:pic>
    <xdr:clientData/>
  </xdr:twoCellAnchor>
  <xdr:twoCellAnchor editAs="oneCell">
    <xdr:from>
      <xdr:col>1</xdr:col>
      <xdr:colOff>9525</xdr:colOff>
      <xdr:row>645</xdr:row>
      <xdr:rowOff>9525</xdr:rowOff>
    </xdr:from>
    <xdr:to>
      <xdr:col>2</xdr:col>
      <xdr:colOff>0</xdr:colOff>
      <xdr:row>648</xdr:row>
      <xdr:rowOff>133350</xdr:rowOff>
    </xdr:to>
    <xdr:pic>
      <xdr:nvPicPr>
        <xdr:cNvPr id="126" name="Picture 16"/>
        <xdr:cNvPicPr>
          <a:picLocks noChangeAspect="1" noChangeArrowheads="1"/>
        </xdr:cNvPicPr>
      </xdr:nvPicPr>
      <xdr:blipFill>
        <a:blip xmlns:r="http://schemas.openxmlformats.org/officeDocument/2006/relationships" r:embed="rId106" cstate="print"/>
        <a:srcRect/>
        <a:stretch>
          <a:fillRect/>
        </a:stretch>
      </xdr:blipFill>
      <xdr:spPr bwMode="auto">
        <a:xfrm>
          <a:off x="257175" y="104584500"/>
          <a:ext cx="552450" cy="609600"/>
        </a:xfrm>
        <a:prstGeom prst="rect">
          <a:avLst/>
        </a:prstGeom>
        <a:noFill/>
      </xdr:spPr>
    </xdr:pic>
    <xdr:clientData/>
  </xdr:twoCellAnchor>
  <xdr:twoCellAnchor editAs="oneCell">
    <xdr:from>
      <xdr:col>1</xdr:col>
      <xdr:colOff>9525</xdr:colOff>
      <xdr:row>653</xdr:row>
      <xdr:rowOff>9525</xdr:rowOff>
    </xdr:from>
    <xdr:to>
      <xdr:col>2</xdr:col>
      <xdr:colOff>0</xdr:colOff>
      <xdr:row>656</xdr:row>
      <xdr:rowOff>133350</xdr:rowOff>
    </xdr:to>
    <xdr:pic>
      <xdr:nvPicPr>
        <xdr:cNvPr id="127" name="Picture 18"/>
        <xdr:cNvPicPr>
          <a:picLocks noChangeAspect="1" noChangeArrowheads="1"/>
        </xdr:cNvPicPr>
      </xdr:nvPicPr>
      <xdr:blipFill>
        <a:blip xmlns:r="http://schemas.openxmlformats.org/officeDocument/2006/relationships" r:embed="rId107" cstate="print"/>
        <a:srcRect/>
        <a:stretch>
          <a:fillRect/>
        </a:stretch>
      </xdr:blipFill>
      <xdr:spPr bwMode="auto">
        <a:xfrm>
          <a:off x="257175" y="105879900"/>
          <a:ext cx="552450" cy="609600"/>
        </a:xfrm>
        <a:prstGeom prst="rect">
          <a:avLst/>
        </a:prstGeom>
        <a:noFill/>
      </xdr:spPr>
    </xdr:pic>
    <xdr:clientData/>
  </xdr:twoCellAnchor>
  <xdr:twoCellAnchor editAs="oneCell">
    <xdr:from>
      <xdr:col>1</xdr:col>
      <xdr:colOff>9525</xdr:colOff>
      <xdr:row>657</xdr:row>
      <xdr:rowOff>9525</xdr:rowOff>
    </xdr:from>
    <xdr:to>
      <xdr:col>2</xdr:col>
      <xdr:colOff>0</xdr:colOff>
      <xdr:row>660</xdr:row>
      <xdr:rowOff>133350</xdr:rowOff>
    </xdr:to>
    <xdr:pic>
      <xdr:nvPicPr>
        <xdr:cNvPr id="128" name="Picture 20"/>
        <xdr:cNvPicPr>
          <a:picLocks noChangeAspect="1" noChangeArrowheads="1"/>
        </xdr:cNvPicPr>
      </xdr:nvPicPr>
      <xdr:blipFill>
        <a:blip xmlns:r="http://schemas.openxmlformats.org/officeDocument/2006/relationships" r:embed="rId108" cstate="print"/>
        <a:srcRect/>
        <a:stretch>
          <a:fillRect/>
        </a:stretch>
      </xdr:blipFill>
      <xdr:spPr bwMode="auto">
        <a:xfrm>
          <a:off x="257175" y="106527600"/>
          <a:ext cx="552450" cy="609600"/>
        </a:xfrm>
        <a:prstGeom prst="rect">
          <a:avLst/>
        </a:prstGeom>
        <a:noFill/>
      </xdr:spPr>
    </xdr:pic>
    <xdr:clientData/>
  </xdr:twoCellAnchor>
  <xdr:twoCellAnchor editAs="oneCell">
    <xdr:from>
      <xdr:col>1</xdr:col>
      <xdr:colOff>9525</xdr:colOff>
      <xdr:row>666</xdr:row>
      <xdr:rowOff>9525</xdr:rowOff>
    </xdr:from>
    <xdr:to>
      <xdr:col>2</xdr:col>
      <xdr:colOff>0</xdr:colOff>
      <xdr:row>669</xdr:row>
      <xdr:rowOff>133350</xdr:rowOff>
    </xdr:to>
    <xdr:pic>
      <xdr:nvPicPr>
        <xdr:cNvPr id="129" name="Picture 22"/>
        <xdr:cNvPicPr>
          <a:picLocks noChangeAspect="1" noChangeArrowheads="1"/>
        </xdr:cNvPicPr>
      </xdr:nvPicPr>
      <xdr:blipFill>
        <a:blip xmlns:r="http://schemas.openxmlformats.org/officeDocument/2006/relationships" r:embed="rId109" cstate="print"/>
        <a:srcRect/>
        <a:stretch>
          <a:fillRect/>
        </a:stretch>
      </xdr:blipFill>
      <xdr:spPr bwMode="auto">
        <a:xfrm>
          <a:off x="257175" y="107823000"/>
          <a:ext cx="552450" cy="609600"/>
        </a:xfrm>
        <a:prstGeom prst="rect">
          <a:avLst/>
        </a:prstGeom>
        <a:noFill/>
      </xdr:spPr>
    </xdr:pic>
    <xdr:clientData/>
  </xdr:twoCellAnchor>
  <xdr:twoCellAnchor editAs="oneCell">
    <xdr:from>
      <xdr:col>1</xdr:col>
      <xdr:colOff>9525</xdr:colOff>
      <xdr:row>670</xdr:row>
      <xdr:rowOff>9525</xdr:rowOff>
    </xdr:from>
    <xdr:to>
      <xdr:col>2</xdr:col>
      <xdr:colOff>0</xdr:colOff>
      <xdr:row>673</xdr:row>
      <xdr:rowOff>133350</xdr:rowOff>
    </xdr:to>
    <xdr:pic>
      <xdr:nvPicPr>
        <xdr:cNvPr id="130" name="Picture 24"/>
        <xdr:cNvPicPr>
          <a:picLocks noChangeAspect="1" noChangeArrowheads="1"/>
        </xdr:cNvPicPr>
      </xdr:nvPicPr>
      <xdr:blipFill>
        <a:blip xmlns:r="http://schemas.openxmlformats.org/officeDocument/2006/relationships" r:embed="rId110" cstate="print"/>
        <a:srcRect/>
        <a:stretch>
          <a:fillRect/>
        </a:stretch>
      </xdr:blipFill>
      <xdr:spPr bwMode="auto">
        <a:xfrm>
          <a:off x="257175" y="108470700"/>
          <a:ext cx="552450" cy="609600"/>
        </a:xfrm>
        <a:prstGeom prst="rect">
          <a:avLst/>
        </a:prstGeom>
        <a:noFill/>
      </xdr:spPr>
    </xdr:pic>
    <xdr:clientData/>
  </xdr:twoCellAnchor>
  <xdr:twoCellAnchor editAs="oneCell">
    <xdr:from>
      <xdr:col>1</xdr:col>
      <xdr:colOff>9525</xdr:colOff>
      <xdr:row>678</xdr:row>
      <xdr:rowOff>9525</xdr:rowOff>
    </xdr:from>
    <xdr:to>
      <xdr:col>2</xdr:col>
      <xdr:colOff>0</xdr:colOff>
      <xdr:row>681</xdr:row>
      <xdr:rowOff>133350</xdr:rowOff>
    </xdr:to>
    <xdr:pic>
      <xdr:nvPicPr>
        <xdr:cNvPr id="131" name="Picture 26"/>
        <xdr:cNvPicPr>
          <a:picLocks noChangeAspect="1" noChangeArrowheads="1"/>
        </xdr:cNvPicPr>
      </xdr:nvPicPr>
      <xdr:blipFill>
        <a:blip xmlns:r="http://schemas.openxmlformats.org/officeDocument/2006/relationships" r:embed="rId111" cstate="print"/>
        <a:srcRect/>
        <a:stretch>
          <a:fillRect/>
        </a:stretch>
      </xdr:blipFill>
      <xdr:spPr bwMode="auto">
        <a:xfrm>
          <a:off x="257175" y="109928025"/>
          <a:ext cx="552450" cy="609600"/>
        </a:xfrm>
        <a:prstGeom prst="rect">
          <a:avLst/>
        </a:prstGeom>
        <a:noFill/>
      </xdr:spPr>
    </xdr:pic>
    <xdr:clientData/>
  </xdr:twoCellAnchor>
  <xdr:twoCellAnchor editAs="oneCell">
    <xdr:from>
      <xdr:col>1</xdr:col>
      <xdr:colOff>0</xdr:colOff>
      <xdr:row>682</xdr:row>
      <xdr:rowOff>0</xdr:rowOff>
    </xdr:from>
    <xdr:to>
      <xdr:col>1</xdr:col>
      <xdr:colOff>552450</xdr:colOff>
      <xdr:row>685</xdr:row>
      <xdr:rowOff>123825</xdr:rowOff>
    </xdr:to>
    <xdr:pic>
      <xdr:nvPicPr>
        <xdr:cNvPr id="132" name="Picture 28"/>
        <xdr:cNvPicPr>
          <a:picLocks noChangeAspect="1" noChangeArrowheads="1"/>
        </xdr:cNvPicPr>
      </xdr:nvPicPr>
      <xdr:blipFill>
        <a:blip xmlns:r="http://schemas.openxmlformats.org/officeDocument/2006/relationships" r:embed="rId112" cstate="print"/>
        <a:srcRect/>
        <a:stretch>
          <a:fillRect/>
        </a:stretch>
      </xdr:blipFill>
      <xdr:spPr bwMode="auto">
        <a:xfrm>
          <a:off x="247650" y="110566200"/>
          <a:ext cx="552450" cy="609600"/>
        </a:xfrm>
        <a:prstGeom prst="rect">
          <a:avLst/>
        </a:prstGeom>
        <a:noFill/>
      </xdr:spPr>
    </xdr:pic>
    <xdr:clientData/>
  </xdr:twoCellAnchor>
  <xdr:twoCellAnchor editAs="oneCell">
    <xdr:from>
      <xdr:col>1</xdr:col>
      <xdr:colOff>9525</xdr:colOff>
      <xdr:row>690</xdr:row>
      <xdr:rowOff>9525</xdr:rowOff>
    </xdr:from>
    <xdr:to>
      <xdr:col>2</xdr:col>
      <xdr:colOff>0</xdr:colOff>
      <xdr:row>693</xdr:row>
      <xdr:rowOff>133350</xdr:rowOff>
    </xdr:to>
    <xdr:pic>
      <xdr:nvPicPr>
        <xdr:cNvPr id="133" name="Picture 2"/>
        <xdr:cNvPicPr>
          <a:picLocks noChangeAspect="1" noChangeArrowheads="1"/>
        </xdr:cNvPicPr>
      </xdr:nvPicPr>
      <xdr:blipFill>
        <a:blip xmlns:r="http://schemas.openxmlformats.org/officeDocument/2006/relationships" r:embed="rId113" cstate="print"/>
        <a:srcRect/>
        <a:stretch>
          <a:fillRect/>
        </a:stretch>
      </xdr:blipFill>
      <xdr:spPr bwMode="auto">
        <a:xfrm>
          <a:off x="257175" y="111871125"/>
          <a:ext cx="552450" cy="609600"/>
        </a:xfrm>
        <a:prstGeom prst="rect">
          <a:avLst/>
        </a:prstGeom>
        <a:noFill/>
      </xdr:spPr>
    </xdr:pic>
    <xdr:clientData/>
  </xdr:twoCellAnchor>
  <xdr:twoCellAnchor editAs="oneCell">
    <xdr:from>
      <xdr:col>1</xdr:col>
      <xdr:colOff>9525</xdr:colOff>
      <xdr:row>694</xdr:row>
      <xdr:rowOff>9525</xdr:rowOff>
    </xdr:from>
    <xdr:to>
      <xdr:col>2</xdr:col>
      <xdr:colOff>0</xdr:colOff>
      <xdr:row>697</xdr:row>
      <xdr:rowOff>133350</xdr:rowOff>
    </xdr:to>
    <xdr:pic>
      <xdr:nvPicPr>
        <xdr:cNvPr id="134" name="Picture 4"/>
        <xdr:cNvPicPr>
          <a:picLocks noChangeAspect="1" noChangeArrowheads="1"/>
        </xdr:cNvPicPr>
      </xdr:nvPicPr>
      <xdr:blipFill>
        <a:blip xmlns:r="http://schemas.openxmlformats.org/officeDocument/2006/relationships" r:embed="rId114" cstate="print"/>
        <a:srcRect/>
        <a:stretch>
          <a:fillRect/>
        </a:stretch>
      </xdr:blipFill>
      <xdr:spPr bwMode="auto">
        <a:xfrm>
          <a:off x="257175" y="112518825"/>
          <a:ext cx="552450" cy="609600"/>
        </a:xfrm>
        <a:prstGeom prst="rect">
          <a:avLst/>
        </a:prstGeom>
        <a:noFill/>
      </xdr:spPr>
    </xdr:pic>
    <xdr:clientData/>
  </xdr:twoCellAnchor>
  <xdr:twoCellAnchor editAs="oneCell">
    <xdr:from>
      <xdr:col>1</xdr:col>
      <xdr:colOff>9525</xdr:colOff>
      <xdr:row>702</xdr:row>
      <xdr:rowOff>9525</xdr:rowOff>
    </xdr:from>
    <xdr:to>
      <xdr:col>2</xdr:col>
      <xdr:colOff>0</xdr:colOff>
      <xdr:row>705</xdr:row>
      <xdr:rowOff>133350</xdr:rowOff>
    </xdr:to>
    <xdr:pic>
      <xdr:nvPicPr>
        <xdr:cNvPr id="135" name="Picture 6"/>
        <xdr:cNvPicPr>
          <a:picLocks noChangeAspect="1" noChangeArrowheads="1"/>
        </xdr:cNvPicPr>
      </xdr:nvPicPr>
      <xdr:blipFill>
        <a:blip xmlns:r="http://schemas.openxmlformats.org/officeDocument/2006/relationships" r:embed="rId115" cstate="print"/>
        <a:srcRect/>
        <a:stretch>
          <a:fillRect/>
        </a:stretch>
      </xdr:blipFill>
      <xdr:spPr bwMode="auto">
        <a:xfrm>
          <a:off x="257175" y="113814225"/>
          <a:ext cx="552450" cy="609600"/>
        </a:xfrm>
        <a:prstGeom prst="rect">
          <a:avLst/>
        </a:prstGeom>
        <a:noFill/>
      </xdr:spPr>
    </xdr:pic>
    <xdr:clientData/>
  </xdr:twoCellAnchor>
  <xdr:twoCellAnchor editAs="oneCell">
    <xdr:from>
      <xdr:col>1</xdr:col>
      <xdr:colOff>9525</xdr:colOff>
      <xdr:row>706</xdr:row>
      <xdr:rowOff>9525</xdr:rowOff>
    </xdr:from>
    <xdr:to>
      <xdr:col>2</xdr:col>
      <xdr:colOff>0</xdr:colOff>
      <xdr:row>709</xdr:row>
      <xdr:rowOff>133350</xdr:rowOff>
    </xdr:to>
    <xdr:pic>
      <xdr:nvPicPr>
        <xdr:cNvPr id="136" name="Picture 8"/>
        <xdr:cNvPicPr>
          <a:picLocks noChangeAspect="1" noChangeArrowheads="1"/>
        </xdr:cNvPicPr>
      </xdr:nvPicPr>
      <xdr:blipFill>
        <a:blip xmlns:r="http://schemas.openxmlformats.org/officeDocument/2006/relationships" r:embed="rId116" cstate="print"/>
        <a:srcRect/>
        <a:stretch>
          <a:fillRect/>
        </a:stretch>
      </xdr:blipFill>
      <xdr:spPr bwMode="auto">
        <a:xfrm>
          <a:off x="257175" y="114461925"/>
          <a:ext cx="552450" cy="609600"/>
        </a:xfrm>
        <a:prstGeom prst="rect">
          <a:avLst/>
        </a:prstGeom>
        <a:noFill/>
      </xdr:spPr>
    </xdr:pic>
    <xdr:clientData/>
  </xdr:twoCellAnchor>
  <xdr:twoCellAnchor editAs="oneCell">
    <xdr:from>
      <xdr:col>1</xdr:col>
      <xdr:colOff>9525</xdr:colOff>
      <xdr:row>717</xdr:row>
      <xdr:rowOff>9525</xdr:rowOff>
    </xdr:from>
    <xdr:to>
      <xdr:col>2</xdr:col>
      <xdr:colOff>0</xdr:colOff>
      <xdr:row>720</xdr:row>
      <xdr:rowOff>133350</xdr:rowOff>
    </xdr:to>
    <xdr:pic>
      <xdr:nvPicPr>
        <xdr:cNvPr id="137" name="Picture 10"/>
        <xdr:cNvPicPr>
          <a:picLocks noChangeAspect="1" noChangeArrowheads="1"/>
        </xdr:cNvPicPr>
      </xdr:nvPicPr>
      <xdr:blipFill>
        <a:blip xmlns:r="http://schemas.openxmlformats.org/officeDocument/2006/relationships" r:embed="rId117" cstate="print"/>
        <a:srcRect/>
        <a:stretch>
          <a:fillRect/>
        </a:stretch>
      </xdr:blipFill>
      <xdr:spPr bwMode="auto">
        <a:xfrm>
          <a:off x="257175" y="116081175"/>
          <a:ext cx="552450" cy="609600"/>
        </a:xfrm>
        <a:prstGeom prst="rect">
          <a:avLst/>
        </a:prstGeom>
        <a:noFill/>
      </xdr:spPr>
    </xdr:pic>
    <xdr:clientData/>
  </xdr:twoCellAnchor>
  <xdr:twoCellAnchor editAs="oneCell">
    <xdr:from>
      <xdr:col>1</xdr:col>
      <xdr:colOff>9525</xdr:colOff>
      <xdr:row>721</xdr:row>
      <xdr:rowOff>9525</xdr:rowOff>
    </xdr:from>
    <xdr:to>
      <xdr:col>2</xdr:col>
      <xdr:colOff>0</xdr:colOff>
      <xdr:row>724</xdr:row>
      <xdr:rowOff>133350</xdr:rowOff>
    </xdr:to>
    <xdr:pic>
      <xdr:nvPicPr>
        <xdr:cNvPr id="138" name="Picture 12"/>
        <xdr:cNvPicPr>
          <a:picLocks noChangeAspect="1" noChangeArrowheads="1"/>
        </xdr:cNvPicPr>
      </xdr:nvPicPr>
      <xdr:blipFill>
        <a:blip xmlns:r="http://schemas.openxmlformats.org/officeDocument/2006/relationships" r:embed="rId118" cstate="print"/>
        <a:srcRect/>
        <a:stretch>
          <a:fillRect/>
        </a:stretch>
      </xdr:blipFill>
      <xdr:spPr bwMode="auto">
        <a:xfrm>
          <a:off x="257175" y="116728875"/>
          <a:ext cx="552450" cy="609600"/>
        </a:xfrm>
        <a:prstGeom prst="rect">
          <a:avLst/>
        </a:prstGeom>
        <a:noFill/>
      </xdr:spPr>
    </xdr:pic>
    <xdr:clientData/>
  </xdr:twoCellAnchor>
  <xdr:twoCellAnchor editAs="oneCell">
    <xdr:from>
      <xdr:col>1</xdr:col>
      <xdr:colOff>9525</xdr:colOff>
      <xdr:row>729</xdr:row>
      <xdr:rowOff>9525</xdr:rowOff>
    </xdr:from>
    <xdr:to>
      <xdr:col>2</xdr:col>
      <xdr:colOff>0</xdr:colOff>
      <xdr:row>732</xdr:row>
      <xdr:rowOff>133350</xdr:rowOff>
    </xdr:to>
    <xdr:pic>
      <xdr:nvPicPr>
        <xdr:cNvPr id="139" name="Picture 14"/>
        <xdr:cNvPicPr>
          <a:picLocks noChangeAspect="1" noChangeArrowheads="1"/>
        </xdr:cNvPicPr>
      </xdr:nvPicPr>
      <xdr:blipFill>
        <a:blip xmlns:r="http://schemas.openxmlformats.org/officeDocument/2006/relationships" r:embed="rId119" cstate="print"/>
        <a:srcRect/>
        <a:stretch>
          <a:fillRect/>
        </a:stretch>
      </xdr:blipFill>
      <xdr:spPr bwMode="auto">
        <a:xfrm>
          <a:off x="257175" y="118186200"/>
          <a:ext cx="552450" cy="609600"/>
        </a:xfrm>
        <a:prstGeom prst="rect">
          <a:avLst/>
        </a:prstGeom>
        <a:noFill/>
      </xdr:spPr>
    </xdr:pic>
    <xdr:clientData/>
  </xdr:twoCellAnchor>
  <xdr:twoCellAnchor editAs="oneCell">
    <xdr:from>
      <xdr:col>1</xdr:col>
      <xdr:colOff>9525</xdr:colOff>
      <xdr:row>733</xdr:row>
      <xdr:rowOff>9525</xdr:rowOff>
    </xdr:from>
    <xdr:to>
      <xdr:col>2</xdr:col>
      <xdr:colOff>0</xdr:colOff>
      <xdr:row>736</xdr:row>
      <xdr:rowOff>133350</xdr:rowOff>
    </xdr:to>
    <xdr:pic>
      <xdr:nvPicPr>
        <xdr:cNvPr id="140" name="Picture 16"/>
        <xdr:cNvPicPr>
          <a:picLocks noChangeAspect="1" noChangeArrowheads="1"/>
        </xdr:cNvPicPr>
      </xdr:nvPicPr>
      <xdr:blipFill>
        <a:blip xmlns:r="http://schemas.openxmlformats.org/officeDocument/2006/relationships" r:embed="rId120" cstate="print"/>
        <a:srcRect/>
        <a:stretch>
          <a:fillRect/>
        </a:stretch>
      </xdr:blipFill>
      <xdr:spPr bwMode="auto">
        <a:xfrm>
          <a:off x="257175" y="118833900"/>
          <a:ext cx="552450" cy="609600"/>
        </a:xfrm>
        <a:prstGeom prst="rect">
          <a:avLst/>
        </a:prstGeom>
        <a:noFill/>
      </xdr:spPr>
    </xdr:pic>
    <xdr:clientData/>
  </xdr:twoCellAnchor>
  <xdr:twoCellAnchor editAs="oneCell">
    <xdr:from>
      <xdr:col>1</xdr:col>
      <xdr:colOff>9525</xdr:colOff>
      <xdr:row>741</xdr:row>
      <xdr:rowOff>9525</xdr:rowOff>
    </xdr:from>
    <xdr:to>
      <xdr:col>2</xdr:col>
      <xdr:colOff>0</xdr:colOff>
      <xdr:row>744</xdr:row>
      <xdr:rowOff>133350</xdr:rowOff>
    </xdr:to>
    <xdr:pic>
      <xdr:nvPicPr>
        <xdr:cNvPr id="141" name="Picture 18"/>
        <xdr:cNvPicPr>
          <a:picLocks noChangeAspect="1" noChangeArrowheads="1"/>
        </xdr:cNvPicPr>
      </xdr:nvPicPr>
      <xdr:blipFill>
        <a:blip xmlns:r="http://schemas.openxmlformats.org/officeDocument/2006/relationships" r:embed="rId121" cstate="print"/>
        <a:srcRect/>
        <a:stretch>
          <a:fillRect/>
        </a:stretch>
      </xdr:blipFill>
      <xdr:spPr bwMode="auto">
        <a:xfrm>
          <a:off x="257175" y="120129300"/>
          <a:ext cx="552450" cy="609600"/>
        </a:xfrm>
        <a:prstGeom prst="rect">
          <a:avLst/>
        </a:prstGeom>
        <a:noFill/>
      </xdr:spPr>
    </xdr:pic>
    <xdr:clientData/>
  </xdr:twoCellAnchor>
  <xdr:twoCellAnchor editAs="oneCell">
    <xdr:from>
      <xdr:col>1</xdr:col>
      <xdr:colOff>9525</xdr:colOff>
      <xdr:row>745</xdr:row>
      <xdr:rowOff>9525</xdr:rowOff>
    </xdr:from>
    <xdr:to>
      <xdr:col>2</xdr:col>
      <xdr:colOff>0</xdr:colOff>
      <xdr:row>748</xdr:row>
      <xdr:rowOff>133350</xdr:rowOff>
    </xdr:to>
    <xdr:pic>
      <xdr:nvPicPr>
        <xdr:cNvPr id="142" name="Picture 20"/>
        <xdr:cNvPicPr>
          <a:picLocks noChangeAspect="1" noChangeArrowheads="1"/>
        </xdr:cNvPicPr>
      </xdr:nvPicPr>
      <xdr:blipFill>
        <a:blip xmlns:r="http://schemas.openxmlformats.org/officeDocument/2006/relationships" r:embed="rId122" cstate="print"/>
        <a:srcRect/>
        <a:stretch>
          <a:fillRect/>
        </a:stretch>
      </xdr:blipFill>
      <xdr:spPr bwMode="auto">
        <a:xfrm>
          <a:off x="257175" y="120777000"/>
          <a:ext cx="552450" cy="609600"/>
        </a:xfrm>
        <a:prstGeom prst="rect">
          <a:avLst/>
        </a:prstGeom>
        <a:noFill/>
      </xdr:spPr>
    </xdr:pic>
    <xdr:clientData/>
  </xdr:twoCellAnchor>
  <xdr:twoCellAnchor editAs="oneCell">
    <xdr:from>
      <xdr:col>1</xdr:col>
      <xdr:colOff>9525</xdr:colOff>
      <xdr:row>753</xdr:row>
      <xdr:rowOff>19050</xdr:rowOff>
    </xdr:from>
    <xdr:to>
      <xdr:col>2</xdr:col>
      <xdr:colOff>0</xdr:colOff>
      <xdr:row>756</xdr:row>
      <xdr:rowOff>142875</xdr:rowOff>
    </xdr:to>
    <xdr:pic>
      <xdr:nvPicPr>
        <xdr:cNvPr id="143" name="Picture 22"/>
        <xdr:cNvPicPr>
          <a:picLocks noChangeAspect="1" noChangeArrowheads="1"/>
        </xdr:cNvPicPr>
      </xdr:nvPicPr>
      <xdr:blipFill>
        <a:blip xmlns:r="http://schemas.openxmlformats.org/officeDocument/2006/relationships" r:embed="rId123" cstate="print"/>
        <a:srcRect/>
        <a:stretch>
          <a:fillRect/>
        </a:stretch>
      </xdr:blipFill>
      <xdr:spPr bwMode="auto">
        <a:xfrm>
          <a:off x="257175" y="122081925"/>
          <a:ext cx="552450" cy="609600"/>
        </a:xfrm>
        <a:prstGeom prst="rect">
          <a:avLst/>
        </a:prstGeom>
        <a:noFill/>
      </xdr:spPr>
    </xdr:pic>
    <xdr:clientData/>
  </xdr:twoCellAnchor>
  <xdr:twoCellAnchor editAs="oneCell">
    <xdr:from>
      <xdr:col>1</xdr:col>
      <xdr:colOff>9525</xdr:colOff>
      <xdr:row>757</xdr:row>
      <xdr:rowOff>9525</xdr:rowOff>
    </xdr:from>
    <xdr:to>
      <xdr:col>2</xdr:col>
      <xdr:colOff>0</xdr:colOff>
      <xdr:row>760</xdr:row>
      <xdr:rowOff>133350</xdr:rowOff>
    </xdr:to>
    <xdr:pic>
      <xdr:nvPicPr>
        <xdr:cNvPr id="144" name="Picture 24"/>
        <xdr:cNvPicPr>
          <a:picLocks noChangeAspect="1" noChangeArrowheads="1"/>
        </xdr:cNvPicPr>
      </xdr:nvPicPr>
      <xdr:blipFill>
        <a:blip xmlns:r="http://schemas.openxmlformats.org/officeDocument/2006/relationships" r:embed="rId124" cstate="print"/>
        <a:srcRect/>
        <a:stretch>
          <a:fillRect/>
        </a:stretch>
      </xdr:blipFill>
      <xdr:spPr bwMode="auto">
        <a:xfrm>
          <a:off x="257175" y="122720100"/>
          <a:ext cx="552450" cy="609600"/>
        </a:xfrm>
        <a:prstGeom prst="rect">
          <a:avLst/>
        </a:prstGeom>
        <a:noFill/>
      </xdr:spPr>
    </xdr:pic>
    <xdr:clientData/>
  </xdr:twoCellAnchor>
  <xdr:twoCellAnchor editAs="oneCell">
    <xdr:from>
      <xdr:col>1</xdr:col>
      <xdr:colOff>9525</xdr:colOff>
      <xdr:row>767</xdr:row>
      <xdr:rowOff>9525</xdr:rowOff>
    </xdr:from>
    <xdr:to>
      <xdr:col>2</xdr:col>
      <xdr:colOff>0</xdr:colOff>
      <xdr:row>770</xdr:row>
      <xdr:rowOff>133350</xdr:rowOff>
    </xdr:to>
    <xdr:pic>
      <xdr:nvPicPr>
        <xdr:cNvPr id="145" name="Picture 26"/>
        <xdr:cNvPicPr>
          <a:picLocks noChangeAspect="1" noChangeArrowheads="1"/>
        </xdr:cNvPicPr>
      </xdr:nvPicPr>
      <xdr:blipFill>
        <a:blip xmlns:r="http://schemas.openxmlformats.org/officeDocument/2006/relationships" r:embed="rId125" cstate="print"/>
        <a:srcRect/>
        <a:stretch>
          <a:fillRect/>
        </a:stretch>
      </xdr:blipFill>
      <xdr:spPr bwMode="auto">
        <a:xfrm>
          <a:off x="257175" y="124339350"/>
          <a:ext cx="552450" cy="609600"/>
        </a:xfrm>
        <a:prstGeom prst="rect">
          <a:avLst/>
        </a:prstGeom>
        <a:noFill/>
      </xdr:spPr>
    </xdr:pic>
    <xdr:clientData/>
  </xdr:twoCellAnchor>
  <xdr:twoCellAnchor editAs="oneCell">
    <xdr:from>
      <xdr:col>1</xdr:col>
      <xdr:colOff>9525</xdr:colOff>
      <xdr:row>771</xdr:row>
      <xdr:rowOff>9525</xdr:rowOff>
    </xdr:from>
    <xdr:to>
      <xdr:col>2</xdr:col>
      <xdr:colOff>0</xdr:colOff>
      <xdr:row>774</xdr:row>
      <xdr:rowOff>133350</xdr:rowOff>
    </xdr:to>
    <xdr:pic>
      <xdr:nvPicPr>
        <xdr:cNvPr id="146" name="Picture 28"/>
        <xdr:cNvPicPr>
          <a:picLocks noChangeAspect="1" noChangeArrowheads="1"/>
        </xdr:cNvPicPr>
      </xdr:nvPicPr>
      <xdr:blipFill>
        <a:blip xmlns:r="http://schemas.openxmlformats.org/officeDocument/2006/relationships" r:embed="rId126" cstate="print"/>
        <a:srcRect/>
        <a:stretch>
          <a:fillRect/>
        </a:stretch>
      </xdr:blipFill>
      <xdr:spPr bwMode="auto">
        <a:xfrm>
          <a:off x="257175" y="124987050"/>
          <a:ext cx="552450" cy="609600"/>
        </a:xfrm>
        <a:prstGeom prst="rect">
          <a:avLst/>
        </a:prstGeom>
        <a:noFill/>
      </xdr:spPr>
    </xdr:pic>
    <xdr:clientData/>
  </xdr:twoCellAnchor>
  <xdr:twoCellAnchor editAs="oneCell">
    <xdr:from>
      <xdr:col>1</xdr:col>
      <xdr:colOff>9525</xdr:colOff>
      <xdr:row>779</xdr:row>
      <xdr:rowOff>9525</xdr:rowOff>
    </xdr:from>
    <xdr:to>
      <xdr:col>2</xdr:col>
      <xdr:colOff>0</xdr:colOff>
      <xdr:row>782</xdr:row>
      <xdr:rowOff>133350</xdr:rowOff>
    </xdr:to>
    <xdr:pic>
      <xdr:nvPicPr>
        <xdr:cNvPr id="147" name="Picture 2"/>
        <xdr:cNvPicPr>
          <a:picLocks noChangeAspect="1" noChangeArrowheads="1"/>
        </xdr:cNvPicPr>
      </xdr:nvPicPr>
      <xdr:blipFill>
        <a:blip xmlns:r="http://schemas.openxmlformats.org/officeDocument/2006/relationships" r:embed="rId127" cstate="print"/>
        <a:srcRect/>
        <a:stretch>
          <a:fillRect/>
        </a:stretch>
      </xdr:blipFill>
      <xdr:spPr bwMode="auto">
        <a:xfrm>
          <a:off x="257175" y="126282450"/>
          <a:ext cx="552450" cy="609600"/>
        </a:xfrm>
        <a:prstGeom prst="rect">
          <a:avLst/>
        </a:prstGeom>
        <a:noFill/>
      </xdr:spPr>
    </xdr:pic>
    <xdr:clientData/>
  </xdr:twoCellAnchor>
  <xdr:twoCellAnchor editAs="oneCell">
    <xdr:from>
      <xdr:col>1</xdr:col>
      <xdr:colOff>9525</xdr:colOff>
      <xdr:row>791</xdr:row>
      <xdr:rowOff>9525</xdr:rowOff>
    </xdr:from>
    <xdr:to>
      <xdr:col>2</xdr:col>
      <xdr:colOff>0</xdr:colOff>
      <xdr:row>794</xdr:row>
      <xdr:rowOff>133350</xdr:rowOff>
    </xdr:to>
    <xdr:pic>
      <xdr:nvPicPr>
        <xdr:cNvPr id="148" name="Picture 4"/>
        <xdr:cNvPicPr>
          <a:picLocks noChangeAspect="1" noChangeArrowheads="1"/>
        </xdr:cNvPicPr>
      </xdr:nvPicPr>
      <xdr:blipFill>
        <a:blip xmlns:r="http://schemas.openxmlformats.org/officeDocument/2006/relationships" r:embed="rId128" cstate="print"/>
        <a:srcRect/>
        <a:stretch>
          <a:fillRect/>
        </a:stretch>
      </xdr:blipFill>
      <xdr:spPr bwMode="auto">
        <a:xfrm>
          <a:off x="257175" y="128225550"/>
          <a:ext cx="552450" cy="609600"/>
        </a:xfrm>
        <a:prstGeom prst="rect">
          <a:avLst/>
        </a:prstGeom>
        <a:noFill/>
      </xdr:spPr>
    </xdr:pic>
    <xdr:clientData/>
  </xdr:twoCellAnchor>
  <xdr:twoCellAnchor editAs="oneCell">
    <xdr:from>
      <xdr:col>1</xdr:col>
      <xdr:colOff>9525</xdr:colOff>
      <xdr:row>803</xdr:row>
      <xdr:rowOff>9525</xdr:rowOff>
    </xdr:from>
    <xdr:to>
      <xdr:col>2</xdr:col>
      <xdr:colOff>0</xdr:colOff>
      <xdr:row>806</xdr:row>
      <xdr:rowOff>133350</xdr:rowOff>
    </xdr:to>
    <xdr:pic>
      <xdr:nvPicPr>
        <xdr:cNvPr id="149" name="Picture 6"/>
        <xdr:cNvPicPr>
          <a:picLocks noChangeAspect="1" noChangeArrowheads="1"/>
        </xdr:cNvPicPr>
      </xdr:nvPicPr>
      <xdr:blipFill>
        <a:blip xmlns:r="http://schemas.openxmlformats.org/officeDocument/2006/relationships" r:embed="rId129" cstate="print"/>
        <a:srcRect/>
        <a:stretch>
          <a:fillRect/>
        </a:stretch>
      </xdr:blipFill>
      <xdr:spPr bwMode="auto">
        <a:xfrm>
          <a:off x="257175" y="130168650"/>
          <a:ext cx="552450" cy="609600"/>
        </a:xfrm>
        <a:prstGeom prst="rect">
          <a:avLst/>
        </a:prstGeom>
        <a:noFill/>
      </xdr:spPr>
    </xdr:pic>
    <xdr:clientData/>
  </xdr:twoCellAnchor>
  <xdr:twoCellAnchor editAs="oneCell">
    <xdr:from>
      <xdr:col>1</xdr:col>
      <xdr:colOff>9525</xdr:colOff>
      <xdr:row>815</xdr:row>
      <xdr:rowOff>9525</xdr:rowOff>
    </xdr:from>
    <xdr:to>
      <xdr:col>2</xdr:col>
      <xdr:colOff>0</xdr:colOff>
      <xdr:row>818</xdr:row>
      <xdr:rowOff>133350</xdr:rowOff>
    </xdr:to>
    <xdr:pic>
      <xdr:nvPicPr>
        <xdr:cNvPr id="150" name="Picture 8"/>
        <xdr:cNvPicPr>
          <a:picLocks noChangeAspect="1" noChangeArrowheads="1"/>
        </xdr:cNvPicPr>
      </xdr:nvPicPr>
      <xdr:blipFill>
        <a:blip xmlns:r="http://schemas.openxmlformats.org/officeDocument/2006/relationships" r:embed="rId130" cstate="print"/>
        <a:srcRect/>
        <a:stretch>
          <a:fillRect/>
        </a:stretch>
      </xdr:blipFill>
      <xdr:spPr bwMode="auto">
        <a:xfrm>
          <a:off x="257175" y="132111750"/>
          <a:ext cx="552450" cy="609600"/>
        </a:xfrm>
        <a:prstGeom prst="rect">
          <a:avLst/>
        </a:prstGeom>
        <a:noFill/>
      </xdr:spPr>
    </xdr:pic>
    <xdr:clientData/>
  </xdr:twoCellAnchor>
  <xdr:twoCellAnchor editAs="oneCell">
    <xdr:from>
      <xdr:col>1</xdr:col>
      <xdr:colOff>9525</xdr:colOff>
      <xdr:row>828</xdr:row>
      <xdr:rowOff>9525</xdr:rowOff>
    </xdr:from>
    <xdr:to>
      <xdr:col>2</xdr:col>
      <xdr:colOff>0</xdr:colOff>
      <xdr:row>831</xdr:row>
      <xdr:rowOff>133350</xdr:rowOff>
    </xdr:to>
    <xdr:pic>
      <xdr:nvPicPr>
        <xdr:cNvPr id="151" name="Picture 2"/>
        <xdr:cNvPicPr>
          <a:picLocks noChangeAspect="1" noChangeArrowheads="1"/>
        </xdr:cNvPicPr>
      </xdr:nvPicPr>
      <xdr:blipFill>
        <a:blip xmlns:r="http://schemas.openxmlformats.org/officeDocument/2006/relationships" r:embed="rId131" cstate="print"/>
        <a:srcRect/>
        <a:stretch>
          <a:fillRect/>
        </a:stretch>
      </xdr:blipFill>
      <xdr:spPr bwMode="auto">
        <a:xfrm>
          <a:off x="257175" y="134216775"/>
          <a:ext cx="552450" cy="609600"/>
        </a:xfrm>
        <a:prstGeom prst="rect">
          <a:avLst/>
        </a:prstGeom>
        <a:noFill/>
      </xdr:spPr>
    </xdr:pic>
    <xdr:clientData/>
  </xdr:twoCellAnchor>
  <xdr:twoCellAnchor editAs="oneCell">
    <xdr:from>
      <xdr:col>1</xdr:col>
      <xdr:colOff>9525</xdr:colOff>
      <xdr:row>840</xdr:row>
      <xdr:rowOff>9525</xdr:rowOff>
    </xdr:from>
    <xdr:to>
      <xdr:col>2</xdr:col>
      <xdr:colOff>0</xdr:colOff>
      <xdr:row>843</xdr:row>
      <xdr:rowOff>133350</xdr:rowOff>
    </xdr:to>
    <xdr:pic>
      <xdr:nvPicPr>
        <xdr:cNvPr id="152" name="Picture 4"/>
        <xdr:cNvPicPr>
          <a:picLocks noChangeAspect="1" noChangeArrowheads="1"/>
        </xdr:cNvPicPr>
      </xdr:nvPicPr>
      <xdr:blipFill>
        <a:blip xmlns:r="http://schemas.openxmlformats.org/officeDocument/2006/relationships" r:embed="rId132" cstate="print"/>
        <a:srcRect/>
        <a:stretch>
          <a:fillRect/>
        </a:stretch>
      </xdr:blipFill>
      <xdr:spPr bwMode="auto">
        <a:xfrm>
          <a:off x="257175" y="136159875"/>
          <a:ext cx="552450" cy="609600"/>
        </a:xfrm>
        <a:prstGeom prst="rect">
          <a:avLst/>
        </a:prstGeom>
        <a:noFill/>
      </xdr:spPr>
    </xdr:pic>
    <xdr:clientData/>
  </xdr:twoCellAnchor>
  <xdr:twoCellAnchor editAs="oneCell">
    <xdr:from>
      <xdr:col>1</xdr:col>
      <xdr:colOff>9525</xdr:colOff>
      <xdr:row>852</xdr:row>
      <xdr:rowOff>9525</xdr:rowOff>
    </xdr:from>
    <xdr:to>
      <xdr:col>2</xdr:col>
      <xdr:colOff>0</xdr:colOff>
      <xdr:row>855</xdr:row>
      <xdr:rowOff>133350</xdr:rowOff>
    </xdr:to>
    <xdr:pic>
      <xdr:nvPicPr>
        <xdr:cNvPr id="154" name="Picture 6"/>
        <xdr:cNvPicPr>
          <a:picLocks noChangeAspect="1" noChangeArrowheads="1"/>
        </xdr:cNvPicPr>
      </xdr:nvPicPr>
      <xdr:blipFill>
        <a:blip xmlns:r="http://schemas.openxmlformats.org/officeDocument/2006/relationships" r:embed="rId133" cstate="print"/>
        <a:srcRect/>
        <a:stretch>
          <a:fillRect/>
        </a:stretch>
      </xdr:blipFill>
      <xdr:spPr bwMode="auto">
        <a:xfrm>
          <a:off x="257175" y="138102975"/>
          <a:ext cx="552450" cy="609600"/>
        </a:xfrm>
        <a:prstGeom prst="rect">
          <a:avLst/>
        </a:prstGeom>
        <a:noFill/>
      </xdr:spPr>
    </xdr:pic>
    <xdr:clientData/>
  </xdr:twoCellAnchor>
  <xdr:twoCellAnchor editAs="oneCell">
    <xdr:from>
      <xdr:col>1</xdr:col>
      <xdr:colOff>9525</xdr:colOff>
      <xdr:row>865</xdr:row>
      <xdr:rowOff>9525</xdr:rowOff>
    </xdr:from>
    <xdr:to>
      <xdr:col>2</xdr:col>
      <xdr:colOff>0</xdr:colOff>
      <xdr:row>868</xdr:row>
      <xdr:rowOff>133350</xdr:rowOff>
    </xdr:to>
    <xdr:pic>
      <xdr:nvPicPr>
        <xdr:cNvPr id="155" name="Picture 8"/>
        <xdr:cNvPicPr>
          <a:picLocks noChangeAspect="1" noChangeArrowheads="1"/>
        </xdr:cNvPicPr>
      </xdr:nvPicPr>
      <xdr:blipFill>
        <a:blip xmlns:r="http://schemas.openxmlformats.org/officeDocument/2006/relationships" r:embed="rId134" cstate="print"/>
        <a:srcRect/>
        <a:stretch>
          <a:fillRect/>
        </a:stretch>
      </xdr:blipFill>
      <xdr:spPr bwMode="auto">
        <a:xfrm>
          <a:off x="257175" y="140208000"/>
          <a:ext cx="552450" cy="609600"/>
        </a:xfrm>
        <a:prstGeom prst="rect">
          <a:avLst/>
        </a:prstGeom>
        <a:noFill/>
      </xdr:spPr>
    </xdr:pic>
    <xdr:clientData/>
  </xdr:twoCellAnchor>
  <xdr:twoCellAnchor editAs="oneCell">
    <xdr:from>
      <xdr:col>1</xdr:col>
      <xdr:colOff>9525</xdr:colOff>
      <xdr:row>877</xdr:row>
      <xdr:rowOff>9525</xdr:rowOff>
    </xdr:from>
    <xdr:to>
      <xdr:col>2</xdr:col>
      <xdr:colOff>0</xdr:colOff>
      <xdr:row>880</xdr:row>
      <xdr:rowOff>133350</xdr:rowOff>
    </xdr:to>
    <xdr:pic>
      <xdr:nvPicPr>
        <xdr:cNvPr id="156" name="Picture 10"/>
        <xdr:cNvPicPr>
          <a:picLocks noChangeAspect="1" noChangeArrowheads="1"/>
        </xdr:cNvPicPr>
      </xdr:nvPicPr>
      <xdr:blipFill>
        <a:blip xmlns:r="http://schemas.openxmlformats.org/officeDocument/2006/relationships" r:embed="rId135" cstate="print"/>
        <a:srcRect/>
        <a:stretch>
          <a:fillRect/>
        </a:stretch>
      </xdr:blipFill>
      <xdr:spPr bwMode="auto">
        <a:xfrm>
          <a:off x="257175" y="142151100"/>
          <a:ext cx="552450" cy="609600"/>
        </a:xfrm>
        <a:prstGeom prst="rect">
          <a:avLst/>
        </a:prstGeom>
        <a:noFill/>
      </xdr:spPr>
    </xdr:pic>
    <xdr:clientData/>
  </xdr:twoCellAnchor>
  <xdr:twoCellAnchor editAs="oneCell">
    <xdr:from>
      <xdr:col>1</xdr:col>
      <xdr:colOff>9525</xdr:colOff>
      <xdr:row>889</xdr:row>
      <xdr:rowOff>9525</xdr:rowOff>
    </xdr:from>
    <xdr:to>
      <xdr:col>2</xdr:col>
      <xdr:colOff>0</xdr:colOff>
      <xdr:row>892</xdr:row>
      <xdr:rowOff>133350</xdr:rowOff>
    </xdr:to>
    <xdr:pic>
      <xdr:nvPicPr>
        <xdr:cNvPr id="158" name="Picture 12"/>
        <xdr:cNvPicPr>
          <a:picLocks noChangeAspect="1" noChangeArrowheads="1"/>
        </xdr:cNvPicPr>
      </xdr:nvPicPr>
      <xdr:blipFill>
        <a:blip xmlns:r="http://schemas.openxmlformats.org/officeDocument/2006/relationships" r:embed="rId136" cstate="print"/>
        <a:srcRect/>
        <a:stretch>
          <a:fillRect/>
        </a:stretch>
      </xdr:blipFill>
      <xdr:spPr bwMode="auto">
        <a:xfrm>
          <a:off x="257175" y="144094200"/>
          <a:ext cx="552450" cy="609600"/>
        </a:xfrm>
        <a:prstGeom prst="rect">
          <a:avLst/>
        </a:prstGeom>
        <a:noFill/>
      </xdr:spPr>
    </xdr:pic>
    <xdr:clientData/>
  </xdr:twoCellAnchor>
  <xdr:twoCellAnchor editAs="oneCell">
    <xdr:from>
      <xdr:col>1</xdr:col>
      <xdr:colOff>0</xdr:colOff>
      <xdr:row>902</xdr:row>
      <xdr:rowOff>9525</xdr:rowOff>
    </xdr:from>
    <xdr:to>
      <xdr:col>1</xdr:col>
      <xdr:colOff>552450</xdr:colOff>
      <xdr:row>905</xdr:row>
      <xdr:rowOff>133350</xdr:rowOff>
    </xdr:to>
    <xdr:pic>
      <xdr:nvPicPr>
        <xdr:cNvPr id="160" name="Picture 14"/>
        <xdr:cNvPicPr>
          <a:picLocks noChangeAspect="1" noChangeArrowheads="1"/>
        </xdr:cNvPicPr>
      </xdr:nvPicPr>
      <xdr:blipFill>
        <a:blip xmlns:r="http://schemas.openxmlformats.org/officeDocument/2006/relationships" r:embed="rId137" cstate="print"/>
        <a:srcRect/>
        <a:stretch>
          <a:fillRect/>
        </a:stretch>
      </xdr:blipFill>
      <xdr:spPr bwMode="auto">
        <a:xfrm>
          <a:off x="247650" y="146199225"/>
          <a:ext cx="552450" cy="609600"/>
        </a:xfrm>
        <a:prstGeom prst="rect">
          <a:avLst/>
        </a:prstGeom>
        <a:noFill/>
      </xdr:spPr>
    </xdr:pic>
    <xdr:clientData/>
  </xdr:twoCellAnchor>
  <xdr:twoCellAnchor editAs="oneCell">
    <xdr:from>
      <xdr:col>1</xdr:col>
      <xdr:colOff>9525</xdr:colOff>
      <xdr:row>916</xdr:row>
      <xdr:rowOff>9525</xdr:rowOff>
    </xdr:from>
    <xdr:to>
      <xdr:col>2</xdr:col>
      <xdr:colOff>0</xdr:colOff>
      <xdr:row>919</xdr:row>
      <xdr:rowOff>133350</xdr:rowOff>
    </xdr:to>
    <xdr:pic>
      <xdr:nvPicPr>
        <xdr:cNvPr id="162" name="Picture 16"/>
        <xdr:cNvPicPr>
          <a:picLocks noChangeAspect="1" noChangeArrowheads="1"/>
        </xdr:cNvPicPr>
      </xdr:nvPicPr>
      <xdr:blipFill>
        <a:blip xmlns:r="http://schemas.openxmlformats.org/officeDocument/2006/relationships" r:embed="rId138" cstate="print"/>
        <a:srcRect/>
        <a:stretch>
          <a:fillRect/>
        </a:stretch>
      </xdr:blipFill>
      <xdr:spPr bwMode="auto">
        <a:xfrm>
          <a:off x="257175" y="148466175"/>
          <a:ext cx="552450" cy="609600"/>
        </a:xfrm>
        <a:prstGeom prst="rect">
          <a:avLst/>
        </a:prstGeom>
        <a:noFill/>
      </xdr:spPr>
    </xdr:pic>
    <xdr:clientData/>
  </xdr:twoCellAnchor>
  <xdr:twoCellAnchor editAs="oneCell">
    <xdr:from>
      <xdr:col>1</xdr:col>
      <xdr:colOff>9525</xdr:colOff>
      <xdr:row>929</xdr:row>
      <xdr:rowOff>9525</xdr:rowOff>
    </xdr:from>
    <xdr:to>
      <xdr:col>2</xdr:col>
      <xdr:colOff>0</xdr:colOff>
      <xdr:row>932</xdr:row>
      <xdr:rowOff>133350</xdr:rowOff>
    </xdr:to>
    <xdr:pic>
      <xdr:nvPicPr>
        <xdr:cNvPr id="164" name="Picture 18"/>
        <xdr:cNvPicPr>
          <a:picLocks noChangeAspect="1" noChangeArrowheads="1"/>
        </xdr:cNvPicPr>
      </xdr:nvPicPr>
      <xdr:blipFill>
        <a:blip xmlns:r="http://schemas.openxmlformats.org/officeDocument/2006/relationships" r:embed="rId139" cstate="print"/>
        <a:srcRect/>
        <a:stretch>
          <a:fillRect/>
        </a:stretch>
      </xdr:blipFill>
      <xdr:spPr bwMode="auto">
        <a:xfrm>
          <a:off x="257175" y="150571200"/>
          <a:ext cx="552450" cy="609600"/>
        </a:xfrm>
        <a:prstGeom prst="rect">
          <a:avLst/>
        </a:prstGeom>
        <a:noFill/>
      </xdr:spPr>
    </xdr:pic>
    <xdr:clientData/>
  </xdr:twoCellAnchor>
  <xdr:twoCellAnchor editAs="oneCell">
    <xdr:from>
      <xdr:col>1</xdr:col>
      <xdr:colOff>9525</xdr:colOff>
      <xdr:row>941</xdr:row>
      <xdr:rowOff>9525</xdr:rowOff>
    </xdr:from>
    <xdr:to>
      <xdr:col>2</xdr:col>
      <xdr:colOff>0</xdr:colOff>
      <xdr:row>944</xdr:row>
      <xdr:rowOff>133350</xdr:rowOff>
    </xdr:to>
    <xdr:pic>
      <xdr:nvPicPr>
        <xdr:cNvPr id="166" name="Picture 20"/>
        <xdr:cNvPicPr>
          <a:picLocks noChangeAspect="1" noChangeArrowheads="1"/>
        </xdr:cNvPicPr>
      </xdr:nvPicPr>
      <xdr:blipFill>
        <a:blip xmlns:r="http://schemas.openxmlformats.org/officeDocument/2006/relationships" r:embed="rId140" cstate="print"/>
        <a:srcRect/>
        <a:stretch>
          <a:fillRect/>
        </a:stretch>
      </xdr:blipFill>
      <xdr:spPr bwMode="auto">
        <a:xfrm>
          <a:off x="257175" y="152514300"/>
          <a:ext cx="552450" cy="609600"/>
        </a:xfrm>
        <a:prstGeom prst="rect">
          <a:avLst/>
        </a:prstGeom>
        <a:noFill/>
      </xdr:spPr>
    </xdr:pic>
    <xdr:clientData/>
  </xdr:twoCellAnchor>
  <xdr:twoCellAnchor editAs="oneCell">
    <xdr:from>
      <xdr:col>1</xdr:col>
      <xdr:colOff>9525</xdr:colOff>
      <xdr:row>954</xdr:row>
      <xdr:rowOff>9525</xdr:rowOff>
    </xdr:from>
    <xdr:to>
      <xdr:col>2</xdr:col>
      <xdr:colOff>0</xdr:colOff>
      <xdr:row>957</xdr:row>
      <xdr:rowOff>133350</xdr:rowOff>
    </xdr:to>
    <xdr:pic>
      <xdr:nvPicPr>
        <xdr:cNvPr id="168" name="Picture 22"/>
        <xdr:cNvPicPr>
          <a:picLocks noChangeAspect="1" noChangeArrowheads="1"/>
        </xdr:cNvPicPr>
      </xdr:nvPicPr>
      <xdr:blipFill>
        <a:blip xmlns:r="http://schemas.openxmlformats.org/officeDocument/2006/relationships" r:embed="rId141" cstate="print"/>
        <a:srcRect/>
        <a:stretch>
          <a:fillRect/>
        </a:stretch>
      </xdr:blipFill>
      <xdr:spPr bwMode="auto">
        <a:xfrm>
          <a:off x="257175" y="154619325"/>
          <a:ext cx="552450" cy="609600"/>
        </a:xfrm>
        <a:prstGeom prst="rect">
          <a:avLst/>
        </a:prstGeom>
        <a:noFill/>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xdr:col>
      <xdr:colOff>809626</xdr:colOff>
      <xdr:row>215</xdr:row>
      <xdr:rowOff>0</xdr:rowOff>
    </xdr:from>
    <xdr:to>
      <xdr:col>1</xdr:col>
      <xdr:colOff>1591198</xdr:colOff>
      <xdr:row>218</xdr:row>
      <xdr:rowOff>57150</xdr:rowOff>
    </xdr:to>
    <xdr:pic>
      <xdr:nvPicPr>
        <xdr:cNvPr id="98607" name="Picture 4" descr="index"/>
        <xdr:cNvPicPr>
          <a:picLocks noChangeAspect="1" noChangeArrowheads="1"/>
        </xdr:cNvPicPr>
      </xdr:nvPicPr>
      <xdr:blipFill>
        <a:blip xmlns:r="http://schemas.openxmlformats.org/officeDocument/2006/relationships" r:embed="rId1" cstate="print"/>
        <a:srcRect/>
        <a:stretch>
          <a:fillRect/>
        </a:stretch>
      </xdr:blipFill>
      <xdr:spPr bwMode="auto">
        <a:xfrm>
          <a:off x="1057276" y="44729400"/>
          <a:ext cx="781572" cy="542925"/>
        </a:xfrm>
        <a:prstGeom prst="rect">
          <a:avLst/>
        </a:prstGeom>
        <a:noFill/>
        <a:ln w="9525">
          <a:noFill/>
          <a:miter lim="800000"/>
          <a:headEnd/>
          <a:tailEnd/>
        </a:ln>
      </xdr:spPr>
    </xdr:pic>
    <xdr:clientData/>
  </xdr:twoCellAnchor>
  <xdr:twoCellAnchor editAs="oneCell">
    <xdr:from>
      <xdr:col>1</xdr:col>
      <xdr:colOff>0</xdr:colOff>
      <xdr:row>218</xdr:row>
      <xdr:rowOff>66675</xdr:rowOff>
    </xdr:from>
    <xdr:to>
      <xdr:col>1</xdr:col>
      <xdr:colOff>800099</xdr:colOff>
      <xdr:row>219</xdr:row>
      <xdr:rowOff>116699</xdr:rowOff>
    </xdr:to>
    <xdr:pic>
      <xdr:nvPicPr>
        <xdr:cNvPr id="98608" name="Picture 5" descr="index"/>
        <xdr:cNvPicPr>
          <a:picLocks noChangeAspect="1" noChangeArrowheads="1"/>
        </xdr:cNvPicPr>
      </xdr:nvPicPr>
      <xdr:blipFill>
        <a:blip xmlns:r="http://schemas.openxmlformats.org/officeDocument/2006/relationships" r:embed="rId2" cstate="print"/>
        <a:srcRect/>
        <a:stretch>
          <a:fillRect/>
        </a:stretch>
      </xdr:blipFill>
      <xdr:spPr bwMode="auto">
        <a:xfrm>
          <a:off x="247650" y="45281850"/>
          <a:ext cx="800099" cy="545324"/>
        </a:xfrm>
        <a:prstGeom prst="rect">
          <a:avLst/>
        </a:prstGeom>
        <a:noFill/>
        <a:ln w="9525">
          <a:noFill/>
          <a:miter lim="800000"/>
          <a:headEnd/>
          <a:tailEnd/>
        </a:ln>
      </xdr:spPr>
    </xdr:pic>
    <xdr:clientData/>
  </xdr:twoCellAnchor>
  <xdr:twoCellAnchor editAs="oneCell">
    <xdr:from>
      <xdr:col>1</xdr:col>
      <xdr:colOff>790575</xdr:colOff>
      <xdr:row>228</xdr:row>
      <xdr:rowOff>1</xdr:rowOff>
    </xdr:from>
    <xdr:to>
      <xdr:col>1</xdr:col>
      <xdr:colOff>1609725</xdr:colOff>
      <xdr:row>231</xdr:row>
      <xdr:rowOff>57150</xdr:rowOff>
    </xdr:to>
    <xdr:pic>
      <xdr:nvPicPr>
        <xdr:cNvPr id="98613" name="Picture 10" descr="index"/>
        <xdr:cNvPicPr>
          <a:picLocks noChangeAspect="1" noChangeArrowheads="1"/>
        </xdr:cNvPicPr>
      </xdr:nvPicPr>
      <xdr:blipFill>
        <a:blip xmlns:r="http://schemas.openxmlformats.org/officeDocument/2006/relationships" r:embed="rId3" cstate="print"/>
        <a:srcRect/>
        <a:stretch>
          <a:fillRect/>
        </a:stretch>
      </xdr:blipFill>
      <xdr:spPr bwMode="auto">
        <a:xfrm>
          <a:off x="1038225" y="47453551"/>
          <a:ext cx="819150" cy="542924"/>
        </a:xfrm>
        <a:prstGeom prst="rect">
          <a:avLst/>
        </a:prstGeom>
        <a:noFill/>
        <a:ln w="9525">
          <a:noFill/>
          <a:miter lim="800000"/>
          <a:headEnd/>
          <a:tailEnd/>
        </a:ln>
      </xdr:spPr>
    </xdr:pic>
    <xdr:clientData/>
  </xdr:twoCellAnchor>
  <xdr:twoCellAnchor editAs="oneCell">
    <xdr:from>
      <xdr:col>1</xdr:col>
      <xdr:colOff>0</xdr:colOff>
      <xdr:row>231</xdr:row>
      <xdr:rowOff>66675</xdr:rowOff>
    </xdr:from>
    <xdr:to>
      <xdr:col>1</xdr:col>
      <xdr:colOff>781050</xdr:colOff>
      <xdr:row>231</xdr:row>
      <xdr:rowOff>600075</xdr:rowOff>
    </xdr:to>
    <xdr:pic>
      <xdr:nvPicPr>
        <xdr:cNvPr id="98614" name="Picture 11" descr="index"/>
        <xdr:cNvPicPr>
          <a:picLocks noChangeAspect="1" noChangeArrowheads="1"/>
        </xdr:cNvPicPr>
      </xdr:nvPicPr>
      <xdr:blipFill>
        <a:blip xmlns:r="http://schemas.openxmlformats.org/officeDocument/2006/relationships" r:embed="rId4" cstate="print"/>
        <a:srcRect/>
        <a:stretch>
          <a:fillRect/>
        </a:stretch>
      </xdr:blipFill>
      <xdr:spPr bwMode="auto">
        <a:xfrm>
          <a:off x="247650" y="48006000"/>
          <a:ext cx="781050" cy="533400"/>
        </a:xfrm>
        <a:prstGeom prst="rect">
          <a:avLst/>
        </a:prstGeom>
        <a:noFill/>
        <a:ln w="9525">
          <a:noFill/>
          <a:miter lim="800000"/>
          <a:headEnd/>
          <a:tailEnd/>
        </a:ln>
      </xdr:spPr>
    </xdr:pic>
    <xdr:clientData/>
  </xdr:twoCellAnchor>
  <xdr:twoCellAnchor editAs="oneCell">
    <xdr:from>
      <xdr:col>1</xdr:col>
      <xdr:colOff>790576</xdr:colOff>
      <xdr:row>231</xdr:row>
      <xdr:rowOff>66675</xdr:rowOff>
    </xdr:from>
    <xdr:to>
      <xdr:col>1</xdr:col>
      <xdr:colOff>1609726</xdr:colOff>
      <xdr:row>231</xdr:row>
      <xdr:rowOff>600075</xdr:rowOff>
    </xdr:to>
    <xdr:pic>
      <xdr:nvPicPr>
        <xdr:cNvPr id="98615" name="Picture 12" descr="index"/>
        <xdr:cNvPicPr>
          <a:picLocks noChangeAspect="1" noChangeArrowheads="1"/>
        </xdr:cNvPicPr>
      </xdr:nvPicPr>
      <xdr:blipFill>
        <a:blip xmlns:r="http://schemas.openxmlformats.org/officeDocument/2006/relationships" r:embed="rId5" cstate="print"/>
        <a:srcRect/>
        <a:stretch>
          <a:fillRect/>
        </a:stretch>
      </xdr:blipFill>
      <xdr:spPr bwMode="auto">
        <a:xfrm>
          <a:off x="1038226" y="48006000"/>
          <a:ext cx="819150" cy="533400"/>
        </a:xfrm>
        <a:prstGeom prst="rect">
          <a:avLst/>
        </a:prstGeom>
        <a:noFill/>
        <a:ln w="9525">
          <a:noFill/>
          <a:miter lim="800000"/>
          <a:headEnd/>
          <a:tailEnd/>
        </a:ln>
      </xdr:spPr>
    </xdr:pic>
    <xdr:clientData/>
  </xdr:twoCellAnchor>
  <xdr:twoCellAnchor editAs="oneCell">
    <xdr:from>
      <xdr:col>1</xdr:col>
      <xdr:colOff>800101</xdr:colOff>
      <xdr:row>213</xdr:row>
      <xdr:rowOff>0</xdr:rowOff>
    </xdr:from>
    <xdr:to>
      <xdr:col>1</xdr:col>
      <xdr:colOff>1600200</xdr:colOff>
      <xdr:row>214</xdr:row>
      <xdr:rowOff>76200</xdr:rowOff>
    </xdr:to>
    <xdr:pic>
      <xdr:nvPicPr>
        <xdr:cNvPr id="25" name="Picture 2" descr="index"/>
        <xdr:cNvPicPr>
          <a:picLocks noChangeAspect="1" noChangeArrowheads="1"/>
        </xdr:cNvPicPr>
      </xdr:nvPicPr>
      <xdr:blipFill>
        <a:blip xmlns:r="http://schemas.openxmlformats.org/officeDocument/2006/relationships" r:embed="rId6" cstate="print"/>
        <a:srcRect/>
        <a:stretch>
          <a:fillRect/>
        </a:stretch>
      </xdr:blipFill>
      <xdr:spPr bwMode="auto">
        <a:xfrm>
          <a:off x="1047751" y="43738800"/>
          <a:ext cx="800099" cy="571500"/>
        </a:xfrm>
        <a:prstGeom prst="rect">
          <a:avLst/>
        </a:prstGeom>
        <a:noFill/>
        <a:ln w="9525">
          <a:noFill/>
          <a:miter lim="800000"/>
          <a:headEnd/>
          <a:tailEnd/>
        </a:ln>
      </xdr:spPr>
    </xdr:pic>
    <xdr:clientData/>
  </xdr:twoCellAnchor>
  <xdr:twoCellAnchor editAs="oneCell">
    <xdr:from>
      <xdr:col>1</xdr:col>
      <xdr:colOff>0</xdr:colOff>
      <xdr:row>213</xdr:row>
      <xdr:rowOff>0</xdr:rowOff>
    </xdr:from>
    <xdr:to>
      <xdr:col>1</xdr:col>
      <xdr:colOff>790575</xdr:colOff>
      <xdr:row>214</xdr:row>
      <xdr:rowOff>75341</xdr:rowOff>
    </xdr:to>
    <xdr:pic>
      <xdr:nvPicPr>
        <xdr:cNvPr id="26" name="Picture 1" descr="index"/>
        <xdr:cNvPicPr>
          <a:picLocks noChangeAspect="1" noChangeArrowheads="1"/>
        </xdr:cNvPicPr>
      </xdr:nvPicPr>
      <xdr:blipFill>
        <a:blip xmlns:r="http://schemas.openxmlformats.org/officeDocument/2006/relationships" r:embed="rId7" cstate="print"/>
        <a:srcRect/>
        <a:stretch>
          <a:fillRect/>
        </a:stretch>
      </xdr:blipFill>
      <xdr:spPr bwMode="auto">
        <a:xfrm>
          <a:off x="247650" y="43738800"/>
          <a:ext cx="790575" cy="570641"/>
        </a:xfrm>
        <a:prstGeom prst="rect">
          <a:avLst/>
        </a:prstGeom>
        <a:noFill/>
        <a:ln w="9525">
          <a:noFill/>
          <a:miter lim="800000"/>
          <a:headEnd/>
          <a:tailEnd/>
        </a:ln>
      </xdr:spPr>
    </xdr:pic>
    <xdr:clientData/>
  </xdr:twoCellAnchor>
  <xdr:twoCellAnchor editAs="oneCell">
    <xdr:from>
      <xdr:col>1</xdr:col>
      <xdr:colOff>0</xdr:colOff>
      <xdr:row>215</xdr:row>
      <xdr:rowOff>0</xdr:rowOff>
    </xdr:from>
    <xdr:to>
      <xdr:col>1</xdr:col>
      <xdr:colOff>800101</xdr:colOff>
      <xdr:row>218</xdr:row>
      <xdr:rowOff>57805</xdr:rowOff>
    </xdr:to>
    <xdr:pic>
      <xdr:nvPicPr>
        <xdr:cNvPr id="27" name="Picture 3" descr="index"/>
        <xdr:cNvPicPr>
          <a:picLocks noChangeAspect="1" noChangeArrowheads="1"/>
        </xdr:cNvPicPr>
      </xdr:nvPicPr>
      <xdr:blipFill>
        <a:blip xmlns:r="http://schemas.openxmlformats.org/officeDocument/2006/relationships" r:embed="rId8" cstate="print"/>
        <a:srcRect/>
        <a:stretch>
          <a:fillRect/>
        </a:stretch>
      </xdr:blipFill>
      <xdr:spPr bwMode="auto">
        <a:xfrm>
          <a:off x="247650" y="44729400"/>
          <a:ext cx="800101" cy="543580"/>
        </a:xfrm>
        <a:prstGeom prst="rect">
          <a:avLst/>
        </a:prstGeom>
        <a:noFill/>
        <a:ln w="9525">
          <a:noFill/>
          <a:miter lim="800000"/>
          <a:headEnd/>
          <a:tailEnd/>
        </a:ln>
      </xdr:spPr>
    </xdr:pic>
    <xdr:clientData/>
  </xdr:twoCellAnchor>
  <xdr:twoCellAnchor editAs="oneCell">
    <xdr:from>
      <xdr:col>1</xdr:col>
      <xdr:colOff>0</xdr:colOff>
      <xdr:row>223</xdr:row>
      <xdr:rowOff>1</xdr:rowOff>
    </xdr:from>
    <xdr:to>
      <xdr:col>1</xdr:col>
      <xdr:colOff>777128</xdr:colOff>
      <xdr:row>225</xdr:row>
      <xdr:rowOff>57151</xdr:rowOff>
    </xdr:to>
    <xdr:pic>
      <xdr:nvPicPr>
        <xdr:cNvPr id="28" name="Picture 6" descr="index"/>
        <xdr:cNvPicPr>
          <a:picLocks noChangeAspect="1" noChangeArrowheads="1"/>
        </xdr:cNvPicPr>
      </xdr:nvPicPr>
      <xdr:blipFill>
        <a:blip xmlns:r="http://schemas.openxmlformats.org/officeDocument/2006/relationships" r:embed="rId9" cstate="print"/>
        <a:srcRect/>
        <a:stretch>
          <a:fillRect/>
        </a:stretch>
      </xdr:blipFill>
      <xdr:spPr bwMode="auto">
        <a:xfrm>
          <a:off x="247650" y="46320076"/>
          <a:ext cx="777128" cy="542925"/>
        </a:xfrm>
        <a:prstGeom prst="rect">
          <a:avLst/>
        </a:prstGeom>
        <a:noFill/>
        <a:ln w="9525">
          <a:noFill/>
          <a:miter lim="800000"/>
          <a:headEnd/>
          <a:tailEnd/>
        </a:ln>
      </xdr:spPr>
    </xdr:pic>
    <xdr:clientData/>
  </xdr:twoCellAnchor>
  <xdr:twoCellAnchor editAs="oneCell">
    <xdr:from>
      <xdr:col>1</xdr:col>
      <xdr:colOff>0</xdr:colOff>
      <xdr:row>225</xdr:row>
      <xdr:rowOff>66676</xdr:rowOff>
    </xdr:from>
    <xdr:to>
      <xdr:col>1</xdr:col>
      <xdr:colOff>777875</xdr:colOff>
      <xdr:row>227</xdr:row>
      <xdr:rowOff>104776</xdr:rowOff>
    </xdr:to>
    <xdr:pic>
      <xdr:nvPicPr>
        <xdr:cNvPr id="30" name="Picture 8" descr="index"/>
        <xdr:cNvPicPr>
          <a:picLocks noChangeAspect="1" noChangeArrowheads="1"/>
        </xdr:cNvPicPr>
      </xdr:nvPicPr>
      <xdr:blipFill>
        <a:blip xmlns:r="http://schemas.openxmlformats.org/officeDocument/2006/relationships" r:embed="rId10" cstate="print"/>
        <a:srcRect/>
        <a:stretch>
          <a:fillRect/>
        </a:stretch>
      </xdr:blipFill>
      <xdr:spPr bwMode="auto">
        <a:xfrm>
          <a:off x="247650" y="46872526"/>
          <a:ext cx="777875" cy="523875"/>
        </a:xfrm>
        <a:prstGeom prst="rect">
          <a:avLst/>
        </a:prstGeom>
        <a:noFill/>
        <a:ln w="9525">
          <a:noFill/>
          <a:miter lim="800000"/>
          <a:headEnd/>
          <a:tailEnd/>
        </a:ln>
      </xdr:spPr>
    </xdr:pic>
    <xdr:clientData/>
  </xdr:twoCellAnchor>
  <xdr:twoCellAnchor editAs="oneCell">
    <xdr:from>
      <xdr:col>1</xdr:col>
      <xdr:colOff>790574</xdr:colOff>
      <xdr:row>225</xdr:row>
      <xdr:rowOff>66676</xdr:rowOff>
    </xdr:from>
    <xdr:to>
      <xdr:col>1</xdr:col>
      <xdr:colOff>1609725</xdr:colOff>
      <xdr:row>227</xdr:row>
      <xdr:rowOff>104776</xdr:rowOff>
    </xdr:to>
    <xdr:pic>
      <xdr:nvPicPr>
        <xdr:cNvPr id="31" name="Picture 9" descr="index"/>
        <xdr:cNvPicPr>
          <a:picLocks noChangeAspect="1" noChangeArrowheads="1"/>
        </xdr:cNvPicPr>
      </xdr:nvPicPr>
      <xdr:blipFill>
        <a:blip xmlns:r="http://schemas.openxmlformats.org/officeDocument/2006/relationships" r:embed="rId11" cstate="print"/>
        <a:srcRect/>
        <a:stretch>
          <a:fillRect/>
        </a:stretch>
      </xdr:blipFill>
      <xdr:spPr bwMode="auto">
        <a:xfrm>
          <a:off x="1038224" y="46872526"/>
          <a:ext cx="819151" cy="523875"/>
        </a:xfrm>
        <a:prstGeom prst="rect">
          <a:avLst/>
        </a:prstGeom>
        <a:noFill/>
        <a:ln w="9525">
          <a:noFill/>
          <a:miter lim="800000"/>
          <a:headEnd/>
          <a:tailEnd/>
        </a:ln>
      </xdr:spPr>
    </xdr:pic>
    <xdr:clientData/>
  </xdr:twoCellAnchor>
  <xdr:twoCellAnchor editAs="oneCell">
    <xdr:from>
      <xdr:col>1</xdr:col>
      <xdr:colOff>0</xdr:colOff>
      <xdr:row>228</xdr:row>
      <xdr:rowOff>0</xdr:rowOff>
    </xdr:from>
    <xdr:to>
      <xdr:col>1</xdr:col>
      <xdr:colOff>777128</xdr:colOff>
      <xdr:row>231</xdr:row>
      <xdr:rowOff>57150</xdr:rowOff>
    </xdr:to>
    <xdr:pic>
      <xdr:nvPicPr>
        <xdr:cNvPr id="35" name="Picture 6" descr="index"/>
        <xdr:cNvPicPr>
          <a:picLocks noChangeAspect="1" noChangeArrowheads="1"/>
        </xdr:cNvPicPr>
      </xdr:nvPicPr>
      <xdr:blipFill>
        <a:blip xmlns:r="http://schemas.openxmlformats.org/officeDocument/2006/relationships" r:embed="rId9" cstate="print"/>
        <a:srcRect/>
        <a:stretch>
          <a:fillRect/>
        </a:stretch>
      </xdr:blipFill>
      <xdr:spPr bwMode="auto">
        <a:xfrm>
          <a:off x="247650" y="47386875"/>
          <a:ext cx="777128" cy="542925"/>
        </a:xfrm>
        <a:prstGeom prst="rect">
          <a:avLst/>
        </a:prstGeom>
        <a:noFill/>
        <a:ln w="9525">
          <a:noFill/>
          <a:miter lim="800000"/>
          <a:headEnd/>
          <a:tailEnd/>
        </a:ln>
      </xdr:spPr>
    </xdr:pic>
    <xdr:clientData/>
  </xdr:twoCellAnchor>
  <xdr:twoCellAnchor editAs="oneCell">
    <xdr:from>
      <xdr:col>1</xdr:col>
      <xdr:colOff>352426</xdr:colOff>
      <xdr:row>235</xdr:row>
      <xdr:rowOff>0</xdr:rowOff>
    </xdr:from>
    <xdr:to>
      <xdr:col>1</xdr:col>
      <xdr:colOff>1209676</xdr:colOff>
      <xdr:row>235</xdr:row>
      <xdr:rowOff>994672</xdr:rowOff>
    </xdr:to>
    <xdr:pic>
      <xdr:nvPicPr>
        <xdr:cNvPr id="36" name="Picture 13" descr="index"/>
        <xdr:cNvPicPr>
          <a:picLocks noChangeAspect="1" noChangeArrowheads="1"/>
        </xdr:cNvPicPr>
      </xdr:nvPicPr>
      <xdr:blipFill>
        <a:blip xmlns:r="http://schemas.openxmlformats.org/officeDocument/2006/relationships" r:embed="rId12" cstate="print"/>
        <a:srcRect/>
        <a:stretch>
          <a:fillRect/>
        </a:stretch>
      </xdr:blipFill>
      <xdr:spPr bwMode="auto">
        <a:xfrm>
          <a:off x="600076" y="49101375"/>
          <a:ext cx="857250" cy="994672"/>
        </a:xfrm>
        <a:prstGeom prst="rect">
          <a:avLst/>
        </a:prstGeom>
        <a:noFill/>
        <a:ln w="9525">
          <a:noFill/>
          <a:miter lim="800000"/>
          <a:headEnd/>
          <a:tailEnd/>
        </a:ln>
      </xdr:spPr>
    </xdr:pic>
    <xdr:clientData/>
  </xdr:twoCellAnchor>
  <xdr:twoCellAnchor editAs="oneCell">
    <xdr:from>
      <xdr:col>1</xdr:col>
      <xdr:colOff>352425</xdr:colOff>
      <xdr:row>240</xdr:row>
      <xdr:rowOff>1</xdr:rowOff>
    </xdr:from>
    <xdr:to>
      <xdr:col>1</xdr:col>
      <xdr:colOff>1212519</xdr:colOff>
      <xdr:row>240</xdr:row>
      <xdr:rowOff>514351</xdr:rowOff>
    </xdr:to>
    <xdr:pic>
      <xdr:nvPicPr>
        <xdr:cNvPr id="39" name="Picture 14" descr="index"/>
        <xdr:cNvPicPr>
          <a:picLocks noChangeAspect="1" noChangeArrowheads="1"/>
        </xdr:cNvPicPr>
      </xdr:nvPicPr>
      <xdr:blipFill>
        <a:blip xmlns:r="http://schemas.openxmlformats.org/officeDocument/2006/relationships" r:embed="rId13" cstate="print"/>
        <a:srcRect/>
        <a:stretch>
          <a:fillRect/>
        </a:stretch>
      </xdr:blipFill>
      <xdr:spPr bwMode="auto">
        <a:xfrm>
          <a:off x="600075" y="50758726"/>
          <a:ext cx="860094" cy="514350"/>
        </a:xfrm>
        <a:prstGeom prst="rect">
          <a:avLst/>
        </a:prstGeom>
        <a:noFill/>
        <a:ln w="9525">
          <a:noFill/>
          <a:miter lim="800000"/>
          <a:headEnd/>
          <a:tailEnd/>
        </a:ln>
      </xdr:spPr>
    </xdr:pic>
    <xdr:clientData/>
  </xdr:twoCellAnchor>
  <xdr:twoCellAnchor editAs="oneCell">
    <xdr:from>
      <xdr:col>1</xdr:col>
      <xdr:colOff>352425</xdr:colOff>
      <xdr:row>241</xdr:row>
      <xdr:rowOff>0</xdr:rowOff>
    </xdr:from>
    <xdr:to>
      <xdr:col>1</xdr:col>
      <xdr:colOff>1205835</xdr:colOff>
      <xdr:row>241</xdr:row>
      <xdr:rowOff>962025</xdr:rowOff>
    </xdr:to>
    <xdr:pic>
      <xdr:nvPicPr>
        <xdr:cNvPr id="41" name="Picture 15" descr="index"/>
        <xdr:cNvPicPr>
          <a:picLocks noChangeAspect="1" noChangeArrowheads="1"/>
        </xdr:cNvPicPr>
      </xdr:nvPicPr>
      <xdr:blipFill>
        <a:blip xmlns:r="http://schemas.openxmlformats.org/officeDocument/2006/relationships" r:embed="rId14" cstate="print"/>
        <a:srcRect/>
        <a:stretch>
          <a:fillRect/>
        </a:stretch>
      </xdr:blipFill>
      <xdr:spPr bwMode="auto">
        <a:xfrm>
          <a:off x="600075" y="51254025"/>
          <a:ext cx="853410" cy="962025"/>
        </a:xfrm>
        <a:prstGeom prst="rect">
          <a:avLst/>
        </a:prstGeom>
        <a:noFill/>
        <a:ln w="9525">
          <a:noFill/>
          <a:miter lim="800000"/>
          <a:headEnd/>
          <a:tailEnd/>
        </a:ln>
      </xdr:spPr>
    </xdr:pic>
    <xdr:clientData/>
  </xdr:twoCellAnchor>
  <xdr:twoCellAnchor editAs="oneCell">
    <xdr:from>
      <xdr:col>1</xdr:col>
      <xdr:colOff>0</xdr:colOff>
      <xdr:row>246</xdr:row>
      <xdr:rowOff>0</xdr:rowOff>
    </xdr:from>
    <xdr:to>
      <xdr:col>1</xdr:col>
      <xdr:colOff>790372</xdr:colOff>
      <xdr:row>247</xdr:row>
      <xdr:rowOff>171450</xdr:rowOff>
    </xdr:to>
    <xdr:pic>
      <xdr:nvPicPr>
        <xdr:cNvPr id="42" name="Picture 16" descr="index"/>
        <xdr:cNvPicPr>
          <a:picLocks noChangeAspect="1" noChangeArrowheads="1"/>
        </xdr:cNvPicPr>
      </xdr:nvPicPr>
      <xdr:blipFill>
        <a:blip xmlns:r="http://schemas.openxmlformats.org/officeDocument/2006/relationships" r:embed="rId15" cstate="print"/>
        <a:srcRect/>
        <a:stretch>
          <a:fillRect/>
        </a:stretch>
      </xdr:blipFill>
      <xdr:spPr bwMode="auto">
        <a:xfrm>
          <a:off x="247650" y="52787550"/>
          <a:ext cx="790372" cy="495300"/>
        </a:xfrm>
        <a:prstGeom prst="rect">
          <a:avLst/>
        </a:prstGeom>
        <a:noFill/>
        <a:ln w="9525">
          <a:noFill/>
          <a:miter lim="800000"/>
          <a:headEnd/>
          <a:tailEnd/>
        </a:ln>
      </xdr:spPr>
    </xdr:pic>
    <xdr:clientData/>
  </xdr:twoCellAnchor>
  <xdr:twoCellAnchor editAs="oneCell">
    <xdr:from>
      <xdr:col>1</xdr:col>
      <xdr:colOff>800099</xdr:colOff>
      <xdr:row>246</xdr:row>
      <xdr:rowOff>0</xdr:rowOff>
    </xdr:from>
    <xdr:to>
      <xdr:col>1</xdr:col>
      <xdr:colOff>1609724</xdr:colOff>
      <xdr:row>247</xdr:row>
      <xdr:rowOff>171450</xdr:rowOff>
    </xdr:to>
    <xdr:pic>
      <xdr:nvPicPr>
        <xdr:cNvPr id="43" name="Picture 17" descr="index"/>
        <xdr:cNvPicPr>
          <a:picLocks noChangeAspect="1" noChangeArrowheads="1"/>
        </xdr:cNvPicPr>
      </xdr:nvPicPr>
      <xdr:blipFill>
        <a:blip xmlns:r="http://schemas.openxmlformats.org/officeDocument/2006/relationships" r:embed="rId16" cstate="print"/>
        <a:srcRect/>
        <a:stretch>
          <a:fillRect/>
        </a:stretch>
      </xdr:blipFill>
      <xdr:spPr bwMode="auto">
        <a:xfrm>
          <a:off x="1047749" y="52787550"/>
          <a:ext cx="809625" cy="495300"/>
        </a:xfrm>
        <a:prstGeom prst="rect">
          <a:avLst/>
        </a:prstGeom>
        <a:noFill/>
        <a:ln w="9525">
          <a:noFill/>
          <a:miter lim="800000"/>
          <a:headEnd/>
          <a:tailEnd/>
        </a:ln>
      </xdr:spPr>
    </xdr:pic>
    <xdr:clientData/>
  </xdr:twoCellAnchor>
  <xdr:twoCellAnchor editAs="oneCell">
    <xdr:from>
      <xdr:col>1</xdr:col>
      <xdr:colOff>800101</xdr:colOff>
      <xdr:row>249</xdr:row>
      <xdr:rowOff>0</xdr:rowOff>
    </xdr:from>
    <xdr:to>
      <xdr:col>1</xdr:col>
      <xdr:colOff>1613362</xdr:colOff>
      <xdr:row>252</xdr:row>
      <xdr:rowOff>28574</xdr:rowOff>
    </xdr:to>
    <xdr:pic>
      <xdr:nvPicPr>
        <xdr:cNvPr id="45" name="Picture 19" descr="index"/>
        <xdr:cNvPicPr>
          <a:picLocks noChangeAspect="1" noChangeArrowheads="1"/>
        </xdr:cNvPicPr>
      </xdr:nvPicPr>
      <xdr:blipFill>
        <a:blip xmlns:r="http://schemas.openxmlformats.org/officeDocument/2006/relationships" r:embed="rId17" cstate="print"/>
        <a:srcRect/>
        <a:stretch>
          <a:fillRect/>
        </a:stretch>
      </xdr:blipFill>
      <xdr:spPr bwMode="auto">
        <a:xfrm>
          <a:off x="1047751" y="53435250"/>
          <a:ext cx="813261" cy="514349"/>
        </a:xfrm>
        <a:prstGeom prst="rect">
          <a:avLst/>
        </a:prstGeom>
        <a:noFill/>
        <a:ln w="9525">
          <a:noFill/>
          <a:miter lim="800000"/>
          <a:headEnd/>
          <a:tailEnd/>
        </a:ln>
      </xdr:spPr>
    </xdr:pic>
    <xdr:clientData/>
  </xdr:twoCellAnchor>
  <xdr:twoCellAnchor editAs="oneCell">
    <xdr:from>
      <xdr:col>1</xdr:col>
      <xdr:colOff>2</xdr:colOff>
      <xdr:row>252</xdr:row>
      <xdr:rowOff>38100</xdr:rowOff>
    </xdr:from>
    <xdr:to>
      <xdr:col>1</xdr:col>
      <xdr:colOff>792720</xdr:colOff>
      <xdr:row>253</xdr:row>
      <xdr:rowOff>304799</xdr:rowOff>
    </xdr:to>
    <xdr:pic>
      <xdr:nvPicPr>
        <xdr:cNvPr id="46" name="Picture 20" descr="index"/>
        <xdr:cNvPicPr>
          <a:picLocks noChangeAspect="1" noChangeArrowheads="1"/>
        </xdr:cNvPicPr>
      </xdr:nvPicPr>
      <xdr:blipFill>
        <a:blip xmlns:r="http://schemas.openxmlformats.org/officeDocument/2006/relationships" r:embed="rId18" cstate="print"/>
        <a:srcRect/>
        <a:stretch>
          <a:fillRect/>
        </a:stretch>
      </xdr:blipFill>
      <xdr:spPr bwMode="auto">
        <a:xfrm>
          <a:off x="247652" y="53959125"/>
          <a:ext cx="792718" cy="590549"/>
        </a:xfrm>
        <a:prstGeom prst="rect">
          <a:avLst/>
        </a:prstGeom>
        <a:noFill/>
        <a:ln w="9525">
          <a:noFill/>
          <a:miter lim="800000"/>
          <a:headEnd/>
          <a:tailEnd/>
        </a:ln>
      </xdr:spPr>
    </xdr:pic>
    <xdr:clientData/>
  </xdr:twoCellAnchor>
  <xdr:twoCellAnchor editAs="oneCell">
    <xdr:from>
      <xdr:col>1</xdr:col>
      <xdr:colOff>800101</xdr:colOff>
      <xdr:row>252</xdr:row>
      <xdr:rowOff>38100</xdr:rowOff>
    </xdr:from>
    <xdr:to>
      <xdr:col>1</xdr:col>
      <xdr:colOff>1609726</xdr:colOff>
      <xdr:row>253</xdr:row>
      <xdr:rowOff>304800</xdr:rowOff>
    </xdr:to>
    <xdr:pic>
      <xdr:nvPicPr>
        <xdr:cNvPr id="47" name="Picture 21" descr="index"/>
        <xdr:cNvPicPr>
          <a:picLocks noChangeAspect="1" noChangeArrowheads="1"/>
        </xdr:cNvPicPr>
      </xdr:nvPicPr>
      <xdr:blipFill>
        <a:blip xmlns:r="http://schemas.openxmlformats.org/officeDocument/2006/relationships" r:embed="rId19" cstate="print"/>
        <a:srcRect/>
        <a:stretch>
          <a:fillRect/>
        </a:stretch>
      </xdr:blipFill>
      <xdr:spPr bwMode="auto">
        <a:xfrm>
          <a:off x="1047751" y="53959125"/>
          <a:ext cx="809625" cy="590550"/>
        </a:xfrm>
        <a:prstGeom prst="rect">
          <a:avLst/>
        </a:prstGeom>
        <a:noFill/>
        <a:ln w="9525">
          <a:noFill/>
          <a:miter lim="800000"/>
          <a:headEnd/>
          <a:tailEnd/>
        </a:ln>
      </xdr:spPr>
    </xdr:pic>
    <xdr:clientData/>
  </xdr:twoCellAnchor>
  <xdr:twoCellAnchor editAs="oneCell">
    <xdr:from>
      <xdr:col>1</xdr:col>
      <xdr:colOff>0</xdr:colOff>
      <xdr:row>249</xdr:row>
      <xdr:rowOff>0</xdr:rowOff>
    </xdr:from>
    <xdr:to>
      <xdr:col>1</xdr:col>
      <xdr:colOff>790575</xdr:colOff>
      <xdr:row>252</xdr:row>
      <xdr:rowOff>28574</xdr:rowOff>
    </xdr:to>
    <xdr:pic>
      <xdr:nvPicPr>
        <xdr:cNvPr id="48" name="Picture 18" descr="index"/>
        <xdr:cNvPicPr>
          <a:picLocks noChangeAspect="1" noChangeArrowheads="1"/>
        </xdr:cNvPicPr>
      </xdr:nvPicPr>
      <xdr:blipFill>
        <a:blip xmlns:r="http://schemas.openxmlformats.org/officeDocument/2006/relationships" r:embed="rId20" cstate="print"/>
        <a:srcRect/>
        <a:stretch>
          <a:fillRect/>
        </a:stretch>
      </xdr:blipFill>
      <xdr:spPr bwMode="auto">
        <a:xfrm>
          <a:off x="247650" y="53435250"/>
          <a:ext cx="790575" cy="514349"/>
        </a:xfrm>
        <a:prstGeom prst="rect">
          <a:avLst/>
        </a:prstGeom>
        <a:noFill/>
        <a:ln w="9525">
          <a:noFill/>
          <a:miter lim="800000"/>
          <a:headEnd/>
          <a:tailEnd/>
        </a:ln>
      </xdr:spPr>
    </xdr:pic>
    <xdr:clientData/>
  </xdr:twoCellAnchor>
  <xdr:twoCellAnchor editAs="oneCell">
    <xdr:from>
      <xdr:col>1</xdr:col>
      <xdr:colOff>781050</xdr:colOff>
      <xdr:row>222</xdr:row>
      <xdr:rowOff>152400</xdr:rowOff>
    </xdr:from>
    <xdr:to>
      <xdr:col>1</xdr:col>
      <xdr:colOff>1619250</xdr:colOff>
      <xdr:row>225</xdr:row>
      <xdr:rowOff>66675</xdr:rowOff>
    </xdr:to>
    <xdr:pic>
      <xdr:nvPicPr>
        <xdr:cNvPr id="32"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028700" y="46482000"/>
          <a:ext cx="838200" cy="561975"/>
        </a:xfrm>
        <a:prstGeom prst="rect">
          <a:avLst/>
        </a:prstGeom>
        <a:noFill/>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xdr:col>
      <xdr:colOff>9525</xdr:colOff>
      <xdr:row>8</xdr:row>
      <xdr:rowOff>9525</xdr:rowOff>
    </xdr:from>
    <xdr:to>
      <xdr:col>35</xdr:col>
      <xdr:colOff>238125</xdr:colOff>
      <xdr:row>27</xdr:row>
      <xdr:rowOff>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57175" y="1323975"/>
          <a:ext cx="8886825" cy="3067050"/>
        </a:xfrm>
        <a:prstGeom prst="rect">
          <a:avLst/>
        </a:prstGeom>
        <a:noFill/>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3</xdr:col>
      <xdr:colOff>600279</xdr:colOff>
      <xdr:row>33</xdr:row>
      <xdr:rowOff>47626</xdr:rowOff>
    </xdr:to>
    <xdr:pic>
      <xdr:nvPicPr>
        <xdr:cNvPr id="1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47650" y="5657850"/>
          <a:ext cx="2686254" cy="2152651"/>
        </a:xfrm>
        <a:prstGeom prst="rect">
          <a:avLst/>
        </a:prstGeom>
        <a:noFill/>
      </xdr:spPr>
    </xdr:pic>
    <xdr:clientData/>
  </xdr:twoCellAnchor>
  <xdr:twoCellAnchor editAs="oneCell">
    <xdr:from>
      <xdr:col>1</xdr:col>
      <xdr:colOff>0</xdr:colOff>
      <xdr:row>33</xdr:row>
      <xdr:rowOff>85725</xdr:rowOff>
    </xdr:from>
    <xdr:to>
      <xdr:col>3</xdr:col>
      <xdr:colOff>600075</xdr:colOff>
      <xdr:row>47</xdr:row>
      <xdr:rowOff>9525</xdr:rowOff>
    </xdr:to>
    <xdr:pic>
      <xdr:nvPicPr>
        <xdr:cNvPr id="14"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47650" y="7848600"/>
          <a:ext cx="2686050" cy="2085975"/>
        </a:xfrm>
        <a:prstGeom prst="rect">
          <a:avLst/>
        </a:prstGeom>
        <a:noFill/>
      </xdr:spPr>
    </xdr:pic>
    <xdr:clientData/>
  </xdr:twoCellAnchor>
  <xdr:twoCellAnchor editAs="oneCell">
    <xdr:from>
      <xdr:col>1</xdr:col>
      <xdr:colOff>0</xdr:colOff>
      <xdr:row>47</xdr:row>
      <xdr:rowOff>66675</xdr:rowOff>
    </xdr:from>
    <xdr:to>
      <xdr:col>3</xdr:col>
      <xdr:colOff>592641</xdr:colOff>
      <xdr:row>59</xdr:row>
      <xdr:rowOff>123825</xdr:rowOff>
    </xdr:to>
    <xdr:pic>
      <xdr:nvPicPr>
        <xdr:cNvPr id="15"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247650" y="9991725"/>
          <a:ext cx="2678616" cy="2000250"/>
        </a:xfrm>
        <a:prstGeom prst="rect">
          <a:avLst/>
        </a:prstGeom>
        <a:noFill/>
      </xdr:spPr>
    </xdr:pic>
    <xdr:clientData/>
  </xdr:twoCellAnchor>
  <xdr:twoCellAnchor editAs="oneCell">
    <xdr:from>
      <xdr:col>1</xdr:col>
      <xdr:colOff>0</xdr:colOff>
      <xdr:row>60</xdr:row>
      <xdr:rowOff>9525</xdr:rowOff>
    </xdr:from>
    <xdr:to>
      <xdr:col>3</xdr:col>
      <xdr:colOff>590550</xdr:colOff>
      <xdr:row>72</xdr:row>
      <xdr:rowOff>152400</xdr:rowOff>
    </xdr:to>
    <xdr:pic>
      <xdr:nvPicPr>
        <xdr:cNvPr id="16"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247650" y="12039600"/>
          <a:ext cx="2676525" cy="2085975"/>
        </a:xfrm>
        <a:prstGeom prst="rect">
          <a:avLst/>
        </a:prstGeom>
        <a:noFill/>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600075</xdr:colOff>
      <xdr:row>15</xdr:row>
      <xdr:rowOff>104775</xdr:rowOff>
    </xdr:from>
    <xdr:to>
      <xdr:col>2</xdr:col>
      <xdr:colOff>266772</xdr:colOff>
      <xdr:row>17</xdr:row>
      <xdr:rowOff>85768</xdr:rowOff>
    </xdr:to>
    <xdr:pic>
      <xdr:nvPicPr>
        <xdr:cNvPr id="3" name="Рисунок 2" descr="Группировка 1.png"/>
        <xdr:cNvPicPr>
          <a:picLocks noChangeAspect="1"/>
        </xdr:cNvPicPr>
      </xdr:nvPicPr>
      <xdr:blipFill>
        <a:blip xmlns:r="http://schemas.openxmlformats.org/officeDocument/2006/relationships" r:embed="rId1" cstate="print"/>
        <a:stretch>
          <a:fillRect/>
        </a:stretch>
      </xdr:blipFill>
      <xdr:spPr>
        <a:xfrm>
          <a:off x="847725" y="2419350"/>
          <a:ext cx="514422" cy="304843"/>
        </a:xfrm>
        <a:prstGeom prst="rect">
          <a:avLst/>
        </a:prstGeom>
      </xdr:spPr>
    </xdr:pic>
    <xdr:clientData/>
  </xdr:twoCellAnchor>
  <xdr:twoCellAnchor editAs="oneCell">
    <xdr:from>
      <xdr:col>1</xdr:col>
      <xdr:colOff>597675</xdr:colOff>
      <xdr:row>22</xdr:row>
      <xdr:rowOff>111900</xdr:rowOff>
    </xdr:from>
    <xdr:to>
      <xdr:col>2</xdr:col>
      <xdr:colOff>264372</xdr:colOff>
      <xdr:row>24</xdr:row>
      <xdr:rowOff>92893</xdr:rowOff>
    </xdr:to>
    <xdr:pic>
      <xdr:nvPicPr>
        <xdr:cNvPr id="4" name="Рисунок 3" descr="Группировка 2.png"/>
        <xdr:cNvPicPr>
          <a:picLocks noChangeAspect="1"/>
        </xdr:cNvPicPr>
      </xdr:nvPicPr>
      <xdr:blipFill>
        <a:blip xmlns:r="http://schemas.openxmlformats.org/officeDocument/2006/relationships" r:embed="rId2" cstate="print"/>
        <a:stretch>
          <a:fillRect/>
        </a:stretch>
      </xdr:blipFill>
      <xdr:spPr>
        <a:xfrm>
          <a:off x="845325" y="3559950"/>
          <a:ext cx="514422" cy="304843"/>
        </a:xfrm>
        <a:prstGeom prst="rect">
          <a:avLst/>
        </a:prstGeom>
      </xdr:spPr>
    </xdr:pic>
    <xdr:clientData/>
  </xdr:twoCellAnchor>
  <xdr:twoCellAnchor editAs="oneCell">
    <xdr:from>
      <xdr:col>8</xdr:col>
      <xdr:colOff>8238</xdr:colOff>
      <xdr:row>16</xdr:row>
      <xdr:rowOff>114300</xdr:rowOff>
    </xdr:from>
    <xdr:to>
      <xdr:col>10</xdr:col>
      <xdr:colOff>838200</xdr:colOff>
      <xdr:row>27</xdr:row>
      <xdr:rowOff>47625</xdr:rowOff>
    </xdr:to>
    <xdr:pic>
      <xdr:nvPicPr>
        <xdr:cNvPr id="100354"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6189963" y="2552700"/>
          <a:ext cx="2525412" cy="1714500"/>
        </a:xfrm>
        <a:prstGeom prst="rect">
          <a:avLst/>
        </a:prstGeom>
        <a:noFill/>
      </xdr:spPr>
    </xdr:pic>
    <xdr:clientData/>
  </xdr:twoCellAnchor>
  <xdr:twoCellAnchor editAs="oneCell">
    <xdr:from>
      <xdr:col>8</xdr:col>
      <xdr:colOff>9525</xdr:colOff>
      <xdr:row>55</xdr:row>
      <xdr:rowOff>9524</xdr:rowOff>
    </xdr:from>
    <xdr:to>
      <xdr:col>11</xdr:col>
      <xdr:colOff>0</xdr:colOff>
      <xdr:row>58</xdr:row>
      <xdr:rowOff>91317</xdr:rowOff>
    </xdr:to>
    <xdr:pic>
      <xdr:nvPicPr>
        <xdr:cNvPr id="12"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6191250" y="6629399"/>
          <a:ext cx="2533650" cy="1720093"/>
        </a:xfrm>
        <a:prstGeom prst="rect">
          <a:avLst/>
        </a:prstGeom>
        <a:noFill/>
      </xdr:spPr>
    </xdr:pic>
    <xdr:clientData/>
  </xdr:twoCellAnchor>
  <xdr:twoCellAnchor editAs="oneCell">
    <xdr:from>
      <xdr:col>8</xdr:col>
      <xdr:colOff>0</xdr:colOff>
      <xdr:row>45</xdr:row>
      <xdr:rowOff>0</xdr:rowOff>
    </xdr:from>
    <xdr:to>
      <xdr:col>11</xdr:col>
      <xdr:colOff>6349</xdr:colOff>
      <xdr:row>50</xdr:row>
      <xdr:rowOff>85725</xdr:rowOff>
    </xdr:to>
    <xdr:pic>
      <xdr:nvPicPr>
        <xdr:cNvPr id="8"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6181725" y="6705600"/>
          <a:ext cx="2543174" cy="1724025"/>
        </a:xfrm>
        <a:prstGeom prst="rect">
          <a:avLst/>
        </a:prstGeom>
        <a:noFill/>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8</xdr:col>
      <xdr:colOff>0</xdr:colOff>
      <xdr:row>74</xdr:row>
      <xdr:rowOff>85724</xdr:rowOff>
    </xdr:from>
    <xdr:to>
      <xdr:col>11</xdr:col>
      <xdr:colOff>771525</xdr:colOff>
      <xdr:row>78</xdr:row>
      <xdr:rowOff>148347</xdr:rowOff>
    </xdr:to>
    <xdr:pic>
      <xdr:nvPicPr>
        <xdr:cNvPr id="2" name="Рисунок 1" descr="Штраф.png"/>
        <xdr:cNvPicPr>
          <a:picLocks noChangeAspect="1"/>
        </xdr:cNvPicPr>
      </xdr:nvPicPr>
      <xdr:blipFill>
        <a:blip xmlns:r="http://schemas.openxmlformats.org/officeDocument/2006/relationships" r:embed="rId1" cstate="print"/>
        <a:stretch>
          <a:fillRect/>
        </a:stretch>
      </xdr:blipFill>
      <xdr:spPr>
        <a:xfrm>
          <a:off x="4686300" y="4819649"/>
          <a:ext cx="2914650" cy="1043698"/>
        </a:xfrm>
        <a:prstGeom prst="rect">
          <a:avLst/>
        </a:prstGeom>
      </xdr:spPr>
    </xdr:pic>
    <xdr:clientData/>
  </xdr:twoCellAnchor>
  <xdr:twoCellAnchor editAs="oneCell">
    <xdr:from>
      <xdr:col>1</xdr:col>
      <xdr:colOff>0</xdr:colOff>
      <xdr:row>8</xdr:row>
      <xdr:rowOff>0</xdr:rowOff>
    </xdr:from>
    <xdr:to>
      <xdr:col>2</xdr:col>
      <xdr:colOff>9525</xdr:colOff>
      <xdr:row>10</xdr:row>
      <xdr:rowOff>114300</xdr:rowOff>
    </xdr:to>
    <xdr:pic>
      <xdr:nvPicPr>
        <xdr:cNvPr id="92163" name="Picture 3" descr="http://h3.heroes.net.pl/uploaded/difs/easy.png"/>
        <xdr:cNvPicPr>
          <a:picLocks noChangeAspect="1" noChangeArrowheads="1"/>
        </xdr:cNvPicPr>
      </xdr:nvPicPr>
      <xdr:blipFill>
        <a:blip xmlns:r="http://schemas.openxmlformats.org/officeDocument/2006/relationships" r:embed="rId2" cstate="print"/>
        <a:srcRect/>
        <a:stretch>
          <a:fillRect/>
        </a:stretch>
      </xdr:blipFill>
      <xdr:spPr bwMode="auto">
        <a:xfrm>
          <a:off x="247650" y="1800225"/>
          <a:ext cx="285750" cy="438150"/>
        </a:xfrm>
        <a:prstGeom prst="rect">
          <a:avLst/>
        </a:prstGeom>
        <a:noFill/>
      </xdr:spPr>
    </xdr:pic>
    <xdr:clientData/>
  </xdr:twoCellAnchor>
  <xdr:twoCellAnchor editAs="oneCell">
    <xdr:from>
      <xdr:col>1</xdr:col>
      <xdr:colOff>0</xdr:colOff>
      <xdr:row>21</xdr:row>
      <xdr:rowOff>0</xdr:rowOff>
    </xdr:from>
    <xdr:to>
      <xdr:col>2</xdr:col>
      <xdr:colOff>9525</xdr:colOff>
      <xdr:row>23</xdr:row>
      <xdr:rowOff>114300</xdr:rowOff>
    </xdr:to>
    <xdr:pic>
      <xdr:nvPicPr>
        <xdr:cNvPr id="92164" name="Picture 4" descr="http://h3.heroes.net.pl/uploaded/difs/normal.png"/>
        <xdr:cNvPicPr>
          <a:picLocks noChangeAspect="1" noChangeArrowheads="1"/>
        </xdr:cNvPicPr>
      </xdr:nvPicPr>
      <xdr:blipFill>
        <a:blip xmlns:r="http://schemas.openxmlformats.org/officeDocument/2006/relationships" r:embed="rId3" cstate="print"/>
        <a:srcRect/>
        <a:stretch>
          <a:fillRect/>
        </a:stretch>
      </xdr:blipFill>
      <xdr:spPr bwMode="auto">
        <a:xfrm>
          <a:off x="247650" y="3638550"/>
          <a:ext cx="285750" cy="438150"/>
        </a:xfrm>
        <a:prstGeom prst="rect">
          <a:avLst/>
        </a:prstGeom>
        <a:noFill/>
      </xdr:spPr>
    </xdr:pic>
    <xdr:clientData/>
  </xdr:twoCellAnchor>
  <xdr:twoCellAnchor editAs="oneCell">
    <xdr:from>
      <xdr:col>1</xdr:col>
      <xdr:colOff>0</xdr:colOff>
      <xdr:row>32</xdr:row>
      <xdr:rowOff>0</xdr:rowOff>
    </xdr:from>
    <xdr:to>
      <xdr:col>2</xdr:col>
      <xdr:colOff>9525</xdr:colOff>
      <xdr:row>34</xdr:row>
      <xdr:rowOff>114300</xdr:rowOff>
    </xdr:to>
    <xdr:pic>
      <xdr:nvPicPr>
        <xdr:cNvPr id="92165" name="Picture 5" descr="http://h3.heroes.net.pl/uploaded/difs/hard.png"/>
        <xdr:cNvPicPr>
          <a:picLocks noChangeAspect="1" noChangeArrowheads="1"/>
        </xdr:cNvPicPr>
      </xdr:nvPicPr>
      <xdr:blipFill>
        <a:blip xmlns:r="http://schemas.openxmlformats.org/officeDocument/2006/relationships" r:embed="rId4" cstate="print"/>
        <a:srcRect/>
        <a:stretch>
          <a:fillRect/>
        </a:stretch>
      </xdr:blipFill>
      <xdr:spPr bwMode="auto">
        <a:xfrm>
          <a:off x="247650" y="5476875"/>
          <a:ext cx="285750" cy="438150"/>
        </a:xfrm>
        <a:prstGeom prst="rect">
          <a:avLst/>
        </a:prstGeom>
        <a:noFill/>
      </xdr:spPr>
    </xdr:pic>
    <xdr:clientData/>
  </xdr:twoCellAnchor>
  <xdr:twoCellAnchor editAs="oneCell">
    <xdr:from>
      <xdr:col>1</xdr:col>
      <xdr:colOff>0</xdr:colOff>
      <xdr:row>42</xdr:row>
      <xdr:rowOff>0</xdr:rowOff>
    </xdr:from>
    <xdr:to>
      <xdr:col>2</xdr:col>
      <xdr:colOff>9525</xdr:colOff>
      <xdr:row>44</xdr:row>
      <xdr:rowOff>114300</xdr:rowOff>
    </xdr:to>
    <xdr:pic>
      <xdr:nvPicPr>
        <xdr:cNvPr id="92166" name="Picture 6" descr="http://h3.heroes.net.pl/uploaded/difs/veryhard.png"/>
        <xdr:cNvPicPr>
          <a:picLocks noChangeAspect="1" noChangeArrowheads="1"/>
        </xdr:cNvPicPr>
      </xdr:nvPicPr>
      <xdr:blipFill>
        <a:blip xmlns:r="http://schemas.openxmlformats.org/officeDocument/2006/relationships" r:embed="rId5" cstate="print"/>
        <a:srcRect/>
        <a:stretch>
          <a:fillRect/>
        </a:stretch>
      </xdr:blipFill>
      <xdr:spPr bwMode="auto">
        <a:xfrm>
          <a:off x="247650" y="7153275"/>
          <a:ext cx="285750" cy="438150"/>
        </a:xfrm>
        <a:prstGeom prst="rect">
          <a:avLst/>
        </a:prstGeom>
        <a:noFill/>
      </xdr:spPr>
    </xdr:pic>
    <xdr:clientData/>
  </xdr:twoCellAnchor>
  <xdr:twoCellAnchor editAs="oneCell">
    <xdr:from>
      <xdr:col>1</xdr:col>
      <xdr:colOff>0</xdr:colOff>
      <xdr:row>48</xdr:row>
      <xdr:rowOff>0</xdr:rowOff>
    </xdr:from>
    <xdr:to>
      <xdr:col>2</xdr:col>
      <xdr:colOff>9525</xdr:colOff>
      <xdr:row>50</xdr:row>
      <xdr:rowOff>114300</xdr:rowOff>
    </xdr:to>
    <xdr:pic>
      <xdr:nvPicPr>
        <xdr:cNvPr id="92167" name="Picture 7" descr="http://h3.heroes.net.pl/uploaded/difs/imposibiru.png"/>
        <xdr:cNvPicPr>
          <a:picLocks noChangeAspect="1" noChangeArrowheads="1"/>
        </xdr:cNvPicPr>
      </xdr:nvPicPr>
      <xdr:blipFill>
        <a:blip xmlns:r="http://schemas.openxmlformats.org/officeDocument/2006/relationships" r:embed="rId6" cstate="print"/>
        <a:srcRect/>
        <a:stretch>
          <a:fillRect/>
        </a:stretch>
      </xdr:blipFill>
      <xdr:spPr bwMode="auto">
        <a:xfrm>
          <a:off x="247650" y="8020050"/>
          <a:ext cx="285750" cy="438150"/>
        </a:xfrm>
        <a:prstGeom prst="rect">
          <a:avLst/>
        </a:prstGeom>
        <a:noFill/>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95250</xdr:colOff>
      <xdr:row>5</xdr:row>
      <xdr:rowOff>9525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95250</xdr:colOff>
      <xdr:row>5</xdr:row>
      <xdr:rowOff>9525</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95250</xdr:colOff>
      <xdr:row>5</xdr:row>
      <xdr:rowOff>9525</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95250</xdr:colOff>
      <xdr:row>5</xdr:row>
      <xdr:rowOff>9525</xdr:rowOff>
    </xdr:to>
    <xdr:pic>
      <xdr:nvPicPr>
        <xdr:cNvPr id="5"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xdr:col>
      <xdr:colOff>95250</xdr:colOff>
      <xdr:row>5</xdr:row>
      <xdr:rowOff>9525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95250</xdr:colOff>
      <xdr:row>5</xdr:row>
      <xdr:rowOff>9525</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95250</xdr:colOff>
      <xdr:row>5</xdr:row>
      <xdr:rowOff>9525</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95250</xdr:colOff>
      <xdr:row>5</xdr:row>
      <xdr:rowOff>9525</xdr:rowOff>
    </xdr:to>
    <xdr:pic>
      <xdr:nvPicPr>
        <xdr:cNvPr id="5"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47650" y="600075"/>
          <a:ext cx="95250" cy="9525"/>
        </a:xfrm>
        <a:prstGeom prst="rect">
          <a:avLst/>
        </a:prstGeom>
        <a:noFill/>
        <a:ln w="9525">
          <a:noFill/>
          <a:miter lim="800000"/>
          <a:headEnd/>
          <a:tailEnd/>
        </a:ln>
      </xdr:spPr>
    </xdr:pic>
    <xdr:clientData/>
  </xdr:twoCellAnchor>
  <xdr:twoCellAnchor editAs="oneCell">
    <xdr:from>
      <xdr:col>1</xdr:col>
      <xdr:colOff>9525</xdr:colOff>
      <xdr:row>5</xdr:row>
      <xdr:rowOff>9525</xdr:rowOff>
    </xdr:from>
    <xdr:to>
      <xdr:col>1</xdr:col>
      <xdr:colOff>762000</xdr:colOff>
      <xdr:row>6</xdr:row>
      <xdr:rowOff>0</xdr:rowOff>
    </xdr:to>
    <xdr:pic>
      <xdr:nvPicPr>
        <xdr:cNvPr id="6" name="Рисунок 5" descr="Склеп.gif"/>
        <xdr:cNvPicPr>
          <a:picLocks noChangeAspect="1"/>
        </xdr:cNvPicPr>
      </xdr:nvPicPr>
      <xdr:blipFill>
        <a:blip xmlns:r="http://schemas.openxmlformats.org/officeDocument/2006/relationships" r:embed="rId2" cstate="print"/>
        <a:stretch>
          <a:fillRect/>
        </a:stretch>
      </xdr:blipFill>
      <xdr:spPr>
        <a:xfrm>
          <a:off x="257175" y="609600"/>
          <a:ext cx="752475" cy="571500"/>
        </a:xfrm>
        <a:prstGeom prst="rect">
          <a:avLst/>
        </a:prstGeom>
      </xdr:spPr>
    </xdr:pic>
    <xdr:clientData/>
  </xdr:twoCellAnchor>
  <xdr:twoCellAnchor editAs="oneCell">
    <xdr:from>
      <xdr:col>3</xdr:col>
      <xdr:colOff>9525</xdr:colOff>
      <xdr:row>11</xdr:row>
      <xdr:rowOff>9525</xdr:rowOff>
    </xdr:from>
    <xdr:to>
      <xdr:col>4</xdr:col>
      <xdr:colOff>0</xdr:colOff>
      <xdr:row>15</xdr:row>
      <xdr:rowOff>19050</xdr:rowOff>
    </xdr:to>
    <xdr:pic>
      <xdr:nvPicPr>
        <xdr:cNvPr id="12"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038225" y="2924175"/>
          <a:ext cx="3905250" cy="664476"/>
        </a:xfrm>
        <a:prstGeom prst="rect">
          <a:avLst/>
        </a:prstGeom>
        <a:noFill/>
      </xdr:spPr>
    </xdr:pic>
    <xdr:clientData/>
  </xdr:twoCellAnchor>
  <xdr:twoCellAnchor editAs="oneCell">
    <xdr:from>
      <xdr:col>2</xdr:col>
      <xdr:colOff>19051</xdr:colOff>
      <xdr:row>16</xdr:row>
      <xdr:rowOff>9525</xdr:rowOff>
    </xdr:from>
    <xdr:to>
      <xdr:col>3</xdr:col>
      <xdr:colOff>0</xdr:colOff>
      <xdr:row>32</xdr:row>
      <xdr:rowOff>132512</xdr:rowOff>
    </xdr:to>
    <xdr:pic>
      <xdr:nvPicPr>
        <xdr:cNvPr id="14"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1047751" y="3762375"/>
          <a:ext cx="3895724" cy="2713787"/>
        </a:xfrm>
        <a:prstGeom prst="rect">
          <a:avLst/>
        </a:prstGeom>
        <a:noFill/>
      </xdr:spPr>
    </xdr:pic>
    <xdr:clientData/>
  </xdr:twoCellAnchor>
  <xdr:twoCellAnchor editAs="oneCell">
    <xdr:from>
      <xdr:col>2</xdr:col>
      <xdr:colOff>9525</xdr:colOff>
      <xdr:row>42</xdr:row>
      <xdr:rowOff>9525</xdr:rowOff>
    </xdr:from>
    <xdr:to>
      <xdr:col>3</xdr:col>
      <xdr:colOff>0</xdr:colOff>
      <xdr:row>58</xdr:row>
      <xdr:rowOff>138453</xdr:rowOff>
    </xdr:to>
    <xdr:pic>
      <xdr:nvPicPr>
        <xdr:cNvPr id="18" name="Picture 10"/>
        <xdr:cNvPicPr>
          <a:picLocks noChangeAspect="1" noChangeArrowheads="1"/>
        </xdr:cNvPicPr>
      </xdr:nvPicPr>
      <xdr:blipFill>
        <a:blip xmlns:r="http://schemas.openxmlformats.org/officeDocument/2006/relationships" r:embed="rId5" cstate="print"/>
        <a:srcRect/>
        <a:stretch>
          <a:fillRect/>
        </a:stretch>
      </xdr:blipFill>
      <xdr:spPr bwMode="auto">
        <a:xfrm>
          <a:off x="1038225" y="11572875"/>
          <a:ext cx="3905250" cy="2719728"/>
        </a:xfrm>
        <a:prstGeom prst="rect">
          <a:avLst/>
        </a:prstGeom>
        <a:noFill/>
      </xdr:spPr>
    </xdr:pic>
    <xdr:clientData/>
  </xdr:twoCellAnchor>
  <xdr:twoCellAnchor editAs="oneCell">
    <xdr:from>
      <xdr:col>3</xdr:col>
      <xdr:colOff>9525</xdr:colOff>
      <xdr:row>25</xdr:row>
      <xdr:rowOff>9525</xdr:rowOff>
    </xdr:from>
    <xdr:to>
      <xdr:col>3</xdr:col>
      <xdr:colOff>3914774</xdr:colOff>
      <xdr:row>41</xdr:row>
      <xdr:rowOff>143860</xdr:rowOff>
    </xdr:to>
    <xdr:pic>
      <xdr:nvPicPr>
        <xdr:cNvPr id="15" name="Picture 8"/>
        <xdr:cNvPicPr>
          <a:picLocks noChangeAspect="1" noChangeArrowheads="1"/>
        </xdr:cNvPicPr>
      </xdr:nvPicPr>
      <xdr:blipFill>
        <a:blip xmlns:r="http://schemas.openxmlformats.org/officeDocument/2006/relationships" r:embed="rId6" cstate="print"/>
        <a:srcRect/>
        <a:stretch>
          <a:fillRect/>
        </a:stretch>
      </xdr:blipFill>
      <xdr:spPr bwMode="auto">
        <a:xfrm>
          <a:off x="4953000" y="4219575"/>
          <a:ext cx="3905249" cy="2725135"/>
        </a:xfrm>
        <a:prstGeom prst="rect">
          <a:avLst/>
        </a:prstGeom>
        <a:noFill/>
      </xdr:spPr>
    </xdr:pic>
    <xdr:clientData/>
  </xdr:twoCellAnchor>
  <xdr:twoCellAnchor editAs="oneCell">
    <xdr:from>
      <xdr:col>3</xdr:col>
      <xdr:colOff>9525</xdr:colOff>
      <xdr:row>48</xdr:row>
      <xdr:rowOff>9525</xdr:rowOff>
    </xdr:from>
    <xdr:to>
      <xdr:col>4</xdr:col>
      <xdr:colOff>0</xdr:colOff>
      <xdr:row>64</xdr:row>
      <xdr:rowOff>133067</xdr:rowOff>
    </xdr:to>
    <xdr:pic>
      <xdr:nvPicPr>
        <xdr:cNvPr id="17"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4953000" y="8105775"/>
          <a:ext cx="3905250" cy="2714342"/>
        </a:xfrm>
        <a:prstGeom prst="rect">
          <a:avLst/>
        </a:prstGeom>
        <a:noFill/>
      </xdr:spPr>
    </xdr:pic>
    <xdr:clientData/>
  </xdr:twoCellAnchor>
  <xdr:twoCellAnchor>
    <xdr:from>
      <xdr:col>0</xdr:col>
      <xdr:colOff>247649</xdr:colOff>
      <xdr:row>9</xdr:row>
      <xdr:rowOff>0</xdr:rowOff>
    </xdr:from>
    <xdr:to>
      <xdr:col>1</xdr:col>
      <xdr:colOff>768568</xdr:colOff>
      <xdr:row>11</xdr:row>
      <xdr:rowOff>104775</xdr:rowOff>
    </xdr:to>
    <xdr:pic>
      <xdr:nvPicPr>
        <xdr:cNvPr id="16" name="Picture 1" descr="1"/>
        <xdr:cNvPicPr>
          <a:picLocks noChangeAspect="1" noChangeArrowheads="1"/>
        </xdr:cNvPicPr>
      </xdr:nvPicPr>
      <xdr:blipFill>
        <a:blip xmlns:r="http://schemas.openxmlformats.org/officeDocument/2006/relationships" r:embed="rId8" r:link="rId9" cstate="print"/>
        <a:srcRect/>
        <a:stretch>
          <a:fillRect/>
        </a:stretch>
      </xdr:blipFill>
      <xdr:spPr bwMode="auto">
        <a:xfrm>
          <a:off x="247649" y="1619250"/>
          <a:ext cx="768569" cy="428625"/>
        </a:xfrm>
        <a:prstGeom prst="rect">
          <a:avLst/>
        </a:prstGeom>
        <a:noFill/>
        <a:ln w="9525">
          <a:noFill/>
          <a:miter lim="800000"/>
          <a:headEnd/>
          <a:tailEnd/>
        </a:ln>
      </xdr:spPr>
    </xdr:pic>
    <xdr:clientData/>
  </xdr:twoCellAnchor>
  <xdr:twoCellAnchor>
    <xdr:from>
      <xdr:col>1</xdr:col>
      <xdr:colOff>0</xdr:colOff>
      <xdr:row>70</xdr:row>
      <xdr:rowOff>0</xdr:rowOff>
    </xdr:from>
    <xdr:to>
      <xdr:col>1</xdr:col>
      <xdr:colOff>773906</xdr:colOff>
      <xdr:row>72</xdr:row>
      <xdr:rowOff>152400</xdr:rowOff>
    </xdr:to>
    <xdr:pic>
      <xdr:nvPicPr>
        <xdr:cNvPr id="22" name="Picture 10" descr="1"/>
        <xdr:cNvPicPr>
          <a:picLocks noChangeAspect="1" noChangeArrowheads="1"/>
        </xdr:cNvPicPr>
      </xdr:nvPicPr>
      <xdr:blipFill>
        <a:blip xmlns:r="http://schemas.openxmlformats.org/officeDocument/2006/relationships" r:embed="rId10" r:link="rId11" cstate="print"/>
        <a:srcRect/>
        <a:stretch>
          <a:fillRect/>
        </a:stretch>
      </xdr:blipFill>
      <xdr:spPr bwMode="auto">
        <a:xfrm>
          <a:off x="247650" y="11934825"/>
          <a:ext cx="773906" cy="476250"/>
        </a:xfrm>
        <a:prstGeom prst="rect">
          <a:avLst/>
        </a:prstGeom>
        <a:noFill/>
        <a:ln w="9525">
          <a:noFill/>
          <a:miter lim="800000"/>
          <a:headEnd/>
          <a:tailEnd/>
        </a:ln>
      </xdr:spPr>
    </xdr:pic>
    <xdr:clientData/>
  </xdr:twoCellAnchor>
  <xdr:twoCellAnchor editAs="oneCell">
    <xdr:from>
      <xdr:col>3</xdr:col>
      <xdr:colOff>0</xdr:colOff>
      <xdr:row>72</xdr:row>
      <xdr:rowOff>0</xdr:rowOff>
    </xdr:from>
    <xdr:to>
      <xdr:col>3</xdr:col>
      <xdr:colOff>3903706</xdr:colOff>
      <xdr:row>76</xdr:row>
      <xdr:rowOff>0</xdr:rowOff>
    </xdr:to>
    <xdr:pic>
      <xdr:nvPicPr>
        <xdr:cNvPr id="24" name="Picture 2"/>
        <xdr:cNvPicPr>
          <a:picLocks noChangeAspect="1" noChangeArrowheads="1"/>
        </xdr:cNvPicPr>
      </xdr:nvPicPr>
      <xdr:blipFill>
        <a:blip xmlns:r="http://schemas.openxmlformats.org/officeDocument/2006/relationships" r:embed="rId12" cstate="print"/>
        <a:srcRect/>
        <a:stretch>
          <a:fillRect/>
        </a:stretch>
      </xdr:blipFill>
      <xdr:spPr bwMode="auto">
        <a:xfrm>
          <a:off x="4943475" y="12258675"/>
          <a:ext cx="3903706" cy="647700"/>
        </a:xfrm>
        <a:prstGeom prst="rect">
          <a:avLst/>
        </a:prstGeom>
        <a:noFill/>
      </xdr:spPr>
    </xdr:pic>
    <xdr:clientData/>
  </xdr:twoCellAnchor>
  <xdr:twoCellAnchor editAs="oneCell">
    <xdr:from>
      <xdr:col>2</xdr:col>
      <xdr:colOff>19049</xdr:colOff>
      <xdr:row>77</xdr:row>
      <xdr:rowOff>0</xdr:rowOff>
    </xdr:from>
    <xdr:to>
      <xdr:col>2</xdr:col>
      <xdr:colOff>3914774</xdr:colOff>
      <xdr:row>93</xdr:row>
      <xdr:rowOff>114565</xdr:rowOff>
    </xdr:to>
    <xdr:pic>
      <xdr:nvPicPr>
        <xdr:cNvPr id="25"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1047749" y="12915900"/>
          <a:ext cx="3895725" cy="2705365"/>
        </a:xfrm>
        <a:prstGeom prst="rect">
          <a:avLst/>
        </a:prstGeom>
        <a:noFill/>
      </xdr:spPr>
    </xdr:pic>
    <xdr:clientData/>
  </xdr:twoCellAnchor>
  <xdr:twoCellAnchor editAs="oneCell">
    <xdr:from>
      <xdr:col>3</xdr:col>
      <xdr:colOff>9525</xdr:colOff>
      <xdr:row>88</xdr:row>
      <xdr:rowOff>0</xdr:rowOff>
    </xdr:from>
    <xdr:to>
      <xdr:col>3</xdr:col>
      <xdr:colOff>3910014</xdr:colOff>
      <xdr:row>104</xdr:row>
      <xdr:rowOff>133350</xdr:rowOff>
    </xdr:to>
    <xdr:pic>
      <xdr:nvPicPr>
        <xdr:cNvPr id="26"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4953000" y="14849475"/>
          <a:ext cx="3900489" cy="2724150"/>
        </a:xfrm>
        <a:prstGeom prst="rect">
          <a:avLst/>
        </a:prstGeom>
        <a:noFill/>
      </xdr:spPr>
    </xdr:pic>
    <xdr:clientData/>
  </xdr:twoCellAnchor>
  <xdr:twoCellAnchor editAs="oneCell">
    <xdr:from>
      <xdr:col>2</xdr:col>
      <xdr:colOff>9525</xdr:colOff>
      <xdr:row>107</xdr:row>
      <xdr:rowOff>0</xdr:rowOff>
    </xdr:from>
    <xdr:to>
      <xdr:col>3</xdr:col>
      <xdr:colOff>0</xdr:colOff>
      <xdr:row>123</xdr:row>
      <xdr:rowOff>131510</xdr:rowOff>
    </xdr:to>
    <xdr:pic>
      <xdr:nvPicPr>
        <xdr:cNvPr id="27" name="Picture 8"/>
        <xdr:cNvPicPr>
          <a:picLocks noChangeAspect="1" noChangeArrowheads="1"/>
        </xdr:cNvPicPr>
      </xdr:nvPicPr>
      <xdr:blipFill>
        <a:blip xmlns:r="http://schemas.openxmlformats.org/officeDocument/2006/relationships" r:embed="rId15" cstate="print"/>
        <a:srcRect/>
        <a:stretch>
          <a:fillRect/>
        </a:stretch>
      </xdr:blipFill>
      <xdr:spPr bwMode="auto">
        <a:xfrm>
          <a:off x="1038225" y="17773650"/>
          <a:ext cx="3905250" cy="2722310"/>
        </a:xfrm>
        <a:prstGeom prst="rect">
          <a:avLst/>
        </a:prstGeom>
        <a:noFill/>
      </xdr:spPr>
    </xdr:pic>
    <xdr:clientData/>
  </xdr:twoCellAnchor>
  <xdr:twoCellAnchor editAs="oneCell">
    <xdr:from>
      <xdr:col>3</xdr:col>
      <xdr:colOff>9525</xdr:colOff>
      <xdr:row>114</xdr:row>
      <xdr:rowOff>1</xdr:rowOff>
    </xdr:from>
    <xdr:to>
      <xdr:col>3</xdr:col>
      <xdr:colOff>3913413</xdr:colOff>
      <xdr:row>130</xdr:row>
      <xdr:rowOff>123825</xdr:rowOff>
    </xdr:to>
    <xdr:pic>
      <xdr:nvPicPr>
        <xdr:cNvPr id="29" name="Picture 10"/>
        <xdr:cNvPicPr>
          <a:picLocks noChangeAspect="1" noChangeArrowheads="1"/>
        </xdr:cNvPicPr>
      </xdr:nvPicPr>
      <xdr:blipFill>
        <a:blip xmlns:r="http://schemas.openxmlformats.org/officeDocument/2006/relationships" r:embed="rId16" cstate="print"/>
        <a:srcRect/>
        <a:stretch>
          <a:fillRect/>
        </a:stretch>
      </xdr:blipFill>
      <xdr:spPr bwMode="auto">
        <a:xfrm>
          <a:off x="4953000" y="18897601"/>
          <a:ext cx="3903888" cy="2714624"/>
        </a:xfrm>
        <a:prstGeom prst="rect">
          <a:avLst/>
        </a:prstGeom>
        <a:noFill/>
      </xdr:spPr>
    </xdr:pic>
    <xdr:clientData/>
  </xdr:twoCellAnchor>
  <xdr:twoCellAnchor>
    <xdr:from>
      <xdr:col>1</xdr:col>
      <xdr:colOff>0</xdr:colOff>
      <xdr:row>133</xdr:row>
      <xdr:rowOff>0</xdr:rowOff>
    </xdr:from>
    <xdr:to>
      <xdr:col>1</xdr:col>
      <xdr:colOff>766916</xdr:colOff>
      <xdr:row>135</xdr:row>
      <xdr:rowOff>133350</xdr:rowOff>
    </xdr:to>
    <xdr:pic>
      <xdr:nvPicPr>
        <xdr:cNvPr id="31" name="Picture 10" descr="1"/>
        <xdr:cNvPicPr>
          <a:picLocks noChangeAspect="1" noChangeArrowheads="1"/>
        </xdr:cNvPicPr>
      </xdr:nvPicPr>
      <xdr:blipFill>
        <a:blip xmlns:r="http://schemas.openxmlformats.org/officeDocument/2006/relationships" r:embed="rId17" r:link="rId18" cstate="print"/>
        <a:srcRect/>
        <a:stretch>
          <a:fillRect/>
        </a:stretch>
      </xdr:blipFill>
      <xdr:spPr bwMode="auto">
        <a:xfrm>
          <a:off x="247650" y="22212300"/>
          <a:ext cx="766916" cy="457200"/>
        </a:xfrm>
        <a:prstGeom prst="rect">
          <a:avLst/>
        </a:prstGeom>
        <a:noFill/>
        <a:ln w="9525">
          <a:noFill/>
          <a:miter lim="800000"/>
          <a:headEnd/>
          <a:tailEnd/>
        </a:ln>
      </xdr:spPr>
    </xdr:pic>
    <xdr:clientData/>
  </xdr:twoCellAnchor>
  <xdr:twoCellAnchor editAs="oneCell">
    <xdr:from>
      <xdr:col>3</xdr:col>
      <xdr:colOff>0</xdr:colOff>
      <xdr:row>135</xdr:row>
      <xdr:rowOff>0</xdr:rowOff>
    </xdr:from>
    <xdr:to>
      <xdr:col>3</xdr:col>
      <xdr:colOff>3905249</xdr:colOff>
      <xdr:row>138</xdr:row>
      <xdr:rowOff>157852</xdr:rowOff>
    </xdr:to>
    <xdr:pic>
      <xdr:nvPicPr>
        <xdr:cNvPr id="35" name="Picture 12"/>
        <xdr:cNvPicPr>
          <a:picLocks noChangeAspect="1" noChangeArrowheads="1"/>
        </xdr:cNvPicPr>
      </xdr:nvPicPr>
      <xdr:blipFill>
        <a:blip xmlns:r="http://schemas.openxmlformats.org/officeDocument/2006/relationships" r:embed="rId19" cstate="print"/>
        <a:srcRect/>
        <a:stretch>
          <a:fillRect/>
        </a:stretch>
      </xdr:blipFill>
      <xdr:spPr bwMode="auto">
        <a:xfrm>
          <a:off x="4943475" y="22536150"/>
          <a:ext cx="3905249" cy="643627"/>
        </a:xfrm>
        <a:prstGeom prst="rect">
          <a:avLst/>
        </a:prstGeom>
        <a:noFill/>
      </xdr:spPr>
    </xdr:pic>
    <xdr:clientData/>
  </xdr:twoCellAnchor>
  <xdr:twoCellAnchor editAs="oneCell">
    <xdr:from>
      <xdr:col>2</xdr:col>
      <xdr:colOff>0</xdr:colOff>
      <xdr:row>140</xdr:row>
      <xdr:rowOff>0</xdr:rowOff>
    </xdr:from>
    <xdr:to>
      <xdr:col>3</xdr:col>
      <xdr:colOff>2810</xdr:colOff>
      <xdr:row>156</xdr:row>
      <xdr:rowOff>133349</xdr:rowOff>
    </xdr:to>
    <xdr:pic>
      <xdr:nvPicPr>
        <xdr:cNvPr id="37" name="Picture 14"/>
        <xdr:cNvPicPr>
          <a:picLocks noChangeAspect="1" noChangeArrowheads="1"/>
        </xdr:cNvPicPr>
      </xdr:nvPicPr>
      <xdr:blipFill>
        <a:blip xmlns:r="http://schemas.openxmlformats.org/officeDocument/2006/relationships" r:embed="rId20" cstate="print"/>
        <a:srcRect/>
        <a:stretch>
          <a:fillRect/>
        </a:stretch>
      </xdr:blipFill>
      <xdr:spPr bwMode="auto">
        <a:xfrm>
          <a:off x="1028700" y="23345775"/>
          <a:ext cx="3917585" cy="2724149"/>
        </a:xfrm>
        <a:prstGeom prst="rect">
          <a:avLst/>
        </a:prstGeom>
        <a:noFill/>
      </xdr:spPr>
    </xdr:pic>
    <xdr:clientData/>
  </xdr:twoCellAnchor>
  <xdr:twoCellAnchor editAs="oneCell">
    <xdr:from>
      <xdr:col>3</xdr:col>
      <xdr:colOff>9525</xdr:colOff>
      <xdr:row>148</xdr:row>
      <xdr:rowOff>1</xdr:rowOff>
    </xdr:from>
    <xdr:to>
      <xdr:col>3</xdr:col>
      <xdr:colOff>3903749</xdr:colOff>
      <xdr:row>164</xdr:row>
      <xdr:rowOff>123825</xdr:rowOff>
    </xdr:to>
    <xdr:pic>
      <xdr:nvPicPr>
        <xdr:cNvPr id="39" name="Picture 16"/>
        <xdr:cNvPicPr>
          <a:picLocks noChangeAspect="1" noChangeArrowheads="1"/>
        </xdr:cNvPicPr>
      </xdr:nvPicPr>
      <xdr:blipFill>
        <a:blip xmlns:r="http://schemas.openxmlformats.org/officeDocument/2006/relationships" r:embed="rId21" cstate="print"/>
        <a:srcRect/>
        <a:stretch>
          <a:fillRect/>
        </a:stretch>
      </xdr:blipFill>
      <xdr:spPr bwMode="auto">
        <a:xfrm>
          <a:off x="4953000" y="24641176"/>
          <a:ext cx="3894224" cy="2714624"/>
        </a:xfrm>
        <a:prstGeom prst="rect">
          <a:avLst/>
        </a:prstGeom>
        <a:noFill/>
      </xdr:spPr>
    </xdr:pic>
    <xdr:clientData/>
  </xdr:twoCellAnchor>
  <xdr:twoCellAnchor editAs="oneCell">
    <xdr:from>
      <xdr:col>2</xdr:col>
      <xdr:colOff>9525</xdr:colOff>
      <xdr:row>163</xdr:row>
      <xdr:rowOff>0</xdr:rowOff>
    </xdr:from>
    <xdr:to>
      <xdr:col>2</xdr:col>
      <xdr:colOff>3914774</xdr:colOff>
      <xdr:row>179</xdr:row>
      <xdr:rowOff>117596</xdr:rowOff>
    </xdr:to>
    <xdr:pic>
      <xdr:nvPicPr>
        <xdr:cNvPr id="41" name="Picture 18"/>
        <xdr:cNvPicPr>
          <a:picLocks noChangeAspect="1" noChangeArrowheads="1"/>
        </xdr:cNvPicPr>
      </xdr:nvPicPr>
      <xdr:blipFill>
        <a:blip xmlns:r="http://schemas.openxmlformats.org/officeDocument/2006/relationships" r:embed="rId22" cstate="print"/>
        <a:srcRect/>
        <a:stretch>
          <a:fillRect/>
        </a:stretch>
      </xdr:blipFill>
      <xdr:spPr bwMode="auto">
        <a:xfrm>
          <a:off x="1038225" y="27070050"/>
          <a:ext cx="3905249" cy="2708396"/>
        </a:xfrm>
        <a:prstGeom prst="rect">
          <a:avLst/>
        </a:prstGeom>
        <a:noFill/>
      </xdr:spPr>
    </xdr:pic>
    <xdr:clientData/>
  </xdr:twoCellAnchor>
  <xdr:twoCellAnchor editAs="oneCell">
    <xdr:from>
      <xdr:col>3</xdr:col>
      <xdr:colOff>0</xdr:colOff>
      <xdr:row>171</xdr:row>
      <xdr:rowOff>0</xdr:rowOff>
    </xdr:from>
    <xdr:to>
      <xdr:col>3</xdr:col>
      <xdr:colOff>3900496</xdr:colOff>
      <xdr:row>187</xdr:row>
      <xdr:rowOff>114299</xdr:rowOff>
    </xdr:to>
    <xdr:pic>
      <xdr:nvPicPr>
        <xdr:cNvPr id="43" name="Picture 20"/>
        <xdr:cNvPicPr>
          <a:picLocks noChangeAspect="1" noChangeArrowheads="1"/>
        </xdr:cNvPicPr>
      </xdr:nvPicPr>
      <xdr:blipFill>
        <a:blip xmlns:r="http://schemas.openxmlformats.org/officeDocument/2006/relationships" r:embed="rId23" cstate="print"/>
        <a:srcRect/>
        <a:stretch>
          <a:fillRect/>
        </a:stretch>
      </xdr:blipFill>
      <xdr:spPr bwMode="auto">
        <a:xfrm>
          <a:off x="4943475" y="28365450"/>
          <a:ext cx="3900496" cy="2705099"/>
        </a:xfrm>
        <a:prstGeom prst="rect">
          <a:avLst/>
        </a:prstGeom>
        <a:noFill/>
      </xdr:spPr>
    </xdr:pic>
    <xdr:clientData/>
  </xdr:twoCellAnchor>
  <xdr:twoCellAnchor>
    <xdr:from>
      <xdr:col>1</xdr:col>
      <xdr:colOff>0</xdr:colOff>
      <xdr:row>190</xdr:row>
      <xdr:rowOff>0</xdr:rowOff>
    </xdr:from>
    <xdr:to>
      <xdr:col>1</xdr:col>
      <xdr:colOff>767838</xdr:colOff>
      <xdr:row>192</xdr:row>
      <xdr:rowOff>142875</xdr:rowOff>
    </xdr:to>
    <xdr:pic>
      <xdr:nvPicPr>
        <xdr:cNvPr id="47" name="Picture 8" descr="1"/>
        <xdr:cNvPicPr>
          <a:picLocks noChangeAspect="1" noChangeArrowheads="1"/>
        </xdr:cNvPicPr>
      </xdr:nvPicPr>
      <xdr:blipFill>
        <a:blip xmlns:r="http://schemas.openxmlformats.org/officeDocument/2006/relationships" r:embed="rId24" r:link="rId25" cstate="print"/>
        <a:srcRect/>
        <a:stretch>
          <a:fillRect/>
        </a:stretch>
      </xdr:blipFill>
      <xdr:spPr bwMode="auto">
        <a:xfrm>
          <a:off x="247650" y="31670625"/>
          <a:ext cx="767838" cy="466725"/>
        </a:xfrm>
        <a:prstGeom prst="rect">
          <a:avLst/>
        </a:prstGeom>
        <a:noFill/>
        <a:ln w="9525">
          <a:noFill/>
          <a:miter lim="800000"/>
          <a:headEnd/>
          <a:tailEnd/>
        </a:ln>
      </xdr:spPr>
    </xdr:pic>
    <xdr:clientData/>
  </xdr:twoCellAnchor>
  <xdr:twoCellAnchor editAs="oneCell">
    <xdr:from>
      <xdr:col>3</xdr:col>
      <xdr:colOff>0</xdr:colOff>
      <xdr:row>192</xdr:row>
      <xdr:rowOff>0</xdr:rowOff>
    </xdr:from>
    <xdr:to>
      <xdr:col>3</xdr:col>
      <xdr:colOff>3905250</xdr:colOff>
      <xdr:row>196</xdr:row>
      <xdr:rowOff>25017</xdr:rowOff>
    </xdr:to>
    <xdr:pic>
      <xdr:nvPicPr>
        <xdr:cNvPr id="50" name="Picture 22"/>
        <xdr:cNvPicPr>
          <a:picLocks noChangeAspect="1" noChangeArrowheads="1"/>
        </xdr:cNvPicPr>
      </xdr:nvPicPr>
      <xdr:blipFill>
        <a:blip xmlns:r="http://schemas.openxmlformats.org/officeDocument/2006/relationships" r:embed="rId26" cstate="print"/>
        <a:srcRect/>
        <a:stretch>
          <a:fillRect/>
        </a:stretch>
      </xdr:blipFill>
      <xdr:spPr bwMode="auto">
        <a:xfrm>
          <a:off x="4943475" y="31994475"/>
          <a:ext cx="3905250" cy="672717"/>
        </a:xfrm>
        <a:prstGeom prst="rect">
          <a:avLst/>
        </a:prstGeom>
        <a:noFill/>
      </xdr:spPr>
    </xdr:pic>
    <xdr:clientData/>
  </xdr:twoCellAnchor>
  <xdr:twoCellAnchor editAs="oneCell">
    <xdr:from>
      <xdr:col>3</xdr:col>
      <xdr:colOff>0</xdr:colOff>
      <xdr:row>206</xdr:row>
      <xdr:rowOff>0</xdr:rowOff>
    </xdr:from>
    <xdr:to>
      <xdr:col>3</xdr:col>
      <xdr:colOff>3903771</xdr:colOff>
      <xdr:row>222</xdr:row>
      <xdr:rowOff>142875</xdr:rowOff>
    </xdr:to>
    <xdr:pic>
      <xdr:nvPicPr>
        <xdr:cNvPr id="54" name="Picture 26"/>
        <xdr:cNvPicPr>
          <a:picLocks noChangeAspect="1" noChangeArrowheads="1"/>
        </xdr:cNvPicPr>
      </xdr:nvPicPr>
      <xdr:blipFill>
        <a:blip xmlns:r="http://schemas.openxmlformats.org/officeDocument/2006/relationships" r:embed="rId27" cstate="print"/>
        <a:srcRect/>
        <a:stretch>
          <a:fillRect/>
        </a:stretch>
      </xdr:blipFill>
      <xdr:spPr bwMode="auto">
        <a:xfrm>
          <a:off x="4943475" y="34261425"/>
          <a:ext cx="3903771" cy="2733675"/>
        </a:xfrm>
        <a:prstGeom prst="rect">
          <a:avLst/>
        </a:prstGeom>
        <a:noFill/>
      </xdr:spPr>
    </xdr:pic>
    <xdr:clientData/>
  </xdr:twoCellAnchor>
  <xdr:twoCellAnchor>
    <xdr:from>
      <xdr:col>1</xdr:col>
      <xdr:colOff>0</xdr:colOff>
      <xdr:row>241</xdr:row>
      <xdr:rowOff>0</xdr:rowOff>
    </xdr:from>
    <xdr:to>
      <xdr:col>1</xdr:col>
      <xdr:colOff>774204</xdr:colOff>
      <xdr:row>244</xdr:row>
      <xdr:rowOff>0</xdr:rowOff>
    </xdr:to>
    <xdr:pic>
      <xdr:nvPicPr>
        <xdr:cNvPr id="62" name="Picture 4" descr="1"/>
        <xdr:cNvPicPr>
          <a:picLocks noChangeAspect="1" noChangeArrowheads="1"/>
        </xdr:cNvPicPr>
      </xdr:nvPicPr>
      <xdr:blipFill>
        <a:blip xmlns:r="http://schemas.openxmlformats.org/officeDocument/2006/relationships" r:embed="rId28" r:link="rId29" cstate="print"/>
        <a:srcRect/>
        <a:stretch>
          <a:fillRect/>
        </a:stretch>
      </xdr:blipFill>
      <xdr:spPr bwMode="auto">
        <a:xfrm>
          <a:off x="247650" y="40024050"/>
          <a:ext cx="774204" cy="485775"/>
        </a:xfrm>
        <a:prstGeom prst="rect">
          <a:avLst/>
        </a:prstGeom>
        <a:noFill/>
        <a:ln w="9525">
          <a:noFill/>
          <a:miter lim="800000"/>
          <a:headEnd/>
          <a:tailEnd/>
        </a:ln>
      </xdr:spPr>
    </xdr:pic>
    <xdr:clientData/>
  </xdr:twoCellAnchor>
  <xdr:twoCellAnchor editAs="oneCell">
    <xdr:from>
      <xdr:col>3</xdr:col>
      <xdr:colOff>0</xdr:colOff>
      <xdr:row>243</xdr:row>
      <xdr:rowOff>0</xdr:rowOff>
    </xdr:from>
    <xdr:to>
      <xdr:col>3</xdr:col>
      <xdr:colOff>3905250</xdr:colOff>
      <xdr:row>246</xdr:row>
      <xdr:rowOff>137679</xdr:rowOff>
    </xdr:to>
    <xdr:pic>
      <xdr:nvPicPr>
        <xdr:cNvPr id="65" name="Picture 32"/>
        <xdr:cNvPicPr>
          <a:picLocks noChangeAspect="1" noChangeArrowheads="1"/>
        </xdr:cNvPicPr>
      </xdr:nvPicPr>
      <xdr:blipFill>
        <a:blip xmlns:r="http://schemas.openxmlformats.org/officeDocument/2006/relationships" r:embed="rId30" cstate="print"/>
        <a:srcRect/>
        <a:stretch>
          <a:fillRect/>
        </a:stretch>
      </xdr:blipFill>
      <xdr:spPr bwMode="auto">
        <a:xfrm>
          <a:off x="4943475" y="40347900"/>
          <a:ext cx="3905250" cy="623454"/>
        </a:xfrm>
        <a:prstGeom prst="rect">
          <a:avLst/>
        </a:prstGeom>
        <a:noFill/>
      </xdr:spPr>
    </xdr:pic>
    <xdr:clientData/>
  </xdr:twoCellAnchor>
  <xdr:twoCellAnchor>
    <xdr:from>
      <xdr:col>1</xdr:col>
      <xdr:colOff>0</xdr:colOff>
      <xdr:row>249</xdr:row>
      <xdr:rowOff>0</xdr:rowOff>
    </xdr:from>
    <xdr:to>
      <xdr:col>1</xdr:col>
      <xdr:colOff>767838</xdr:colOff>
      <xdr:row>251</xdr:row>
      <xdr:rowOff>142875</xdr:rowOff>
    </xdr:to>
    <xdr:pic>
      <xdr:nvPicPr>
        <xdr:cNvPr id="66" name="Picture 8" descr="1"/>
        <xdr:cNvPicPr>
          <a:picLocks noChangeAspect="1" noChangeArrowheads="1"/>
        </xdr:cNvPicPr>
      </xdr:nvPicPr>
      <xdr:blipFill>
        <a:blip xmlns:r="http://schemas.openxmlformats.org/officeDocument/2006/relationships" r:embed="rId24" r:link="rId25" cstate="print"/>
        <a:srcRect/>
        <a:stretch>
          <a:fillRect/>
        </a:stretch>
      </xdr:blipFill>
      <xdr:spPr bwMode="auto">
        <a:xfrm>
          <a:off x="247650" y="31670625"/>
          <a:ext cx="767838" cy="466725"/>
        </a:xfrm>
        <a:prstGeom prst="rect">
          <a:avLst/>
        </a:prstGeom>
        <a:noFill/>
        <a:ln w="9525">
          <a:noFill/>
          <a:miter lim="800000"/>
          <a:headEnd/>
          <a:tailEnd/>
        </a:ln>
      </xdr:spPr>
    </xdr:pic>
    <xdr:clientData/>
  </xdr:twoCellAnchor>
  <xdr:twoCellAnchor editAs="oneCell">
    <xdr:from>
      <xdr:col>3</xdr:col>
      <xdr:colOff>0</xdr:colOff>
      <xdr:row>251</xdr:row>
      <xdr:rowOff>0</xdr:rowOff>
    </xdr:from>
    <xdr:to>
      <xdr:col>3</xdr:col>
      <xdr:colOff>3905251</xdr:colOff>
      <xdr:row>255</xdr:row>
      <xdr:rowOff>257</xdr:rowOff>
    </xdr:to>
    <xdr:pic>
      <xdr:nvPicPr>
        <xdr:cNvPr id="70" name="Picture 34"/>
        <xdr:cNvPicPr>
          <a:picLocks noChangeAspect="1" noChangeArrowheads="1"/>
        </xdr:cNvPicPr>
      </xdr:nvPicPr>
      <xdr:blipFill>
        <a:blip xmlns:r="http://schemas.openxmlformats.org/officeDocument/2006/relationships" r:embed="rId31" cstate="print"/>
        <a:srcRect/>
        <a:stretch>
          <a:fillRect/>
        </a:stretch>
      </xdr:blipFill>
      <xdr:spPr bwMode="auto">
        <a:xfrm>
          <a:off x="4943475" y="41700450"/>
          <a:ext cx="3905251" cy="647957"/>
        </a:xfrm>
        <a:prstGeom prst="rect">
          <a:avLst/>
        </a:prstGeom>
        <a:noFill/>
      </xdr:spPr>
    </xdr:pic>
    <xdr:clientData/>
  </xdr:twoCellAnchor>
  <xdr:twoCellAnchor editAs="oneCell">
    <xdr:from>
      <xdr:col>2</xdr:col>
      <xdr:colOff>0</xdr:colOff>
      <xdr:row>256</xdr:row>
      <xdr:rowOff>0</xdr:rowOff>
    </xdr:from>
    <xdr:to>
      <xdr:col>2</xdr:col>
      <xdr:colOff>3905250</xdr:colOff>
      <xdr:row>272</xdr:row>
      <xdr:rowOff>119599</xdr:rowOff>
    </xdr:to>
    <xdr:pic>
      <xdr:nvPicPr>
        <xdr:cNvPr id="72" name="Picture 36"/>
        <xdr:cNvPicPr>
          <a:picLocks noChangeAspect="1" noChangeArrowheads="1"/>
        </xdr:cNvPicPr>
      </xdr:nvPicPr>
      <xdr:blipFill>
        <a:blip xmlns:r="http://schemas.openxmlformats.org/officeDocument/2006/relationships" r:embed="rId32" cstate="print"/>
        <a:srcRect/>
        <a:stretch>
          <a:fillRect/>
        </a:stretch>
      </xdr:blipFill>
      <xdr:spPr bwMode="auto">
        <a:xfrm>
          <a:off x="1028700" y="42510075"/>
          <a:ext cx="3905250" cy="2710399"/>
        </a:xfrm>
        <a:prstGeom prst="rect">
          <a:avLst/>
        </a:prstGeom>
        <a:noFill/>
      </xdr:spPr>
    </xdr:pic>
    <xdr:clientData/>
  </xdr:twoCellAnchor>
  <xdr:twoCellAnchor editAs="oneCell">
    <xdr:from>
      <xdr:col>3</xdr:col>
      <xdr:colOff>0</xdr:colOff>
      <xdr:row>264</xdr:row>
      <xdr:rowOff>0</xdr:rowOff>
    </xdr:from>
    <xdr:to>
      <xdr:col>3</xdr:col>
      <xdr:colOff>3905249</xdr:colOff>
      <xdr:row>280</xdr:row>
      <xdr:rowOff>137170</xdr:rowOff>
    </xdr:to>
    <xdr:pic>
      <xdr:nvPicPr>
        <xdr:cNvPr id="74" name="Picture 38"/>
        <xdr:cNvPicPr>
          <a:picLocks noChangeAspect="1" noChangeArrowheads="1"/>
        </xdr:cNvPicPr>
      </xdr:nvPicPr>
      <xdr:blipFill>
        <a:blip xmlns:r="http://schemas.openxmlformats.org/officeDocument/2006/relationships" r:embed="rId33" cstate="print"/>
        <a:srcRect/>
        <a:stretch>
          <a:fillRect/>
        </a:stretch>
      </xdr:blipFill>
      <xdr:spPr bwMode="auto">
        <a:xfrm>
          <a:off x="4943475" y="43805475"/>
          <a:ext cx="3905249" cy="2727970"/>
        </a:xfrm>
        <a:prstGeom prst="rect">
          <a:avLst/>
        </a:prstGeom>
        <a:noFill/>
      </xdr:spPr>
    </xdr:pic>
    <xdr:clientData/>
  </xdr:twoCellAnchor>
  <xdr:twoCellAnchor editAs="oneCell">
    <xdr:from>
      <xdr:col>2</xdr:col>
      <xdr:colOff>0</xdr:colOff>
      <xdr:row>283</xdr:row>
      <xdr:rowOff>0</xdr:rowOff>
    </xdr:from>
    <xdr:to>
      <xdr:col>2</xdr:col>
      <xdr:colOff>3911950</xdr:colOff>
      <xdr:row>299</xdr:row>
      <xdr:rowOff>123825</xdr:rowOff>
    </xdr:to>
    <xdr:pic>
      <xdr:nvPicPr>
        <xdr:cNvPr id="76" name="Picture 40"/>
        <xdr:cNvPicPr>
          <a:picLocks noChangeAspect="1" noChangeArrowheads="1"/>
        </xdr:cNvPicPr>
      </xdr:nvPicPr>
      <xdr:blipFill>
        <a:blip xmlns:r="http://schemas.openxmlformats.org/officeDocument/2006/relationships" r:embed="rId34" cstate="print"/>
        <a:srcRect/>
        <a:stretch>
          <a:fillRect/>
        </a:stretch>
      </xdr:blipFill>
      <xdr:spPr bwMode="auto">
        <a:xfrm>
          <a:off x="1028700" y="47501175"/>
          <a:ext cx="3911950" cy="2714625"/>
        </a:xfrm>
        <a:prstGeom prst="rect">
          <a:avLst/>
        </a:prstGeom>
        <a:noFill/>
      </xdr:spPr>
    </xdr:pic>
    <xdr:clientData/>
  </xdr:twoCellAnchor>
  <xdr:twoCellAnchor editAs="oneCell">
    <xdr:from>
      <xdr:col>3</xdr:col>
      <xdr:colOff>0</xdr:colOff>
      <xdr:row>292</xdr:row>
      <xdr:rowOff>0</xdr:rowOff>
    </xdr:from>
    <xdr:to>
      <xdr:col>3</xdr:col>
      <xdr:colOff>3895725</xdr:colOff>
      <xdr:row>308</xdr:row>
      <xdr:rowOff>132074</xdr:rowOff>
    </xdr:to>
    <xdr:pic>
      <xdr:nvPicPr>
        <xdr:cNvPr id="78" name="Picture 42"/>
        <xdr:cNvPicPr>
          <a:picLocks noChangeAspect="1" noChangeArrowheads="1"/>
        </xdr:cNvPicPr>
      </xdr:nvPicPr>
      <xdr:blipFill>
        <a:blip xmlns:r="http://schemas.openxmlformats.org/officeDocument/2006/relationships" r:embed="rId35" cstate="print"/>
        <a:srcRect/>
        <a:stretch>
          <a:fillRect/>
        </a:stretch>
      </xdr:blipFill>
      <xdr:spPr bwMode="auto">
        <a:xfrm>
          <a:off x="4943475" y="48958500"/>
          <a:ext cx="3895725" cy="2722874"/>
        </a:xfrm>
        <a:prstGeom prst="rect">
          <a:avLst/>
        </a:prstGeom>
        <a:noFill/>
      </xdr:spPr>
    </xdr:pic>
    <xdr:clientData/>
  </xdr:twoCellAnchor>
  <xdr:twoCellAnchor editAs="oneCell">
    <xdr:from>
      <xdr:col>2</xdr:col>
      <xdr:colOff>0</xdr:colOff>
      <xdr:row>305</xdr:row>
      <xdr:rowOff>0</xdr:rowOff>
    </xdr:from>
    <xdr:to>
      <xdr:col>2</xdr:col>
      <xdr:colOff>3902719</xdr:colOff>
      <xdr:row>321</xdr:row>
      <xdr:rowOff>133349</xdr:rowOff>
    </xdr:to>
    <xdr:pic>
      <xdr:nvPicPr>
        <xdr:cNvPr id="80" name="Picture 44"/>
        <xdr:cNvPicPr>
          <a:picLocks noChangeAspect="1" noChangeArrowheads="1"/>
        </xdr:cNvPicPr>
      </xdr:nvPicPr>
      <xdr:blipFill>
        <a:blip xmlns:r="http://schemas.openxmlformats.org/officeDocument/2006/relationships" r:embed="rId36" cstate="print"/>
        <a:srcRect/>
        <a:stretch>
          <a:fillRect/>
        </a:stretch>
      </xdr:blipFill>
      <xdr:spPr bwMode="auto">
        <a:xfrm>
          <a:off x="1028700" y="51063525"/>
          <a:ext cx="3902719" cy="2724149"/>
        </a:xfrm>
        <a:prstGeom prst="rect">
          <a:avLst/>
        </a:prstGeom>
        <a:noFill/>
      </xdr:spPr>
    </xdr:pic>
    <xdr:clientData/>
  </xdr:twoCellAnchor>
  <xdr:twoCellAnchor editAs="oneCell">
    <xdr:from>
      <xdr:col>3</xdr:col>
      <xdr:colOff>0</xdr:colOff>
      <xdr:row>314</xdr:row>
      <xdr:rowOff>0</xdr:rowOff>
    </xdr:from>
    <xdr:to>
      <xdr:col>3</xdr:col>
      <xdr:colOff>3905249</xdr:colOff>
      <xdr:row>330</xdr:row>
      <xdr:rowOff>124770</xdr:rowOff>
    </xdr:to>
    <xdr:pic>
      <xdr:nvPicPr>
        <xdr:cNvPr id="82" name="Picture 46"/>
        <xdr:cNvPicPr>
          <a:picLocks noChangeAspect="1" noChangeArrowheads="1"/>
        </xdr:cNvPicPr>
      </xdr:nvPicPr>
      <xdr:blipFill>
        <a:blip xmlns:r="http://schemas.openxmlformats.org/officeDocument/2006/relationships" r:embed="rId37" cstate="print"/>
        <a:srcRect/>
        <a:stretch>
          <a:fillRect/>
        </a:stretch>
      </xdr:blipFill>
      <xdr:spPr bwMode="auto">
        <a:xfrm>
          <a:off x="4943475" y="52520850"/>
          <a:ext cx="3905249" cy="2715570"/>
        </a:xfrm>
        <a:prstGeom prst="rect">
          <a:avLst/>
        </a:prstGeom>
        <a:noFill/>
      </xdr:spPr>
    </xdr:pic>
    <xdr:clientData/>
  </xdr:twoCellAnchor>
  <xdr:twoCellAnchor>
    <xdr:from>
      <xdr:col>1</xdr:col>
      <xdr:colOff>0</xdr:colOff>
      <xdr:row>333</xdr:row>
      <xdr:rowOff>0</xdr:rowOff>
    </xdr:from>
    <xdr:to>
      <xdr:col>1</xdr:col>
      <xdr:colOff>767838</xdr:colOff>
      <xdr:row>335</xdr:row>
      <xdr:rowOff>142875</xdr:rowOff>
    </xdr:to>
    <xdr:pic>
      <xdr:nvPicPr>
        <xdr:cNvPr id="83" name="Picture 8" descr="1"/>
        <xdr:cNvPicPr>
          <a:picLocks noChangeAspect="1" noChangeArrowheads="1"/>
        </xdr:cNvPicPr>
      </xdr:nvPicPr>
      <xdr:blipFill>
        <a:blip xmlns:r="http://schemas.openxmlformats.org/officeDocument/2006/relationships" r:embed="rId24" r:link="rId25" cstate="print"/>
        <a:srcRect/>
        <a:stretch>
          <a:fillRect/>
        </a:stretch>
      </xdr:blipFill>
      <xdr:spPr bwMode="auto">
        <a:xfrm>
          <a:off x="247650" y="41338500"/>
          <a:ext cx="767838" cy="466725"/>
        </a:xfrm>
        <a:prstGeom prst="rect">
          <a:avLst/>
        </a:prstGeom>
        <a:noFill/>
        <a:ln w="9525">
          <a:noFill/>
          <a:miter lim="800000"/>
          <a:headEnd/>
          <a:tailEnd/>
        </a:ln>
      </xdr:spPr>
    </xdr:pic>
    <xdr:clientData/>
  </xdr:twoCellAnchor>
  <xdr:twoCellAnchor editAs="oneCell">
    <xdr:from>
      <xdr:col>3</xdr:col>
      <xdr:colOff>0</xdr:colOff>
      <xdr:row>335</xdr:row>
      <xdr:rowOff>0</xdr:rowOff>
    </xdr:from>
    <xdr:to>
      <xdr:col>3</xdr:col>
      <xdr:colOff>3905249</xdr:colOff>
      <xdr:row>339</xdr:row>
      <xdr:rowOff>1712</xdr:rowOff>
    </xdr:to>
    <xdr:pic>
      <xdr:nvPicPr>
        <xdr:cNvPr id="45" name="Picture 2"/>
        <xdr:cNvPicPr>
          <a:picLocks noChangeAspect="1" noChangeArrowheads="1"/>
        </xdr:cNvPicPr>
      </xdr:nvPicPr>
      <xdr:blipFill>
        <a:blip xmlns:r="http://schemas.openxmlformats.org/officeDocument/2006/relationships" r:embed="rId38" cstate="print"/>
        <a:srcRect/>
        <a:stretch>
          <a:fillRect/>
        </a:stretch>
      </xdr:blipFill>
      <xdr:spPr bwMode="auto">
        <a:xfrm>
          <a:off x="4943475" y="55978425"/>
          <a:ext cx="3905249" cy="649412"/>
        </a:xfrm>
        <a:prstGeom prst="rect">
          <a:avLst/>
        </a:prstGeom>
        <a:noFill/>
      </xdr:spPr>
    </xdr:pic>
    <xdr:clientData/>
  </xdr:twoCellAnchor>
  <xdr:twoCellAnchor editAs="oneCell">
    <xdr:from>
      <xdr:col>2</xdr:col>
      <xdr:colOff>0</xdr:colOff>
      <xdr:row>339</xdr:row>
      <xdr:rowOff>161924</xdr:rowOff>
    </xdr:from>
    <xdr:to>
      <xdr:col>2</xdr:col>
      <xdr:colOff>3905249</xdr:colOff>
      <xdr:row>356</xdr:row>
      <xdr:rowOff>129942</xdr:rowOff>
    </xdr:to>
    <xdr:pic>
      <xdr:nvPicPr>
        <xdr:cNvPr id="46" name="Picture 4"/>
        <xdr:cNvPicPr>
          <a:picLocks noChangeAspect="1" noChangeArrowheads="1"/>
        </xdr:cNvPicPr>
      </xdr:nvPicPr>
      <xdr:blipFill>
        <a:blip xmlns:r="http://schemas.openxmlformats.org/officeDocument/2006/relationships" r:embed="rId39" cstate="print"/>
        <a:srcRect/>
        <a:stretch>
          <a:fillRect/>
        </a:stretch>
      </xdr:blipFill>
      <xdr:spPr bwMode="auto">
        <a:xfrm>
          <a:off x="1028700" y="56788049"/>
          <a:ext cx="3905249" cy="2720743"/>
        </a:xfrm>
        <a:prstGeom prst="rect">
          <a:avLst/>
        </a:prstGeom>
        <a:noFill/>
      </xdr:spPr>
    </xdr:pic>
    <xdr:clientData/>
  </xdr:twoCellAnchor>
  <xdr:twoCellAnchor editAs="oneCell">
    <xdr:from>
      <xdr:col>3</xdr:col>
      <xdr:colOff>0</xdr:colOff>
      <xdr:row>352</xdr:row>
      <xdr:rowOff>1</xdr:rowOff>
    </xdr:from>
    <xdr:to>
      <xdr:col>3</xdr:col>
      <xdr:colOff>3905249</xdr:colOff>
      <xdr:row>368</xdr:row>
      <xdr:rowOff>107279</xdr:rowOff>
    </xdr:to>
    <xdr:pic>
      <xdr:nvPicPr>
        <xdr:cNvPr id="48" name="Picture 6"/>
        <xdr:cNvPicPr>
          <a:picLocks noChangeAspect="1" noChangeArrowheads="1"/>
        </xdr:cNvPicPr>
      </xdr:nvPicPr>
      <xdr:blipFill>
        <a:blip xmlns:r="http://schemas.openxmlformats.org/officeDocument/2006/relationships" r:embed="rId40" cstate="print"/>
        <a:srcRect/>
        <a:stretch>
          <a:fillRect/>
        </a:stretch>
      </xdr:blipFill>
      <xdr:spPr bwMode="auto">
        <a:xfrm>
          <a:off x="4943475" y="58731151"/>
          <a:ext cx="3905249" cy="2698078"/>
        </a:xfrm>
        <a:prstGeom prst="rect">
          <a:avLst/>
        </a:prstGeom>
        <a:noFill/>
      </xdr:spPr>
    </xdr:pic>
    <xdr:clientData/>
  </xdr:twoCellAnchor>
  <xdr:twoCellAnchor editAs="oneCell">
    <xdr:from>
      <xdr:col>2</xdr:col>
      <xdr:colOff>0</xdr:colOff>
      <xdr:row>363</xdr:row>
      <xdr:rowOff>0</xdr:rowOff>
    </xdr:from>
    <xdr:to>
      <xdr:col>2</xdr:col>
      <xdr:colOff>3905250</xdr:colOff>
      <xdr:row>379</xdr:row>
      <xdr:rowOff>142356</xdr:rowOff>
    </xdr:to>
    <xdr:pic>
      <xdr:nvPicPr>
        <xdr:cNvPr id="51" name="Picture 8"/>
        <xdr:cNvPicPr>
          <a:picLocks noChangeAspect="1" noChangeArrowheads="1"/>
        </xdr:cNvPicPr>
      </xdr:nvPicPr>
      <xdr:blipFill>
        <a:blip xmlns:r="http://schemas.openxmlformats.org/officeDocument/2006/relationships" r:embed="rId41" cstate="print"/>
        <a:srcRect/>
        <a:stretch>
          <a:fillRect/>
        </a:stretch>
      </xdr:blipFill>
      <xdr:spPr bwMode="auto">
        <a:xfrm>
          <a:off x="1028700" y="60512325"/>
          <a:ext cx="3905250" cy="2733156"/>
        </a:xfrm>
        <a:prstGeom prst="rect">
          <a:avLst/>
        </a:prstGeom>
        <a:noFill/>
      </xdr:spPr>
    </xdr:pic>
    <xdr:clientData/>
  </xdr:twoCellAnchor>
  <xdr:twoCellAnchor>
    <xdr:from>
      <xdr:col>1</xdr:col>
      <xdr:colOff>0</xdr:colOff>
      <xdr:row>384</xdr:row>
      <xdr:rowOff>0</xdr:rowOff>
    </xdr:from>
    <xdr:to>
      <xdr:col>1</xdr:col>
      <xdr:colOff>771525</xdr:colOff>
      <xdr:row>387</xdr:row>
      <xdr:rowOff>23432</xdr:rowOff>
    </xdr:to>
    <xdr:pic>
      <xdr:nvPicPr>
        <xdr:cNvPr id="55" name="Picture 1" descr="1"/>
        <xdr:cNvPicPr>
          <a:picLocks noChangeAspect="1" noChangeArrowheads="1"/>
        </xdr:cNvPicPr>
      </xdr:nvPicPr>
      <xdr:blipFill>
        <a:blip xmlns:r="http://schemas.openxmlformats.org/officeDocument/2006/relationships" r:embed="rId42" r:link="rId43" cstate="print"/>
        <a:srcRect/>
        <a:stretch>
          <a:fillRect/>
        </a:stretch>
      </xdr:blipFill>
      <xdr:spPr bwMode="auto">
        <a:xfrm>
          <a:off x="247650" y="64131825"/>
          <a:ext cx="771525" cy="509207"/>
        </a:xfrm>
        <a:prstGeom prst="rect">
          <a:avLst/>
        </a:prstGeom>
        <a:noFill/>
        <a:ln w="9525">
          <a:noFill/>
          <a:miter lim="800000"/>
          <a:headEnd/>
          <a:tailEnd/>
        </a:ln>
      </xdr:spPr>
    </xdr:pic>
    <xdr:clientData/>
  </xdr:twoCellAnchor>
  <xdr:twoCellAnchor>
    <xdr:from>
      <xdr:col>0</xdr:col>
      <xdr:colOff>247649</xdr:colOff>
      <xdr:row>387</xdr:row>
      <xdr:rowOff>0</xdr:rowOff>
    </xdr:from>
    <xdr:to>
      <xdr:col>1</xdr:col>
      <xdr:colOff>768144</xdr:colOff>
      <xdr:row>389</xdr:row>
      <xdr:rowOff>152400</xdr:rowOff>
    </xdr:to>
    <xdr:pic>
      <xdr:nvPicPr>
        <xdr:cNvPr id="57" name="Picture 5" descr="1"/>
        <xdr:cNvPicPr>
          <a:picLocks noChangeAspect="1" noChangeArrowheads="1"/>
        </xdr:cNvPicPr>
      </xdr:nvPicPr>
      <xdr:blipFill>
        <a:blip xmlns:r="http://schemas.openxmlformats.org/officeDocument/2006/relationships" r:embed="rId44" r:link="rId45" cstate="print"/>
        <a:srcRect/>
        <a:stretch>
          <a:fillRect/>
        </a:stretch>
      </xdr:blipFill>
      <xdr:spPr bwMode="auto">
        <a:xfrm>
          <a:off x="247649" y="64617600"/>
          <a:ext cx="768145" cy="476250"/>
        </a:xfrm>
        <a:prstGeom prst="rect">
          <a:avLst/>
        </a:prstGeom>
        <a:noFill/>
        <a:ln w="9525">
          <a:noFill/>
          <a:miter lim="800000"/>
          <a:headEnd/>
          <a:tailEnd/>
        </a:ln>
      </xdr:spPr>
    </xdr:pic>
    <xdr:clientData/>
  </xdr:twoCellAnchor>
  <xdr:twoCellAnchor editAs="oneCell">
    <xdr:from>
      <xdr:col>2</xdr:col>
      <xdr:colOff>0</xdr:colOff>
      <xdr:row>197</xdr:row>
      <xdr:rowOff>0</xdr:rowOff>
    </xdr:from>
    <xdr:to>
      <xdr:col>2</xdr:col>
      <xdr:colOff>3906725</xdr:colOff>
      <xdr:row>213</xdr:row>
      <xdr:rowOff>142874</xdr:rowOff>
    </xdr:to>
    <xdr:pic>
      <xdr:nvPicPr>
        <xdr:cNvPr id="58" name="Picture 24"/>
        <xdr:cNvPicPr>
          <a:picLocks noChangeAspect="1" noChangeArrowheads="1"/>
        </xdr:cNvPicPr>
      </xdr:nvPicPr>
      <xdr:blipFill>
        <a:blip xmlns:r="http://schemas.openxmlformats.org/officeDocument/2006/relationships" r:embed="rId46" cstate="print"/>
        <a:srcRect/>
        <a:stretch>
          <a:fillRect/>
        </a:stretch>
      </xdr:blipFill>
      <xdr:spPr bwMode="auto">
        <a:xfrm>
          <a:off x="1028700" y="32804100"/>
          <a:ext cx="3906725" cy="2733674"/>
        </a:xfrm>
        <a:prstGeom prst="rect">
          <a:avLst/>
        </a:prstGeom>
        <a:noFill/>
      </xdr:spPr>
    </xdr:pic>
    <xdr:clientData/>
  </xdr:twoCellAnchor>
  <xdr:twoCellAnchor editAs="oneCell">
    <xdr:from>
      <xdr:col>2</xdr:col>
      <xdr:colOff>0</xdr:colOff>
      <xdr:row>222</xdr:row>
      <xdr:rowOff>0</xdr:rowOff>
    </xdr:from>
    <xdr:to>
      <xdr:col>2</xdr:col>
      <xdr:colOff>3900488</xdr:colOff>
      <xdr:row>238</xdr:row>
      <xdr:rowOff>133350</xdr:rowOff>
    </xdr:to>
    <xdr:pic>
      <xdr:nvPicPr>
        <xdr:cNvPr id="59" name="Picture 28"/>
        <xdr:cNvPicPr>
          <a:picLocks noChangeAspect="1" noChangeArrowheads="1"/>
        </xdr:cNvPicPr>
      </xdr:nvPicPr>
      <xdr:blipFill>
        <a:blip xmlns:r="http://schemas.openxmlformats.org/officeDocument/2006/relationships" r:embed="rId47" cstate="print"/>
        <a:srcRect/>
        <a:stretch>
          <a:fillRect/>
        </a:stretch>
      </xdr:blipFill>
      <xdr:spPr bwMode="auto">
        <a:xfrm>
          <a:off x="1028700" y="36852225"/>
          <a:ext cx="3900488" cy="2724150"/>
        </a:xfrm>
        <a:prstGeom prst="rect">
          <a:avLst/>
        </a:prstGeom>
        <a:noFill/>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xdr:col>
      <xdr:colOff>9526</xdr:colOff>
      <xdr:row>24</xdr:row>
      <xdr:rowOff>9526</xdr:rowOff>
    </xdr:from>
    <xdr:to>
      <xdr:col>4</xdr:col>
      <xdr:colOff>9525</xdr:colOff>
      <xdr:row>29</xdr:row>
      <xdr:rowOff>150550</xdr:rowOff>
    </xdr:to>
    <xdr:pic>
      <xdr:nvPicPr>
        <xdr:cNvPr id="104449" name="Picture 1" descr="http://heroes.ag.ru/h3/rmg/2SM4d/2sm4d.gif"/>
        <xdr:cNvPicPr>
          <a:picLocks noChangeAspect="1" noChangeArrowheads="1"/>
        </xdr:cNvPicPr>
      </xdr:nvPicPr>
      <xdr:blipFill>
        <a:blip xmlns:r="http://schemas.openxmlformats.org/officeDocument/2006/relationships" r:embed="rId1" cstate="print"/>
        <a:srcRect/>
        <a:stretch>
          <a:fillRect/>
        </a:stretch>
      </xdr:blipFill>
      <xdr:spPr bwMode="auto">
        <a:xfrm>
          <a:off x="257176" y="5410201"/>
          <a:ext cx="2771774" cy="1779324"/>
        </a:xfrm>
        <a:prstGeom prst="rect">
          <a:avLst/>
        </a:prstGeom>
        <a:noFill/>
      </xdr:spPr>
    </xdr:pic>
    <xdr:clientData/>
  </xdr:twoCellAnchor>
  <xdr:twoCellAnchor editAs="oneCell">
    <xdr:from>
      <xdr:col>1</xdr:col>
      <xdr:colOff>9525</xdr:colOff>
      <xdr:row>16</xdr:row>
      <xdr:rowOff>9525</xdr:rowOff>
    </xdr:from>
    <xdr:to>
      <xdr:col>2</xdr:col>
      <xdr:colOff>0</xdr:colOff>
      <xdr:row>17</xdr:row>
      <xdr:rowOff>0</xdr:rowOff>
    </xdr:to>
    <xdr:pic>
      <xdr:nvPicPr>
        <xdr:cNvPr id="104450" name="Picture 2" descr="http://heroes.ag.ru/h3/rmg/signs/zone.gif"/>
        <xdr:cNvPicPr>
          <a:picLocks noChangeAspect="1" noChangeArrowheads="1"/>
        </xdr:cNvPicPr>
      </xdr:nvPicPr>
      <xdr:blipFill>
        <a:blip xmlns:r="http://schemas.openxmlformats.org/officeDocument/2006/relationships" r:embed="rId2" cstate="print"/>
        <a:srcRect/>
        <a:stretch>
          <a:fillRect/>
        </a:stretch>
      </xdr:blipFill>
      <xdr:spPr bwMode="auto">
        <a:xfrm>
          <a:off x="257175" y="3200400"/>
          <a:ext cx="466725" cy="466725"/>
        </a:xfrm>
        <a:prstGeom prst="rect">
          <a:avLst/>
        </a:prstGeom>
        <a:noFill/>
      </xdr:spPr>
    </xdr:pic>
    <xdr:clientData/>
  </xdr:twoCellAnchor>
  <xdr:twoCellAnchor editAs="oneCell">
    <xdr:from>
      <xdr:col>3</xdr:col>
      <xdr:colOff>9525</xdr:colOff>
      <xdr:row>16</xdr:row>
      <xdr:rowOff>9525</xdr:rowOff>
    </xdr:from>
    <xdr:to>
      <xdr:col>4</xdr:col>
      <xdr:colOff>0</xdr:colOff>
      <xdr:row>17</xdr:row>
      <xdr:rowOff>0</xdr:rowOff>
    </xdr:to>
    <xdr:pic>
      <xdr:nvPicPr>
        <xdr:cNvPr id="104451" name="Picture 3" descr="http://heroes.ag.ru/h3/rmg/signs/zone_town.gif"/>
        <xdr:cNvPicPr>
          <a:picLocks noChangeAspect="1" noChangeArrowheads="1"/>
        </xdr:cNvPicPr>
      </xdr:nvPicPr>
      <xdr:blipFill>
        <a:blip xmlns:r="http://schemas.openxmlformats.org/officeDocument/2006/relationships" r:embed="rId3" cstate="print"/>
        <a:srcRect/>
        <a:stretch>
          <a:fillRect/>
        </a:stretch>
      </xdr:blipFill>
      <xdr:spPr bwMode="auto">
        <a:xfrm>
          <a:off x="2381250" y="3200400"/>
          <a:ext cx="466725" cy="466725"/>
        </a:xfrm>
        <a:prstGeom prst="rect">
          <a:avLst/>
        </a:prstGeom>
        <a:noFill/>
      </xdr:spPr>
    </xdr:pic>
    <xdr:clientData/>
  </xdr:twoCellAnchor>
  <xdr:twoCellAnchor editAs="oneCell">
    <xdr:from>
      <xdr:col>5</xdr:col>
      <xdr:colOff>9525</xdr:colOff>
      <xdr:row>16</xdr:row>
      <xdr:rowOff>9525</xdr:rowOff>
    </xdr:from>
    <xdr:to>
      <xdr:col>6</xdr:col>
      <xdr:colOff>0</xdr:colOff>
      <xdr:row>17</xdr:row>
      <xdr:rowOff>0</xdr:rowOff>
    </xdr:to>
    <xdr:pic>
      <xdr:nvPicPr>
        <xdr:cNvPr id="104452" name="Picture 4" descr="http://heroes.ag.ru/h3/rmg/signs/zone_village.gif"/>
        <xdr:cNvPicPr>
          <a:picLocks noChangeAspect="1" noChangeArrowheads="1"/>
        </xdr:cNvPicPr>
      </xdr:nvPicPr>
      <xdr:blipFill>
        <a:blip xmlns:r="http://schemas.openxmlformats.org/officeDocument/2006/relationships" r:embed="rId4" cstate="print"/>
        <a:srcRect/>
        <a:stretch>
          <a:fillRect/>
        </a:stretch>
      </xdr:blipFill>
      <xdr:spPr bwMode="auto">
        <a:xfrm>
          <a:off x="3305175" y="3200400"/>
          <a:ext cx="466725" cy="466725"/>
        </a:xfrm>
        <a:prstGeom prst="rect">
          <a:avLst/>
        </a:prstGeom>
        <a:noFill/>
      </xdr:spPr>
    </xdr:pic>
    <xdr:clientData/>
  </xdr:twoCellAnchor>
  <xdr:twoCellAnchor editAs="oneCell">
    <xdr:from>
      <xdr:col>7</xdr:col>
      <xdr:colOff>9525</xdr:colOff>
      <xdr:row>16</xdr:row>
      <xdr:rowOff>9525</xdr:rowOff>
    </xdr:from>
    <xdr:to>
      <xdr:col>8</xdr:col>
      <xdr:colOff>0</xdr:colOff>
      <xdr:row>17</xdr:row>
      <xdr:rowOff>0</xdr:rowOff>
    </xdr:to>
    <xdr:pic>
      <xdr:nvPicPr>
        <xdr:cNvPr id="104453" name="Picture 5" descr="http://heroes.ag.ru/h3/rmg/signs/zone_top.gif"/>
        <xdr:cNvPicPr>
          <a:picLocks noChangeAspect="1" noChangeArrowheads="1"/>
        </xdr:cNvPicPr>
      </xdr:nvPicPr>
      <xdr:blipFill>
        <a:blip xmlns:r="http://schemas.openxmlformats.org/officeDocument/2006/relationships" r:embed="rId5" cstate="print"/>
        <a:srcRect/>
        <a:stretch>
          <a:fillRect/>
        </a:stretch>
      </xdr:blipFill>
      <xdr:spPr bwMode="auto">
        <a:xfrm>
          <a:off x="4829175" y="3200400"/>
          <a:ext cx="466725" cy="466725"/>
        </a:xfrm>
        <a:prstGeom prst="rect">
          <a:avLst/>
        </a:prstGeom>
        <a:noFill/>
      </xdr:spPr>
    </xdr:pic>
    <xdr:clientData/>
  </xdr:twoCellAnchor>
  <xdr:twoCellAnchor editAs="oneCell">
    <xdr:from>
      <xdr:col>1</xdr:col>
      <xdr:colOff>9525</xdr:colOff>
      <xdr:row>17</xdr:row>
      <xdr:rowOff>9525</xdr:rowOff>
    </xdr:from>
    <xdr:to>
      <xdr:col>2</xdr:col>
      <xdr:colOff>0</xdr:colOff>
      <xdr:row>18</xdr:row>
      <xdr:rowOff>0</xdr:rowOff>
    </xdr:to>
    <xdr:pic>
      <xdr:nvPicPr>
        <xdr:cNvPr id="104454" name="Picture 6" descr="http://heroes.ag.ru/h3/rmg/signs/monsters_weak.gif"/>
        <xdr:cNvPicPr>
          <a:picLocks noChangeAspect="1" noChangeArrowheads="1"/>
        </xdr:cNvPicPr>
      </xdr:nvPicPr>
      <xdr:blipFill>
        <a:blip xmlns:r="http://schemas.openxmlformats.org/officeDocument/2006/relationships" r:embed="rId6" cstate="print"/>
        <a:srcRect/>
        <a:stretch>
          <a:fillRect/>
        </a:stretch>
      </xdr:blipFill>
      <xdr:spPr bwMode="auto">
        <a:xfrm>
          <a:off x="257175" y="3676650"/>
          <a:ext cx="466725" cy="466725"/>
        </a:xfrm>
        <a:prstGeom prst="rect">
          <a:avLst/>
        </a:prstGeom>
        <a:noFill/>
      </xdr:spPr>
    </xdr:pic>
    <xdr:clientData/>
  </xdr:twoCellAnchor>
  <xdr:twoCellAnchor editAs="oneCell">
    <xdr:from>
      <xdr:col>3</xdr:col>
      <xdr:colOff>9525</xdr:colOff>
      <xdr:row>17</xdr:row>
      <xdr:rowOff>9525</xdr:rowOff>
    </xdr:from>
    <xdr:to>
      <xdr:col>4</xdr:col>
      <xdr:colOff>0</xdr:colOff>
      <xdr:row>18</xdr:row>
      <xdr:rowOff>0</xdr:rowOff>
    </xdr:to>
    <xdr:pic>
      <xdr:nvPicPr>
        <xdr:cNvPr id="104455" name="Picture 7" descr="http://heroes.ag.ru/h3/rmg/signs/monsters_avg.gif"/>
        <xdr:cNvPicPr>
          <a:picLocks noChangeAspect="1" noChangeArrowheads="1"/>
        </xdr:cNvPicPr>
      </xdr:nvPicPr>
      <xdr:blipFill>
        <a:blip xmlns:r="http://schemas.openxmlformats.org/officeDocument/2006/relationships" r:embed="rId7" cstate="print"/>
        <a:srcRect/>
        <a:stretch>
          <a:fillRect/>
        </a:stretch>
      </xdr:blipFill>
      <xdr:spPr bwMode="auto">
        <a:xfrm>
          <a:off x="2514600" y="3676650"/>
          <a:ext cx="466725" cy="466725"/>
        </a:xfrm>
        <a:prstGeom prst="rect">
          <a:avLst/>
        </a:prstGeom>
        <a:noFill/>
      </xdr:spPr>
    </xdr:pic>
    <xdr:clientData/>
  </xdr:twoCellAnchor>
  <xdr:twoCellAnchor editAs="oneCell">
    <xdr:from>
      <xdr:col>5</xdr:col>
      <xdr:colOff>9525</xdr:colOff>
      <xdr:row>17</xdr:row>
      <xdr:rowOff>9525</xdr:rowOff>
    </xdr:from>
    <xdr:to>
      <xdr:col>6</xdr:col>
      <xdr:colOff>0</xdr:colOff>
      <xdr:row>18</xdr:row>
      <xdr:rowOff>0</xdr:rowOff>
    </xdr:to>
    <xdr:pic>
      <xdr:nvPicPr>
        <xdr:cNvPr id="104456" name="Picture 8" descr="http://heroes.ag.ru/h3/rmg/signs/monsters_strong.gif"/>
        <xdr:cNvPicPr>
          <a:picLocks noChangeAspect="1" noChangeArrowheads="1"/>
        </xdr:cNvPicPr>
      </xdr:nvPicPr>
      <xdr:blipFill>
        <a:blip xmlns:r="http://schemas.openxmlformats.org/officeDocument/2006/relationships" r:embed="rId8" cstate="print"/>
        <a:srcRect/>
        <a:stretch>
          <a:fillRect/>
        </a:stretch>
      </xdr:blipFill>
      <xdr:spPr bwMode="auto">
        <a:xfrm>
          <a:off x="4772025" y="3676650"/>
          <a:ext cx="466725" cy="466725"/>
        </a:xfrm>
        <a:prstGeom prst="rect">
          <a:avLst/>
        </a:prstGeom>
        <a:noFill/>
      </xdr:spPr>
    </xdr:pic>
    <xdr:clientData/>
  </xdr:twoCellAnchor>
  <xdr:twoCellAnchor editAs="oneCell">
    <xdr:from>
      <xdr:col>7</xdr:col>
      <xdr:colOff>1</xdr:colOff>
      <xdr:row>17</xdr:row>
      <xdr:rowOff>114300</xdr:rowOff>
    </xdr:from>
    <xdr:to>
      <xdr:col>8</xdr:col>
      <xdr:colOff>9525</xdr:colOff>
      <xdr:row>17</xdr:row>
      <xdr:rowOff>381000</xdr:rowOff>
    </xdr:to>
    <xdr:pic>
      <xdr:nvPicPr>
        <xdr:cNvPr id="104457" name="Picture 9" descr="http://heroes.ag.ru/h3/rmg/signs/connection.gif"/>
        <xdr:cNvPicPr>
          <a:picLocks noChangeAspect="1" noChangeArrowheads="1"/>
        </xdr:cNvPicPr>
      </xdr:nvPicPr>
      <xdr:blipFill>
        <a:blip xmlns:r="http://schemas.openxmlformats.org/officeDocument/2006/relationships" r:embed="rId9" cstate="print"/>
        <a:srcRect/>
        <a:stretch>
          <a:fillRect/>
        </a:stretch>
      </xdr:blipFill>
      <xdr:spPr bwMode="auto">
        <a:xfrm>
          <a:off x="7019926" y="3781425"/>
          <a:ext cx="485774" cy="266700"/>
        </a:xfrm>
        <a:prstGeom prst="rect">
          <a:avLst/>
        </a:prstGeom>
        <a:noFill/>
      </xdr:spPr>
    </xdr:pic>
    <xdr:clientData/>
  </xdr:twoCellAnchor>
  <xdr:twoCellAnchor editAs="oneCell">
    <xdr:from>
      <xdr:col>1</xdr:col>
      <xdr:colOff>9525</xdr:colOff>
      <xdr:row>18</xdr:row>
      <xdr:rowOff>28575</xdr:rowOff>
    </xdr:from>
    <xdr:to>
      <xdr:col>2</xdr:col>
      <xdr:colOff>9524</xdr:colOff>
      <xdr:row>18</xdr:row>
      <xdr:rowOff>295275</xdr:rowOff>
    </xdr:to>
    <xdr:pic>
      <xdr:nvPicPr>
        <xdr:cNvPr id="104458" name="Picture 10" descr="http://heroes.ag.ru/h3/rmg/signs/connection2.gif"/>
        <xdr:cNvPicPr>
          <a:picLocks noChangeAspect="1" noChangeArrowheads="1"/>
        </xdr:cNvPicPr>
      </xdr:nvPicPr>
      <xdr:blipFill>
        <a:blip xmlns:r="http://schemas.openxmlformats.org/officeDocument/2006/relationships" r:embed="rId10" cstate="print"/>
        <a:srcRect/>
        <a:stretch>
          <a:fillRect/>
        </a:stretch>
      </xdr:blipFill>
      <xdr:spPr bwMode="auto">
        <a:xfrm>
          <a:off x="257175" y="4171950"/>
          <a:ext cx="476249" cy="266700"/>
        </a:xfrm>
        <a:prstGeom prst="rect">
          <a:avLst/>
        </a:prstGeom>
        <a:noFill/>
      </xdr:spPr>
    </xdr:pic>
    <xdr:clientData/>
  </xdr:twoCellAnchor>
  <xdr:twoCellAnchor editAs="oneCell">
    <xdr:from>
      <xdr:col>3</xdr:col>
      <xdr:colOff>9525</xdr:colOff>
      <xdr:row>18</xdr:row>
      <xdr:rowOff>28575</xdr:rowOff>
    </xdr:from>
    <xdr:to>
      <xdr:col>4</xdr:col>
      <xdr:colOff>9525</xdr:colOff>
      <xdr:row>18</xdr:row>
      <xdr:rowOff>295275</xdr:rowOff>
    </xdr:to>
    <xdr:pic>
      <xdr:nvPicPr>
        <xdr:cNvPr id="104459" name="Picture 11" descr="http://heroes.ag.ru/h3/rmg/signs/connection3.gif"/>
        <xdr:cNvPicPr>
          <a:picLocks noChangeAspect="1" noChangeArrowheads="1"/>
        </xdr:cNvPicPr>
      </xdr:nvPicPr>
      <xdr:blipFill>
        <a:blip xmlns:r="http://schemas.openxmlformats.org/officeDocument/2006/relationships" r:embed="rId11" cstate="print"/>
        <a:srcRect/>
        <a:stretch>
          <a:fillRect/>
        </a:stretch>
      </xdr:blipFill>
      <xdr:spPr bwMode="auto">
        <a:xfrm>
          <a:off x="2514600" y="4171950"/>
          <a:ext cx="476250" cy="266700"/>
        </a:xfrm>
        <a:prstGeom prst="rect">
          <a:avLst/>
        </a:prstGeom>
        <a:noFill/>
      </xdr:spPr>
    </xdr:pic>
    <xdr:clientData/>
  </xdr:twoCellAnchor>
  <xdr:twoCellAnchor editAs="oneCell">
    <xdr:from>
      <xdr:col>5</xdr:col>
      <xdr:colOff>9525</xdr:colOff>
      <xdr:row>18</xdr:row>
      <xdr:rowOff>28575</xdr:rowOff>
    </xdr:from>
    <xdr:to>
      <xdr:col>6</xdr:col>
      <xdr:colOff>9524</xdr:colOff>
      <xdr:row>18</xdr:row>
      <xdr:rowOff>295275</xdr:rowOff>
    </xdr:to>
    <xdr:pic>
      <xdr:nvPicPr>
        <xdr:cNvPr id="104460" name="Picture 12" descr="http://heroes.ag.ru/h3/rmg/signs/connectionx.gif"/>
        <xdr:cNvPicPr>
          <a:picLocks noChangeAspect="1" noChangeArrowheads="1"/>
        </xdr:cNvPicPr>
      </xdr:nvPicPr>
      <xdr:blipFill>
        <a:blip xmlns:r="http://schemas.openxmlformats.org/officeDocument/2006/relationships" r:embed="rId12" cstate="print"/>
        <a:srcRect/>
        <a:stretch>
          <a:fillRect/>
        </a:stretch>
      </xdr:blipFill>
      <xdr:spPr bwMode="auto">
        <a:xfrm>
          <a:off x="4772025" y="4171950"/>
          <a:ext cx="476249" cy="266700"/>
        </a:xfrm>
        <a:prstGeom prst="rect">
          <a:avLst/>
        </a:prstGeom>
        <a:noFill/>
      </xdr:spPr>
    </xdr:pic>
    <xdr:clientData/>
  </xdr:twoCellAnchor>
  <xdr:twoCellAnchor editAs="oneCell">
    <xdr:from>
      <xdr:col>7</xdr:col>
      <xdr:colOff>9526</xdr:colOff>
      <xdr:row>18</xdr:row>
      <xdr:rowOff>28575</xdr:rowOff>
    </xdr:from>
    <xdr:to>
      <xdr:col>8</xdr:col>
      <xdr:colOff>9525</xdr:colOff>
      <xdr:row>18</xdr:row>
      <xdr:rowOff>295275</xdr:rowOff>
    </xdr:to>
    <xdr:pic>
      <xdr:nvPicPr>
        <xdr:cNvPr id="104461" name="Picture 13" descr="http://heroes.ag.ru/h3/rmg/signs/connection_double.gif"/>
        <xdr:cNvPicPr>
          <a:picLocks noChangeAspect="1" noChangeArrowheads="1"/>
        </xdr:cNvPicPr>
      </xdr:nvPicPr>
      <xdr:blipFill>
        <a:blip xmlns:r="http://schemas.openxmlformats.org/officeDocument/2006/relationships" r:embed="rId13" cstate="print"/>
        <a:srcRect/>
        <a:stretch>
          <a:fillRect/>
        </a:stretch>
      </xdr:blipFill>
      <xdr:spPr bwMode="auto">
        <a:xfrm>
          <a:off x="7029451" y="4171950"/>
          <a:ext cx="476249" cy="266700"/>
        </a:xfrm>
        <a:prstGeom prst="rect">
          <a:avLst/>
        </a:prstGeom>
        <a:noFill/>
      </xdr:spPr>
    </xdr:pic>
    <xdr:clientData/>
  </xdr:twoCellAnchor>
  <xdr:twoCellAnchor editAs="oneCell">
    <xdr:from>
      <xdr:col>1</xdr:col>
      <xdr:colOff>9525</xdr:colOff>
      <xdr:row>37</xdr:row>
      <xdr:rowOff>9525</xdr:rowOff>
    </xdr:from>
    <xdr:to>
      <xdr:col>3</xdr:col>
      <xdr:colOff>473819</xdr:colOff>
      <xdr:row>45</xdr:row>
      <xdr:rowOff>155574</xdr:rowOff>
    </xdr:to>
    <xdr:pic>
      <xdr:nvPicPr>
        <xdr:cNvPr id="16" name="Picture 14" descr="http://heroes.ag.ru/h3/rmg/2SM4d(2)/2sm4d(2).gif"/>
        <xdr:cNvPicPr>
          <a:picLocks noChangeAspect="1" noChangeArrowheads="1"/>
        </xdr:cNvPicPr>
      </xdr:nvPicPr>
      <xdr:blipFill>
        <a:blip xmlns:r="http://schemas.openxmlformats.org/officeDocument/2006/relationships" r:embed="rId14" cstate="print"/>
        <a:srcRect/>
        <a:stretch>
          <a:fillRect/>
        </a:stretch>
      </xdr:blipFill>
      <xdr:spPr bwMode="auto">
        <a:xfrm>
          <a:off x="257175" y="8239125"/>
          <a:ext cx="2759819" cy="1771649"/>
        </a:xfrm>
        <a:prstGeom prst="rect">
          <a:avLst/>
        </a:prstGeom>
        <a:noFill/>
      </xdr:spPr>
    </xdr:pic>
    <xdr:clientData/>
  </xdr:twoCellAnchor>
  <xdr:twoCellAnchor editAs="oneCell">
    <xdr:from>
      <xdr:col>1</xdr:col>
      <xdr:colOff>9525</xdr:colOff>
      <xdr:row>49</xdr:row>
      <xdr:rowOff>9525</xdr:rowOff>
    </xdr:from>
    <xdr:to>
      <xdr:col>4</xdr:col>
      <xdr:colOff>12409</xdr:colOff>
      <xdr:row>57</xdr:row>
      <xdr:rowOff>0</xdr:rowOff>
    </xdr:to>
    <xdr:pic>
      <xdr:nvPicPr>
        <xdr:cNvPr id="104463" name="Picture 15" descr="http://heroes.ag.ru/h3/rmg/2SM4d(3)/2sm4d(3).gif"/>
        <xdr:cNvPicPr>
          <a:picLocks noChangeAspect="1" noChangeArrowheads="1"/>
        </xdr:cNvPicPr>
      </xdr:nvPicPr>
      <xdr:blipFill>
        <a:blip xmlns:r="http://schemas.openxmlformats.org/officeDocument/2006/relationships" r:embed="rId15" cstate="print"/>
        <a:srcRect/>
        <a:stretch>
          <a:fillRect/>
        </a:stretch>
      </xdr:blipFill>
      <xdr:spPr bwMode="auto">
        <a:xfrm>
          <a:off x="257175" y="10239375"/>
          <a:ext cx="2774659" cy="1781175"/>
        </a:xfrm>
        <a:prstGeom prst="rect">
          <a:avLst/>
        </a:prstGeom>
        <a:noFill/>
      </xdr:spPr>
    </xdr:pic>
    <xdr:clientData/>
  </xdr:twoCellAnchor>
  <xdr:twoCellAnchor editAs="oneCell">
    <xdr:from>
      <xdr:col>0</xdr:col>
      <xdr:colOff>247649</xdr:colOff>
      <xdr:row>61</xdr:row>
      <xdr:rowOff>0</xdr:rowOff>
    </xdr:from>
    <xdr:to>
      <xdr:col>6</xdr:col>
      <xdr:colOff>13248</xdr:colOff>
      <xdr:row>73</xdr:row>
      <xdr:rowOff>828675</xdr:rowOff>
    </xdr:to>
    <xdr:pic>
      <xdr:nvPicPr>
        <xdr:cNvPr id="104465" name="Picture 17" descr="http://heroes.ag.ru/h3/rmg/8MM6/8mm6.gif"/>
        <xdr:cNvPicPr>
          <a:picLocks noChangeAspect="1" noChangeArrowheads="1"/>
        </xdr:cNvPicPr>
      </xdr:nvPicPr>
      <xdr:blipFill>
        <a:blip xmlns:r="http://schemas.openxmlformats.org/officeDocument/2006/relationships" r:embed="rId16" cstate="print"/>
        <a:srcRect/>
        <a:stretch>
          <a:fillRect/>
        </a:stretch>
      </xdr:blipFill>
      <xdr:spPr bwMode="auto">
        <a:xfrm>
          <a:off x="247649" y="12563475"/>
          <a:ext cx="5080549" cy="3429000"/>
        </a:xfrm>
        <a:prstGeom prst="rect">
          <a:avLst/>
        </a:prstGeom>
        <a:noFill/>
      </xdr:spPr>
    </xdr:pic>
    <xdr:clientData/>
  </xdr:twoCellAnchor>
  <xdr:twoCellAnchor editAs="oneCell">
    <xdr:from>
      <xdr:col>1</xdr:col>
      <xdr:colOff>9525</xdr:colOff>
      <xdr:row>77</xdr:row>
      <xdr:rowOff>9525</xdr:rowOff>
    </xdr:from>
    <xdr:to>
      <xdr:col>6</xdr:col>
      <xdr:colOff>9525</xdr:colOff>
      <xdr:row>94</xdr:row>
      <xdr:rowOff>155339</xdr:rowOff>
    </xdr:to>
    <xdr:pic>
      <xdr:nvPicPr>
        <xdr:cNvPr id="104466" name="Picture 18" descr="http://heroes.ag.ru/h3/rmg/8xm12/8xm12.gif"/>
        <xdr:cNvPicPr>
          <a:picLocks noChangeAspect="1" noChangeArrowheads="1"/>
        </xdr:cNvPicPr>
      </xdr:nvPicPr>
      <xdr:blipFill>
        <a:blip xmlns:r="http://schemas.openxmlformats.org/officeDocument/2006/relationships" r:embed="rId17" cstate="print"/>
        <a:srcRect/>
        <a:stretch>
          <a:fillRect/>
        </a:stretch>
      </xdr:blipFill>
      <xdr:spPr bwMode="auto">
        <a:xfrm>
          <a:off x="257175" y="17364075"/>
          <a:ext cx="5067300" cy="5041664"/>
        </a:xfrm>
        <a:prstGeom prst="rect">
          <a:avLst/>
        </a:prstGeom>
        <a:noFill/>
      </xdr:spPr>
    </xdr:pic>
    <xdr:clientData/>
  </xdr:twoCellAnchor>
  <xdr:twoCellAnchor editAs="oneCell">
    <xdr:from>
      <xdr:col>1</xdr:col>
      <xdr:colOff>9525</xdr:colOff>
      <xdr:row>97</xdr:row>
      <xdr:rowOff>9525</xdr:rowOff>
    </xdr:from>
    <xdr:to>
      <xdr:col>4</xdr:col>
      <xdr:colOff>6370</xdr:colOff>
      <xdr:row>111</xdr:row>
      <xdr:rowOff>0</xdr:rowOff>
    </xdr:to>
    <xdr:pic>
      <xdr:nvPicPr>
        <xdr:cNvPr id="104467" name="Picture 19" descr="http://heroes.ag.ru/h3/rmg/4sm0d/4sm0d.gif"/>
        <xdr:cNvPicPr>
          <a:picLocks noChangeAspect="1" noChangeArrowheads="1"/>
        </xdr:cNvPicPr>
      </xdr:nvPicPr>
      <xdr:blipFill>
        <a:blip xmlns:r="http://schemas.openxmlformats.org/officeDocument/2006/relationships" r:embed="rId18" cstate="print"/>
        <a:srcRect/>
        <a:stretch>
          <a:fillRect/>
        </a:stretch>
      </xdr:blipFill>
      <xdr:spPr bwMode="auto">
        <a:xfrm>
          <a:off x="257175" y="22640925"/>
          <a:ext cx="2768620" cy="2495550"/>
        </a:xfrm>
        <a:prstGeom prst="rect">
          <a:avLst/>
        </a:prstGeom>
        <a:noFill/>
      </xdr:spPr>
    </xdr:pic>
    <xdr:clientData/>
  </xdr:twoCellAnchor>
  <xdr:twoCellAnchor editAs="oneCell">
    <xdr:from>
      <xdr:col>1</xdr:col>
      <xdr:colOff>1</xdr:colOff>
      <xdr:row>113</xdr:row>
      <xdr:rowOff>0</xdr:rowOff>
    </xdr:from>
    <xdr:to>
      <xdr:col>2</xdr:col>
      <xdr:colOff>1800225</xdr:colOff>
      <xdr:row>129</xdr:row>
      <xdr:rowOff>7941</xdr:rowOff>
    </xdr:to>
    <xdr:pic>
      <xdr:nvPicPr>
        <xdr:cNvPr id="107521" name="Picture 1" descr="http://heroesportal.net/files/ontemplates/mininostalgie/MiniNostalgie.jpg"/>
        <xdr:cNvPicPr>
          <a:picLocks noChangeAspect="1" noChangeArrowheads="1"/>
        </xdr:cNvPicPr>
      </xdr:nvPicPr>
      <xdr:blipFill>
        <a:blip xmlns:r="http://schemas.openxmlformats.org/officeDocument/2006/relationships" r:embed="rId19" cstate="print"/>
        <a:srcRect/>
        <a:stretch>
          <a:fillRect/>
        </a:stretch>
      </xdr:blipFill>
      <xdr:spPr bwMode="auto">
        <a:xfrm>
          <a:off x="247651" y="25450800"/>
          <a:ext cx="2276474" cy="3255966"/>
        </a:xfrm>
        <a:prstGeom prst="rect">
          <a:avLst/>
        </a:prstGeom>
        <a:noFill/>
      </xdr:spPr>
    </xdr:pic>
    <xdr:clientData/>
  </xdr:twoCellAnchor>
  <xdr:twoCellAnchor editAs="oneCell">
    <xdr:from>
      <xdr:col>0</xdr:col>
      <xdr:colOff>247649</xdr:colOff>
      <xdr:row>131</xdr:row>
      <xdr:rowOff>0</xdr:rowOff>
    </xdr:from>
    <xdr:to>
      <xdr:col>3</xdr:col>
      <xdr:colOff>476249</xdr:colOff>
      <xdr:row>150</xdr:row>
      <xdr:rowOff>17840</xdr:rowOff>
    </xdr:to>
    <xdr:pic>
      <xdr:nvPicPr>
        <xdr:cNvPr id="2" name="Picture 1" descr="http://heroesportal.net/files/ontemplates/Nostalgia/Nostalgia.JPG"/>
        <xdr:cNvPicPr>
          <a:picLocks noChangeAspect="1" noChangeArrowheads="1"/>
        </xdr:cNvPicPr>
      </xdr:nvPicPr>
      <xdr:blipFill>
        <a:blip xmlns:r="http://schemas.openxmlformats.org/officeDocument/2006/relationships" r:embed="rId20" cstate="print"/>
        <a:srcRect/>
        <a:stretch>
          <a:fillRect/>
        </a:stretch>
      </xdr:blipFill>
      <xdr:spPr bwMode="auto">
        <a:xfrm>
          <a:off x="247649" y="28917900"/>
          <a:ext cx="2771775" cy="4085015"/>
        </a:xfrm>
        <a:prstGeom prst="rect">
          <a:avLst/>
        </a:prstGeom>
        <a:noFill/>
      </xdr:spPr>
    </xdr:pic>
    <xdr:clientData/>
  </xdr:twoCellAnchor>
  <xdr:twoCellAnchor editAs="oneCell">
    <xdr:from>
      <xdr:col>1</xdr:col>
      <xdr:colOff>1</xdr:colOff>
      <xdr:row>151</xdr:row>
      <xdr:rowOff>161924</xdr:rowOff>
    </xdr:from>
    <xdr:to>
      <xdr:col>4</xdr:col>
      <xdr:colOff>0</xdr:colOff>
      <xdr:row>159</xdr:row>
      <xdr:rowOff>120351</xdr:rowOff>
    </xdr:to>
    <xdr:pic>
      <xdr:nvPicPr>
        <xdr:cNvPr id="107522" name="Picture 2" descr="http://heroesportal.net/files/ontemplates/Jebus_Cross/jebus.GIF"/>
        <xdr:cNvPicPr>
          <a:picLocks noChangeAspect="1" noChangeArrowheads="1"/>
        </xdr:cNvPicPr>
      </xdr:nvPicPr>
      <xdr:blipFill>
        <a:blip xmlns:r="http://schemas.openxmlformats.org/officeDocument/2006/relationships" r:embed="rId21" cstate="print"/>
        <a:srcRect/>
        <a:stretch>
          <a:fillRect/>
        </a:stretch>
      </xdr:blipFill>
      <xdr:spPr bwMode="auto">
        <a:xfrm>
          <a:off x="247651" y="33204149"/>
          <a:ext cx="2771774" cy="2568277"/>
        </a:xfrm>
        <a:prstGeom prst="rect">
          <a:avLst/>
        </a:prstGeom>
        <a:noFill/>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1</xdr:col>
      <xdr:colOff>95250</xdr:colOff>
      <xdr:row>23</xdr:row>
      <xdr:rowOff>9525</xdr:rowOff>
    </xdr:to>
    <xdr:pic>
      <xdr:nvPicPr>
        <xdr:cNvPr id="3711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09600" y="5895975"/>
          <a:ext cx="95250" cy="9525"/>
        </a:xfrm>
        <a:prstGeom prst="rect">
          <a:avLst/>
        </a:prstGeom>
        <a:noFill/>
        <a:ln w="9525">
          <a:noFill/>
          <a:miter lim="800000"/>
          <a:headEnd/>
          <a:tailEnd/>
        </a:ln>
      </xdr:spPr>
    </xdr:pic>
    <xdr:clientData/>
  </xdr:twoCellAnchor>
  <xdr:twoCellAnchor editAs="oneCell">
    <xdr:from>
      <xdr:col>1</xdr:col>
      <xdr:colOff>0</xdr:colOff>
      <xdr:row>24</xdr:row>
      <xdr:rowOff>0</xdr:rowOff>
    </xdr:from>
    <xdr:to>
      <xdr:col>1</xdr:col>
      <xdr:colOff>95250</xdr:colOff>
      <xdr:row>24</xdr:row>
      <xdr:rowOff>9525</xdr:rowOff>
    </xdr:to>
    <xdr:pic>
      <xdr:nvPicPr>
        <xdr:cNvPr id="3711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09600" y="6057900"/>
          <a:ext cx="95250" cy="9525"/>
        </a:xfrm>
        <a:prstGeom prst="rect">
          <a:avLst/>
        </a:prstGeom>
        <a:noFill/>
        <a:ln w="9525">
          <a:noFill/>
          <a:miter lim="800000"/>
          <a:headEnd/>
          <a:tailEnd/>
        </a:ln>
      </xdr:spPr>
    </xdr:pic>
    <xdr:clientData/>
  </xdr:twoCellAnchor>
  <xdr:twoCellAnchor editAs="oneCell">
    <xdr:from>
      <xdr:col>1</xdr:col>
      <xdr:colOff>0</xdr:colOff>
      <xdr:row>25</xdr:row>
      <xdr:rowOff>0</xdr:rowOff>
    </xdr:from>
    <xdr:to>
      <xdr:col>1</xdr:col>
      <xdr:colOff>95250</xdr:colOff>
      <xdr:row>25</xdr:row>
      <xdr:rowOff>9525</xdr:rowOff>
    </xdr:to>
    <xdr:pic>
      <xdr:nvPicPr>
        <xdr:cNvPr id="37119"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09600" y="6219825"/>
          <a:ext cx="95250" cy="9525"/>
        </a:xfrm>
        <a:prstGeom prst="rect">
          <a:avLst/>
        </a:prstGeom>
        <a:noFill/>
        <a:ln w="9525">
          <a:noFill/>
          <a:miter lim="800000"/>
          <a:headEnd/>
          <a:tailEnd/>
        </a:ln>
      </xdr:spPr>
    </xdr:pic>
    <xdr:clientData/>
  </xdr:twoCellAnchor>
  <xdr:twoCellAnchor editAs="oneCell">
    <xdr:from>
      <xdr:col>1</xdr:col>
      <xdr:colOff>0</xdr:colOff>
      <xdr:row>26</xdr:row>
      <xdr:rowOff>0</xdr:rowOff>
    </xdr:from>
    <xdr:to>
      <xdr:col>1</xdr:col>
      <xdr:colOff>95250</xdr:colOff>
      <xdr:row>26</xdr:row>
      <xdr:rowOff>9525</xdr:rowOff>
    </xdr:to>
    <xdr:pic>
      <xdr:nvPicPr>
        <xdr:cNvPr id="371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609600" y="6381750"/>
          <a:ext cx="95250" cy="9525"/>
        </a:xfrm>
        <a:prstGeom prst="rect">
          <a:avLst/>
        </a:prstGeom>
        <a:noFill/>
        <a:ln w="9525">
          <a:noFill/>
          <a:miter lim="800000"/>
          <a:headEnd/>
          <a:tailEnd/>
        </a:ln>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9525</xdr:colOff>
      <xdr:row>4</xdr:row>
      <xdr:rowOff>9525</xdr:rowOff>
    </xdr:from>
    <xdr:to>
      <xdr:col>1</xdr:col>
      <xdr:colOff>552450</xdr:colOff>
      <xdr:row>7</xdr:row>
      <xdr:rowOff>133350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57175" y="447675"/>
          <a:ext cx="542925" cy="609600"/>
        </a:xfrm>
        <a:prstGeom prst="rect">
          <a:avLst/>
        </a:prstGeom>
        <a:noFill/>
      </xdr:spPr>
    </xdr:pic>
    <xdr:clientData/>
  </xdr:twoCellAnchor>
  <xdr:twoCellAnchor editAs="oneCell">
    <xdr:from>
      <xdr:col>1</xdr:col>
      <xdr:colOff>9525</xdr:colOff>
      <xdr:row>8</xdr:row>
      <xdr:rowOff>9525</xdr:rowOff>
    </xdr:from>
    <xdr:to>
      <xdr:col>1</xdr:col>
      <xdr:colOff>552450</xdr:colOff>
      <xdr:row>11</xdr:row>
      <xdr:rowOff>133350</xdr:rowOff>
    </xdr:to>
    <xdr:pic>
      <xdr:nvPicPr>
        <xdr:cNvPr id="5"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7175" y="1152525"/>
          <a:ext cx="542925" cy="609600"/>
        </a:xfrm>
        <a:prstGeom prst="rect">
          <a:avLst/>
        </a:prstGeom>
        <a:noFill/>
      </xdr:spPr>
    </xdr:pic>
    <xdr:clientData/>
  </xdr:twoCellAnchor>
  <xdr:twoCellAnchor editAs="oneCell">
    <xdr:from>
      <xdr:col>1</xdr:col>
      <xdr:colOff>9524</xdr:colOff>
      <xdr:row>12</xdr:row>
      <xdr:rowOff>9526</xdr:rowOff>
    </xdr:from>
    <xdr:to>
      <xdr:col>1</xdr:col>
      <xdr:colOff>552449</xdr:colOff>
      <xdr:row>15</xdr:row>
      <xdr:rowOff>139507</xdr:rowOff>
    </xdr:to>
    <xdr:pic>
      <xdr:nvPicPr>
        <xdr:cNvPr id="7"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257174" y="1743076"/>
          <a:ext cx="542925" cy="615756"/>
        </a:xfrm>
        <a:prstGeom prst="rect">
          <a:avLst/>
        </a:prstGeom>
        <a:noFill/>
      </xdr:spPr>
    </xdr:pic>
    <xdr:clientData/>
  </xdr:twoCellAnchor>
  <xdr:twoCellAnchor editAs="oneCell">
    <xdr:from>
      <xdr:col>1</xdr:col>
      <xdr:colOff>9525</xdr:colOff>
      <xdr:row>16</xdr:row>
      <xdr:rowOff>9525</xdr:rowOff>
    </xdr:from>
    <xdr:to>
      <xdr:col>1</xdr:col>
      <xdr:colOff>552450</xdr:colOff>
      <xdr:row>19</xdr:row>
      <xdr:rowOff>139507</xdr:rowOff>
    </xdr:to>
    <xdr:pic>
      <xdr:nvPicPr>
        <xdr:cNvPr id="9"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257175" y="2390775"/>
          <a:ext cx="542925" cy="615757"/>
        </a:xfrm>
        <a:prstGeom prst="rect">
          <a:avLst/>
        </a:prstGeom>
        <a:noFill/>
      </xdr:spPr>
    </xdr:pic>
    <xdr:clientData/>
  </xdr:twoCellAnchor>
  <xdr:twoCellAnchor editAs="oneCell">
    <xdr:from>
      <xdr:col>1</xdr:col>
      <xdr:colOff>9524</xdr:colOff>
      <xdr:row>20</xdr:row>
      <xdr:rowOff>9526</xdr:rowOff>
    </xdr:from>
    <xdr:to>
      <xdr:col>1</xdr:col>
      <xdr:colOff>555419</xdr:colOff>
      <xdr:row>23</xdr:row>
      <xdr:rowOff>142875</xdr:rowOff>
    </xdr:to>
    <xdr:pic>
      <xdr:nvPicPr>
        <xdr:cNvPr id="11" name="Picture 10"/>
        <xdr:cNvPicPr>
          <a:picLocks noChangeAspect="1" noChangeArrowheads="1"/>
        </xdr:cNvPicPr>
      </xdr:nvPicPr>
      <xdr:blipFill>
        <a:blip xmlns:r="http://schemas.openxmlformats.org/officeDocument/2006/relationships" r:embed="rId5" cstate="print"/>
        <a:srcRect/>
        <a:stretch>
          <a:fillRect/>
        </a:stretch>
      </xdr:blipFill>
      <xdr:spPr bwMode="auto">
        <a:xfrm>
          <a:off x="257174" y="3038476"/>
          <a:ext cx="545895" cy="619124"/>
        </a:xfrm>
        <a:prstGeom prst="rect">
          <a:avLst/>
        </a:prstGeom>
        <a:noFill/>
      </xdr:spPr>
    </xdr:pic>
    <xdr:clientData/>
  </xdr:twoCellAnchor>
  <xdr:twoCellAnchor editAs="oneCell">
    <xdr:from>
      <xdr:col>1</xdr:col>
      <xdr:colOff>9524</xdr:colOff>
      <xdr:row>24</xdr:row>
      <xdr:rowOff>9524</xdr:rowOff>
    </xdr:from>
    <xdr:to>
      <xdr:col>1</xdr:col>
      <xdr:colOff>552449</xdr:colOff>
      <xdr:row>27</xdr:row>
      <xdr:rowOff>66674</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257174" y="3686174"/>
          <a:ext cx="542925" cy="542925"/>
        </a:xfrm>
        <a:prstGeom prst="rect">
          <a:avLst/>
        </a:prstGeom>
        <a:noFill/>
      </xdr:spPr>
    </xdr:pic>
    <xdr:clientData/>
  </xdr:twoCellAnchor>
  <xdr:twoCellAnchor editAs="oneCell">
    <xdr:from>
      <xdr:col>1</xdr:col>
      <xdr:colOff>9525</xdr:colOff>
      <xdr:row>28</xdr:row>
      <xdr:rowOff>9525</xdr:rowOff>
    </xdr:from>
    <xdr:to>
      <xdr:col>1</xdr:col>
      <xdr:colOff>561973</xdr:colOff>
      <xdr:row>31</xdr:row>
      <xdr:rowOff>133350</xdr:rowOff>
    </xdr:to>
    <xdr:pic>
      <xdr:nvPicPr>
        <xdr:cNvPr id="16" name="Рисунок 15" descr="Гром.bmp"/>
        <xdr:cNvPicPr>
          <a:picLocks noChangeAspect="1"/>
        </xdr:cNvPicPr>
      </xdr:nvPicPr>
      <xdr:blipFill>
        <a:blip xmlns:r="http://schemas.openxmlformats.org/officeDocument/2006/relationships" r:embed="rId7" cstate="print"/>
        <a:stretch>
          <a:fillRect/>
        </a:stretch>
      </xdr:blipFill>
      <xdr:spPr>
        <a:xfrm>
          <a:off x="257175" y="4333875"/>
          <a:ext cx="552448" cy="609600"/>
        </a:xfrm>
        <a:prstGeom prst="rect">
          <a:avLst/>
        </a:prstGeom>
      </xdr:spPr>
    </xdr:pic>
    <xdr:clientData/>
  </xdr:twoCellAnchor>
  <xdr:twoCellAnchor editAs="oneCell">
    <xdr:from>
      <xdr:col>1</xdr:col>
      <xdr:colOff>9525</xdr:colOff>
      <xdr:row>32</xdr:row>
      <xdr:rowOff>9525</xdr:rowOff>
    </xdr:from>
    <xdr:to>
      <xdr:col>1</xdr:col>
      <xdr:colOff>566116</xdr:colOff>
      <xdr:row>35</xdr:row>
      <xdr:rowOff>133350</xdr:rowOff>
    </xdr:to>
    <xdr:pic>
      <xdr:nvPicPr>
        <xdr:cNvPr id="18" name="Picture 16"/>
        <xdr:cNvPicPr>
          <a:picLocks noChangeAspect="1" noChangeArrowheads="1"/>
        </xdr:cNvPicPr>
      </xdr:nvPicPr>
      <xdr:blipFill>
        <a:blip xmlns:r="http://schemas.openxmlformats.org/officeDocument/2006/relationships" r:embed="rId8" cstate="print"/>
        <a:srcRect/>
        <a:stretch>
          <a:fillRect/>
        </a:stretch>
      </xdr:blipFill>
      <xdr:spPr bwMode="auto">
        <a:xfrm>
          <a:off x="257175" y="4981575"/>
          <a:ext cx="556591" cy="609600"/>
        </a:xfrm>
        <a:prstGeom prst="rect">
          <a:avLst/>
        </a:prstGeom>
        <a:noFill/>
      </xdr:spPr>
    </xdr:pic>
    <xdr:clientData/>
  </xdr:twoCellAnchor>
  <xdr:twoCellAnchor editAs="oneCell">
    <xdr:from>
      <xdr:col>1</xdr:col>
      <xdr:colOff>9525</xdr:colOff>
      <xdr:row>36</xdr:row>
      <xdr:rowOff>9525</xdr:rowOff>
    </xdr:from>
    <xdr:to>
      <xdr:col>1</xdr:col>
      <xdr:colOff>561975</xdr:colOff>
      <xdr:row>39</xdr:row>
      <xdr:rowOff>133350</xdr:rowOff>
    </xdr:to>
    <xdr:pic>
      <xdr:nvPicPr>
        <xdr:cNvPr id="20" name="Picture 18"/>
        <xdr:cNvPicPr>
          <a:picLocks noChangeAspect="1" noChangeArrowheads="1"/>
        </xdr:cNvPicPr>
      </xdr:nvPicPr>
      <xdr:blipFill>
        <a:blip xmlns:r="http://schemas.openxmlformats.org/officeDocument/2006/relationships" r:embed="rId9" cstate="print"/>
        <a:srcRect/>
        <a:stretch>
          <a:fillRect/>
        </a:stretch>
      </xdr:blipFill>
      <xdr:spPr bwMode="auto">
        <a:xfrm>
          <a:off x="257175" y="5629275"/>
          <a:ext cx="552450" cy="609600"/>
        </a:xfrm>
        <a:prstGeom prst="rect">
          <a:avLst/>
        </a:prstGeom>
        <a:noFill/>
      </xdr:spPr>
    </xdr:pic>
    <xdr:clientData/>
  </xdr:twoCellAnchor>
  <xdr:twoCellAnchor editAs="oneCell">
    <xdr:from>
      <xdr:col>1</xdr:col>
      <xdr:colOff>9525</xdr:colOff>
      <xdr:row>40</xdr:row>
      <xdr:rowOff>9525</xdr:rowOff>
    </xdr:from>
    <xdr:to>
      <xdr:col>1</xdr:col>
      <xdr:colOff>561975</xdr:colOff>
      <xdr:row>43</xdr:row>
      <xdr:rowOff>133350</xdr:rowOff>
    </xdr:to>
    <xdr:pic>
      <xdr:nvPicPr>
        <xdr:cNvPr id="22" name="Picture 20"/>
        <xdr:cNvPicPr>
          <a:picLocks noChangeAspect="1" noChangeArrowheads="1"/>
        </xdr:cNvPicPr>
      </xdr:nvPicPr>
      <xdr:blipFill>
        <a:blip xmlns:r="http://schemas.openxmlformats.org/officeDocument/2006/relationships" r:embed="rId10" cstate="print"/>
        <a:srcRect/>
        <a:stretch>
          <a:fillRect/>
        </a:stretch>
      </xdr:blipFill>
      <xdr:spPr bwMode="auto">
        <a:xfrm>
          <a:off x="257175" y="6276975"/>
          <a:ext cx="552450" cy="609600"/>
        </a:xfrm>
        <a:prstGeom prst="rect">
          <a:avLst/>
        </a:prstGeom>
        <a:noFill/>
      </xdr:spPr>
    </xdr:pic>
    <xdr:clientData/>
  </xdr:twoCellAnchor>
  <xdr:twoCellAnchor editAs="oneCell">
    <xdr:from>
      <xdr:col>1</xdr:col>
      <xdr:colOff>9525</xdr:colOff>
      <xdr:row>44</xdr:row>
      <xdr:rowOff>9525</xdr:rowOff>
    </xdr:from>
    <xdr:to>
      <xdr:col>1</xdr:col>
      <xdr:colOff>561975</xdr:colOff>
      <xdr:row>47</xdr:row>
      <xdr:rowOff>133350</xdr:rowOff>
    </xdr:to>
    <xdr:pic>
      <xdr:nvPicPr>
        <xdr:cNvPr id="24" name="Picture 22"/>
        <xdr:cNvPicPr>
          <a:picLocks noChangeAspect="1" noChangeArrowheads="1"/>
        </xdr:cNvPicPr>
      </xdr:nvPicPr>
      <xdr:blipFill>
        <a:blip xmlns:r="http://schemas.openxmlformats.org/officeDocument/2006/relationships" r:embed="rId11" cstate="print"/>
        <a:srcRect/>
        <a:stretch>
          <a:fillRect/>
        </a:stretch>
      </xdr:blipFill>
      <xdr:spPr bwMode="auto">
        <a:xfrm>
          <a:off x="257175" y="6924675"/>
          <a:ext cx="552450" cy="609600"/>
        </a:xfrm>
        <a:prstGeom prst="rect">
          <a:avLst/>
        </a:prstGeom>
        <a:noFill/>
      </xdr:spPr>
    </xdr:pic>
    <xdr:clientData/>
  </xdr:twoCellAnchor>
  <xdr:twoCellAnchor editAs="oneCell">
    <xdr:from>
      <xdr:col>1</xdr:col>
      <xdr:colOff>9525</xdr:colOff>
      <xdr:row>48</xdr:row>
      <xdr:rowOff>9525</xdr:rowOff>
    </xdr:from>
    <xdr:to>
      <xdr:col>1</xdr:col>
      <xdr:colOff>561975</xdr:colOff>
      <xdr:row>51</xdr:row>
      <xdr:rowOff>133350</xdr:rowOff>
    </xdr:to>
    <xdr:pic>
      <xdr:nvPicPr>
        <xdr:cNvPr id="26" name="Picture 24"/>
        <xdr:cNvPicPr>
          <a:picLocks noChangeAspect="1" noChangeArrowheads="1"/>
        </xdr:cNvPicPr>
      </xdr:nvPicPr>
      <xdr:blipFill>
        <a:blip xmlns:r="http://schemas.openxmlformats.org/officeDocument/2006/relationships" r:embed="rId12" cstate="print"/>
        <a:srcRect/>
        <a:stretch>
          <a:fillRect/>
        </a:stretch>
      </xdr:blipFill>
      <xdr:spPr bwMode="auto">
        <a:xfrm>
          <a:off x="257175" y="7572375"/>
          <a:ext cx="552450" cy="609600"/>
        </a:xfrm>
        <a:prstGeom prst="rect">
          <a:avLst/>
        </a:prstGeom>
        <a:noFill/>
      </xdr:spPr>
    </xdr:pic>
    <xdr:clientData/>
  </xdr:twoCellAnchor>
  <xdr:twoCellAnchor editAs="oneCell">
    <xdr:from>
      <xdr:col>1</xdr:col>
      <xdr:colOff>9525</xdr:colOff>
      <xdr:row>52</xdr:row>
      <xdr:rowOff>9525</xdr:rowOff>
    </xdr:from>
    <xdr:to>
      <xdr:col>1</xdr:col>
      <xdr:colOff>561975</xdr:colOff>
      <xdr:row>55</xdr:row>
      <xdr:rowOff>133350</xdr:rowOff>
    </xdr:to>
    <xdr:pic>
      <xdr:nvPicPr>
        <xdr:cNvPr id="28" name="Picture 26"/>
        <xdr:cNvPicPr>
          <a:picLocks noChangeAspect="1" noChangeArrowheads="1"/>
        </xdr:cNvPicPr>
      </xdr:nvPicPr>
      <xdr:blipFill>
        <a:blip xmlns:r="http://schemas.openxmlformats.org/officeDocument/2006/relationships" r:embed="rId13" cstate="print"/>
        <a:srcRect/>
        <a:stretch>
          <a:fillRect/>
        </a:stretch>
      </xdr:blipFill>
      <xdr:spPr bwMode="auto">
        <a:xfrm>
          <a:off x="257175" y="8220075"/>
          <a:ext cx="552450" cy="609600"/>
        </a:xfrm>
        <a:prstGeom prst="rect">
          <a:avLst/>
        </a:prstGeom>
        <a:noFill/>
      </xdr:spPr>
    </xdr:pic>
    <xdr:clientData/>
  </xdr:twoCellAnchor>
  <xdr:twoCellAnchor editAs="oneCell">
    <xdr:from>
      <xdr:col>1</xdr:col>
      <xdr:colOff>9525</xdr:colOff>
      <xdr:row>56</xdr:row>
      <xdr:rowOff>9525</xdr:rowOff>
    </xdr:from>
    <xdr:to>
      <xdr:col>1</xdr:col>
      <xdr:colOff>561975</xdr:colOff>
      <xdr:row>60</xdr:row>
      <xdr:rowOff>9525</xdr:rowOff>
    </xdr:to>
    <xdr:pic>
      <xdr:nvPicPr>
        <xdr:cNvPr id="30" name="Picture 28"/>
        <xdr:cNvPicPr>
          <a:picLocks noChangeAspect="1" noChangeArrowheads="1"/>
        </xdr:cNvPicPr>
      </xdr:nvPicPr>
      <xdr:blipFill>
        <a:blip xmlns:r="http://schemas.openxmlformats.org/officeDocument/2006/relationships" r:embed="rId14" cstate="print"/>
        <a:srcRect/>
        <a:stretch>
          <a:fillRect/>
        </a:stretch>
      </xdr:blipFill>
      <xdr:spPr bwMode="auto">
        <a:xfrm>
          <a:off x="257175" y="8867775"/>
          <a:ext cx="552450" cy="647700"/>
        </a:xfrm>
        <a:prstGeom prst="rect">
          <a:avLst/>
        </a:prstGeom>
        <a:noFill/>
      </xdr:spPr>
    </xdr:pic>
    <xdr:clientData/>
  </xdr:twoCellAnchor>
  <xdr:twoCellAnchor editAs="oneCell">
    <xdr:from>
      <xdr:col>1</xdr:col>
      <xdr:colOff>9525</xdr:colOff>
      <xdr:row>60</xdr:row>
      <xdr:rowOff>9525</xdr:rowOff>
    </xdr:from>
    <xdr:to>
      <xdr:col>1</xdr:col>
      <xdr:colOff>561975</xdr:colOff>
      <xdr:row>63</xdr:row>
      <xdr:rowOff>133350</xdr:rowOff>
    </xdr:to>
    <xdr:pic>
      <xdr:nvPicPr>
        <xdr:cNvPr id="32" name="Picture 30"/>
        <xdr:cNvPicPr>
          <a:picLocks noChangeAspect="1" noChangeArrowheads="1"/>
        </xdr:cNvPicPr>
      </xdr:nvPicPr>
      <xdr:blipFill>
        <a:blip xmlns:r="http://schemas.openxmlformats.org/officeDocument/2006/relationships" r:embed="rId15" cstate="print"/>
        <a:srcRect/>
        <a:stretch>
          <a:fillRect/>
        </a:stretch>
      </xdr:blipFill>
      <xdr:spPr bwMode="auto">
        <a:xfrm>
          <a:off x="257175" y="9515475"/>
          <a:ext cx="552450" cy="609600"/>
        </a:xfrm>
        <a:prstGeom prst="rect">
          <a:avLst/>
        </a:prstGeom>
        <a:noFill/>
      </xdr:spPr>
    </xdr:pic>
    <xdr:clientData/>
  </xdr:twoCellAnchor>
  <xdr:twoCellAnchor editAs="oneCell">
    <xdr:from>
      <xdr:col>1</xdr:col>
      <xdr:colOff>9525</xdr:colOff>
      <xdr:row>64</xdr:row>
      <xdr:rowOff>9525</xdr:rowOff>
    </xdr:from>
    <xdr:to>
      <xdr:col>1</xdr:col>
      <xdr:colOff>561975</xdr:colOff>
      <xdr:row>67</xdr:row>
      <xdr:rowOff>76200</xdr:rowOff>
    </xdr:to>
    <xdr:pic>
      <xdr:nvPicPr>
        <xdr:cNvPr id="35" name="Picture 34"/>
        <xdr:cNvPicPr>
          <a:picLocks noChangeAspect="1" noChangeArrowheads="1"/>
        </xdr:cNvPicPr>
      </xdr:nvPicPr>
      <xdr:blipFill>
        <a:blip xmlns:r="http://schemas.openxmlformats.org/officeDocument/2006/relationships" r:embed="rId16" cstate="print"/>
        <a:srcRect/>
        <a:stretch>
          <a:fillRect/>
        </a:stretch>
      </xdr:blipFill>
      <xdr:spPr bwMode="auto">
        <a:xfrm>
          <a:off x="257175" y="10163175"/>
          <a:ext cx="552450" cy="552450"/>
        </a:xfrm>
        <a:prstGeom prst="rect">
          <a:avLst/>
        </a:prstGeom>
        <a:noFill/>
      </xdr:spPr>
    </xdr:pic>
    <xdr:clientData/>
  </xdr:twoCellAnchor>
  <xdr:twoCellAnchor editAs="oneCell">
    <xdr:from>
      <xdr:col>1</xdr:col>
      <xdr:colOff>9525</xdr:colOff>
      <xdr:row>68</xdr:row>
      <xdr:rowOff>9525</xdr:rowOff>
    </xdr:from>
    <xdr:to>
      <xdr:col>1</xdr:col>
      <xdr:colOff>561975</xdr:colOff>
      <xdr:row>71</xdr:row>
      <xdr:rowOff>76200</xdr:rowOff>
    </xdr:to>
    <xdr:pic>
      <xdr:nvPicPr>
        <xdr:cNvPr id="37" name="Picture 36"/>
        <xdr:cNvPicPr>
          <a:picLocks noChangeAspect="1" noChangeArrowheads="1"/>
        </xdr:cNvPicPr>
      </xdr:nvPicPr>
      <xdr:blipFill>
        <a:blip xmlns:r="http://schemas.openxmlformats.org/officeDocument/2006/relationships" r:embed="rId17" cstate="print"/>
        <a:srcRect/>
        <a:stretch>
          <a:fillRect/>
        </a:stretch>
      </xdr:blipFill>
      <xdr:spPr bwMode="auto">
        <a:xfrm>
          <a:off x="257175" y="10810875"/>
          <a:ext cx="552450" cy="552450"/>
        </a:xfrm>
        <a:prstGeom prst="rect">
          <a:avLst/>
        </a:prstGeom>
        <a:noFill/>
      </xdr:spPr>
    </xdr:pic>
    <xdr:clientData/>
  </xdr:twoCellAnchor>
  <xdr:twoCellAnchor editAs="oneCell">
    <xdr:from>
      <xdr:col>1</xdr:col>
      <xdr:colOff>9525</xdr:colOff>
      <xdr:row>72</xdr:row>
      <xdr:rowOff>9525</xdr:rowOff>
    </xdr:from>
    <xdr:to>
      <xdr:col>1</xdr:col>
      <xdr:colOff>561975</xdr:colOff>
      <xdr:row>75</xdr:row>
      <xdr:rowOff>76200</xdr:rowOff>
    </xdr:to>
    <xdr:pic>
      <xdr:nvPicPr>
        <xdr:cNvPr id="39" name="Picture 38"/>
        <xdr:cNvPicPr>
          <a:picLocks noChangeAspect="1" noChangeArrowheads="1"/>
        </xdr:cNvPicPr>
      </xdr:nvPicPr>
      <xdr:blipFill>
        <a:blip xmlns:r="http://schemas.openxmlformats.org/officeDocument/2006/relationships" r:embed="rId18" cstate="print"/>
        <a:srcRect/>
        <a:stretch>
          <a:fillRect/>
        </a:stretch>
      </xdr:blipFill>
      <xdr:spPr bwMode="auto">
        <a:xfrm>
          <a:off x="257175" y="11458575"/>
          <a:ext cx="552450" cy="552450"/>
        </a:xfrm>
        <a:prstGeom prst="rect">
          <a:avLst/>
        </a:prstGeom>
        <a:noFill/>
      </xdr:spPr>
    </xdr:pic>
    <xdr:clientData/>
  </xdr:twoCellAnchor>
  <xdr:twoCellAnchor editAs="oneCell">
    <xdr:from>
      <xdr:col>1</xdr:col>
      <xdr:colOff>9525</xdr:colOff>
      <xdr:row>76</xdr:row>
      <xdr:rowOff>9525</xdr:rowOff>
    </xdr:from>
    <xdr:to>
      <xdr:col>1</xdr:col>
      <xdr:colOff>561975</xdr:colOff>
      <xdr:row>79</xdr:row>
      <xdr:rowOff>76200</xdr:rowOff>
    </xdr:to>
    <xdr:pic>
      <xdr:nvPicPr>
        <xdr:cNvPr id="41" name="Picture 40"/>
        <xdr:cNvPicPr>
          <a:picLocks noChangeAspect="1" noChangeArrowheads="1"/>
        </xdr:cNvPicPr>
      </xdr:nvPicPr>
      <xdr:blipFill>
        <a:blip xmlns:r="http://schemas.openxmlformats.org/officeDocument/2006/relationships" r:embed="rId19" cstate="print"/>
        <a:srcRect/>
        <a:stretch>
          <a:fillRect/>
        </a:stretch>
      </xdr:blipFill>
      <xdr:spPr bwMode="auto">
        <a:xfrm>
          <a:off x="257175" y="12106275"/>
          <a:ext cx="552450" cy="552450"/>
        </a:xfrm>
        <a:prstGeom prst="rect">
          <a:avLst/>
        </a:prstGeom>
        <a:noFill/>
      </xdr:spPr>
    </xdr:pic>
    <xdr:clientData/>
  </xdr:twoCellAnchor>
  <xdr:twoCellAnchor editAs="oneCell">
    <xdr:from>
      <xdr:col>1</xdr:col>
      <xdr:colOff>9525</xdr:colOff>
      <xdr:row>80</xdr:row>
      <xdr:rowOff>9525</xdr:rowOff>
    </xdr:from>
    <xdr:to>
      <xdr:col>1</xdr:col>
      <xdr:colOff>561975</xdr:colOff>
      <xdr:row>83</xdr:row>
      <xdr:rowOff>76200</xdr:rowOff>
    </xdr:to>
    <xdr:pic>
      <xdr:nvPicPr>
        <xdr:cNvPr id="45" name="Picture 44"/>
        <xdr:cNvPicPr>
          <a:picLocks noChangeAspect="1" noChangeArrowheads="1"/>
        </xdr:cNvPicPr>
      </xdr:nvPicPr>
      <xdr:blipFill>
        <a:blip xmlns:r="http://schemas.openxmlformats.org/officeDocument/2006/relationships" r:embed="rId20" cstate="print"/>
        <a:srcRect/>
        <a:stretch>
          <a:fillRect/>
        </a:stretch>
      </xdr:blipFill>
      <xdr:spPr bwMode="auto">
        <a:xfrm>
          <a:off x="257175" y="12753975"/>
          <a:ext cx="552450" cy="552450"/>
        </a:xfrm>
        <a:prstGeom prst="rect">
          <a:avLst/>
        </a:prstGeom>
        <a:noFill/>
      </xdr:spPr>
    </xdr:pic>
    <xdr:clientData/>
  </xdr:twoCellAnchor>
  <xdr:twoCellAnchor editAs="oneCell">
    <xdr:from>
      <xdr:col>1</xdr:col>
      <xdr:colOff>9524</xdr:colOff>
      <xdr:row>84</xdr:row>
      <xdr:rowOff>9524</xdr:rowOff>
    </xdr:from>
    <xdr:to>
      <xdr:col>1</xdr:col>
      <xdr:colOff>552449</xdr:colOff>
      <xdr:row>87</xdr:row>
      <xdr:rowOff>66674</xdr:rowOff>
    </xdr:to>
    <xdr:pic>
      <xdr:nvPicPr>
        <xdr:cNvPr id="47" name="Picture 46"/>
        <xdr:cNvPicPr>
          <a:picLocks noChangeAspect="1" noChangeArrowheads="1"/>
        </xdr:cNvPicPr>
      </xdr:nvPicPr>
      <xdr:blipFill>
        <a:blip xmlns:r="http://schemas.openxmlformats.org/officeDocument/2006/relationships" r:embed="rId21" cstate="print"/>
        <a:srcRect/>
        <a:stretch>
          <a:fillRect/>
        </a:stretch>
      </xdr:blipFill>
      <xdr:spPr bwMode="auto">
        <a:xfrm>
          <a:off x="257174" y="13401674"/>
          <a:ext cx="542925" cy="542925"/>
        </a:xfrm>
        <a:prstGeom prst="rect">
          <a:avLst/>
        </a:prstGeom>
        <a:noFill/>
      </xdr:spPr>
    </xdr:pic>
    <xdr:clientData/>
  </xdr:twoCellAnchor>
  <xdr:twoCellAnchor editAs="oneCell">
    <xdr:from>
      <xdr:col>1</xdr:col>
      <xdr:colOff>9524</xdr:colOff>
      <xdr:row>88</xdr:row>
      <xdr:rowOff>9524</xdr:rowOff>
    </xdr:from>
    <xdr:to>
      <xdr:col>1</xdr:col>
      <xdr:colOff>552449</xdr:colOff>
      <xdr:row>91</xdr:row>
      <xdr:rowOff>66674</xdr:rowOff>
    </xdr:to>
    <xdr:pic>
      <xdr:nvPicPr>
        <xdr:cNvPr id="49" name="Picture 48"/>
        <xdr:cNvPicPr>
          <a:picLocks noChangeAspect="1" noChangeArrowheads="1"/>
        </xdr:cNvPicPr>
      </xdr:nvPicPr>
      <xdr:blipFill>
        <a:blip xmlns:r="http://schemas.openxmlformats.org/officeDocument/2006/relationships" r:embed="rId22" cstate="print"/>
        <a:srcRect/>
        <a:stretch>
          <a:fillRect/>
        </a:stretch>
      </xdr:blipFill>
      <xdr:spPr bwMode="auto">
        <a:xfrm>
          <a:off x="257174" y="14049374"/>
          <a:ext cx="542925" cy="542925"/>
        </a:xfrm>
        <a:prstGeom prst="rect">
          <a:avLst/>
        </a:prstGeom>
        <a:noFill/>
      </xdr:spPr>
    </xdr:pic>
    <xdr:clientData/>
  </xdr:twoCellAnchor>
  <xdr:twoCellAnchor editAs="oneCell">
    <xdr:from>
      <xdr:col>1</xdr:col>
      <xdr:colOff>9525</xdr:colOff>
      <xdr:row>92</xdr:row>
      <xdr:rowOff>9525</xdr:rowOff>
    </xdr:from>
    <xdr:to>
      <xdr:col>1</xdr:col>
      <xdr:colOff>542925</xdr:colOff>
      <xdr:row>94</xdr:row>
      <xdr:rowOff>156322</xdr:rowOff>
    </xdr:to>
    <xdr:pic>
      <xdr:nvPicPr>
        <xdr:cNvPr id="51" name="Picture 50"/>
        <xdr:cNvPicPr>
          <a:picLocks noChangeAspect="1" noChangeArrowheads="1"/>
        </xdr:cNvPicPr>
      </xdr:nvPicPr>
      <xdr:blipFill>
        <a:blip xmlns:r="http://schemas.openxmlformats.org/officeDocument/2006/relationships" r:embed="rId23" cstate="print"/>
        <a:srcRect/>
        <a:stretch>
          <a:fillRect/>
        </a:stretch>
      </xdr:blipFill>
      <xdr:spPr bwMode="auto">
        <a:xfrm>
          <a:off x="257175" y="14697075"/>
          <a:ext cx="533400" cy="470647"/>
        </a:xfrm>
        <a:prstGeom prst="rect">
          <a:avLst/>
        </a:prstGeom>
        <a:noFill/>
      </xdr:spPr>
    </xdr:pic>
    <xdr:clientData/>
  </xdr:twoCellAnchor>
  <xdr:twoCellAnchor editAs="oneCell">
    <xdr:from>
      <xdr:col>1</xdr:col>
      <xdr:colOff>9525</xdr:colOff>
      <xdr:row>96</xdr:row>
      <xdr:rowOff>9525</xdr:rowOff>
    </xdr:from>
    <xdr:to>
      <xdr:col>1</xdr:col>
      <xdr:colOff>561975</xdr:colOff>
      <xdr:row>99</xdr:row>
      <xdr:rowOff>133350</xdr:rowOff>
    </xdr:to>
    <xdr:pic>
      <xdr:nvPicPr>
        <xdr:cNvPr id="55" name="Picture 52"/>
        <xdr:cNvPicPr>
          <a:picLocks noChangeAspect="1" noChangeArrowheads="1"/>
        </xdr:cNvPicPr>
      </xdr:nvPicPr>
      <xdr:blipFill>
        <a:blip xmlns:r="http://schemas.openxmlformats.org/officeDocument/2006/relationships" r:embed="rId24" cstate="print"/>
        <a:srcRect/>
        <a:stretch>
          <a:fillRect/>
        </a:stretch>
      </xdr:blipFill>
      <xdr:spPr bwMode="auto">
        <a:xfrm>
          <a:off x="257175" y="15344775"/>
          <a:ext cx="552450" cy="609600"/>
        </a:xfrm>
        <a:prstGeom prst="rect">
          <a:avLst/>
        </a:prstGeom>
        <a:noFill/>
      </xdr:spPr>
    </xdr:pic>
    <xdr:clientData/>
  </xdr:twoCellAnchor>
  <xdr:twoCellAnchor editAs="oneCell">
    <xdr:from>
      <xdr:col>1</xdr:col>
      <xdr:colOff>9525</xdr:colOff>
      <xdr:row>100</xdr:row>
      <xdr:rowOff>9525</xdr:rowOff>
    </xdr:from>
    <xdr:to>
      <xdr:col>1</xdr:col>
      <xdr:colOff>561975</xdr:colOff>
      <xdr:row>103</xdr:row>
      <xdr:rowOff>133350</xdr:rowOff>
    </xdr:to>
    <xdr:pic>
      <xdr:nvPicPr>
        <xdr:cNvPr id="57" name="Picture 54"/>
        <xdr:cNvPicPr>
          <a:picLocks noChangeAspect="1" noChangeArrowheads="1"/>
        </xdr:cNvPicPr>
      </xdr:nvPicPr>
      <xdr:blipFill>
        <a:blip xmlns:r="http://schemas.openxmlformats.org/officeDocument/2006/relationships" r:embed="rId25" cstate="print"/>
        <a:srcRect/>
        <a:stretch>
          <a:fillRect/>
        </a:stretch>
      </xdr:blipFill>
      <xdr:spPr bwMode="auto">
        <a:xfrm>
          <a:off x="257175" y="15992475"/>
          <a:ext cx="552450" cy="609600"/>
        </a:xfrm>
        <a:prstGeom prst="rect">
          <a:avLst/>
        </a:prstGeom>
        <a:noFill/>
      </xdr:spPr>
    </xdr:pic>
    <xdr:clientData/>
  </xdr:twoCellAnchor>
</xdr:wsDr>
</file>

<file path=xl/drawings/drawing63.xml><?xml version="1.0" encoding="utf-8"?>
<xdr:wsDr xmlns:xdr="http://schemas.openxmlformats.org/drawingml/2006/spreadsheetDrawing" xmlns:a="http://schemas.openxmlformats.org/drawingml/2006/main">
  <xdr:twoCellAnchor>
    <xdr:from>
      <xdr:col>1</xdr:col>
      <xdr:colOff>0</xdr:colOff>
      <xdr:row>80</xdr:row>
      <xdr:rowOff>0</xdr:rowOff>
    </xdr:from>
    <xdr:to>
      <xdr:col>2</xdr:col>
      <xdr:colOff>1076325</xdr:colOff>
      <xdr:row>95</xdr:row>
      <xdr:rowOff>0</xdr:rowOff>
    </xdr:to>
    <xdr:pic>
      <xdr:nvPicPr>
        <xdr:cNvPr id="3" name="Picture 4" descr="http://www.artifactheroes.narod.ru/image1/nwcgrail.jpg"/>
        <xdr:cNvPicPr>
          <a:picLocks noChangeAspect="1" noChangeArrowheads="1"/>
        </xdr:cNvPicPr>
      </xdr:nvPicPr>
      <xdr:blipFill>
        <a:blip xmlns:r="http://schemas.openxmlformats.org/officeDocument/2006/relationships" r:embed="rId1" r:link="rId2" cstate="print"/>
        <a:srcRect/>
        <a:stretch>
          <a:fillRect/>
        </a:stretch>
      </xdr:blipFill>
      <xdr:spPr bwMode="auto">
        <a:xfrm>
          <a:off x="247650" y="12420600"/>
          <a:ext cx="2705100" cy="2428875"/>
        </a:xfrm>
        <a:prstGeom prst="rect">
          <a:avLst/>
        </a:prstGeom>
        <a:noFill/>
        <a:ln w="9525">
          <a:noFill/>
          <a:miter lim="800000"/>
          <a:headEnd/>
          <a:tailEnd/>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4</xdr:col>
      <xdr:colOff>0</xdr:colOff>
      <xdr:row>118</xdr:row>
      <xdr:rowOff>0</xdr:rowOff>
    </xdr:from>
    <xdr:to>
      <xdr:col>4</xdr:col>
      <xdr:colOff>28575</xdr:colOff>
      <xdr:row>118</xdr:row>
      <xdr:rowOff>9525</xdr:rowOff>
    </xdr:to>
    <xdr:pic>
      <xdr:nvPicPr>
        <xdr:cNvPr id="21891" name="Picture 9" descr="bb"/>
        <xdr:cNvPicPr>
          <a:picLocks noChangeAspect="1" noChangeArrowheads="1"/>
        </xdr:cNvPicPr>
      </xdr:nvPicPr>
      <xdr:blipFill>
        <a:blip xmlns:r="http://schemas.openxmlformats.org/officeDocument/2006/relationships" r:embed="rId1"/>
        <a:srcRect/>
        <a:stretch>
          <a:fillRect/>
        </a:stretch>
      </xdr:blipFill>
      <xdr:spPr bwMode="auto">
        <a:xfrm>
          <a:off x="5753100" y="18688050"/>
          <a:ext cx="28575" cy="9525"/>
        </a:xfrm>
        <a:prstGeom prst="rect">
          <a:avLst/>
        </a:prstGeom>
        <a:noFill/>
        <a:ln w="9525">
          <a:noFill/>
          <a:miter lim="800000"/>
          <a:headEnd/>
          <a:tailEnd/>
        </a:ln>
      </xdr:spPr>
    </xdr:pic>
    <xdr:clientData/>
  </xdr:twoCellAnchor>
  <xdr:twoCellAnchor editAs="oneCell">
    <xdr:from>
      <xdr:col>4</xdr:col>
      <xdr:colOff>0</xdr:colOff>
      <xdr:row>118</xdr:row>
      <xdr:rowOff>0</xdr:rowOff>
    </xdr:from>
    <xdr:to>
      <xdr:col>4</xdr:col>
      <xdr:colOff>28575</xdr:colOff>
      <xdr:row>118</xdr:row>
      <xdr:rowOff>9525</xdr:rowOff>
    </xdr:to>
    <xdr:pic>
      <xdr:nvPicPr>
        <xdr:cNvPr id="21892" name="Picture 10" descr="bb"/>
        <xdr:cNvPicPr>
          <a:picLocks noChangeAspect="1" noChangeArrowheads="1"/>
        </xdr:cNvPicPr>
      </xdr:nvPicPr>
      <xdr:blipFill>
        <a:blip xmlns:r="http://schemas.openxmlformats.org/officeDocument/2006/relationships" r:embed="rId1"/>
        <a:srcRect/>
        <a:stretch>
          <a:fillRect/>
        </a:stretch>
      </xdr:blipFill>
      <xdr:spPr bwMode="auto">
        <a:xfrm>
          <a:off x="5753100" y="18688050"/>
          <a:ext cx="28575" cy="9525"/>
        </a:xfrm>
        <a:prstGeom prst="rect">
          <a:avLst/>
        </a:prstGeom>
        <a:noFill/>
        <a:ln w="9525">
          <a:noFill/>
          <a:miter lim="800000"/>
          <a:headEnd/>
          <a:tailEnd/>
        </a:ln>
      </xdr:spPr>
    </xdr:pic>
    <xdr:clientData/>
  </xdr:twoCellAnchor>
  <xdr:twoCellAnchor editAs="oneCell">
    <xdr:from>
      <xdr:col>4</xdr:col>
      <xdr:colOff>0</xdr:colOff>
      <xdr:row>118</xdr:row>
      <xdr:rowOff>0</xdr:rowOff>
    </xdr:from>
    <xdr:to>
      <xdr:col>4</xdr:col>
      <xdr:colOff>28575</xdr:colOff>
      <xdr:row>118</xdr:row>
      <xdr:rowOff>9525</xdr:rowOff>
    </xdr:to>
    <xdr:pic>
      <xdr:nvPicPr>
        <xdr:cNvPr id="21893" name="Picture 11" descr="bb"/>
        <xdr:cNvPicPr>
          <a:picLocks noChangeAspect="1" noChangeArrowheads="1"/>
        </xdr:cNvPicPr>
      </xdr:nvPicPr>
      <xdr:blipFill>
        <a:blip xmlns:r="http://schemas.openxmlformats.org/officeDocument/2006/relationships" r:embed="rId1"/>
        <a:srcRect/>
        <a:stretch>
          <a:fillRect/>
        </a:stretch>
      </xdr:blipFill>
      <xdr:spPr bwMode="auto">
        <a:xfrm>
          <a:off x="5753100" y="18688050"/>
          <a:ext cx="28575" cy="9525"/>
        </a:xfrm>
        <a:prstGeom prst="rect">
          <a:avLst/>
        </a:prstGeom>
        <a:noFill/>
        <a:ln w="9525">
          <a:noFill/>
          <a:miter lim="800000"/>
          <a:headEnd/>
          <a:tailEnd/>
        </a:ln>
      </xdr:spPr>
    </xdr:pic>
    <xdr:clientData/>
  </xdr:twoCellAnchor>
  <xdr:twoCellAnchor editAs="oneCell">
    <xdr:from>
      <xdr:col>4</xdr:col>
      <xdr:colOff>0</xdr:colOff>
      <xdr:row>118</xdr:row>
      <xdr:rowOff>0</xdr:rowOff>
    </xdr:from>
    <xdr:to>
      <xdr:col>4</xdr:col>
      <xdr:colOff>28575</xdr:colOff>
      <xdr:row>118</xdr:row>
      <xdr:rowOff>9525</xdr:rowOff>
    </xdr:to>
    <xdr:pic>
      <xdr:nvPicPr>
        <xdr:cNvPr id="21894" name="Picture 12" descr="bb"/>
        <xdr:cNvPicPr>
          <a:picLocks noChangeAspect="1" noChangeArrowheads="1"/>
        </xdr:cNvPicPr>
      </xdr:nvPicPr>
      <xdr:blipFill>
        <a:blip xmlns:r="http://schemas.openxmlformats.org/officeDocument/2006/relationships" r:embed="rId1"/>
        <a:srcRect/>
        <a:stretch>
          <a:fillRect/>
        </a:stretch>
      </xdr:blipFill>
      <xdr:spPr bwMode="auto">
        <a:xfrm>
          <a:off x="5753100" y="18688050"/>
          <a:ext cx="28575" cy="9525"/>
        </a:xfrm>
        <a:prstGeom prst="rect">
          <a:avLst/>
        </a:prstGeom>
        <a:noFill/>
        <a:ln w="9525">
          <a:noFill/>
          <a:miter lim="800000"/>
          <a:headEnd/>
          <a:tailEnd/>
        </a:ln>
      </xdr:spPr>
    </xdr:pic>
    <xdr:clientData/>
  </xdr:twoCellAnchor>
  <xdr:twoCellAnchor editAs="oneCell">
    <xdr:from>
      <xdr:col>4</xdr:col>
      <xdr:colOff>0</xdr:colOff>
      <xdr:row>118</xdr:row>
      <xdr:rowOff>0</xdr:rowOff>
    </xdr:from>
    <xdr:to>
      <xdr:col>4</xdr:col>
      <xdr:colOff>28575</xdr:colOff>
      <xdr:row>118</xdr:row>
      <xdr:rowOff>9525</xdr:rowOff>
    </xdr:to>
    <xdr:pic>
      <xdr:nvPicPr>
        <xdr:cNvPr id="21895" name="Picture 13" descr="bb"/>
        <xdr:cNvPicPr>
          <a:picLocks noChangeAspect="1" noChangeArrowheads="1"/>
        </xdr:cNvPicPr>
      </xdr:nvPicPr>
      <xdr:blipFill>
        <a:blip xmlns:r="http://schemas.openxmlformats.org/officeDocument/2006/relationships" r:embed="rId1"/>
        <a:srcRect/>
        <a:stretch>
          <a:fillRect/>
        </a:stretch>
      </xdr:blipFill>
      <xdr:spPr bwMode="auto">
        <a:xfrm>
          <a:off x="5753100" y="18688050"/>
          <a:ext cx="28575" cy="9525"/>
        </a:xfrm>
        <a:prstGeom prst="rect">
          <a:avLst/>
        </a:prstGeom>
        <a:noFill/>
        <a:ln w="9525">
          <a:noFill/>
          <a:miter lim="800000"/>
          <a:headEnd/>
          <a:tailEnd/>
        </a:ln>
      </xdr:spPr>
    </xdr:pic>
    <xdr:clientData/>
  </xdr:twoCellAnchor>
  <xdr:twoCellAnchor editAs="oneCell">
    <xdr:from>
      <xdr:col>4</xdr:col>
      <xdr:colOff>0</xdr:colOff>
      <xdr:row>118</xdr:row>
      <xdr:rowOff>0</xdr:rowOff>
    </xdr:from>
    <xdr:to>
      <xdr:col>4</xdr:col>
      <xdr:colOff>28575</xdr:colOff>
      <xdr:row>118</xdr:row>
      <xdr:rowOff>9525</xdr:rowOff>
    </xdr:to>
    <xdr:pic>
      <xdr:nvPicPr>
        <xdr:cNvPr id="21896" name="Picture 14" descr="bb"/>
        <xdr:cNvPicPr>
          <a:picLocks noChangeAspect="1" noChangeArrowheads="1"/>
        </xdr:cNvPicPr>
      </xdr:nvPicPr>
      <xdr:blipFill>
        <a:blip xmlns:r="http://schemas.openxmlformats.org/officeDocument/2006/relationships" r:embed="rId1"/>
        <a:srcRect/>
        <a:stretch>
          <a:fillRect/>
        </a:stretch>
      </xdr:blipFill>
      <xdr:spPr bwMode="auto">
        <a:xfrm>
          <a:off x="5753100" y="18688050"/>
          <a:ext cx="28575" cy="9525"/>
        </a:xfrm>
        <a:prstGeom prst="rect">
          <a:avLst/>
        </a:prstGeom>
        <a:noFill/>
        <a:ln w="9525">
          <a:noFill/>
          <a:miter lim="800000"/>
          <a:headEnd/>
          <a:tailEnd/>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4</xdr:col>
      <xdr:colOff>28575</xdr:colOff>
      <xdr:row>0</xdr:row>
      <xdr:rowOff>9525</xdr:rowOff>
    </xdr:to>
    <xdr:pic>
      <xdr:nvPicPr>
        <xdr:cNvPr id="2" name="Picture 9" descr="bb"/>
        <xdr:cNvPicPr>
          <a:picLocks noChangeAspect="1" noChangeArrowheads="1"/>
        </xdr:cNvPicPr>
      </xdr:nvPicPr>
      <xdr:blipFill>
        <a:blip xmlns:r="http://schemas.openxmlformats.org/officeDocument/2006/relationships" r:embed="rId1"/>
        <a:srcRect/>
        <a:stretch>
          <a:fillRect/>
        </a:stretch>
      </xdr:blipFill>
      <xdr:spPr bwMode="auto">
        <a:xfrm>
          <a:off x="5819775" y="19621500"/>
          <a:ext cx="28575" cy="9525"/>
        </a:xfrm>
        <a:prstGeom prst="rect">
          <a:avLst/>
        </a:prstGeom>
        <a:noFill/>
        <a:ln w="9525">
          <a:noFill/>
          <a:miter lim="800000"/>
          <a:headEnd/>
          <a:tailEnd/>
        </a:ln>
      </xdr:spPr>
    </xdr:pic>
    <xdr:clientData/>
  </xdr:twoCellAnchor>
  <xdr:twoCellAnchor editAs="oneCell">
    <xdr:from>
      <xdr:col>4</xdr:col>
      <xdr:colOff>0</xdr:colOff>
      <xdr:row>0</xdr:row>
      <xdr:rowOff>0</xdr:rowOff>
    </xdr:from>
    <xdr:to>
      <xdr:col>4</xdr:col>
      <xdr:colOff>28575</xdr:colOff>
      <xdr:row>0</xdr:row>
      <xdr:rowOff>9525</xdr:rowOff>
    </xdr:to>
    <xdr:pic>
      <xdr:nvPicPr>
        <xdr:cNvPr id="3" name="Picture 10" descr="bb"/>
        <xdr:cNvPicPr>
          <a:picLocks noChangeAspect="1" noChangeArrowheads="1"/>
        </xdr:cNvPicPr>
      </xdr:nvPicPr>
      <xdr:blipFill>
        <a:blip xmlns:r="http://schemas.openxmlformats.org/officeDocument/2006/relationships" r:embed="rId1"/>
        <a:srcRect/>
        <a:stretch>
          <a:fillRect/>
        </a:stretch>
      </xdr:blipFill>
      <xdr:spPr bwMode="auto">
        <a:xfrm>
          <a:off x="5819775" y="19621500"/>
          <a:ext cx="28575" cy="9525"/>
        </a:xfrm>
        <a:prstGeom prst="rect">
          <a:avLst/>
        </a:prstGeom>
        <a:noFill/>
        <a:ln w="9525">
          <a:noFill/>
          <a:miter lim="800000"/>
          <a:headEnd/>
          <a:tailEnd/>
        </a:ln>
      </xdr:spPr>
    </xdr:pic>
    <xdr:clientData/>
  </xdr:twoCellAnchor>
  <xdr:twoCellAnchor editAs="oneCell">
    <xdr:from>
      <xdr:col>4</xdr:col>
      <xdr:colOff>0</xdr:colOff>
      <xdr:row>0</xdr:row>
      <xdr:rowOff>0</xdr:rowOff>
    </xdr:from>
    <xdr:to>
      <xdr:col>4</xdr:col>
      <xdr:colOff>28575</xdr:colOff>
      <xdr:row>0</xdr:row>
      <xdr:rowOff>9525</xdr:rowOff>
    </xdr:to>
    <xdr:pic>
      <xdr:nvPicPr>
        <xdr:cNvPr id="4" name="Picture 11" descr="bb"/>
        <xdr:cNvPicPr>
          <a:picLocks noChangeAspect="1" noChangeArrowheads="1"/>
        </xdr:cNvPicPr>
      </xdr:nvPicPr>
      <xdr:blipFill>
        <a:blip xmlns:r="http://schemas.openxmlformats.org/officeDocument/2006/relationships" r:embed="rId1"/>
        <a:srcRect/>
        <a:stretch>
          <a:fillRect/>
        </a:stretch>
      </xdr:blipFill>
      <xdr:spPr bwMode="auto">
        <a:xfrm>
          <a:off x="5819775" y="19621500"/>
          <a:ext cx="28575" cy="9525"/>
        </a:xfrm>
        <a:prstGeom prst="rect">
          <a:avLst/>
        </a:prstGeom>
        <a:noFill/>
        <a:ln w="9525">
          <a:noFill/>
          <a:miter lim="800000"/>
          <a:headEnd/>
          <a:tailEnd/>
        </a:ln>
      </xdr:spPr>
    </xdr:pic>
    <xdr:clientData/>
  </xdr:twoCellAnchor>
  <xdr:twoCellAnchor editAs="oneCell">
    <xdr:from>
      <xdr:col>4</xdr:col>
      <xdr:colOff>0</xdr:colOff>
      <xdr:row>0</xdr:row>
      <xdr:rowOff>0</xdr:rowOff>
    </xdr:from>
    <xdr:to>
      <xdr:col>4</xdr:col>
      <xdr:colOff>28575</xdr:colOff>
      <xdr:row>0</xdr:row>
      <xdr:rowOff>9525</xdr:rowOff>
    </xdr:to>
    <xdr:pic>
      <xdr:nvPicPr>
        <xdr:cNvPr id="5" name="Picture 12" descr="bb"/>
        <xdr:cNvPicPr>
          <a:picLocks noChangeAspect="1" noChangeArrowheads="1"/>
        </xdr:cNvPicPr>
      </xdr:nvPicPr>
      <xdr:blipFill>
        <a:blip xmlns:r="http://schemas.openxmlformats.org/officeDocument/2006/relationships" r:embed="rId1"/>
        <a:srcRect/>
        <a:stretch>
          <a:fillRect/>
        </a:stretch>
      </xdr:blipFill>
      <xdr:spPr bwMode="auto">
        <a:xfrm>
          <a:off x="5819775" y="19621500"/>
          <a:ext cx="28575" cy="9525"/>
        </a:xfrm>
        <a:prstGeom prst="rect">
          <a:avLst/>
        </a:prstGeom>
        <a:noFill/>
        <a:ln w="9525">
          <a:noFill/>
          <a:miter lim="800000"/>
          <a:headEnd/>
          <a:tailEnd/>
        </a:ln>
      </xdr:spPr>
    </xdr:pic>
    <xdr:clientData/>
  </xdr:twoCellAnchor>
  <xdr:twoCellAnchor editAs="oneCell">
    <xdr:from>
      <xdr:col>4</xdr:col>
      <xdr:colOff>0</xdr:colOff>
      <xdr:row>0</xdr:row>
      <xdr:rowOff>0</xdr:rowOff>
    </xdr:from>
    <xdr:to>
      <xdr:col>4</xdr:col>
      <xdr:colOff>28575</xdr:colOff>
      <xdr:row>0</xdr:row>
      <xdr:rowOff>9525</xdr:rowOff>
    </xdr:to>
    <xdr:pic>
      <xdr:nvPicPr>
        <xdr:cNvPr id="6" name="Picture 13" descr="bb"/>
        <xdr:cNvPicPr>
          <a:picLocks noChangeAspect="1" noChangeArrowheads="1"/>
        </xdr:cNvPicPr>
      </xdr:nvPicPr>
      <xdr:blipFill>
        <a:blip xmlns:r="http://schemas.openxmlformats.org/officeDocument/2006/relationships" r:embed="rId1"/>
        <a:srcRect/>
        <a:stretch>
          <a:fillRect/>
        </a:stretch>
      </xdr:blipFill>
      <xdr:spPr bwMode="auto">
        <a:xfrm>
          <a:off x="5819775" y="19621500"/>
          <a:ext cx="28575" cy="9525"/>
        </a:xfrm>
        <a:prstGeom prst="rect">
          <a:avLst/>
        </a:prstGeom>
        <a:noFill/>
        <a:ln w="9525">
          <a:noFill/>
          <a:miter lim="800000"/>
          <a:headEnd/>
          <a:tailEnd/>
        </a:ln>
      </xdr:spPr>
    </xdr:pic>
    <xdr:clientData/>
  </xdr:twoCellAnchor>
  <xdr:twoCellAnchor editAs="oneCell">
    <xdr:from>
      <xdr:col>4</xdr:col>
      <xdr:colOff>0</xdr:colOff>
      <xdr:row>0</xdr:row>
      <xdr:rowOff>0</xdr:rowOff>
    </xdr:from>
    <xdr:to>
      <xdr:col>4</xdr:col>
      <xdr:colOff>28575</xdr:colOff>
      <xdr:row>0</xdr:row>
      <xdr:rowOff>9525</xdr:rowOff>
    </xdr:to>
    <xdr:pic>
      <xdr:nvPicPr>
        <xdr:cNvPr id="7" name="Picture 14" descr="bb"/>
        <xdr:cNvPicPr>
          <a:picLocks noChangeAspect="1" noChangeArrowheads="1"/>
        </xdr:cNvPicPr>
      </xdr:nvPicPr>
      <xdr:blipFill>
        <a:blip xmlns:r="http://schemas.openxmlformats.org/officeDocument/2006/relationships" r:embed="rId1"/>
        <a:srcRect/>
        <a:stretch>
          <a:fillRect/>
        </a:stretch>
      </xdr:blipFill>
      <xdr:spPr bwMode="auto">
        <a:xfrm>
          <a:off x="5819775" y="19621500"/>
          <a:ext cx="28575" cy="9525"/>
        </a:xfrm>
        <a:prstGeom prst="rect">
          <a:avLst/>
        </a:prstGeom>
        <a:noFill/>
        <a:ln w="9525">
          <a:noFill/>
          <a:miter lim="800000"/>
          <a:headEnd/>
          <a:tailEnd/>
        </a:ln>
      </xdr:spPr>
    </xdr:pic>
    <xdr:clientData/>
  </xdr:twoCellAnchor>
  <xdr:twoCellAnchor editAs="oneCell">
    <xdr:from>
      <xdr:col>2</xdr:col>
      <xdr:colOff>0</xdr:colOff>
      <xdr:row>259</xdr:row>
      <xdr:rowOff>0</xdr:rowOff>
    </xdr:from>
    <xdr:to>
      <xdr:col>2</xdr:col>
      <xdr:colOff>28575</xdr:colOff>
      <xdr:row>387</xdr:row>
      <xdr:rowOff>9525</xdr:rowOff>
    </xdr:to>
    <xdr:pic>
      <xdr:nvPicPr>
        <xdr:cNvPr id="8" name="Picture 9" descr="bb"/>
        <xdr:cNvPicPr>
          <a:picLocks noChangeAspect="1" noChangeArrowheads="1"/>
        </xdr:cNvPicPr>
      </xdr:nvPicPr>
      <xdr:blipFill>
        <a:blip xmlns:r="http://schemas.openxmlformats.org/officeDocument/2006/relationships" r:embed="rId1"/>
        <a:srcRect/>
        <a:stretch>
          <a:fillRect/>
        </a:stretch>
      </xdr:blipFill>
      <xdr:spPr bwMode="auto">
        <a:xfrm>
          <a:off x="2257425" y="41405175"/>
          <a:ext cx="28575" cy="9525"/>
        </a:xfrm>
        <a:prstGeom prst="rect">
          <a:avLst/>
        </a:prstGeom>
        <a:noFill/>
        <a:ln w="9525">
          <a:noFill/>
          <a:miter lim="800000"/>
          <a:headEnd/>
          <a:tailEnd/>
        </a:ln>
      </xdr:spPr>
    </xdr:pic>
    <xdr:clientData/>
  </xdr:twoCellAnchor>
  <xdr:twoCellAnchor editAs="oneCell">
    <xdr:from>
      <xdr:col>2</xdr:col>
      <xdr:colOff>0</xdr:colOff>
      <xdr:row>259</xdr:row>
      <xdr:rowOff>0</xdr:rowOff>
    </xdr:from>
    <xdr:to>
      <xdr:col>2</xdr:col>
      <xdr:colOff>28575</xdr:colOff>
      <xdr:row>387</xdr:row>
      <xdr:rowOff>9525</xdr:rowOff>
    </xdr:to>
    <xdr:pic>
      <xdr:nvPicPr>
        <xdr:cNvPr id="9" name="Picture 10" descr="bb"/>
        <xdr:cNvPicPr>
          <a:picLocks noChangeAspect="1" noChangeArrowheads="1"/>
        </xdr:cNvPicPr>
      </xdr:nvPicPr>
      <xdr:blipFill>
        <a:blip xmlns:r="http://schemas.openxmlformats.org/officeDocument/2006/relationships" r:embed="rId1"/>
        <a:srcRect/>
        <a:stretch>
          <a:fillRect/>
        </a:stretch>
      </xdr:blipFill>
      <xdr:spPr bwMode="auto">
        <a:xfrm>
          <a:off x="2257425" y="41405175"/>
          <a:ext cx="28575" cy="9525"/>
        </a:xfrm>
        <a:prstGeom prst="rect">
          <a:avLst/>
        </a:prstGeom>
        <a:noFill/>
        <a:ln w="9525">
          <a:noFill/>
          <a:miter lim="800000"/>
          <a:headEnd/>
          <a:tailEnd/>
        </a:ln>
      </xdr:spPr>
    </xdr:pic>
    <xdr:clientData/>
  </xdr:twoCellAnchor>
  <xdr:twoCellAnchor editAs="oneCell">
    <xdr:from>
      <xdr:col>2</xdr:col>
      <xdr:colOff>0</xdr:colOff>
      <xdr:row>259</xdr:row>
      <xdr:rowOff>0</xdr:rowOff>
    </xdr:from>
    <xdr:to>
      <xdr:col>2</xdr:col>
      <xdr:colOff>28575</xdr:colOff>
      <xdr:row>387</xdr:row>
      <xdr:rowOff>9525</xdr:rowOff>
    </xdr:to>
    <xdr:pic>
      <xdr:nvPicPr>
        <xdr:cNvPr id="10" name="Picture 11" descr="bb"/>
        <xdr:cNvPicPr>
          <a:picLocks noChangeAspect="1" noChangeArrowheads="1"/>
        </xdr:cNvPicPr>
      </xdr:nvPicPr>
      <xdr:blipFill>
        <a:blip xmlns:r="http://schemas.openxmlformats.org/officeDocument/2006/relationships" r:embed="rId1"/>
        <a:srcRect/>
        <a:stretch>
          <a:fillRect/>
        </a:stretch>
      </xdr:blipFill>
      <xdr:spPr bwMode="auto">
        <a:xfrm>
          <a:off x="2257425" y="41405175"/>
          <a:ext cx="28575" cy="9525"/>
        </a:xfrm>
        <a:prstGeom prst="rect">
          <a:avLst/>
        </a:prstGeom>
        <a:noFill/>
        <a:ln w="9525">
          <a:noFill/>
          <a:miter lim="800000"/>
          <a:headEnd/>
          <a:tailEnd/>
        </a:ln>
      </xdr:spPr>
    </xdr:pic>
    <xdr:clientData/>
  </xdr:twoCellAnchor>
  <xdr:twoCellAnchor editAs="oneCell">
    <xdr:from>
      <xdr:col>2</xdr:col>
      <xdr:colOff>0</xdr:colOff>
      <xdr:row>259</xdr:row>
      <xdr:rowOff>0</xdr:rowOff>
    </xdr:from>
    <xdr:to>
      <xdr:col>2</xdr:col>
      <xdr:colOff>28575</xdr:colOff>
      <xdr:row>387</xdr:row>
      <xdr:rowOff>9525</xdr:rowOff>
    </xdr:to>
    <xdr:pic>
      <xdr:nvPicPr>
        <xdr:cNvPr id="11" name="Picture 12" descr="bb"/>
        <xdr:cNvPicPr>
          <a:picLocks noChangeAspect="1" noChangeArrowheads="1"/>
        </xdr:cNvPicPr>
      </xdr:nvPicPr>
      <xdr:blipFill>
        <a:blip xmlns:r="http://schemas.openxmlformats.org/officeDocument/2006/relationships" r:embed="rId1"/>
        <a:srcRect/>
        <a:stretch>
          <a:fillRect/>
        </a:stretch>
      </xdr:blipFill>
      <xdr:spPr bwMode="auto">
        <a:xfrm>
          <a:off x="2257425" y="41405175"/>
          <a:ext cx="28575" cy="9525"/>
        </a:xfrm>
        <a:prstGeom prst="rect">
          <a:avLst/>
        </a:prstGeom>
        <a:noFill/>
        <a:ln w="9525">
          <a:noFill/>
          <a:miter lim="800000"/>
          <a:headEnd/>
          <a:tailEnd/>
        </a:ln>
      </xdr:spPr>
    </xdr:pic>
    <xdr:clientData/>
  </xdr:twoCellAnchor>
  <xdr:twoCellAnchor editAs="oneCell">
    <xdr:from>
      <xdr:col>2</xdr:col>
      <xdr:colOff>0</xdr:colOff>
      <xdr:row>259</xdr:row>
      <xdr:rowOff>0</xdr:rowOff>
    </xdr:from>
    <xdr:to>
      <xdr:col>2</xdr:col>
      <xdr:colOff>28575</xdr:colOff>
      <xdr:row>387</xdr:row>
      <xdr:rowOff>9525</xdr:rowOff>
    </xdr:to>
    <xdr:pic>
      <xdr:nvPicPr>
        <xdr:cNvPr id="12" name="Picture 13" descr="bb"/>
        <xdr:cNvPicPr>
          <a:picLocks noChangeAspect="1" noChangeArrowheads="1"/>
        </xdr:cNvPicPr>
      </xdr:nvPicPr>
      <xdr:blipFill>
        <a:blip xmlns:r="http://schemas.openxmlformats.org/officeDocument/2006/relationships" r:embed="rId1"/>
        <a:srcRect/>
        <a:stretch>
          <a:fillRect/>
        </a:stretch>
      </xdr:blipFill>
      <xdr:spPr bwMode="auto">
        <a:xfrm>
          <a:off x="2257425" y="41405175"/>
          <a:ext cx="28575" cy="9525"/>
        </a:xfrm>
        <a:prstGeom prst="rect">
          <a:avLst/>
        </a:prstGeom>
        <a:noFill/>
        <a:ln w="9525">
          <a:noFill/>
          <a:miter lim="800000"/>
          <a:headEnd/>
          <a:tailEnd/>
        </a:ln>
      </xdr:spPr>
    </xdr:pic>
    <xdr:clientData/>
  </xdr:twoCellAnchor>
  <xdr:twoCellAnchor editAs="oneCell">
    <xdr:from>
      <xdr:col>2</xdr:col>
      <xdr:colOff>0</xdr:colOff>
      <xdr:row>259</xdr:row>
      <xdr:rowOff>0</xdr:rowOff>
    </xdr:from>
    <xdr:to>
      <xdr:col>2</xdr:col>
      <xdr:colOff>28575</xdr:colOff>
      <xdr:row>387</xdr:row>
      <xdr:rowOff>9525</xdr:rowOff>
    </xdr:to>
    <xdr:pic>
      <xdr:nvPicPr>
        <xdr:cNvPr id="13" name="Picture 14" descr="bb"/>
        <xdr:cNvPicPr>
          <a:picLocks noChangeAspect="1" noChangeArrowheads="1"/>
        </xdr:cNvPicPr>
      </xdr:nvPicPr>
      <xdr:blipFill>
        <a:blip xmlns:r="http://schemas.openxmlformats.org/officeDocument/2006/relationships" r:embed="rId1"/>
        <a:srcRect/>
        <a:stretch>
          <a:fillRect/>
        </a:stretch>
      </xdr:blipFill>
      <xdr:spPr bwMode="auto">
        <a:xfrm>
          <a:off x="2257425" y="41405175"/>
          <a:ext cx="28575" cy="9525"/>
        </a:xfrm>
        <a:prstGeom prst="rect">
          <a:avLst/>
        </a:prstGeom>
        <a:noFill/>
        <a:ln w="9525">
          <a:noFill/>
          <a:miter lim="800000"/>
          <a:headEnd/>
          <a:tailEnd/>
        </a:ln>
      </xdr:spPr>
    </xdr:pic>
    <xdr:clientData/>
  </xdr:twoCellAnchor>
  <xdr:twoCellAnchor editAs="oneCell">
    <xdr:from>
      <xdr:col>5</xdr:col>
      <xdr:colOff>0</xdr:colOff>
      <xdr:row>259</xdr:row>
      <xdr:rowOff>0</xdr:rowOff>
    </xdr:from>
    <xdr:to>
      <xdr:col>5</xdr:col>
      <xdr:colOff>28575</xdr:colOff>
      <xdr:row>387</xdr:row>
      <xdr:rowOff>9525</xdr:rowOff>
    </xdr:to>
    <xdr:pic>
      <xdr:nvPicPr>
        <xdr:cNvPr id="14" name="Picture 9" descr="bb"/>
        <xdr:cNvPicPr>
          <a:picLocks noChangeAspect="1" noChangeArrowheads="1"/>
        </xdr:cNvPicPr>
      </xdr:nvPicPr>
      <xdr:blipFill>
        <a:blip xmlns:r="http://schemas.openxmlformats.org/officeDocument/2006/relationships" r:embed="rId1"/>
        <a:srcRect/>
        <a:stretch>
          <a:fillRect/>
        </a:stretch>
      </xdr:blipFill>
      <xdr:spPr bwMode="auto">
        <a:xfrm>
          <a:off x="10296525" y="41405175"/>
          <a:ext cx="28575" cy="9525"/>
        </a:xfrm>
        <a:prstGeom prst="rect">
          <a:avLst/>
        </a:prstGeom>
        <a:noFill/>
        <a:ln w="9525">
          <a:noFill/>
          <a:miter lim="800000"/>
          <a:headEnd/>
          <a:tailEnd/>
        </a:ln>
      </xdr:spPr>
    </xdr:pic>
    <xdr:clientData/>
  </xdr:twoCellAnchor>
  <xdr:twoCellAnchor editAs="oneCell">
    <xdr:from>
      <xdr:col>5</xdr:col>
      <xdr:colOff>0</xdr:colOff>
      <xdr:row>259</xdr:row>
      <xdr:rowOff>0</xdr:rowOff>
    </xdr:from>
    <xdr:to>
      <xdr:col>5</xdr:col>
      <xdr:colOff>28575</xdr:colOff>
      <xdr:row>387</xdr:row>
      <xdr:rowOff>9525</xdr:rowOff>
    </xdr:to>
    <xdr:pic>
      <xdr:nvPicPr>
        <xdr:cNvPr id="15" name="Picture 10" descr="bb"/>
        <xdr:cNvPicPr>
          <a:picLocks noChangeAspect="1" noChangeArrowheads="1"/>
        </xdr:cNvPicPr>
      </xdr:nvPicPr>
      <xdr:blipFill>
        <a:blip xmlns:r="http://schemas.openxmlformats.org/officeDocument/2006/relationships" r:embed="rId1"/>
        <a:srcRect/>
        <a:stretch>
          <a:fillRect/>
        </a:stretch>
      </xdr:blipFill>
      <xdr:spPr bwMode="auto">
        <a:xfrm>
          <a:off x="10296525" y="41405175"/>
          <a:ext cx="28575" cy="9525"/>
        </a:xfrm>
        <a:prstGeom prst="rect">
          <a:avLst/>
        </a:prstGeom>
        <a:noFill/>
        <a:ln w="9525">
          <a:noFill/>
          <a:miter lim="800000"/>
          <a:headEnd/>
          <a:tailEnd/>
        </a:ln>
      </xdr:spPr>
    </xdr:pic>
    <xdr:clientData/>
  </xdr:twoCellAnchor>
  <xdr:twoCellAnchor editAs="oneCell">
    <xdr:from>
      <xdr:col>5</xdr:col>
      <xdr:colOff>0</xdr:colOff>
      <xdr:row>259</xdr:row>
      <xdr:rowOff>0</xdr:rowOff>
    </xdr:from>
    <xdr:to>
      <xdr:col>5</xdr:col>
      <xdr:colOff>28575</xdr:colOff>
      <xdr:row>387</xdr:row>
      <xdr:rowOff>9525</xdr:rowOff>
    </xdr:to>
    <xdr:pic>
      <xdr:nvPicPr>
        <xdr:cNvPr id="16" name="Picture 11" descr="bb"/>
        <xdr:cNvPicPr>
          <a:picLocks noChangeAspect="1" noChangeArrowheads="1"/>
        </xdr:cNvPicPr>
      </xdr:nvPicPr>
      <xdr:blipFill>
        <a:blip xmlns:r="http://schemas.openxmlformats.org/officeDocument/2006/relationships" r:embed="rId1"/>
        <a:srcRect/>
        <a:stretch>
          <a:fillRect/>
        </a:stretch>
      </xdr:blipFill>
      <xdr:spPr bwMode="auto">
        <a:xfrm>
          <a:off x="10296525" y="41405175"/>
          <a:ext cx="28575" cy="9525"/>
        </a:xfrm>
        <a:prstGeom prst="rect">
          <a:avLst/>
        </a:prstGeom>
        <a:noFill/>
        <a:ln w="9525">
          <a:noFill/>
          <a:miter lim="800000"/>
          <a:headEnd/>
          <a:tailEnd/>
        </a:ln>
      </xdr:spPr>
    </xdr:pic>
    <xdr:clientData/>
  </xdr:twoCellAnchor>
  <xdr:twoCellAnchor editAs="oneCell">
    <xdr:from>
      <xdr:col>5</xdr:col>
      <xdr:colOff>0</xdr:colOff>
      <xdr:row>259</xdr:row>
      <xdr:rowOff>0</xdr:rowOff>
    </xdr:from>
    <xdr:to>
      <xdr:col>5</xdr:col>
      <xdr:colOff>28575</xdr:colOff>
      <xdr:row>387</xdr:row>
      <xdr:rowOff>9525</xdr:rowOff>
    </xdr:to>
    <xdr:pic>
      <xdr:nvPicPr>
        <xdr:cNvPr id="17" name="Picture 12" descr="bb"/>
        <xdr:cNvPicPr>
          <a:picLocks noChangeAspect="1" noChangeArrowheads="1"/>
        </xdr:cNvPicPr>
      </xdr:nvPicPr>
      <xdr:blipFill>
        <a:blip xmlns:r="http://schemas.openxmlformats.org/officeDocument/2006/relationships" r:embed="rId1"/>
        <a:srcRect/>
        <a:stretch>
          <a:fillRect/>
        </a:stretch>
      </xdr:blipFill>
      <xdr:spPr bwMode="auto">
        <a:xfrm>
          <a:off x="10296525" y="41405175"/>
          <a:ext cx="28575" cy="9525"/>
        </a:xfrm>
        <a:prstGeom prst="rect">
          <a:avLst/>
        </a:prstGeom>
        <a:noFill/>
        <a:ln w="9525">
          <a:noFill/>
          <a:miter lim="800000"/>
          <a:headEnd/>
          <a:tailEnd/>
        </a:ln>
      </xdr:spPr>
    </xdr:pic>
    <xdr:clientData/>
  </xdr:twoCellAnchor>
  <xdr:twoCellAnchor editAs="oneCell">
    <xdr:from>
      <xdr:col>5</xdr:col>
      <xdr:colOff>0</xdr:colOff>
      <xdr:row>259</xdr:row>
      <xdr:rowOff>0</xdr:rowOff>
    </xdr:from>
    <xdr:to>
      <xdr:col>5</xdr:col>
      <xdr:colOff>28575</xdr:colOff>
      <xdr:row>387</xdr:row>
      <xdr:rowOff>9525</xdr:rowOff>
    </xdr:to>
    <xdr:pic>
      <xdr:nvPicPr>
        <xdr:cNvPr id="18" name="Picture 13" descr="bb"/>
        <xdr:cNvPicPr>
          <a:picLocks noChangeAspect="1" noChangeArrowheads="1"/>
        </xdr:cNvPicPr>
      </xdr:nvPicPr>
      <xdr:blipFill>
        <a:blip xmlns:r="http://schemas.openxmlformats.org/officeDocument/2006/relationships" r:embed="rId1"/>
        <a:srcRect/>
        <a:stretch>
          <a:fillRect/>
        </a:stretch>
      </xdr:blipFill>
      <xdr:spPr bwMode="auto">
        <a:xfrm>
          <a:off x="10296525" y="41405175"/>
          <a:ext cx="28575" cy="9525"/>
        </a:xfrm>
        <a:prstGeom prst="rect">
          <a:avLst/>
        </a:prstGeom>
        <a:noFill/>
        <a:ln w="9525">
          <a:noFill/>
          <a:miter lim="800000"/>
          <a:headEnd/>
          <a:tailEnd/>
        </a:ln>
      </xdr:spPr>
    </xdr:pic>
    <xdr:clientData/>
  </xdr:twoCellAnchor>
  <xdr:twoCellAnchor editAs="oneCell">
    <xdr:from>
      <xdr:col>5</xdr:col>
      <xdr:colOff>0</xdr:colOff>
      <xdr:row>259</xdr:row>
      <xdr:rowOff>0</xdr:rowOff>
    </xdr:from>
    <xdr:to>
      <xdr:col>5</xdr:col>
      <xdr:colOff>28575</xdr:colOff>
      <xdr:row>387</xdr:row>
      <xdr:rowOff>9525</xdr:rowOff>
    </xdr:to>
    <xdr:pic>
      <xdr:nvPicPr>
        <xdr:cNvPr id="19" name="Picture 14" descr="bb"/>
        <xdr:cNvPicPr>
          <a:picLocks noChangeAspect="1" noChangeArrowheads="1"/>
        </xdr:cNvPicPr>
      </xdr:nvPicPr>
      <xdr:blipFill>
        <a:blip xmlns:r="http://schemas.openxmlformats.org/officeDocument/2006/relationships" r:embed="rId1"/>
        <a:srcRect/>
        <a:stretch>
          <a:fillRect/>
        </a:stretch>
      </xdr:blipFill>
      <xdr:spPr bwMode="auto">
        <a:xfrm>
          <a:off x="10296525" y="41405175"/>
          <a:ext cx="28575" cy="9525"/>
        </a:xfrm>
        <a:prstGeom prst="rect">
          <a:avLst/>
        </a:prstGeom>
        <a:noFill/>
        <a:ln w="9525">
          <a:noFill/>
          <a:miter lim="800000"/>
          <a:headEnd/>
          <a:tailEnd/>
        </a:ln>
      </xdr:spPr>
    </xdr:pic>
    <xdr:clientData/>
  </xdr:twoCellAnchor>
  <xdr:twoCellAnchor editAs="oneCell">
    <xdr:from>
      <xdr:col>3</xdr:col>
      <xdr:colOff>0</xdr:colOff>
      <xdr:row>259</xdr:row>
      <xdr:rowOff>0</xdr:rowOff>
    </xdr:from>
    <xdr:to>
      <xdr:col>3</xdr:col>
      <xdr:colOff>28575</xdr:colOff>
      <xdr:row>387</xdr:row>
      <xdr:rowOff>9525</xdr:rowOff>
    </xdr:to>
    <xdr:pic>
      <xdr:nvPicPr>
        <xdr:cNvPr id="20" name="Picture 9" descr="bb"/>
        <xdr:cNvPicPr>
          <a:picLocks noChangeAspect="1" noChangeArrowheads="1"/>
        </xdr:cNvPicPr>
      </xdr:nvPicPr>
      <xdr:blipFill>
        <a:blip xmlns:r="http://schemas.openxmlformats.org/officeDocument/2006/relationships" r:embed="rId1"/>
        <a:srcRect/>
        <a:stretch>
          <a:fillRect/>
        </a:stretch>
      </xdr:blipFill>
      <xdr:spPr bwMode="auto">
        <a:xfrm>
          <a:off x="4762500" y="41405175"/>
          <a:ext cx="28575" cy="9525"/>
        </a:xfrm>
        <a:prstGeom prst="rect">
          <a:avLst/>
        </a:prstGeom>
        <a:noFill/>
        <a:ln w="9525">
          <a:noFill/>
          <a:miter lim="800000"/>
          <a:headEnd/>
          <a:tailEnd/>
        </a:ln>
      </xdr:spPr>
    </xdr:pic>
    <xdr:clientData/>
  </xdr:twoCellAnchor>
  <xdr:twoCellAnchor editAs="oneCell">
    <xdr:from>
      <xdr:col>3</xdr:col>
      <xdr:colOff>0</xdr:colOff>
      <xdr:row>259</xdr:row>
      <xdr:rowOff>0</xdr:rowOff>
    </xdr:from>
    <xdr:to>
      <xdr:col>3</xdr:col>
      <xdr:colOff>28575</xdr:colOff>
      <xdr:row>387</xdr:row>
      <xdr:rowOff>9525</xdr:rowOff>
    </xdr:to>
    <xdr:pic>
      <xdr:nvPicPr>
        <xdr:cNvPr id="21" name="Picture 10" descr="bb"/>
        <xdr:cNvPicPr>
          <a:picLocks noChangeAspect="1" noChangeArrowheads="1"/>
        </xdr:cNvPicPr>
      </xdr:nvPicPr>
      <xdr:blipFill>
        <a:blip xmlns:r="http://schemas.openxmlformats.org/officeDocument/2006/relationships" r:embed="rId1"/>
        <a:srcRect/>
        <a:stretch>
          <a:fillRect/>
        </a:stretch>
      </xdr:blipFill>
      <xdr:spPr bwMode="auto">
        <a:xfrm>
          <a:off x="4762500" y="41405175"/>
          <a:ext cx="28575" cy="9525"/>
        </a:xfrm>
        <a:prstGeom prst="rect">
          <a:avLst/>
        </a:prstGeom>
        <a:noFill/>
        <a:ln w="9525">
          <a:noFill/>
          <a:miter lim="800000"/>
          <a:headEnd/>
          <a:tailEnd/>
        </a:ln>
      </xdr:spPr>
    </xdr:pic>
    <xdr:clientData/>
  </xdr:twoCellAnchor>
  <xdr:twoCellAnchor editAs="oneCell">
    <xdr:from>
      <xdr:col>3</xdr:col>
      <xdr:colOff>0</xdr:colOff>
      <xdr:row>259</xdr:row>
      <xdr:rowOff>0</xdr:rowOff>
    </xdr:from>
    <xdr:to>
      <xdr:col>3</xdr:col>
      <xdr:colOff>28575</xdr:colOff>
      <xdr:row>387</xdr:row>
      <xdr:rowOff>9525</xdr:rowOff>
    </xdr:to>
    <xdr:pic>
      <xdr:nvPicPr>
        <xdr:cNvPr id="22" name="Picture 11" descr="bb"/>
        <xdr:cNvPicPr>
          <a:picLocks noChangeAspect="1" noChangeArrowheads="1"/>
        </xdr:cNvPicPr>
      </xdr:nvPicPr>
      <xdr:blipFill>
        <a:blip xmlns:r="http://schemas.openxmlformats.org/officeDocument/2006/relationships" r:embed="rId1"/>
        <a:srcRect/>
        <a:stretch>
          <a:fillRect/>
        </a:stretch>
      </xdr:blipFill>
      <xdr:spPr bwMode="auto">
        <a:xfrm>
          <a:off x="4762500" y="41405175"/>
          <a:ext cx="28575" cy="9525"/>
        </a:xfrm>
        <a:prstGeom prst="rect">
          <a:avLst/>
        </a:prstGeom>
        <a:noFill/>
        <a:ln w="9525">
          <a:noFill/>
          <a:miter lim="800000"/>
          <a:headEnd/>
          <a:tailEnd/>
        </a:ln>
      </xdr:spPr>
    </xdr:pic>
    <xdr:clientData/>
  </xdr:twoCellAnchor>
  <xdr:twoCellAnchor editAs="oneCell">
    <xdr:from>
      <xdr:col>3</xdr:col>
      <xdr:colOff>0</xdr:colOff>
      <xdr:row>259</xdr:row>
      <xdr:rowOff>0</xdr:rowOff>
    </xdr:from>
    <xdr:to>
      <xdr:col>3</xdr:col>
      <xdr:colOff>28575</xdr:colOff>
      <xdr:row>387</xdr:row>
      <xdr:rowOff>9525</xdr:rowOff>
    </xdr:to>
    <xdr:pic>
      <xdr:nvPicPr>
        <xdr:cNvPr id="23" name="Picture 12" descr="bb"/>
        <xdr:cNvPicPr>
          <a:picLocks noChangeAspect="1" noChangeArrowheads="1"/>
        </xdr:cNvPicPr>
      </xdr:nvPicPr>
      <xdr:blipFill>
        <a:blip xmlns:r="http://schemas.openxmlformats.org/officeDocument/2006/relationships" r:embed="rId1"/>
        <a:srcRect/>
        <a:stretch>
          <a:fillRect/>
        </a:stretch>
      </xdr:blipFill>
      <xdr:spPr bwMode="auto">
        <a:xfrm>
          <a:off x="4762500" y="41405175"/>
          <a:ext cx="28575" cy="9525"/>
        </a:xfrm>
        <a:prstGeom prst="rect">
          <a:avLst/>
        </a:prstGeom>
        <a:noFill/>
        <a:ln w="9525">
          <a:noFill/>
          <a:miter lim="800000"/>
          <a:headEnd/>
          <a:tailEnd/>
        </a:ln>
      </xdr:spPr>
    </xdr:pic>
    <xdr:clientData/>
  </xdr:twoCellAnchor>
  <xdr:twoCellAnchor editAs="oneCell">
    <xdr:from>
      <xdr:col>3</xdr:col>
      <xdr:colOff>0</xdr:colOff>
      <xdr:row>259</xdr:row>
      <xdr:rowOff>0</xdr:rowOff>
    </xdr:from>
    <xdr:to>
      <xdr:col>3</xdr:col>
      <xdr:colOff>28575</xdr:colOff>
      <xdr:row>387</xdr:row>
      <xdr:rowOff>9525</xdr:rowOff>
    </xdr:to>
    <xdr:pic>
      <xdr:nvPicPr>
        <xdr:cNvPr id="24" name="Picture 13" descr="bb"/>
        <xdr:cNvPicPr>
          <a:picLocks noChangeAspect="1" noChangeArrowheads="1"/>
        </xdr:cNvPicPr>
      </xdr:nvPicPr>
      <xdr:blipFill>
        <a:blip xmlns:r="http://schemas.openxmlformats.org/officeDocument/2006/relationships" r:embed="rId1"/>
        <a:srcRect/>
        <a:stretch>
          <a:fillRect/>
        </a:stretch>
      </xdr:blipFill>
      <xdr:spPr bwMode="auto">
        <a:xfrm>
          <a:off x="4762500" y="41405175"/>
          <a:ext cx="28575" cy="9525"/>
        </a:xfrm>
        <a:prstGeom prst="rect">
          <a:avLst/>
        </a:prstGeom>
        <a:noFill/>
        <a:ln w="9525">
          <a:noFill/>
          <a:miter lim="800000"/>
          <a:headEnd/>
          <a:tailEnd/>
        </a:ln>
      </xdr:spPr>
    </xdr:pic>
    <xdr:clientData/>
  </xdr:twoCellAnchor>
  <xdr:twoCellAnchor editAs="oneCell">
    <xdr:from>
      <xdr:col>3</xdr:col>
      <xdr:colOff>0</xdr:colOff>
      <xdr:row>259</xdr:row>
      <xdr:rowOff>0</xdr:rowOff>
    </xdr:from>
    <xdr:to>
      <xdr:col>3</xdr:col>
      <xdr:colOff>28575</xdr:colOff>
      <xdr:row>387</xdr:row>
      <xdr:rowOff>9525</xdr:rowOff>
    </xdr:to>
    <xdr:pic>
      <xdr:nvPicPr>
        <xdr:cNvPr id="25" name="Picture 14" descr="bb"/>
        <xdr:cNvPicPr>
          <a:picLocks noChangeAspect="1" noChangeArrowheads="1"/>
        </xdr:cNvPicPr>
      </xdr:nvPicPr>
      <xdr:blipFill>
        <a:blip xmlns:r="http://schemas.openxmlformats.org/officeDocument/2006/relationships" r:embed="rId1"/>
        <a:srcRect/>
        <a:stretch>
          <a:fillRect/>
        </a:stretch>
      </xdr:blipFill>
      <xdr:spPr bwMode="auto">
        <a:xfrm>
          <a:off x="4762500"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26" name="Picture 9"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27" name="Picture 10"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28" name="Picture 11"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29" name="Picture 12"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30" name="Picture 13"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31" name="Picture 14"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32" name="Picture 9"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33" name="Picture 10"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34" name="Picture 11"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35" name="Picture 12"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36" name="Picture 13"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twoCellAnchor editAs="oneCell">
    <xdr:from>
      <xdr:col>6</xdr:col>
      <xdr:colOff>0</xdr:colOff>
      <xdr:row>259</xdr:row>
      <xdr:rowOff>0</xdr:rowOff>
    </xdr:from>
    <xdr:to>
      <xdr:col>6</xdr:col>
      <xdr:colOff>28575</xdr:colOff>
      <xdr:row>387</xdr:row>
      <xdr:rowOff>9525</xdr:rowOff>
    </xdr:to>
    <xdr:pic>
      <xdr:nvPicPr>
        <xdr:cNvPr id="37" name="Picture 14" descr="bb"/>
        <xdr:cNvPicPr>
          <a:picLocks noChangeAspect="1" noChangeArrowheads="1"/>
        </xdr:cNvPicPr>
      </xdr:nvPicPr>
      <xdr:blipFill>
        <a:blip xmlns:r="http://schemas.openxmlformats.org/officeDocument/2006/relationships" r:embed="rId1"/>
        <a:srcRect/>
        <a:stretch>
          <a:fillRect/>
        </a:stretch>
      </xdr:blipFill>
      <xdr:spPr bwMode="auto">
        <a:xfrm>
          <a:off x="13325475" y="41405175"/>
          <a:ext cx="28575" cy="9525"/>
        </a:xfrm>
        <a:prstGeom prst="rect">
          <a:avLst/>
        </a:prstGeom>
        <a:noFill/>
        <a:ln w="9525">
          <a:noFill/>
          <a:miter lim="800000"/>
          <a:headEnd/>
          <a:tailEnd/>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4</xdr:col>
      <xdr:colOff>19050</xdr:colOff>
      <xdr:row>19</xdr:row>
      <xdr:rowOff>0</xdr:rowOff>
    </xdr:from>
    <xdr:to>
      <xdr:col>4</xdr:col>
      <xdr:colOff>1905000</xdr:colOff>
      <xdr:row>40</xdr:row>
      <xdr:rowOff>257175</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743700" y="4648200"/>
          <a:ext cx="1885950" cy="6334125"/>
        </a:xfrm>
        <a:prstGeom prst="rect">
          <a:avLst/>
        </a:prstGeom>
        <a:noFill/>
      </xdr:spPr>
    </xdr:pic>
    <xdr:clientData/>
  </xdr:twoCellAnchor>
  <xdr:twoCellAnchor editAs="oneCell">
    <xdr:from>
      <xdr:col>3</xdr:col>
      <xdr:colOff>28575</xdr:colOff>
      <xdr:row>23</xdr:row>
      <xdr:rowOff>9525</xdr:rowOff>
    </xdr:from>
    <xdr:to>
      <xdr:col>3</xdr:col>
      <xdr:colOff>1019175</xdr:colOff>
      <xdr:row>34</xdr:row>
      <xdr:rowOff>152400</xdr:rowOff>
    </xdr:to>
    <xdr:pic>
      <xdr:nvPicPr>
        <xdr:cNvPr id="9" name="Picture 4" descr="https://sites.google.com/site/heroes3hd/_/rsrc/1448494973549/files/Scr_AdvQMenu.PNG"/>
        <xdr:cNvPicPr>
          <a:picLocks noChangeAspect="1" noChangeArrowheads="1"/>
        </xdr:cNvPicPr>
      </xdr:nvPicPr>
      <xdr:blipFill>
        <a:blip xmlns:r="http://schemas.openxmlformats.org/officeDocument/2006/relationships" r:embed="rId2" cstate="print"/>
        <a:srcRect/>
        <a:stretch>
          <a:fillRect/>
        </a:stretch>
      </xdr:blipFill>
      <xdr:spPr bwMode="auto">
        <a:xfrm>
          <a:off x="5705475" y="5629275"/>
          <a:ext cx="990600" cy="2305050"/>
        </a:xfrm>
        <a:prstGeom prst="rect">
          <a:avLst/>
        </a:prstGeom>
        <a:noFill/>
      </xdr:spPr>
    </xdr:pic>
    <xdr:clientData/>
  </xdr:twoCellAnchor>
  <xdr:twoCellAnchor editAs="oneCell">
    <xdr:from>
      <xdr:col>1</xdr:col>
      <xdr:colOff>0</xdr:colOff>
      <xdr:row>30</xdr:row>
      <xdr:rowOff>38100</xdr:rowOff>
    </xdr:from>
    <xdr:to>
      <xdr:col>2</xdr:col>
      <xdr:colOff>2124075</xdr:colOff>
      <xdr:row>33</xdr:row>
      <xdr:rowOff>9525</xdr:rowOff>
    </xdr:to>
    <xdr:pic>
      <xdr:nvPicPr>
        <xdr:cNvPr id="10" name="Picture 5" descr="https://sites.google.com/site/heroes3hd/_/rsrc/1448496927585/files/Scr_MP.PNG"/>
        <xdr:cNvPicPr>
          <a:picLocks noChangeAspect="1" noChangeArrowheads="1"/>
        </xdr:cNvPicPr>
      </xdr:nvPicPr>
      <xdr:blipFill>
        <a:blip xmlns:r="http://schemas.openxmlformats.org/officeDocument/2006/relationships" r:embed="rId3" cstate="print"/>
        <a:srcRect/>
        <a:stretch>
          <a:fillRect/>
        </a:stretch>
      </xdr:blipFill>
      <xdr:spPr bwMode="auto">
        <a:xfrm>
          <a:off x="247650" y="7419975"/>
          <a:ext cx="3171825" cy="457200"/>
        </a:xfrm>
        <a:prstGeom prst="rect">
          <a:avLst/>
        </a:prstGeom>
        <a:noFill/>
      </xdr:spPr>
    </xdr:pic>
    <xdr:clientData/>
  </xdr:twoCellAnchor>
  <xdr:twoCellAnchor editAs="oneCell">
    <xdr:from>
      <xdr:col>3</xdr:col>
      <xdr:colOff>180975</xdr:colOff>
      <xdr:row>39</xdr:row>
      <xdr:rowOff>0</xdr:rowOff>
    </xdr:from>
    <xdr:to>
      <xdr:col>3</xdr:col>
      <xdr:colOff>1000125</xdr:colOff>
      <xdr:row>41</xdr:row>
      <xdr:rowOff>85725</xdr:rowOff>
    </xdr:to>
    <xdr:pic>
      <xdr:nvPicPr>
        <xdr:cNvPr id="108550" name="Picture 6" descr="https://sites.google.com/site/heroes3hd/_/rsrc/1448497429495/files/Scr_Timer.PNG"/>
        <xdr:cNvPicPr>
          <a:picLocks noChangeAspect="1" noChangeArrowheads="1"/>
        </xdr:cNvPicPr>
      </xdr:nvPicPr>
      <xdr:blipFill>
        <a:blip xmlns:r="http://schemas.openxmlformats.org/officeDocument/2006/relationships" r:embed="rId4" cstate="print"/>
        <a:srcRect/>
        <a:stretch>
          <a:fillRect/>
        </a:stretch>
      </xdr:blipFill>
      <xdr:spPr bwMode="auto">
        <a:xfrm>
          <a:off x="5857875" y="10668000"/>
          <a:ext cx="819150" cy="571500"/>
        </a:xfrm>
        <a:prstGeom prst="rect">
          <a:avLst/>
        </a:prstGeom>
        <a:noFill/>
      </xdr:spPr>
    </xdr:pic>
    <xdr:clientData/>
  </xdr:twoCellAnchor>
  <xdr:twoCellAnchor editAs="oneCell">
    <xdr:from>
      <xdr:col>2</xdr:col>
      <xdr:colOff>4381499</xdr:colOff>
      <xdr:row>97</xdr:row>
      <xdr:rowOff>161924</xdr:rowOff>
    </xdr:from>
    <xdr:to>
      <xdr:col>4</xdr:col>
      <xdr:colOff>1887972</xdr:colOff>
      <xdr:row>104</xdr:row>
      <xdr:rowOff>95250</xdr:rowOff>
    </xdr:to>
    <xdr:pic>
      <xdr:nvPicPr>
        <xdr:cNvPr id="7" name="Picture 1" descr="https://sites.google.com/site/heroes3hd/_/rsrc/1448534821153/files/ScrS_StHero2.png"/>
        <xdr:cNvPicPr>
          <a:picLocks noChangeAspect="1" noChangeArrowheads="1"/>
        </xdr:cNvPicPr>
      </xdr:nvPicPr>
      <xdr:blipFill>
        <a:blip xmlns:r="http://schemas.openxmlformats.org/officeDocument/2006/relationships" r:embed="rId5" cstate="print"/>
        <a:srcRect/>
        <a:stretch>
          <a:fillRect/>
        </a:stretch>
      </xdr:blipFill>
      <xdr:spPr bwMode="auto">
        <a:xfrm>
          <a:off x="5676899" y="21212174"/>
          <a:ext cx="2935723" cy="1123951"/>
        </a:xfrm>
        <a:prstGeom prst="rect">
          <a:avLst/>
        </a:prstGeom>
        <a:noFill/>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lt1"/>
        </a:solidFill>
        <a:ln w="9525" cmpd="sng">
          <a:solidFill>
            <a:schemeClr val="lt1">
              <a:shade val="50000"/>
            </a:schemeClr>
          </a:solidFill>
        </a:ln>
      </a:spPr>
      <a:bodyPr vertOverflow="clip" wrap="square" rtlCol="0" anchor="t"/>
      <a:lstStyle>
        <a:defPPr>
          <a:defRPr sz="7200" b="1">
            <a:solidFill>
              <a:srgbClr val="FF0000"/>
            </a:solidFill>
            <a:latin typeface="Burford Stripes B" pitchFamily="18" charset="0"/>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8.bin"/><Relationship Id="rId4" Type="http://schemas.openxmlformats.org/officeDocument/2006/relationships/comments" Target="../comments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7.xml"/><Relationship Id="rId1" Type="http://schemas.openxmlformats.org/officeDocument/2006/relationships/printerSettings" Target="../printerSettings/printerSettings102.bin"/><Relationship Id="rId4" Type="http://schemas.openxmlformats.org/officeDocument/2006/relationships/comments" Target="../comments5.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8" Type="http://schemas.openxmlformats.org/officeDocument/2006/relationships/hyperlink" Target="http://www.youtube.com/watch?v=SVL0XV-o2lQ&amp;context=C3394ea6ADOEgsToPDskL8O0Rlre-lmuR0ihIq-vO8" TargetMode="External"/><Relationship Id="rId3" Type="http://schemas.openxmlformats.org/officeDocument/2006/relationships/hyperlink" Target="http://www.youtube.com/watch?v=xXOym6lpnfE&amp;context=C3161336ADOEgsToPDskKU8i9iWLaxPjfYUOmJP45g" TargetMode="External"/><Relationship Id="rId7" Type="http://schemas.openxmlformats.org/officeDocument/2006/relationships/hyperlink" Target="http://www.youtube.com/watch?v=_UbjP2zn59Y&amp;context=C35a0279ADOEgsToPDskJ_6D5fM_hmVKAi-HGYp176" TargetMode="External"/><Relationship Id="rId2" Type="http://schemas.openxmlformats.org/officeDocument/2006/relationships/hyperlink" Target="http://www.youtube.com/watch?v=8vZFJMr_XHM&amp;context=C362175cADOEgsToPDskIA5o3Es8d9kFmOTpDXCy35" TargetMode="External"/><Relationship Id="rId1" Type="http://schemas.openxmlformats.org/officeDocument/2006/relationships/hyperlink" Target="http://www.youtube.com/watch?v=0-hxb2a877o&amp;context=C3b4811aADOEgsToPDskKu57ExeDSzUL7yf99MkHkZ" TargetMode="External"/><Relationship Id="rId6" Type="http://schemas.openxmlformats.org/officeDocument/2006/relationships/hyperlink" Target="http://www.youtube.com/watch?v=sVoDBExirLY&amp;context=C3f86422ADOEgsToPDskLKslW9lb_Zs9CdH-Rz5f0p" TargetMode="External"/><Relationship Id="rId5" Type="http://schemas.openxmlformats.org/officeDocument/2006/relationships/hyperlink" Target="http://www.youtube.com/watch?v=4AUCxswMEsE&amp;context=C37e6c8bADOEgsToPDskIYOegHLZMiyzbTRuDyaAU9" TargetMode="External"/><Relationship Id="rId10" Type="http://schemas.openxmlformats.org/officeDocument/2006/relationships/drawing" Target="../drawings/drawing59.xml"/><Relationship Id="rId4" Type="http://schemas.openxmlformats.org/officeDocument/2006/relationships/hyperlink" Target="http://www.youtube.com/watch?v=oXRNHmJoL8g&amp;context=C3acc6cbADOEgsToPDskIZm4VHwn9_2mRPL60f_Gyo" TargetMode="External"/><Relationship Id="rId9"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printerSettings" Target="../printerSettings/printerSettings106.bin"/><Relationship Id="rId1" Type="http://schemas.openxmlformats.org/officeDocument/2006/relationships/hyperlink" Target="http://heroesportal.net/tavern/?id=285954" TargetMode="External"/></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3.xml"/><Relationship Id="rId1" Type="http://schemas.openxmlformats.org/officeDocument/2006/relationships/printerSettings" Target="../printerSettings/printerSettings114.bin"/><Relationship Id="rId4" Type="http://schemas.openxmlformats.org/officeDocument/2006/relationships/comments" Target="../comments6.xml"/></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2" Type="http://schemas.openxmlformats.org/officeDocument/2006/relationships/printerSettings" Target="../printerSettings/printerSettings119.bin"/><Relationship Id="rId1" Type="http://schemas.openxmlformats.org/officeDocument/2006/relationships/hyperlink" Target="http://www.heroesleague.ru/show/704/Rmg.txt"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http://www.heroesworld.ru/forum/forumdisplay.php?f=310" TargetMode="External"/><Relationship Id="rId2" Type="http://schemas.openxmlformats.org/officeDocument/2006/relationships/hyperlink" Target="http://www.heroesworld.ru/forum/forumdisplay.php?f=310" TargetMode="External"/><Relationship Id="rId1" Type="http://schemas.openxmlformats.org/officeDocument/2006/relationships/hyperlink" Target="https://sites.google.com/site/heroes3hd/rus/description" TargetMode="External"/><Relationship Id="rId6" Type="http://schemas.openxmlformats.org/officeDocument/2006/relationships/drawing" Target="../drawings/drawing66.xml"/><Relationship Id="rId5" Type="http://schemas.openxmlformats.org/officeDocument/2006/relationships/printerSettings" Target="../printerSettings/printerSettings120.bin"/><Relationship Id="rId4" Type="http://schemas.openxmlformats.org/officeDocument/2006/relationships/hyperlink" Target="https://sites.google.com/site/heroes3hd/rus/download" TargetMode="External"/></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sheet1.xml><?xml version="1.0" encoding="utf-8"?>
<worksheet xmlns="http://schemas.openxmlformats.org/spreadsheetml/2006/main" xmlns:r="http://schemas.openxmlformats.org/officeDocument/2006/relationships">
  <sheetPr>
    <tabColor rgb="FF0066FF"/>
  </sheetPr>
  <dimension ref="A26:A65"/>
  <sheetViews>
    <sheetView zoomScaleNormal="100" workbookViewId="0"/>
  </sheetViews>
  <sheetFormatPr defaultRowHeight="12.95" customHeight="1"/>
  <cols>
    <col min="1" max="11" width="9.140625" style="17"/>
    <col min="12" max="12" width="13.7109375" style="17" customWidth="1"/>
    <col min="13" max="16384" width="9.140625" style="17"/>
  </cols>
  <sheetData>
    <row r="26" spans="1:1" ht="12.95" customHeight="1">
      <c r="A26" s="2328"/>
    </row>
    <row r="65" ht="9" customHeight="1"/>
  </sheetData>
  <sheetProtection autoFilter="0"/>
  <printOptions horizontalCentered="1" verticalCentered="1"/>
  <pageMargins left="0" right="0" top="0.59055118110236227" bottom="0" header="0" footer="0"/>
  <pageSetup paperSize="9" scale="9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sheetPr>
    <tabColor rgb="FF0066FF"/>
  </sheetPr>
  <dimension ref="A1:Q26"/>
  <sheetViews>
    <sheetView tabSelected="1" zoomScaleNormal="100" workbookViewId="0">
      <pane ySplit="2" topLeftCell="A3" activePane="bottomLeft" state="frozen"/>
      <selection pane="bottomLeft" activeCell="L24" sqref="L24:Q25"/>
    </sheetView>
  </sheetViews>
  <sheetFormatPr defaultRowHeight="12.95" customHeight="1"/>
  <cols>
    <col min="1" max="1" width="2.7109375" style="17" customWidth="1"/>
    <col min="2" max="2" width="5.7109375" style="17" customWidth="1"/>
    <col min="3" max="3" width="5.5703125" style="17" customWidth="1"/>
    <col min="4" max="13" width="9.140625" style="17"/>
    <col min="14" max="14" width="5.5703125" style="17" customWidth="1"/>
    <col min="15" max="16384" width="9.140625" style="17"/>
  </cols>
  <sheetData>
    <row r="1" spans="1:17" s="16" customFormat="1" ht="12.95" customHeight="1">
      <c r="A1" s="1766"/>
      <c r="B1" s="2952" t="s">
        <v>5154</v>
      </c>
      <c r="C1" s="2952"/>
      <c r="D1" s="2952"/>
      <c r="E1" s="2954" t="s">
        <v>7327</v>
      </c>
      <c r="F1" s="2954"/>
      <c r="G1" s="2954"/>
      <c r="H1" s="2954"/>
      <c r="I1" s="2954"/>
      <c r="J1" s="2954"/>
      <c r="K1" s="2954"/>
      <c r="L1" s="2954"/>
      <c r="M1" s="2954"/>
      <c r="N1" s="2954"/>
      <c r="O1" s="2954"/>
      <c r="P1" s="2954"/>
      <c r="Q1" s="2954"/>
    </row>
    <row r="2" spans="1:17" s="288" customFormat="1" ht="5.0999999999999996" customHeight="1">
      <c r="A2" s="279"/>
      <c r="B2" s="286"/>
      <c r="C2" s="286"/>
      <c r="D2" s="286"/>
      <c r="E2" s="279"/>
      <c r="F2" s="279"/>
      <c r="G2" s="279"/>
      <c r="H2" s="287"/>
      <c r="I2" s="287"/>
      <c r="J2" s="279"/>
      <c r="K2" s="279"/>
      <c r="M2" s="279"/>
      <c r="N2" s="279"/>
      <c r="P2" s="279"/>
      <c r="Q2" s="279"/>
    </row>
    <row r="3" spans="1:17" ht="15.95" customHeight="1">
      <c r="B3" s="2953" t="s">
        <v>5483</v>
      </c>
      <c r="C3" s="2953"/>
      <c r="D3" s="2953"/>
      <c r="E3" s="2953"/>
      <c r="F3" s="2953"/>
      <c r="G3" s="2953"/>
      <c r="H3" s="2953"/>
      <c r="I3" s="2953"/>
      <c r="J3" s="2953"/>
      <c r="K3" s="2953"/>
      <c r="L3" s="2953"/>
      <c r="M3" s="2953"/>
      <c r="N3" s="2953"/>
      <c r="O3" s="2953"/>
      <c r="P3" s="2953"/>
      <c r="Q3" s="2953"/>
    </row>
    <row r="4" spans="1:17" ht="32.1" customHeight="1">
      <c r="B4" s="2944" t="s">
        <v>5496</v>
      </c>
      <c r="C4" s="2944"/>
      <c r="D4" s="2944"/>
      <c r="E4" s="2944"/>
      <c r="F4" s="2944"/>
      <c r="G4" s="2944"/>
      <c r="H4" s="2944"/>
      <c r="I4" s="2944"/>
      <c r="J4" s="2944"/>
      <c r="K4" s="2944"/>
      <c r="L4" s="2944"/>
      <c r="M4" s="2944"/>
      <c r="N4" s="2944"/>
      <c r="O4" s="2944"/>
      <c r="P4" s="2944"/>
      <c r="Q4" s="2944"/>
    </row>
    <row r="5" spans="1:17" ht="32.1" customHeight="1">
      <c r="B5" s="2944" t="s">
        <v>5501</v>
      </c>
      <c r="C5" s="2944"/>
      <c r="D5" s="2944"/>
      <c r="E5" s="2944"/>
      <c r="F5" s="2944"/>
      <c r="G5" s="2944"/>
      <c r="H5" s="2944"/>
      <c r="I5" s="2944"/>
      <c r="J5" s="2944"/>
      <c r="K5" s="2944"/>
      <c r="L5" s="2944"/>
      <c r="M5" s="2944"/>
      <c r="N5" s="2944"/>
      <c r="O5" s="2944"/>
      <c r="P5" s="2944"/>
      <c r="Q5" s="2944"/>
    </row>
    <row r="6" spans="1:17" ht="32.1" customHeight="1">
      <c r="B6" s="2944" t="s">
        <v>5497</v>
      </c>
      <c r="C6" s="2944"/>
      <c r="D6" s="2944"/>
      <c r="E6" s="2944"/>
      <c r="F6" s="2944"/>
      <c r="G6" s="2944"/>
      <c r="H6" s="2944"/>
      <c r="I6" s="2944"/>
      <c r="J6" s="2944"/>
      <c r="K6" s="2944"/>
      <c r="L6" s="2944"/>
      <c r="M6" s="2944"/>
      <c r="N6" s="2944"/>
      <c r="O6" s="2944"/>
      <c r="P6" s="2944"/>
      <c r="Q6" s="2944"/>
    </row>
    <row r="7" spans="1:17" ht="32.1" customHeight="1">
      <c r="B7" s="2943" t="s">
        <v>5498</v>
      </c>
      <c r="C7" s="2943"/>
      <c r="D7" s="2943"/>
      <c r="E7" s="2943"/>
      <c r="F7" s="2943"/>
      <c r="G7" s="2943"/>
      <c r="H7" s="2943"/>
      <c r="I7" s="2943"/>
      <c r="J7" s="2943"/>
      <c r="K7" s="2943"/>
      <c r="L7" s="2943"/>
      <c r="M7" s="2943"/>
      <c r="N7" s="2943"/>
      <c r="O7" s="2943"/>
      <c r="P7" s="2943"/>
      <c r="Q7" s="2943"/>
    </row>
    <row r="8" spans="1:17" ht="15.95" customHeight="1">
      <c r="B8" s="2944" t="s">
        <v>1809</v>
      </c>
      <c r="C8" s="2944"/>
      <c r="D8" s="2944"/>
      <c r="E8" s="2944"/>
      <c r="F8" s="2944"/>
      <c r="G8" s="2944"/>
      <c r="H8" s="2944"/>
      <c r="I8" s="2944"/>
      <c r="J8" s="2944"/>
      <c r="K8" s="2944"/>
      <c r="L8" s="2944"/>
      <c r="M8" s="2944"/>
      <c r="N8" s="2944"/>
      <c r="O8" s="2944"/>
      <c r="P8" s="2944"/>
      <c r="Q8" s="2944"/>
    </row>
    <row r="9" spans="1:17" ht="48" customHeight="1">
      <c r="B9" s="2944" t="s">
        <v>5499</v>
      </c>
      <c r="C9" s="2944"/>
      <c r="D9" s="2944"/>
      <c r="E9" s="2944"/>
      <c r="F9" s="2944"/>
      <c r="G9" s="2944"/>
      <c r="H9" s="2944"/>
      <c r="I9" s="2944"/>
      <c r="J9" s="2944"/>
      <c r="K9" s="2944"/>
      <c r="L9" s="2944"/>
      <c r="M9" s="2944"/>
      <c r="N9" s="2944"/>
      <c r="O9" s="2944"/>
      <c r="P9" s="2944"/>
      <c r="Q9" s="2944"/>
    </row>
    <row r="10" spans="1:17" ht="48" customHeight="1">
      <c r="B10" s="2944" t="s">
        <v>5502</v>
      </c>
      <c r="C10" s="2944"/>
      <c r="D10" s="2944"/>
      <c r="E10" s="2944"/>
      <c r="F10" s="2944"/>
      <c r="G10" s="2944"/>
      <c r="H10" s="2944"/>
      <c r="I10" s="2944"/>
      <c r="J10" s="2944"/>
      <c r="K10" s="2944"/>
      <c r="L10" s="2944"/>
      <c r="M10" s="2944"/>
      <c r="N10" s="2944"/>
      <c r="O10" s="2944"/>
      <c r="P10" s="2944"/>
      <c r="Q10" s="2944"/>
    </row>
    <row r="11" spans="1:17" ht="32.1" customHeight="1">
      <c r="B11" s="2943" t="s">
        <v>5500</v>
      </c>
      <c r="C11" s="2943"/>
      <c r="D11" s="2943"/>
      <c r="E11" s="2943"/>
      <c r="F11" s="2943"/>
      <c r="G11" s="2943"/>
      <c r="H11" s="2943"/>
      <c r="I11" s="2943"/>
      <c r="J11" s="2943"/>
      <c r="K11" s="2943"/>
      <c r="L11" s="2943"/>
      <c r="M11" s="2943"/>
      <c r="N11" s="2943"/>
      <c r="O11" s="2943"/>
      <c r="P11" s="2943"/>
      <c r="Q11" s="2943"/>
    </row>
    <row r="12" spans="1:17" ht="12.95" customHeight="1">
      <c r="B12" s="2942" t="s">
        <v>5491</v>
      </c>
      <c r="C12" s="2942"/>
      <c r="D12" s="2942"/>
      <c r="E12" s="2942"/>
      <c r="F12" s="2942"/>
      <c r="G12" s="2942"/>
      <c r="H12" s="2942"/>
      <c r="I12" s="2942"/>
      <c r="J12" s="2942"/>
      <c r="K12" s="2942"/>
      <c r="L12" s="2942"/>
      <c r="M12" s="2942"/>
      <c r="N12" s="2942"/>
      <c r="O12" s="2942"/>
      <c r="P12" s="2942"/>
      <c r="Q12" s="2942"/>
    </row>
    <row r="13" spans="1:17" ht="12.95" customHeight="1">
      <c r="C13" s="2942" t="s">
        <v>989</v>
      </c>
      <c r="D13" s="2942"/>
      <c r="E13" s="2942"/>
      <c r="F13" s="2942"/>
      <c r="G13" s="2942"/>
      <c r="H13" s="2942"/>
      <c r="I13" s="2942"/>
      <c r="J13" s="2942"/>
      <c r="K13" s="2942"/>
      <c r="L13" s="2942"/>
      <c r="M13" s="2942"/>
      <c r="N13" s="2942"/>
      <c r="O13" s="2942"/>
      <c r="P13" s="2942"/>
      <c r="Q13" s="2942"/>
    </row>
    <row r="14" spans="1:17" ht="12.95" customHeight="1">
      <c r="C14" s="2945" t="s">
        <v>809</v>
      </c>
      <c r="D14" s="2945"/>
      <c r="E14" s="2945"/>
      <c r="F14" s="2945"/>
      <c r="G14" s="2945"/>
      <c r="H14" s="2945"/>
      <c r="I14" s="2945"/>
      <c r="J14" s="2945"/>
      <c r="K14" s="2945"/>
      <c r="L14" s="2945"/>
      <c r="M14" s="2945"/>
      <c r="N14" s="2945"/>
      <c r="O14" s="2945"/>
      <c r="P14" s="2945"/>
      <c r="Q14" s="2945"/>
    </row>
    <row r="15" spans="1:17" ht="12.95" customHeight="1">
      <c r="C15" s="2945" t="s">
        <v>5503</v>
      </c>
      <c r="D15" s="2945"/>
      <c r="E15" s="2945"/>
      <c r="F15" s="2945"/>
      <c r="G15" s="2945"/>
      <c r="H15" s="2945"/>
      <c r="I15" s="2945"/>
      <c r="J15" s="2945"/>
      <c r="K15" s="2945"/>
      <c r="L15" s="2945"/>
      <c r="M15" s="2945"/>
      <c r="N15" s="2945"/>
      <c r="O15" s="2945"/>
      <c r="P15" s="2945"/>
      <c r="Q15" s="2945"/>
    </row>
    <row r="16" spans="1:17" ht="12.95" customHeight="1">
      <c r="C16" s="2945" t="s">
        <v>5504</v>
      </c>
      <c r="D16" s="2945"/>
      <c r="E16" s="2945"/>
      <c r="F16" s="2945"/>
      <c r="G16" s="2945"/>
      <c r="H16" s="2945"/>
      <c r="I16" s="2945"/>
      <c r="J16" s="2945"/>
      <c r="K16" s="2945"/>
      <c r="L16" s="2945"/>
      <c r="M16" s="2945"/>
      <c r="N16" s="2945"/>
      <c r="O16" s="2945"/>
      <c r="P16" s="2945"/>
      <c r="Q16" s="2945"/>
    </row>
    <row r="17" spans="2:17" ht="12.95" customHeight="1">
      <c r="C17" s="2945" t="s">
        <v>5505</v>
      </c>
      <c r="D17" s="2945"/>
      <c r="E17" s="2945"/>
      <c r="F17" s="2945"/>
      <c r="G17" s="2945"/>
      <c r="H17" s="2945"/>
      <c r="I17" s="2945"/>
      <c r="J17" s="2945"/>
      <c r="K17" s="2945"/>
      <c r="L17" s="2945"/>
      <c r="M17" s="2945"/>
      <c r="N17" s="2945"/>
      <c r="O17" s="2945"/>
      <c r="P17" s="2945"/>
      <c r="Q17" s="2945"/>
    </row>
    <row r="18" spans="2:17" ht="12.95" customHeight="1">
      <c r="C18" s="2945" t="s">
        <v>5506</v>
      </c>
      <c r="D18" s="2945"/>
      <c r="E18" s="2945"/>
      <c r="F18" s="2945"/>
      <c r="G18" s="2945"/>
      <c r="H18" s="2945"/>
      <c r="I18" s="2945"/>
      <c r="J18" s="2945"/>
      <c r="K18" s="2945"/>
      <c r="L18" s="2945"/>
      <c r="M18" s="2945"/>
      <c r="N18" s="2945"/>
      <c r="O18" s="2945"/>
      <c r="P18" s="2945"/>
      <c r="Q18" s="2945"/>
    </row>
    <row r="19" spans="2:17" ht="12.95" customHeight="1">
      <c r="C19" s="2945" t="s">
        <v>5508</v>
      </c>
      <c r="D19" s="2945"/>
      <c r="E19" s="2945"/>
      <c r="F19" s="2945"/>
      <c r="G19" s="2945"/>
      <c r="H19" s="2945"/>
      <c r="I19" s="2945"/>
      <c r="J19" s="2945"/>
      <c r="K19" s="2945"/>
      <c r="L19" s="2945"/>
      <c r="M19" s="2945"/>
      <c r="N19" s="2945"/>
      <c r="O19" s="2945"/>
      <c r="P19" s="2945"/>
      <c r="Q19" s="2945"/>
    </row>
    <row r="20" spans="2:17" ht="12.95" customHeight="1">
      <c r="C20" s="2945" t="s">
        <v>1704</v>
      </c>
      <c r="D20" s="2945"/>
      <c r="E20" s="2945"/>
      <c r="F20" s="2945"/>
      <c r="G20" s="2945"/>
      <c r="H20" s="2945"/>
      <c r="I20" s="2945"/>
      <c r="J20" s="2945"/>
      <c r="K20" s="2945"/>
      <c r="L20" s="2945"/>
      <c r="M20" s="2945"/>
      <c r="N20" s="2945"/>
      <c r="O20" s="2945"/>
      <c r="P20" s="2945"/>
      <c r="Q20" s="2945"/>
    </row>
    <row r="21" spans="2:17" ht="12.95" customHeight="1">
      <c r="B21" s="2942" t="s">
        <v>6177</v>
      </c>
      <c r="C21" s="2942"/>
      <c r="D21" s="2942"/>
      <c r="E21" s="2942"/>
      <c r="F21" s="2942"/>
      <c r="G21" s="2942"/>
      <c r="H21" s="2942"/>
      <c r="I21" s="2942"/>
      <c r="J21" s="2942"/>
      <c r="K21" s="2942"/>
      <c r="L21" s="2942"/>
      <c r="M21" s="2942"/>
      <c r="N21" s="2942"/>
      <c r="O21" s="2942"/>
      <c r="P21" s="2942"/>
      <c r="Q21" s="2942"/>
    </row>
    <row r="22" spans="2:17" ht="5.0999999999999996" customHeight="1">
      <c r="C22" s="1638"/>
      <c r="D22" s="1638"/>
      <c r="E22" s="1638"/>
      <c r="F22" s="1638"/>
      <c r="G22" s="1638"/>
      <c r="H22" s="1638"/>
      <c r="I22" s="1638"/>
      <c r="J22" s="1638"/>
      <c r="K22" s="1638"/>
      <c r="L22" s="1638"/>
      <c r="M22" s="1638"/>
      <c r="N22" s="1638"/>
      <c r="O22" s="1638"/>
      <c r="P22" s="1638"/>
      <c r="Q22" s="1638"/>
    </row>
    <row r="23" spans="2:17" ht="15.95" customHeight="1">
      <c r="B23" s="2944" t="s">
        <v>6099</v>
      </c>
      <c r="C23" s="2944"/>
      <c r="D23" s="2944"/>
      <c r="E23" s="2944"/>
      <c r="F23" s="2944"/>
      <c r="G23" s="2944"/>
      <c r="H23" s="2944"/>
      <c r="I23" s="2944"/>
      <c r="J23" s="2944"/>
      <c r="K23" s="2944"/>
      <c r="L23" s="2944"/>
    </row>
    <row r="24" spans="2:17" ht="15.95" customHeight="1">
      <c r="B24" s="2944" t="s">
        <v>8265</v>
      </c>
      <c r="C24" s="2944"/>
      <c r="D24" s="2944"/>
      <c r="E24" s="2944"/>
      <c r="F24" s="2944"/>
      <c r="G24" s="2944"/>
      <c r="H24" s="2944"/>
      <c r="I24" s="2944"/>
      <c r="J24" s="2944"/>
      <c r="K24" s="2944"/>
      <c r="L24" s="2946" t="s">
        <v>1705</v>
      </c>
      <c r="M24" s="2947"/>
      <c r="N24" s="2947"/>
      <c r="O24" s="2947"/>
      <c r="P24" s="2947"/>
      <c r="Q24" s="2948"/>
    </row>
    <row r="25" spans="2:17" ht="15">
      <c r="B25" s="2944" t="s">
        <v>6100</v>
      </c>
      <c r="C25" s="2944"/>
      <c r="D25" s="2944"/>
      <c r="E25" s="2944"/>
      <c r="F25" s="2944"/>
      <c r="G25" s="2944"/>
      <c r="H25" s="2944"/>
      <c r="I25" s="2944"/>
      <c r="J25" s="2944"/>
      <c r="K25" s="2944"/>
      <c r="L25" s="2949"/>
      <c r="M25" s="2950"/>
      <c r="N25" s="2950"/>
      <c r="O25" s="2950"/>
      <c r="P25" s="2950"/>
      <c r="Q25" s="2951"/>
    </row>
    <row r="26" spans="2:17" ht="12.95" customHeight="1">
      <c r="B26" s="2941" t="s">
        <v>10001</v>
      </c>
      <c r="C26" s="2941"/>
      <c r="D26" s="2941"/>
      <c r="E26" s="2941"/>
      <c r="F26" s="2941"/>
      <c r="G26" s="2941"/>
      <c r="H26" s="2941"/>
      <c r="I26" s="2941"/>
      <c r="J26" s="2941"/>
      <c r="K26" s="2941"/>
      <c r="L26" s="2941"/>
      <c r="M26" s="2941"/>
      <c r="N26" s="2941"/>
      <c r="O26" s="2941"/>
      <c r="P26" s="2941"/>
      <c r="Q26" s="2941"/>
    </row>
  </sheetData>
  <sheetProtection autoFilter="0"/>
  <mergeCells count="26">
    <mergeCell ref="C19:Q19"/>
    <mergeCell ref="C20:Q20"/>
    <mergeCell ref="B23:L23"/>
    <mergeCell ref="B21:Q21"/>
    <mergeCell ref="B1:D1"/>
    <mergeCell ref="B3:Q3"/>
    <mergeCell ref="B4:Q4"/>
    <mergeCell ref="B5:Q5"/>
    <mergeCell ref="B6:Q6"/>
    <mergeCell ref="E1:Q1"/>
    <mergeCell ref="B26:Q26"/>
    <mergeCell ref="B12:Q12"/>
    <mergeCell ref="B7:Q7"/>
    <mergeCell ref="B8:Q8"/>
    <mergeCell ref="B9:Q9"/>
    <mergeCell ref="B10:Q10"/>
    <mergeCell ref="B11:Q11"/>
    <mergeCell ref="C13:Q13"/>
    <mergeCell ref="C14:Q14"/>
    <mergeCell ref="C15:Q15"/>
    <mergeCell ref="C16:Q16"/>
    <mergeCell ref="C17:Q17"/>
    <mergeCell ref="B24:K24"/>
    <mergeCell ref="L24:Q25"/>
    <mergeCell ref="B25:K25"/>
    <mergeCell ref="C18:Q18"/>
  </mergeCells>
  <phoneticPr fontId="0" type="noConversion"/>
  <hyperlinks>
    <hyperlink ref="L24" location="Index!A1" display="Открыть"/>
    <hyperlink ref="B1" location="Index!A1" display="Назад"/>
  </hyperlinks>
  <printOptions horizontalCentered="1"/>
  <pageMargins left="0.23622047244094491" right="0.23622047244094491" top="0.74803149606299213" bottom="0.74803149606299213" header="0.31496062992125984" footer="0.31496062992125984"/>
  <pageSetup paperSize="9" scale="73" orientation="portrait" r:id="rId1"/>
  <headerFooter alignWithMargins="0"/>
</worksheet>
</file>

<file path=xl/worksheets/sheet3.xml><?xml version="1.0" encoding="utf-8"?>
<worksheet xmlns="http://schemas.openxmlformats.org/spreadsheetml/2006/main" xmlns:r="http://schemas.openxmlformats.org/officeDocument/2006/relationships">
  <sheetPr>
    <tabColor rgb="FFFFFF00"/>
  </sheetPr>
  <dimension ref="B1:E148"/>
  <sheetViews>
    <sheetView zoomScaleNormal="100" zoomScaleSheetLayoutView="100" workbookViewId="0">
      <pane ySplit="4" topLeftCell="A5" activePane="bottomLeft" state="frozen"/>
      <selection pane="bottomLeft"/>
    </sheetView>
  </sheetViews>
  <sheetFormatPr defaultRowHeight="12.75"/>
  <cols>
    <col min="1" max="1" width="3.7109375" style="937" customWidth="1"/>
    <col min="2" max="2" width="7" style="936" bestFit="1" customWidth="1"/>
    <col min="3" max="3" width="69.5703125" style="937" customWidth="1"/>
    <col min="4" max="4" width="6.28515625" style="2320" bestFit="1" customWidth="1"/>
    <col min="5" max="5" width="4.85546875" style="938" bestFit="1" customWidth="1"/>
    <col min="6" max="16384" width="9.140625" style="937"/>
  </cols>
  <sheetData>
    <row r="1" spans="2:5" ht="5.0999999999999996" customHeight="1"/>
    <row r="2" spans="2:5" s="940" customFormat="1" ht="18">
      <c r="B2" s="2957"/>
      <c r="C2" s="2958" t="s">
        <v>7328</v>
      </c>
      <c r="D2" s="2958"/>
      <c r="E2" s="939"/>
    </row>
    <row r="3" spans="2:5">
      <c r="B3" s="2957"/>
      <c r="C3" s="2959" t="s">
        <v>7329</v>
      </c>
      <c r="D3" s="2959"/>
    </row>
    <row r="4" spans="2:5" ht="5.0999999999999996" customHeight="1">
      <c r="B4" s="947"/>
    </row>
    <row r="5" spans="2:5" ht="5.0999999999999996" customHeight="1"/>
    <row r="6" spans="2:5">
      <c r="B6" s="941" t="s">
        <v>309</v>
      </c>
      <c r="C6" s="2955" t="s">
        <v>8665</v>
      </c>
      <c r="D6" s="2955"/>
    </row>
    <row r="7" spans="2:5" ht="5.0999999999999996" customHeight="1">
      <c r="B7" s="942"/>
      <c r="C7" s="943"/>
      <c r="D7" s="2321"/>
    </row>
    <row r="8" spans="2:5">
      <c r="B8" s="945" t="s">
        <v>7353</v>
      </c>
      <c r="C8" s="937" t="s">
        <v>2850</v>
      </c>
      <c r="D8" s="2322" t="s">
        <v>449</v>
      </c>
      <c r="E8" s="946"/>
    </row>
    <row r="9" spans="2:5">
      <c r="B9" s="945" t="s">
        <v>2808</v>
      </c>
      <c r="C9" s="937" t="s">
        <v>2851</v>
      </c>
      <c r="D9" s="2322" t="s">
        <v>449</v>
      </c>
      <c r="E9" s="946"/>
    </row>
    <row r="10" spans="2:5">
      <c r="B10" s="945" t="s">
        <v>2809</v>
      </c>
      <c r="C10" s="937" t="s">
        <v>2857</v>
      </c>
      <c r="D10" s="2322" t="s">
        <v>449</v>
      </c>
      <c r="E10" s="946" t="s">
        <v>7226</v>
      </c>
    </row>
    <row r="11" spans="2:5">
      <c r="B11" s="945" t="s">
        <v>2810</v>
      </c>
      <c r="C11" s="937" t="s">
        <v>2867</v>
      </c>
      <c r="D11" s="2322" t="s">
        <v>449</v>
      </c>
      <c r="E11" s="946"/>
    </row>
    <row r="12" spans="2:5">
      <c r="B12" s="945" t="s">
        <v>2811</v>
      </c>
      <c r="C12" s="937" t="s">
        <v>2878</v>
      </c>
      <c r="D12" s="2322" t="s">
        <v>449</v>
      </c>
      <c r="E12" s="946" t="s">
        <v>7226</v>
      </c>
    </row>
    <row r="13" spans="2:5">
      <c r="B13" s="945" t="s">
        <v>2862</v>
      </c>
      <c r="C13" s="937" t="s">
        <v>5486</v>
      </c>
      <c r="D13" s="2322" t="s">
        <v>449</v>
      </c>
    </row>
    <row r="14" spans="2:5">
      <c r="B14" s="945" t="s">
        <v>452</v>
      </c>
      <c r="C14" s="937" t="s">
        <v>3017</v>
      </c>
      <c r="D14" s="2322" t="s">
        <v>449</v>
      </c>
    </row>
    <row r="15" spans="2:5">
      <c r="B15" s="945" t="s">
        <v>3765</v>
      </c>
      <c r="C15" s="937" t="s">
        <v>2865</v>
      </c>
      <c r="D15" s="2322" t="s">
        <v>449</v>
      </c>
    </row>
    <row r="16" spans="2:5">
      <c r="B16" s="945" t="s">
        <v>7354</v>
      </c>
      <c r="C16" s="937" t="s">
        <v>2983</v>
      </c>
      <c r="D16" s="2322" t="s">
        <v>449</v>
      </c>
      <c r="E16" s="946" t="s">
        <v>7226</v>
      </c>
    </row>
    <row r="17" spans="2:5">
      <c r="B17" s="945" t="s">
        <v>8217</v>
      </c>
      <c r="C17" s="937" t="s">
        <v>2951</v>
      </c>
      <c r="D17" s="2322" t="s">
        <v>449</v>
      </c>
      <c r="E17" s="946"/>
    </row>
    <row r="18" spans="2:5">
      <c r="B18" s="945" t="s">
        <v>8218</v>
      </c>
      <c r="C18" s="937" t="s">
        <v>3016</v>
      </c>
      <c r="D18" s="2322" t="s">
        <v>449</v>
      </c>
      <c r="E18" s="946"/>
    </row>
    <row r="19" spans="2:5">
      <c r="B19" s="945" t="s">
        <v>2138</v>
      </c>
      <c r="C19" s="937" t="s">
        <v>3054</v>
      </c>
      <c r="D19" s="2322" t="s">
        <v>449</v>
      </c>
      <c r="E19" s="946"/>
    </row>
    <row r="20" spans="2:5">
      <c r="B20" s="945" t="s">
        <v>2139</v>
      </c>
      <c r="C20" s="937" t="s">
        <v>3153</v>
      </c>
      <c r="D20" s="2322" t="s">
        <v>449</v>
      </c>
      <c r="E20" s="946"/>
    </row>
    <row r="21" spans="2:5">
      <c r="B21" s="945" t="s">
        <v>7355</v>
      </c>
      <c r="C21" s="937" t="s">
        <v>3154</v>
      </c>
      <c r="D21" s="2322" t="s">
        <v>449</v>
      </c>
      <c r="E21" s="946"/>
    </row>
    <row r="22" spans="2:5" ht="5.0999999999999996" customHeight="1">
      <c r="D22" s="2322"/>
    </row>
    <row r="23" spans="2:5">
      <c r="B23" s="941" t="s">
        <v>928</v>
      </c>
      <c r="C23" s="2955" t="s">
        <v>8215</v>
      </c>
      <c r="D23" s="2955"/>
      <c r="E23" s="2404"/>
    </row>
    <row r="24" spans="2:5" ht="5.0999999999999996" customHeight="1">
      <c r="B24" s="942"/>
      <c r="C24" s="943"/>
      <c r="D24" s="2321"/>
    </row>
    <row r="25" spans="2:5">
      <c r="B25" s="945" t="s">
        <v>5419</v>
      </c>
      <c r="C25" s="937" t="s">
        <v>3222</v>
      </c>
      <c r="D25" s="2322" t="s">
        <v>449</v>
      </c>
      <c r="E25" s="946" t="s">
        <v>7226</v>
      </c>
    </row>
    <row r="26" spans="2:5">
      <c r="B26" s="945" t="s">
        <v>7356</v>
      </c>
      <c r="C26" s="937" t="s">
        <v>7653</v>
      </c>
      <c r="D26" s="2322" t="s">
        <v>449</v>
      </c>
      <c r="E26" s="2404" t="s">
        <v>7332</v>
      </c>
    </row>
    <row r="27" spans="2:5">
      <c r="B27" s="945" t="s">
        <v>8219</v>
      </c>
      <c r="C27" s="937" t="s">
        <v>5155</v>
      </c>
      <c r="D27" s="2322" t="s">
        <v>449</v>
      </c>
      <c r="E27" s="946"/>
    </row>
    <row r="28" spans="2:5">
      <c r="B28" s="945" t="s">
        <v>399</v>
      </c>
      <c r="C28" s="937" t="s">
        <v>5046</v>
      </c>
      <c r="D28" s="2323" t="s">
        <v>449</v>
      </c>
      <c r="E28" s="946"/>
    </row>
    <row r="29" spans="2:5">
      <c r="B29" s="945" t="s">
        <v>400</v>
      </c>
      <c r="C29" s="937" t="s">
        <v>1808</v>
      </c>
      <c r="D29" s="2322" t="s">
        <v>449</v>
      </c>
      <c r="E29" s="946"/>
    </row>
    <row r="30" spans="2:5">
      <c r="B30" s="945" t="s">
        <v>401</v>
      </c>
      <c r="C30" s="937" t="s">
        <v>6183</v>
      </c>
      <c r="D30" s="2322" t="s">
        <v>449</v>
      </c>
      <c r="E30" s="946"/>
    </row>
    <row r="31" spans="2:5">
      <c r="B31" s="945" t="s">
        <v>961</v>
      </c>
      <c r="C31" s="937" t="s">
        <v>6056</v>
      </c>
      <c r="D31" s="2322" t="s">
        <v>449</v>
      </c>
      <c r="E31" s="946"/>
    </row>
    <row r="32" spans="2:5">
      <c r="B32" s="945" t="s">
        <v>622</v>
      </c>
      <c r="C32" s="937" t="s">
        <v>6239</v>
      </c>
      <c r="D32" s="2322" t="s">
        <v>449</v>
      </c>
    </row>
    <row r="33" spans="2:5">
      <c r="B33" s="945" t="s">
        <v>2216</v>
      </c>
      <c r="C33" s="937" t="s">
        <v>7841</v>
      </c>
      <c r="D33" s="2322" t="s">
        <v>449</v>
      </c>
      <c r="E33" s="938" t="s">
        <v>7332</v>
      </c>
    </row>
    <row r="34" spans="2:5">
      <c r="B34" s="945" t="s">
        <v>291</v>
      </c>
      <c r="C34" s="937" t="s">
        <v>8760</v>
      </c>
      <c r="D34" s="2322" t="s">
        <v>449</v>
      </c>
      <c r="E34" s="938" t="s">
        <v>7332</v>
      </c>
    </row>
    <row r="35" spans="2:5" ht="5.0999999999999996" customHeight="1">
      <c r="D35" s="2322"/>
    </row>
    <row r="36" spans="2:5">
      <c r="B36" s="941" t="s">
        <v>2812</v>
      </c>
      <c r="C36" s="2955" t="s">
        <v>8216</v>
      </c>
      <c r="D36" s="2955"/>
    </row>
    <row r="37" spans="2:5" ht="5.0999999999999996" customHeight="1">
      <c r="B37" s="942"/>
      <c r="C37" s="943"/>
      <c r="D37" s="2321"/>
    </row>
    <row r="38" spans="2:5">
      <c r="B38" s="945" t="s">
        <v>2813</v>
      </c>
      <c r="C38" s="937" t="s">
        <v>3443</v>
      </c>
      <c r="D38" s="2322" t="s">
        <v>449</v>
      </c>
      <c r="E38" s="946" t="s">
        <v>7226</v>
      </c>
    </row>
    <row r="39" spans="2:5">
      <c r="B39" s="945" t="s">
        <v>8220</v>
      </c>
      <c r="C39" s="937" t="s">
        <v>3485</v>
      </c>
      <c r="D39" s="2322" t="s">
        <v>449</v>
      </c>
      <c r="E39" s="946" t="s">
        <v>7226</v>
      </c>
    </row>
    <row r="40" spans="2:5">
      <c r="B40" s="945" t="s">
        <v>8221</v>
      </c>
      <c r="C40" s="937" t="s">
        <v>7567</v>
      </c>
      <c r="D40" s="2322" t="s">
        <v>449</v>
      </c>
      <c r="E40" s="946" t="s">
        <v>7226</v>
      </c>
    </row>
    <row r="41" spans="2:5">
      <c r="B41" s="945" t="s">
        <v>8222</v>
      </c>
      <c r="C41" s="937" t="s">
        <v>7528</v>
      </c>
      <c r="D41" s="2322" t="s">
        <v>449</v>
      </c>
      <c r="E41" s="2404" t="s">
        <v>7332</v>
      </c>
    </row>
    <row r="42" spans="2:5">
      <c r="B42" s="945" t="s">
        <v>7357</v>
      </c>
      <c r="C42" s="937" t="s">
        <v>5045</v>
      </c>
      <c r="D42" s="2322" t="s">
        <v>449</v>
      </c>
      <c r="E42" s="946"/>
    </row>
    <row r="43" spans="2:5">
      <c r="B43" s="945" t="s">
        <v>7358</v>
      </c>
      <c r="C43" s="937" t="s">
        <v>6116</v>
      </c>
      <c r="D43" s="2322" t="s">
        <v>449</v>
      </c>
      <c r="E43" s="946" t="s">
        <v>7226</v>
      </c>
    </row>
    <row r="44" spans="2:5">
      <c r="B44" s="945" t="s">
        <v>8223</v>
      </c>
      <c r="C44" s="937" t="s">
        <v>7333</v>
      </c>
      <c r="D44" s="2322" t="s">
        <v>449</v>
      </c>
      <c r="E44" s="938" t="s">
        <v>7332</v>
      </c>
    </row>
    <row r="45" spans="2:5">
      <c r="B45" s="945" t="s">
        <v>2814</v>
      </c>
      <c r="C45" s="937" t="s">
        <v>6109</v>
      </c>
      <c r="D45" s="2322" t="s">
        <v>449</v>
      </c>
      <c r="E45" s="2404"/>
    </row>
    <row r="46" spans="2:5">
      <c r="B46" s="945" t="s">
        <v>8224</v>
      </c>
      <c r="C46" s="937" t="s">
        <v>3603</v>
      </c>
      <c r="D46" s="2322" t="s">
        <v>449</v>
      </c>
    </row>
    <row r="47" spans="2:5">
      <c r="B47" s="945" t="s">
        <v>8225</v>
      </c>
      <c r="C47" s="937" t="s">
        <v>3975</v>
      </c>
      <c r="D47" s="2322" t="s">
        <v>449</v>
      </c>
    </row>
    <row r="48" spans="2:5">
      <c r="B48" s="945" t="s">
        <v>2815</v>
      </c>
      <c r="C48" s="937" t="s">
        <v>3609</v>
      </c>
      <c r="D48" s="2322" t="s">
        <v>449</v>
      </c>
      <c r="E48" s="946"/>
    </row>
    <row r="49" spans="2:5">
      <c r="B49" s="945" t="s">
        <v>2816</v>
      </c>
      <c r="C49" s="937" t="s">
        <v>5156</v>
      </c>
      <c r="D49" s="2322" t="s">
        <v>449</v>
      </c>
      <c r="E49" s="946"/>
    </row>
    <row r="50" spans="2:5">
      <c r="B50" s="945" t="s">
        <v>8226</v>
      </c>
      <c r="C50" s="937" t="s">
        <v>1139</v>
      </c>
      <c r="D50" s="2322" t="s">
        <v>449</v>
      </c>
      <c r="E50" s="946"/>
    </row>
    <row r="51" spans="2:5">
      <c r="B51" s="945" t="s">
        <v>8227</v>
      </c>
      <c r="C51" s="937" t="s">
        <v>3624</v>
      </c>
      <c r="D51" s="2322" t="s">
        <v>449</v>
      </c>
      <c r="E51" s="946"/>
    </row>
    <row r="52" spans="2:5">
      <c r="B52" s="945" t="s">
        <v>8228</v>
      </c>
      <c r="C52" s="937" t="s">
        <v>3627</v>
      </c>
      <c r="D52" s="2322" t="s">
        <v>449</v>
      </c>
      <c r="E52" s="946"/>
    </row>
    <row r="53" spans="2:5">
      <c r="B53" s="945" t="s">
        <v>5420</v>
      </c>
      <c r="C53" s="937" t="s">
        <v>3649</v>
      </c>
      <c r="D53" s="2322" t="s">
        <v>449</v>
      </c>
      <c r="E53" s="946"/>
    </row>
    <row r="54" spans="2:5">
      <c r="B54" s="945" t="s">
        <v>8229</v>
      </c>
      <c r="C54" s="937" t="s">
        <v>3661</v>
      </c>
      <c r="D54" s="2322" t="s">
        <v>449</v>
      </c>
      <c r="E54" s="946"/>
    </row>
    <row r="55" spans="2:5">
      <c r="B55" s="945" t="s">
        <v>8230</v>
      </c>
      <c r="C55" s="937" t="s">
        <v>3662</v>
      </c>
      <c r="D55" s="2322" t="s">
        <v>449</v>
      </c>
      <c r="E55" s="946"/>
    </row>
    <row r="56" spans="2:5" ht="5.0999999999999996" customHeight="1">
      <c r="D56" s="2322"/>
    </row>
    <row r="57" spans="2:5">
      <c r="B57" s="941" t="s">
        <v>2817</v>
      </c>
      <c r="C57" s="2955" t="s">
        <v>8213</v>
      </c>
      <c r="D57" s="2955"/>
    </row>
    <row r="58" spans="2:5" ht="5.0999999999999996" customHeight="1">
      <c r="B58" s="942"/>
      <c r="C58" s="943"/>
      <c r="D58" s="2321"/>
    </row>
    <row r="59" spans="2:5">
      <c r="B59" s="945" t="s">
        <v>2818</v>
      </c>
      <c r="C59" s="937" t="s">
        <v>3667</v>
      </c>
      <c r="D59" s="2322" t="s">
        <v>449</v>
      </c>
      <c r="E59" s="946"/>
    </row>
    <row r="60" spans="2:5">
      <c r="B60" s="945" t="s">
        <v>2819</v>
      </c>
      <c r="C60" s="937" t="s">
        <v>3707</v>
      </c>
      <c r="D60" s="2322" t="s">
        <v>449</v>
      </c>
      <c r="E60" s="946"/>
    </row>
    <row r="61" spans="2:5">
      <c r="B61" s="945" t="s">
        <v>7359</v>
      </c>
      <c r="C61" s="937" t="s">
        <v>3710</v>
      </c>
      <c r="D61" s="2322" t="s">
        <v>449</v>
      </c>
      <c r="E61" s="946"/>
    </row>
    <row r="62" spans="2:5">
      <c r="B62" s="945" t="s">
        <v>5337</v>
      </c>
      <c r="C62" s="937" t="s">
        <v>3805</v>
      </c>
      <c r="D62" s="2322" t="s">
        <v>449</v>
      </c>
      <c r="E62" s="946"/>
    </row>
    <row r="63" spans="2:5">
      <c r="B63" s="945" t="s">
        <v>7360</v>
      </c>
      <c r="C63" s="937" t="s">
        <v>3902</v>
      </c>
      <c r="D63" s="2322" t="s">
        <v>449</v>
      </c>
      <c r="E63" s="946"/>
    </row>
    <row r="64" spans="2:5">
      <c r="B64" s="945" t="s">
        <v>7361</v>
      </c>
      <c r="C64" s="937" t="s">
        <v>3908</v>
      </c>
      <c r="D64" s="2322" t="s">
        <v>449</v>
      </c>
      <c r="E64" s="946"/>
    </row>
    <row r="65" spans="2:5">
      <c r="B65" s="945" t="s">
        <v>7362</v>
      </c>
      <c r="C65" s="937" t="s">
        <v>3948</v>
      </c>
      <c r="D65" s="2322" t="s">
        <v>449</v>
      </c>
      <c r="E65" s="946"/>
    </row>
    <row r="66" spans="2:5">
      <c r="B66" s="945" t="s">
        <v>8231</v>
      </c>
      <c r="C66" s="937" t="s">
        <v>4125</v>
      </c>
      <c r="D66" s="2322" t="s">
        <v>449</v>
      </c>
    </row>
    <row r="67" spans="2:5">
      <c r="B67" s="945" t="s">
        <v>8232</v>
      </c>
      <c r="C67" s="937" t="s">
        <v>6244</v>
      </c>
      <c r="D67" s="2322" t="s">
        <v>449</v>
      </c>
    </row>
    <row r="68" spans="2:5">
      <c r="B68" s="945" t="s">
        <v>8233</v>
      </c>
      <c r="C68" s="937" t="s">
        <v>4423</v>
      </c>
      <c r="D68" s="2322" t="s">
        <v>449</v>
      </c>
    </row>
    <row r="69" spans="2:5" ht="5.0999999999999996" customHeight="1">
      <c r="D69" s="2322"/>
    </row>
    <row r="70" spans="2:5">
      <c r="B70" s="941" t="s">
        <v>2820</v>
      </c>
      <c r="C70" s="2955" t="s">
        <v>8266</v>
      </c>
      <c r="D70" s="2955"/>
    </row>
    <row r="71" spans="2:5" ht="5.0999999999999996" customHeight="1">
      <c r="B71" s="942"/>
      <c r="C71" s="943"/>
      <c r="D71" s="2321"/>
    </row>
    <row r="72" spans="2:5">
      <c r="B72" s="945" t="s">
        <v>7364</v>
      </c>
      <c r="C72" s="937" t="s">
        <v>3997</v>
      </c>
      <c r="D72" s="2322" t="s">
        <v>449</v>
      </c>
    </row>
    <row r="73" spans="2:5">
      <c r="B73" s="945" t="s">
        <v>306</v>
      </c>
      <c r="C73" s="937" t="s">
        <v>4214</v>
      </c>
      <c r="D73" s="2322" t="s">
        <v>449</v>
      </c>
    </row>
    <row r="74" spans="2:5">
      <c r="B74" s="945" t="s">
        <v>7365</v>
      </c>
      <c r="C74" s="937" t="s">
        <v>4363</v>
      </c>
      <c r="D74" s="2322" t="s">
        <v>449</v>
      </c>
    </row>
    <row r="75" spans="2:5">
      <c r="B75" s="945" t="s">
        <v>2117</v>
      </c>
      <c r="C75" s="937" t="s">
        <v>8270</v>
      </c>
      <c r="D75" s="2322" t="s">
        <v>449</v>
      </c>
    </row>
    <row r="76" spans="2:5">
      <c r="B76" s="945" t="s">
        <v>1168</v>
      </c>
      <c r="C76" s="937" t="s">
        <v>8757</v>
      </c>
      <c r="D76" s="2322" t="s">
        <v>449</v>
      </c>
    </row>
    <row r="77" spans="2:5">
      <c r="B77" s="945" t="s">
        <v>1326</v>
      </c>
      <c r="C77" s="937" t="s">
        <v>4370</v>
      </c>
      <c r="D77" s="2322" t="s">
        <v>449</v>
      </c>
    </row>
    <row r="78" spans="2:5">
      <c r="B78" s="945" t="s">
        <v>8234</v>
      </c>
      <c r="C78" s="937" t="s">
        <v>4376</v>
      </c>
      <c r="D78" s="2322" t="s">
        <v>449</v>
      </c>
      <c r="E78" s="946" t="s">
        <v>7226</v>
      </c>
    </row>
    <row r="79" spans="2:5">
      <c r="B79" s="945" t="s">
        <v>2821</v>
      </c>
      <c r="C79" s="937" t="s">
        <v>6130</v>
      </c>
      <c r="D79" s="2322" t="s">
        <v>449</v>
      </c>
      <c r="E79" s="946"/>
    </row>
    <row r="80" spans="2:5">
      <c r="B80" s="945" t="s">
        <v>8235</v>
      </c>
      <c r="C80" s="937" t="s">
        <v>4934</v>
      </c>
      <c r="D80" s="2322" t="s">
        <v>449</v>
      </c>
      <c r="E80" s="946" t="s">
        <v>7226</v>
      </c>
    </row>
    <row r="81" spans="2:5">
      <c r="B81" s="945" t="s">
        <v>2</v>
      </c>
      <c r="C81" s="937" t="s">
        <v>4941</v>
      </c>
      <c r="D81" s="2322" t="s">
        <v>449</v>
      </c>
    </row>
    <row r="82" spans="2:5">
      <c r="B82" s="945" t="s">
        <v>8236</v>
      </c>
      <c r="C82" s="937" t="s">
        <v>5024</v>
      </c>
      <c r="D82" s="2322" t="s">
        <v>449</v>
      </c>
    </row>
    <row r="83" spans="2:5" ht="5.0999999999999996" customHeight="1">
      <c r="C83" s="944"/>
      <c r="D83" s="2322"/>
    </row>
    <row r="84" spans="2:5">
      <c r="B84" s="941" t="s">
        <v>2822</v>
      </c>
      <c r="C84" s="2955" t="s">
        <v>4424</v>
      </c>
      <c r="D84" s="2955"/>
    </row>
    <row r="85" spans="2:5" ht="5.0999999999999996" customHeight="1">
      <c r="B85" s="942"/>
      <c r="C85" s="943"/>
      <c r="D85" s="2321"/>
    </row>
    <row r="86" spans="2:5">
      <c r="B86" s="945" t="s">
        <v>2823</v>
      </c>
      <c r="C86" s="937" t="s">
        <v>4511</v>
      </c>
      <c r="D86" s="2322" t="s">
        <v>449</v>
      </c>
      <c r="E86" s="946"/>
    </row>
    <row r="87" spans="2:5">
      <c r="B87" s="945" t="s">
        <v>2824</v>
      </c>
      <c r="C87" s="937" t="s">
        <v>4512</v>
      </c>
      <c r="D87" s="2322" t="s">
        <v>449</v>
      </c>
      <c r="E87" s="946"/>
    </row>
    <row r="88" spans="2:5">
      <c r="B88" s="945" t="s">
        <v>8237</v>
      </c>
      <c r="C88" s="943" t="s">
        <v>4589</v>
      </c>
      <c r="D88" s="2322" t="s">
        <v>449</v>
      </c>
    </row>
    <row r="89" spans="2:5">
      <c r="B89" s="945" t="s">
        <v>8238</v>
      </c>
      <c r="C89" s="937" t="s">
        <v>4590</v>
      </c>
      <c r="D89" s="2322" t="s">
        <v>449</v>
      </c>
    </row>
    <row r="90" spans="2:5">
      <c r="B90" s="945" t="s">
        <v>8239</v>
      </c>
      <c r="C90" s="937" t="s">
        <v>4592</v>
      </c>
      <c r="D90" s="2322" t="s">
        <v>449</v>
      </c>
    </row>
    <row r="91" spans="2:5">
      <c r="B91" s="945" t="s">
        <v>8240</v>
      </c>
      <c r="C91" s="937" t="s">
        <v>4594</v>
      </c>
      <c r="D91" s="2322" t="s">
        <v>449</v>
      </c>
    </row>
    <row r="92" spans="2:5">
      <c r="B92" s="945" t="s">
        <v>8241</v>
      </c>
      <c r="C92" s="937" t="s">
        <v>4596</v>
      </c>
      <c r="D92" s="2322" t="s">
        <v>449</v>
      </c>
      <c r="E92" s="937"/>
    </row>
    <row r="93" spans="2:5">
      <c r="B93" s="945" t="s">
        <v>8242</v>
      </c>
      <c r="C93" s="937" t="s">
        <v>4598</v>
      </c>
      <c r="D93" s="2322" t="s">
        <v>449</v>
      </c>
      <c r="E93" s="937"/>
    </row>
    <row r="94" spans="2:5">
      <c r="B94" s="945" t="s">
        <v>8243</v>
      </c>
      <c r="C94" s="937" t="s">
        <v>4601</v>
      </c>
      <c r="D94" s="2322" t="s">
        <v>449</v>
      </c>
      <c r="E94" s="937"/>
    </row>
    <row r="95" spans="2:5">
      <c r="B95" s="945" t="s">
        <v>8244</v>
      </c>
      <c r="C95" s="937" t="s">
        <v>4602</v>
      </c>
      <c r="D95" s="2322" t="s">
        <v>449</v>
      </c>
      <c r="E95" s="937"/>
    </row>
    <row r="96" spans="2:5">
      <c r="B96" s="945" t="s">
        <v>8245</v>
      </c>
      <c r="C96" s="943" t="s">
        <v>4604</v>
      </c>
      <c r="D96" s="2322" t="s">
        <v>449</v>
      </c>
      <c r="E96" s="937"/>
    </row>
    <row r="97" spans="2:5">
      <c r="B97" s="945" t="s">
        <v>2825</v>
      </c>
      <c r="C97" s="937" t="s">
        <v>3389</v>
      </c>
      <c r="D97" s="2322" t="s">
        <v>449</v>
      </c>
    </row>
    <row r="98" spans="2:5">
      <c r="B98" s="945" t="s">
        <v>8214</v>
      </c>
      <c r="C98" s="937" t="s">
        <v>5338</v>
      </c>
      <c r="D98" s="2322" t="s">
        <v>449</v>
      </c>
    </row>
    <row r="99" spans="2:5" ht="5.0999999999999996" customHeight="1">
      <c r="C99" s="944"/>
      <c r="D99" s="2322"/>
      <c r="E99" s="937"/>
    </row>
    <row r="100" spans="2:5">
      <c r="B100" s="941" t="s">
        <v>7351</v>
      </c>
      <c r="C100" s="2955" t="s">
        <v>4681</v>
      </c>
      <c r="D100" s="2955"/>
      <c r="E100" s="937"/>
    </row>
    <row r="101" spans="2:5" ht="5.0999999999999996" customHeight="1">
      <c r="B101" s="942"/>
      <c r="C101" s="943"/>
      <c r="D101" s="2321"/>
      <c r="E101" s="937"/>
    </row>
    <row r="102" spans="2:5">
      <c r="B102" s="945" t="s">
        <v>8246</v>
      </c>
      <c r="C102" s="943" t="s">
        <v>4672</v>
      </c>
      <c r="D102" s="2322" t="s">
        <v>449</v>
      </c>
      <c r="E102" s="937"/>
    </row>
    <row r="103" spans="2:5">
      <c r="B103" s="945" t="s">
        <v>8247</v>
      </c>
      <c r="C103" s="943" t="s">
        <v>4673</v>
      </c>
      <c r="D103" s="2322" t="s">
        <v>449</v>
      </c>
      <c r="E103" s="937"/>
    </row>
    <row r="104" spans="2:5">
      <c r="B104" s="945" t="s">
        <v>8248</v>
      </c>
      <c r="C104" s="943" t="s">
        <v>4674</v>
      </c>
      <c r="D104" s="2322" t="s">
        <v>449</v>
      </c>
      <c r="E104" s="937"/>
    </row>
    <row r="105" spans="2:5">
      <c r="B105" s="945" t="s">
        <v>8249</v>
      </c>
      <c r="C105" s="943" t="s">
        <v>4675</v>
      </c>
      <c r="D105" s="2322" t="s">
        <v>449</v>
      </c>
      <c r="E105" s="937"/>
    </row>
    <row r="106" spans="2:5">
      <c r="B106" s="945" t="s">
        <v>8250</v>
      </c>
      <c r="C106" s="943" t="s">
        <v>4676</v>
      </c>
      <c r="D106" s="2322" t="s">
        <v>449</v>
      </c>
      <c r="E106" s="937"/>
    </row>
    <row r="107" spans="2:5">
      <c r="B107" s="945" t="s">
        <v>8251</v>
      </c>
      <c r="C107" s="943" t="s">
        <v>4677</v>
      </c>
      <c r="D107" s="2322" t="s">
        <v>449</v>
      </c>
      <c r="E107" s="937"/>
    </row>
    <row r="108" spans="2:5">
      <c r="B108" s="945" t="s">
        <v>8252</v>
      </c>
      <c r="C108" s="943" t="s">
        <v>4678</v>
      </c>
      <c r="D108" s="2322" t="s">
        <v>449</v>
      </c>
      <c r="E108" s="937"/>
    </row>
    <row r="109" spans="2:5">
      <c r="B109" s="945" t="s">
        <v>8253</v>
      </c>
      <c r="C109" s="943" t="s">
        <v>4679</v>
      </c>
      <c r="D109" s="2322" t="s">
        <v>449</v>
      </c>
      <c r="E109" s="937"/>
    </row>
    <row r="110" spans="2:5">
      <c r="B110" s="945" t="s">
        <v>8254</v>
      </c>
      <c r="C110" s="943" t="s">
        <v>4680</v>
      </c>
      <c r="D110" s="2322" t="s">
        <v>449</v>
      </c>
    </row>
    <row r="111" spans="2:5">
      <c r="B111" s="945" t="s">
        <v>7366</v>
      </c>
      <c r="C111" s="937" t="s">
        <v>8664</v>
      </c>
      <c r="D111" s="2322" t="s">
        <v>449</v>
      </c>
      <c r="E111" s="938" t="s">
        <v>7332</v>
      </c>
    </row>
    <row r="112" spans="2:5">
      <c r="B112" s="945" t="s">
        <v>8271</v>
      </c>
      <c r="C112" s="937" t="s">
        <v>4704</v>
      </c>
      <c r="D112" s="2322" t="s">
        <v>449</v>
      </c>
      <c r="E112" s="946"/>
    </row>
    <row r="113" spans="2:5">
      <c r="B113" s="945" t="s">
        <v>8272</v>
      </c>
      <c r="C113" s="937" t="s">
        <v>4738</v>
      </c>
      <c r="D113" s="2322" t="s">
        <v>449</v>
      </c>
      <c r="E113" s="946"/>
    </row>
    <row r="114" spans="2:5">
      <c r="B114" s="945" t="s">
        <v>8273</v>
      </c>
      <c r="C114" s="937" t="s">
        <v>4750</v>
      </c>
      <c r="D114" s="2322" t="s">
        <v>449</v>
      </c>
    </row>
    <row r="115" spans="2:5">
      <c r="B115" s="945" t="s">
        <v>8274</v>
      </c>
      <c r="C115" s="937" t="s">
        <v>6093</v>
      </c>
      <c r="D115" s="2322" t="s">
        <v>449</v>
      </c>
    </row>
    <row r="116" spans="2:5">
      <c r="B116" s="945" t="s">
        <v>8275</v>
      </c>
      <c r="C116" s="937" t="s">
        <v>6430</v>
      </c>
      <c r="D116" s="2322" t="s">
        <v>449</v>
      </c>
    </row>
    <row r="117" spans="2:5">
      <c r="B117" s="945" t="s">
        <v>8276</v>
      </c>
      <c r="C117" s="937" t="s">
        <v>4965</v>
      </c>
      <c r="D117" s="2322" t="s">
        <v>449</v>
      </c>
      <c r="E117" s="946"/>
    </row>
    <row r="118" spans="2:5">
      <c r="B118" s="945" t="s">
        <v>8255</v>
      </c>
      <c r="C118" s="937" t="s">
        <v>5013</v>
      </c>
      <c r="D118" s="2322" t="s">
        <v>449</v>
      </c>
      <c r="E118" s="946" t="s">
        <v>7226</v>
      </c>
    </row>
    <row r="119" spans="2:5">
      <c r="B119" s="945" t="s">
        <v>8256</v>
      </c>
      <c r="C119" s="937" t="s">
        <v>9756</v>
      </c>
      <c r="D119" s="2322" t="s">
        <v>449</v>
      </c>
      <c r="E119" s="938" t="s">
        <v>7332</v>
      </c>
    </row>
    <row r="120" spans="2:5">
      <c r="B120" s="945" t="s">
        <v>8277</v>
      </c>
      <c r="C120" s="937" t="s">
        <v>8193</v>
      </c>
      <c r="D120" s="2322" t="s">
        <v>449</v>
      </c>
      <c r="E120" s="946" t="s">
        <v>7226</v>
      </c>
    </row>
    <row r="121" spans="2:5">
      <c r="B121" s="945" t="s">
        <v>8278</v>
      </c>
      <c r="C121" s="937" t="s">
        <v>8194</v>
      </c>
      <c r="D121" s="2322" t="s">
        <v>449</v>
      </c>
      <c r="E121" s="938" t="s">
        <v>7332</v>
      </c>
    </row>
    <row r="122" spans="2:5">
      <c r="B122" s="945" t="s">
        <v>7367</v>
      </c>
      <c r="C122" s="937" t="s">
        <v>5067</v>
      </c>
      <c r="D122" s="2322" t="s">
        <v>449</v>
      </c>
      <c r="E122" s="946"/>
    </row>
    <row r="123" spans="2:5">
      <c r="B123" s="945" t="s">
        <v>7368</v>
      </c>
      <c r="C123" s="937" t="s">
        <v>7363</v>
      </c>
      <c r="D123" s="2322" t="s">
        <v>449</v>
      </c>
    </row>
    <row r="124" spans="2:5">
      <c r="B124" s="945" t="s">
        <v>7369</v>
      </c>
      <c r="C124" s="937" t="s">
        <v>8666</v>
      </c>
      <c r="D124" s="2322" t="s">
        <v>449</v>
      </c>
      <c r="E124" s="938" t="s">
        <v>7332</v>
      </c>
    </row>
    <row r="125" spans="2:5">
      <c r="B125" s="945" t="s">
        <v>8279</v>
      </c>
      <c r="C125" s="937" t="s">
        <v>6411</v>
      </c>
      <c r="D125" s="2322" t="s">
        <v>449</v>
      </c>
      <c r="E125" s="946" t="s">
        <v>7226</v>
      </c>
    </row>
    <row r="126" spans="2:5">
      <c r="B126" s="945" t="s">
        <v>10030</v>
      </c>
      <c r="C126" s="937" t="s">
        <v>7519</v>
      </c>
      <c r="D126" s="2322" t="s">
        <v>449</v>
      </c>
      <c r="E126" s="938" t="s">
        <v>7332</v>
      </c>
    </row>
    <row r="127" spans="2:5">
      <c r="B127" s="945" t="s">
        <v>10031</v>
      </c>
      <c r="C127" s="937" t="s">
        <v>7453</v>
      </c>
      <c r="D127" s="2322" t="s">
        <v>449</v>
      </c>
      <c r="E127" s="938" t="s">
        <v>7332</v>
      </c>
    </row>
    <row r="128" spans="2:5">
      <c r="B128" s="945" t="s">
        <v>10032</v>
      </c>
      <c r="C128" s="937" t="s">
        <v>7373</v>
      </c>
      <c r="D128" s="2322" t="s">
        <v>449</v>
      </c>
      <c r="E128" s="938" t="s">
        <v>7332</v>
      </c>
    </row>
    <row r="129" spans="2:5">
      <c r="B129" s="945" t="s">
        <v>10033</v>
      </c>
      <c r="C129" s="937" t="s">
        <v>8714</v>
      </c>
      <c r="D129" s="2322" t="s">
        <v>449</v>
      </c>
      <c r="E129" s="946" t="s">
        <v>7226</v>
      </c>
    </row>
    <row r="130" spans="2:5" ht="5.0999999999999996" customHeight="1">
      <c r="D130" s="2322"/>
    </row>
    <row r="131" spans="2:5">
      <c r="B131" s="941" t="s">
        <v>7352</v>
      </c>
      <c r="C131" s="2955" t="s">
        <v>5106</v>
      </c>
      <c r="D131" s="2955"/>
    </row>
    <row r="132" spans="2:5" ht="5.0999999999999996" customHeight="1">
      <c r="B132" s="942"/>
      <c r="C132" s="943"/>
      <c r="D132" s="2321"/>
    </row>
    <row r="133" spans="2:5">
      <c r="B133" s="945" t="s">
        <v>8257</v>
      </c>
      <c r="C133" s="937" t="s">
        <v>5113</v>
      </c>
      <c r="D133" s="2322" t="s">
        <v>449</v>
      </c>
      <c r="E133" s="946"/>
    </row>
    <row r="134" spans="2:5">
      <c r="B134" s="945" t="s">
        <v>8258</v>
      </c>
      <c r="C134" s="937" t="s">
        <v>5115</v>
      </c>
      <c r="D134" s="2322" t="s">
        <v>449</v>
      </c>
    </row>
    <row r="135" spans="2:5">
      <c r="B135" s="945" t="s">
        <v>8259</v>
      </c>
      <c r="C135" s="937" t="s">
        <v>7847</v>
      </c>
      <c r="D135" s="2322" t="s">
        <v>449</v>
      </c>
      <c r="E135" s="938" t="s">
        <v>7332</v>
      </c>
    </row>
    <row r="136" spans="2:5">
      <c r="B136" s="945" t="s">
        <v>7370</v>
      </c>
      <c r="C136" s="937" t="s">
        <v>6129</v>
      </c>
      <c r="D136" s="2322" t="s">
        <v>449</v>
      </c>
      <c r="E136" s="938" t="s">
        <v>7332</v>
      </c>
    </row>
    <row r="137" spans="2:5">
      <c r="B137" s="945" t="s">
        <v>7371</v>
      </c>
      <c r="C137" s="937" t="s">
        <v>8703</v>
      </c>
      <c r="D137" s="2322" t="s">
        <v>449</v>
      </c>
      <c r="E137" s="938" t="s">
        <v>7332</v>
      </c>
    </row>
    <row r="138" spans="2:5">
      <c r="B138" s="945" t="s">
        <v>7372</v>
      </c>
      <c r="C138" s="937" t="s">
        <v>7288</v>
      </c>
      <c r="D138" s="2322" t="s">
        <v>449</v>
      </c>
    </row>
    <row r="139" spans="2:5">
      <c r="B139" s="945" t="s">
        <v>8260</v>
      </c>
      <c r="C139" s="4" t="s">
        <v>5122</v>
      </c>
      <c r="D139" s="2322" t="s">
        <v>449</v>
      </c>
      <c r="E139" s="946"/>
    </row>
    <row r="140" spans="2:5">
      <c r="B140" s="945" t="s">
        <v>8261</v>
      </c>
      <c r="C140" s="937" t="s">
        <v>5134</v>
      </c>
      <c r="D140" s="2322" t="s">
        <v>449</v>
      </c>
      <c r="E140" s="946" t="s">
        <v>7226</v>
      </c>
    </row>
    <row r="141" spans="2:5">
      <c r="B141" s="945" t="s">
        <v>8262</v>
      </c>
      <c r="C141" s="937" t="s">
        <v>5135</v>
      </c>
      <c r="D141" s="2322" t="s">
        <v>449</v>
      </c>
      <c r="E141" s="946"/>
    </row>
    <row r="142" spans="2:5">
      <c r="B142" s="945" t="s">
        <v>8263</v>
      </c>
      <c r="C142" s="937" t="s">
        <v>6433</v>
      </c>
      <c r="D142" s="2322" t="s">
        <v>449</v>
      </c>
    </row>
    <row r="143" spans="2:5">
      <c r="B143" s="945" t="s">
        <v>8264</v>
      </c>
      <c r="C143" s="937" t="s">
        <v>5152</v>
      </c>
      <c r="D143" s="2322" t="s">
        <v>449</v>
      </c>
    </row>
    <row r="144" spans="2:5">
      <c r="B144" s="945" t="s">
        <v>8702</v>
      </c>
      <c r="C144" s="937" t="s">
        <v>8726</v>
      </c>
      <c r="D144" s="2322" t="s">
        <v>449</v>
      </c>
      <c r="E144" s="938" t="s">
        <v>7332</v>
      </c>
    </row>
    <row r="145" spans="2:5">
      <c r="B145" s="945" t="s">
        <v>8725</v>
      </c>
      <c r="C145" s="937" t="s">
        <v>8057</v>
      </c>
      <c r="D145" s="2322" t="s">
        <v>449</v>
      </c>
      <c r="E145" s="938" t="s">
        <v>7332</v>
      </c>
    </row>
    <row r="146" spans="2:5">
      <c r="B146" s="945" t="s">
        <v>9994</v>
      </c>
      <c r="C146" s="937" t="s">
        <v>10027</v>
      </c>
      <c r="D146" s="2322" t="s">
        <v>449</v>
      </c>
      <c r="E146" s="938" t="s">
        <v>7332</v>
      </c>
    </row>
    <row r="147" spans="2:5" ht="5.0999999999999996" customHeight="1"/>
    <row r="148" spans="2:5" ht="5.0999999999999996" customHeight="1">
      <c r="B148" s="2956"/>
      <c r="C148" s="2956"/>
      <c r="D148" s="2956"/>
    </row>
  </sheetData>
  <sheetProtection sort="0"/>
  <mergeCells count="12">
    <mergeCell ref="B2:B3"/>
    <mergeCell ref="C2:D2"/>
    <mergeCell ref="C3:D3"/>
    <mergeCell ref="C6:D6"/>
    <mergeCell ref="C36:D36"/>
    <mergeCell ref="C84:D84"/>
    <mergeCell ref="C100:D100"/>
    <mergeCell ref="C131:D131"/>
    <mergeCell ref="B148:D148"/>
    <mergeCell ref="C23:D23"/>
    <mergeCell ref="C70:D70"/>
    <mergeCell ref="C57:D57"/>
  </mergeCells>
  <hyperlinks>
    <hyperlink ref="D25" location="'2.1'!A1" display="Далее"/>
    <hyperlink ref="D112" location="'7.3'!A1" display="Далее"/>
    <hyperlink ref="D9" location="'1.2.1'!A1" display="Далее"/>
    <hyperlink ref="D18" location="'1.6.2'!A1" display="Далее"/>
    <hyperlink ref="D49" location="'3.7'!A1" display="Далее"/>
    <hyperlink ref="D74" location="'5.3'!A1" display="Далее"/>
    <hyperlink ref="D68" location="'4.10'!A1" display="Далее"/>
    <hyperlink ref="D133" location="'8.1.1'!A1" display="Далее"/>
    <hyperlink ref="D86" location="'6.1'!A1" display="Далее"/>
    <hyperlink ref="D59" location="'4.1'!A1" display="Далее"/>
    <hyperlink ref="D139" location="'8.6'!A1" display="Далее"/>
    <hyperlink ref="D60" location="'4.2'!A1" display="Далее"/>
    <hyperlink ref="D63" location="'4.5'!A1" display="Далее"/>
    <hyperlink ref="D62" location="'4.4'!A1" display="Далее"/>
    <hyperlink ref="D61" location="'4.3'!A1" display="Далее"/>
    <hyperlink ref="D65" location="'4.7'!A1" display="Далее"/>
    <hyperlink ref="D21" location="'1.9'!A1" display="Далее"/>
    <hyperlink ref="D118" location="'7.6.1'!A1" display="Далее"/>
    <hyperlink ref="D72" location="'5.1'!A1" display="Далее"/>
    <hyperlink ref="D77" location="'5.6'!A1" display="Далее"/>
    <hyperlink ref="D27" location="'2.3'!A1" display="Далее"/>
    <hyperlink ref="D8" location="'1.1'!A1" display="Далее"/>
    <hyperlink ref="D38" location="'3.1'!A1" display="Далее"/>
    <hyperlink ref="D141" location="'8.8'!A1" display="Далее"/>
    <hyperlink ref="D143" location="'8.10'!A1" display="Далее"/>
    <hyperlink ref="D87" location="'6.2'!A1" display="Далее"/>
    <hyperlink ref="D113" location="'7.4.1'!A1" display="Далее"/>
    <hyperlink ref="D97" location="'6.4'!A1" display="Далее"/>
    <hyperlink ref="D88" location="'6.3.1'!A1" display="Далее"/>
    <hyperlink ref="D89" location="'6.3.2'!A1" display="Далее"/>
    <hyperlink ref="D91" location="'6.3.4'!A1" display="Далее"/>
    <hyperlink ref="D92" location="'6.3.5'!A1" display="Далее"/>
    <hyperlink ref="D93" location="'6.3.6'!A1" display="Далее"/>
    <hyperlink ref="D94" location="'6.3.7'!A1" display="Далее"/>
    <hyperlink ref="D95" location="'6.3.8'!A1" display="Далее"/>
    <hyperlink ref="D78" location="'5.7'!A1" display="Далее"/>
    <hyperlink ref="D39" location="'3.2.1'!A1" display="Далее"/>
    <hyperlink ref="D102" location="'7.1.1'!A1" display="Далее"/>
    <hyperlink ref="D117" location="'7.5'!A1" display="Далее"/>
    <hyperlink ref="D50" location="'3.8.1'!A1" display="Далее"/>
    <hyperlink ref="D80" location="'5.9'!A1" display="Далее"/>
    <hyperlink ref="D51" location="'3.8.2'!A1" display="Далее"/>
    <hyperlink ref="D82" location="'5.11'!A1" display="Далее"/>
    <hyperlink ref="D124" location="'7.10'!A1" display="Далее"/>
    <hyperlink ref="D103" location="'7.1.2'!A1" display="Далее"/>
    <hyperlink ref="D104" location="'7.1.3'!A1" display="Далее"/>
    <hyperlink ref="D105" location="'7.1.4'!A1" display="Далее"/>
    <hyperlink ref="D106" location="'7.1.5'!A1" display="Далее"/>
    <hyperlink ref="D107" location="'7.1.6'!A1" display="Далее"/>
    <hyperlink ref="D108" location="'7.1.7'!A1" display="Далее"/>
    <hyperlink ref="D109" location="'7.1.8'!A1" display="Далее"/>
    <hyperlink ref="D110" location="'7.1.9'!A1" display="Далее"/>
    <hyperlink ref="D42" location="'3.3.1'!A1" display="Далее"/>
    <hyperlink ref="D140" location="'8.7'!A1" display="Далее"/>
    <hyperlink ref="D81" location="'5.10'!A1" display="Далее"/>
    <hyperlink ref="D40" location="'3.2.2'!A1" display="Далее"/>
    <hyperlink ref="D48" location="'3.6'!A1" display="Далее"/>
    <hyperlink ref="D10" location="'1.2.2'!A1" display="Далее"/>
    <hyperlink ref="D11" location="'1.2.3'!A1" display="Далее"/>
    <hyperlink ref="D12" location="'1.2.4'!A1" display="Далее"/>
    <hyperlink ref="D120" location="'7.7.1'!A1" display="Далее"/>
    <hyperlink ref="D28" location="'2.4'!A1" display="Далее"/>
    <hyperlink ref="D96" location="'6.3.9'!A1" display="Далее"/>
    <hyperlink ref="D19" location="'1.7'!A1" display="Далее"/>
    <hyperlink ref="D20" location="'1.8'!A1" display="Далее"/>
    <hyperlink ref="D64" location="'4.6'!A1" display="Далее"/>
    <hyperlink ref="D90" location="'6.3.3'!A1" display="Далее"/>
    <hyperlink ref="D52" location="'3.9'!A1" display="Далее"/>
    <hyperlink ref="D29" location="'2.5'!A1" display="Далее"/>
    <hyperlink ref="D53" location="'3.10'!A1" display="Далее"/>
    <hyperlink ref="D54" location="'3.11.1'!A1" display="Далее"/>
    <hyperlink ref="D122" location="'7.8'!A1" display="Далее"/>
    <hyperlink ref="D134" location="'8.1.2'!A1" display="Далее"/>
    <hyperlink ref="D55" location="'3.11.2'!A1" display="Далее"/>
    <hyperlink ref="D30" location="'2.6'!A1" display="Далее"/>
    <hyperlink ref="D13" location="'1.2.5'!A1" display="Далее"/>
    <hyperlink ref="D15" location="'1.4'!A1" display="Далее"/>
    <hyperlink ref="D17" location="'1.6.1'!A1" display="Далее"/>
    <hyperlink ref="D16" location="'1.5'!A1" display="Далее"/>
    <hyperlink ref="D14" location="'1.3'!A1" display="Далее"/>
    <hyperlink ref="D66" location="'4.8'!A1" display="Далее"/>
    <hyperlink ref="D73" location="'5.2'!A1" display="Далее"/>
    <hyperlink ref="D114" location="'7.4.2'!A1" display="Далее"/>
    <hyperlink ref="D98" location="'6.5'!A1" display="Далее"/>
    <hyperlink ref="D123" location="'7.9'!A1" display="Далее"/>
    <hyperlink ref="D46" location="'3.5.1'!A1" display="Далее"/>
    <hyperlink ref="D47" location="'3.5.2'!A1" display="Далее"/>
    <hyperlink ref="D31" location="'2.7'!A1" display="Далее"/>
    <hyperlink ref="D115" location="'7.4.3'!A1" display="Далее"/>
    <hyperlink ref="D45" location="'3.4'!A1" display="Далее"/>
    <hyperlink ref="D43" location="'3.3.2'!A1" display="Далее"/>
    <hyperlink ref="D136" location="'8.3'!A1" display="Далее"/>
    <hyperlink ref="D79" location="'5.8'!A1" display="Далее"/>
    <hyperlink ref="D67" location="'4.9'!A1" display="Далее"/>
    <hyperlink ref="D32" location="'2.8'!A1" display="Далее"/>
    <hyperlink ref="D125" location="'7.11'!A1" display="Далее"/>
    <hyperlink ref="D116" location="'7.4.4'!A1" display="Далее"/>
    <hyperlink ref="D142" location="'8.9'!A1" display="Далее"/>
    <hyperlink ref="D129" location="'7.13.3'!A1" display="Далее"/>
    <hyperlink ref="D75" location="'5.4'!A1" display="Далее"/>
    <hyperlink ref="D138" location="'8.5'!A1" display="Далее"/>
    <hyperlink ref="D76" location="'5.5'!A1" display="Далее"/>
    <hyperlink ref="D44" location="'3.3.3'!A1" display="Далее"/>
    <hyperlink ref="D128" location="'7.13.2'!A1" display="Далее"/>
    <hyperlink ref="D127" location="'7.13.1'!A1" display="Далее"/>
    <hyperlink ref="D126" location="'7.12'!A1" display="Далее"/>
    <hyperlink ref="D41" location="'3.2.3'!A1" display="Далее"/>
    <hyperlink ref="D26" location="'2.2'!A1" display="Далее"/>
    <hyperlink ref="D33" location="'2.9'!A1" display="Далее"/>
    <hyperlink ref="D135" location="'8.2'!A1" display="Далее"/>
    <hyperlink ref="D119" location="'7.6.2'!A1" display="Далее"/>
    <hyperlink ref="D121" location="'7.7.2'!A1" display="Далее"/>
    <hyperlink ref="D145" location="'8.12'!A1" display="Далее"/>
    <hyperlink ref="D34" location="'2.10'!A1" display="Далее"/>
    <hyperlink ref="D111" location="'7.2'!A1" display="Далее"/>
    <hyperlink ref="D137" location="'8.4'!A1" display="Далее"/>
    <hyperlink ref="D144" location="'8.11'!A1" display="Далее"/>
    <hyperlink ref="D146" location="'8.13'!A1" display="Далее"/>
  </hyperlinks>
  <printOptions horizontalCentered="1"/>
  <pageMargins left="0.23622047244094491" right="0.23622047244094491" top="0.74803149606299213" bottom="0.74803149606299213" header="0.31496062992125984" footer="0.31496062992125984"/>
  <pageSetup paperSize="9" orientation="portrait" r:id="rId1"/>
  <headerFooter alignWithMargins="0"/>
  <rowBreaks count="2" manualBreakCount="2">
    <brk id="55" max="16383" man="1"/>
    <brk id="98" max="16383" man="1"/>
  </rowBreaks>
  <ignoredErrors>
    <ignoredError sqref="B22:B24 B39:B55 B88:B96 B133:B134 B9:B18 B102:B110 B113:B123 B146" twoDigitTextYear="1"/>
  </ignoredErrors>
  <drawing r:id="rId2"/>
</worksheet>
</file>

<file path=xl/worksheets/sheet4.xml><?xml version="1.0" encoding="utf-8"?>
<worksheet xmlns="http://schemas.openxmlformats.org/spreadsheetml/2006/main" xmlns:r="http://schemas.openxmlformats.org/officeDocument/2006/relationships">
  <sheetPr>
    <outlinePr summaryBelow="0"/>
  </sheetPr>
  <dimension ref="A1:R173"/>
  <sheetViews>
    <sheetView zoomScaleNormal="100" zoomScaleSheetLayoutView="100" workbookViewId="0">
      <pane xSplit="2" ySplit="8" topLeftCell="C9" activePane="bottomRight" state="frozen"/>
      <selection pane="topRight" activeCell="D1" sqref="D1"/>
      <selection pane="bottomLeft" activeCell="A8" sqref="A8"/>
      <selection pane="bottomRight" activeCell="B1" sqref="B1"/>
    </sheetView>
  </sheetViews>
  <sheetFormatPr defaultRowHeight="12.95" customHeight="1" outlineLevelRow="1"/>
  <cols>
    <col min="1" max="1" width="3.7109375" style="1514" customWidth="1"/>
    <col min="2" max="2" width="15.5703125" style="296" bestFit="1" customWidth="1"/>
    <col min="3" max="3" width="15.28515625" style="1523" customWidth="1"/>
    <col min="4" max="4" width="23.140625" style="1514" bestFit="1" customWidth="1"/>
    <col min="5" max="5" width="23.5703125" style="1514" bestFit="1" customWidth="1"/>
    <col min="6" max="6" width="15.85546875" style="1514" bestFit="1" customWidth="1"/>
    <col min="7" max="7" width="15" style="1514" bestFit="1" customWidth="1"/>
    <col min="8" max="9" width="8.7109375" style="1523" customWidth="1"/>
    <col min="10" max="10" width="3.140625" style="1514" customWidth="1"/>
    <col min="11" max="11" width="3.28515625" style="1514" customWidth="1"/>
    <col min="12" max="12" width="14.42578125" style="292" bestFit="1" customWidth="1"/>
    <col min="13" max="13" width="3.140625" style="1514" bestFit="1" customWidth="1"/>
    <col min="14" max="14" width="3.28515625" style="1514" customWidth="1"/>
    <col min="15" max="15" width="14.42578125" style="292" bestFit="1" customWidth="1"/>
    <col min="16" max="16" width="3.140625" style="1514" customWidth="1"/>
    <col min="17" max="17" width="3.28515625" style="1514" customWidth="1"/>
    <col min="18" max="18" width="14.42578125" style="292" bestFit="1" customWidth="1"/>
    <col min="19" max="16384" width="9.140625" style="292"/>
  </cols>
  <sheetData>
    <row r="1" spans="1:18" ht="12.95" customHeight="1">
      <c r="B1" s="1511" t="s">
        <v>2706</v>
      </c>
      <c r="C1" s="2973" t="s">
        <v>8269</v>
      </c>
      <c r="D1" s="2973"/>
      <c r="E1" s="2973"/>
      <c r="F1" s="2973"/>
      <c r="G1" s="2973"/>
      <c r="H1" s="2973"/>
      <c r="I1" s="2973"/>
      <c r="J1" s="2973"/>
      <c r="K1" s="2973"/>
      <c r="L1" s="2973"/>
      <c r="M1" s="2973"/>
      <c r="N1" s="2973"/>
      <c r="O1" s="2973"/>
      <c r="P1" s="2973"/>
      <c r="Q1" s="2973"/>
      <c r="R1" s="2973"/>
    </row>
    <row r="2" spans="1:18" ht="5.0999999999999996" customHeight="1"/>
    <row r="3" spans="1:18" ht="12.95" customHeight="1">
      <c r="B3" s="1624"/>
      <c r="C3" s="2978" t="s">
        <v>2850</v>
      </c>
      <c r="D3" s="2978"/>
      <c r="E3" s="2978"/>
      <c r="F3" s="2978"/>
      <c r="G3" s="2978"/>
      <c r="H3" s="1625"/>
      <c r="I3" s="1625"/>
      <c r="J3" s="1625"/>
      <c r="K3" s="1625"/>
      <c r="L3" s="1625"/>
      <c r="M3" s="1625"/>
      <c r="N3" s="1625"/>
      <c r="O3" s="1625"/>
      <c r="P3" s="1625"/>
      <c r="Q3" s="1625"/>
      <c r="R3" s="1625"/>
    </row>
    <row r="4" spans="1:18" s="387" customFormat="1" ht="12.95" customHeight="1">
      <c r="A4" s="1522"/>
      <c r="C4" s="2979" t="s">
        <v>6004</v>
      </c>
      <c r="D4" s="2979"/>
      <c r="E4" s="2979"/>
      <c r="F4" s="2979"/>
      <c r="G4" s="2979"/>
      <c r="H4" s="1617"/>
      <c r="I4" s="1617"/>
      <c r="J4" s="1617"/>
      <c r="K4" s="1617"/>
      <c r="L4" s="1617"/>
      <c r="M4" s="1617"/>
      <c r="N4" s="1617"/>
      <c r="O4" s="1617"/>
      <c r="P4" s="1617"/>
      <c r="Q4" s="1617"/>
      <c r="R4" s="1617"/>
    </row>
    <row r="5" spans="1:18" ht="5.0999999999999996" customHeight="1" thickBot="1"/>
    <row r="6" spans="1:18" s="1514" customFormat="1" ht="12.95" customHeight="1">
      <c r="A6" s="2961" t="s">
        <v>2849</v>
      </c>
      <c r="B6" s="2962" t="s">
        <v>2711</v>
      </c>
      <c r="C6" s="2975" t="s">
        <v>2709</v>
      </c>
      <c r="D6" s="2964" t="s">
        <v>1136</v>
      </c>
      <c r="E6" s="2966" t="s">
        <v>451</v>
      </c>
      <c r="F6" s="2968" t="s">
        <v>2146</v>
      </c>
      <c r="G6" s="2969"/>
      <c r="H6" s="2962" t="s">
        <v>2522</v>
      </c>
      <c r="I6" s="2963"/>
      <c r="J6" s="2977" t="s">
        <v>2848</v>
      </c>
      <c r="K6" s="2977"/>
      <c r="L6" s="2977"/>
      <c r="M6" s="2977"/>
      <c r="N6" s="2977"/>
      <c r="O6" s="2977"/>
      <c r="P6" s="2977"/>
      <c r="Q6" s="2977"/>
      <c r="R6" s="2963"/>
    </row>
    <row r="7" spans="1:18" s="1514" customFormat="1" ht="12.95" customHeight="1" thickBot="1">
      <c r="A7" s="2961"/>
      <c r="B7" s="2974"/>
      <c r="C7" s="2976"/>
      <c r="D7" s="2965"/>
      <c r="E7" s="2967"/>
      <c r="F7" s="2970" t="s">
        <v>453</v>
      </c>
      <c r="G7" s="2971"/>
      <c r="H7" s="1589" t="s">
        <v>2826</v>
      </c>
      <c r="I7" s="1543" t="s">
        <v>2827</v>
      </c>
      <c r="J7" s="1626" t="s">
        <v>2148</v>
      </c>
      <c r="K7" s="1544" t="s">
        <v>2149</v>
      </c>
      <c r="L7" s="1544" t="s">
        <v>2150</v>
      </c>
      <c r="M7" s="1544" t="s">
        <v>2148</v>
      </c>
      <c r="N7" s="1544" t="s">
        <v>2149</v>
      </c>
      <c r="O7" s="1544" t="s">
        <v>2001</v>
      </c>
      <c r="P7" s="1544" t="s">
        <v>2148</v>
      </c>
      <c r="Q7" s="1544" t="s">
        <v>2149</v>
      </c>
      <c r="R7" s="1543" t="s">
        <v>2150</v>
      </c>
    </row>
    <row r="8" spans="1:18" s="387" customFormat="1" ht="12" thickBot="1">
      <c r="A8" s="1522"/>
      <c r="B8" s="1618"/>
      <c r="C8" s="1619"/>
      <c r="D8" s="1620"/>
      <c r="E8" s="1620"/>
      <c r="F8" s="1620"/>
      <c r="G8" s="1620"/>
      <c r="H8" s="1621"/>
      <c r="I8" s="1622"/>
      <c r="J8" s="1620"/>
      <c r="K8" s="1620"/>
      <c r="L8" s="1623"/>
      <c r="M8" s="1620"/>
      <c r="N8" s="1620"/>
      <c r="O8" s="1623"/>
      <c r="P8" s="1620"/>
      <c r="Q8" s="1620"/>
      <c r="R8" s="1623"/>
    </row>
    <row r="9" spans="1:18" ht="12.95" customHeight="1">
      <c r="A9" s="1514">
        <v>1</v>
      </c>
      <c r="B9" s="1449" t="s">
        <v>2151</v>
      </c>
      <c r="C9" s="507" t="s">
        <v>2152</v>
      </c>
      <c r="D9" s="744" t="s">
        <v>136</v>
      </c>
      <c r="E9" s="507" t="s">
        <v>137</v>
      </c>
      <c r="F9" s="761" t="s">
        <v>135</v>
      </c>
      <c r="G9" s="1598" t="s">
        <v>136</v>
      </c>
      <c r="H9" s="761">
        <v>1560</v>
      </c>
      <c r="I9" s="1529">
        <v>1560</v>
      </c>
      <c r="J9" s="764">
        <v>10</v>
      </c>
      <c r="K9" s="1528">
        <v>20</v>
      </c>
      <c r="L9" s="1599" t="s">
        <v>2232</v>
      </c>
      <c r="M9" s="1528">
        <v>4</v>
      </c>
      <c r="N9" s="1528">
        <v>7</v>
      </c>
      <c r="O9" s="1599" t="s">
        <v>373</v>
      </c>
      <c r="P9" s="1528">
        <v>2</v>
      </c>
      <c r="Q9" s="1528">
        <v>3</v>
      </c>
      <c r="R9" s="1600" t="s">
        <v>2324</v>
      </c>
    </row>
    <row r="10" spans="1:18" ht="12.95" customHeight="1" outlineLevel="1">
      <c r="A10" s="1514">
        <v>2</v>
      </c>
      <c r="B10" s="93" t="s">
        <v>2643</v>
      </c>
      <c r="C10" s="28" t="s">
        <v>2152</v>
      </c>
      <c r="D10" s="42" t="s">
        <v>2828</v>
      </c>
      <c r="E10" s="28" t="s">
        <v>137</v>
      </c>
      <c r="F10" s="1541" t="s">
        <v>135</v>
      </c>
      <c r="G10" s="46" t="s">
        <v>136</v>
      </c>
      <c r="H10" s="30">
        <v>1630</v>
      </c>
      <c r="I10" s="35">
        <v>1630</v>
      </c>
      <c r="J10" s="1517">
        <v>4</v>
      </c>
      <c r="K10" s="1530">
        <v>7</v>
      </c>
      <c r="L10" s="1591" t="s">
        <v>373</v>
      </c>
      <c r="M10" s="1530">
        <v>4</v>
      </c>
      <c r="N10" s="1530">
        <v>7</v>
      </c>
      <c r="O10" s="1591" t="s">
        <v>373</v>
      </c>
      <c r="P10" s="1530">
        <v>4</v>
      </c>
      <c r="Q10" s="1530">
        <v>7</v>
      </c>
      <c r="R10" s="1592" t="s">
        <v>373</v>
      </c>
    </row>
    <row r="11" spans="1:18" ht="12.95" customHeight="1" outlineLevel="1">
      <c r="A11" s="1514">
        <v>3</v>
      </c>
      <c r="B11" s="1447" t="s">
        <v>275</v>
      </c>
      <c r="C11" s="511" t="s">
        <v>2152</v>
      </c>
      <c r="D11" s="745" t="s">
        <v>6</v>
      </c>
      <c r="E11" s="511" t="s">
        <v>137</v>
      </c>
      <c r="F11" s="752" t="s">
        <v>135</v>
      </c>
      <c r="G11" s="905" t="s">
        <v>5</v>
      </c>
      <c r="H11" s="752">
        <v>1560</v>
      </c>
      <c r="I11" s="1520">
        <v>1560</v>
      </c>
      <c r="J11" s="1519">
        <v>10</v>
      </c>
      <c r="K11" s="1527">
        <v>20</v>
      </c>
      <c r="L11" s="1601" t="s">
        <v>2232</v>
      </c>
      <c r="M11" s="1527">
        <v>2</v>
      </c>
      <c r="N11" s="1527">
        <v>3</v>
      </c>
      <c r="O11" s="1601" t="s">
        <v>2324</v>
      </c>
      <c r="P11" s="1527">
        <v>2</v>
      </c>
      <c r="Q11" s="1527">
        <v>3</v>
      </c>
      <c r="R11" s="1602" t="s">
        <v>2324</v>
      </c>
    </row>
    <row r="12" spans="1:18" ht="12.95" customHeight="1" outlineLevel="1">
      <c r="A12" s="1514">
        <v>4</v>
      </c>
      <c r="B12" s="93" t="s">
        <v>7</v>
      </c>
      <c r="C12" s="28" t="s">
        <v>2152</v>
      </c>
      <c r="D12" s="42" t="s">
        <v>71</v>
      </c>
      <c r="E12" s="28" t="s">
        <v>137</v>
      </c>
      <c r="F12" s="1541" t="s">
        <v>135</v>
      </c>
      <c r="G12" s="46" t="s">
        <v>71</v>
      </c>
      <c r="H12" s="1541">
        <v>1560</v>
      </c>
      <c r="I12" s="1518">
        <v>1560</v>
      </c>
      <c r="J12" s="1517">
        <v>10</v>
      </c>
      <c r="K12" s="1530">
        <v>20</v>
      </c>
      <c r="L12" s="1591" t="s">
        <v>2232</v>
      </c>
      <c r="M12" s="1530">
        <v>4</v>
      </c>
      <c r="N12" s="1530">
        <v>7</v>
      </c>
      <c r="O12" s="1591" t="s">
        <v>373</v>
      </c>
      <c r="P12" s="1530">
        <v>2</v>
      </c>
      <c r="Q12" s="1530">
        <v>3</v>
      </c>
      <c r="R12" s="1592" t="s">
        <v>2324</v>
      </c>
    </row>
    <row r="13" spans="1:18" ht="12.95" customHeight="1" outlineLevel="1">
      <c r="A13" s="1514">
        <v>5</v>
      </c>
      <c r="B13" s="1447" t="s">
        <v>1249</v>
      </c>
      <c r="C13" s="511" t="s">
        <v>2152</v>
      </c>
      <c r="D13" s="745" t="s">
        <v>1648</v>
      </c>
      <c r="E13" s="511" t="s">
        <v>137</v>
      </c>
      <c r="F13" s="1065" t="s">
        <v>135</v>
      </c>
      <c r="G13" s="905" t="s">
        <v>137</v>
      </c>
      <c r="H13" s="752">
        <v>1560</v>
      </c>
      <c r="I13" s="1520">
        <v>1560</v>
      </c>
      <c r="J13" s="1519">
        <v>10</v>
      </c>
      <c r="K13" s="1527">
        <v>20</v>
      </c>
      <c r="L13" s="1601" t="s">
        <v>2232</v>
      </c>
      <c r="M13" s="1527">
        <v>4</v>
      </c>
      <c r="N13" s="1527">
        <v>7</v>
      </c>
      <c r="O13" s="1601" t="s">
        <v>373</v>
      </c>
      <c r="P13" s="1527">
        <v>2</v>
      </c>
      <c r="Q13" s="1527">
        <v>3</v>
      </c>
      <c r="R13" s="1602" t="s">
        <v>2324</v>
      </c>
    </row>
    <row r="14" spans="1:18" ht="12.95" customHeight="1" outlineLevel="1">
      <c r="A14" s="1514">
        <v>6</v>
      </c>
      <c r="B14" s="93" t="s">
        <v>74</v>
      </c>
      <c r="C14" s="28" t="s">
        <v>2152</v>
      </c>
      <c r="D14" s="42" t="s">
        <v>76</v>
      </c>
      <c r="E14" s="28" t="s">
        <v>137</v>
      </c>
      <c r="F14" s="1541" t="s">
        <v>135</v>
      </c>
      <c r="G14" s="46" t="s">
        <v>75</v>
      </c>
      <c r="H14" s="1541">
        <v>1560</v>
      </c>
      <c r="I14" s="1518">
        <v>1560</v>
      </c>
      <c r="J14" s="1517">
        <v>10</v>
      </c>
      <c r="K14" s="1530">
        <v>20</v>
      </c>
      <c r="L14" s="1591" t="s">
        <v>2232</v>
      </c>
      <c r="M14" s="1530">
        <v>4</v>
      </c>
      <c r="N14" s="1530">
        <v>7</v>
      </c>
      <c r="O14" s="1591" t="s">
        <v>373</v>
      </c>
      <c r="P14" s="1530">
        <v>2</v>
      </c>
      <c r="Q14" s="1530">
        <v>3</v>
      </c>
      <c r="R14" s="1592" t="s">
        <v>2324</v>
      </c>
    </row>
    <row r="15" spans="1:18" ht="12.95" customHeight="1" outlineLevel="1">
      <c r="A15" s="1514">
        <v>7</v>
      </c>
      <c r="B15" s="1447" t="s">
        <v>182</v>
      </c>
      <c r="C15" s="511" t="s">
        <v>2152</v>
      </c>
      <c r="D15" s="745" t="s">
        <v>386</v>
      </c>
      <c r="E15" s="511" t="s">
        <v>137</v>
      </c>
      <c r="F15" s="752" t="s">
        <v>135</v>
      </c>
      <c r="G15" s="905" t="s">
        <v>385</v>
      </c>
      <c r="H15" s="752">
        <v>1560</v>
      </c>
      <c r="I15" s="1520">
        <v>1560</v>
      </c>
      <c r="J15" s="1519">
        <v>10</v>
      </c>
      <c r="K15" s="1527">
        <v>20</v>
      </c>
      <c r="L15" s="1601" t="s">
        <v>2232</v>
      </c>
      <c r="M15" s="1527">
        <v>1</v>
      </c>
      <c r="N15" s="1527">
        <v>1</v>
      </c>
      <c r="O15" s="1603" t="s">
        <v>386</v>
      </c>
      <c r="P15" s="1527">
        <v>2</v>
      </c>
      <c r="Q15" s="1527">
        <v>3</v>
      </c>
      <c r="R15" s="1602" t="s">
        <v>2324</v>
      </c>
    </row>
    <row r="16" spans="1:18" ht="12.95" customHeight="1" outlineLevel="1" thickBot="1">
      <c r="A16" s="1514">
        <v>8</v>
      </c>
      <c r="B16" s="95" t="s">
        <v>387</v>
      </c>
      <c r="C16" s="180" t="s">
        <v>2152</v>
      </c>
      <c r="D16" s="189" t="s">
        <v>277</v>
      </c>
      <c r="E16" s="180" t="s">
        <v>137</v>
      </c>
      <c r="F16" s="1542" t="s">
        <v>135</v>
      </c>
      <c r="G16" s="47" t="s">
        <v>388</v>
      </c>
      <c r="H16" s="1542">
        <v>1560</v>
      </c>
      <c r="I16" s="1516">
        <v>1560</v>
      </c>
      <c r="J16" s="1521">
        <v>10</v>
      </c>
      <c r="K16" s="1515">
        <v>20</v>
      </c>
      <c r="L16" s="1593" t="s">
        <v>2232</v>
      </c>
      <c r="M16" s="1515">
        <v>4</v>
      </c>
      <c r="N16" s="1515">
        <v>7</v>
      </c>
      <c r="O16" s="1593" t="s">
        <v>373</v>
      </c>
      <c r="P16" s="1515">
        <v>2</v>
      </c>
      <c r="Q16" s="1515">
        <v>3</v>
      </c>
      <c r="R16" s="1594" t="s">
        <v>2324</v>
      </c>
    </row>
    <row r="17" spans="1:18" ht="12.95" customHeight="1">
      <c r="A17" s="1514">
        <v>9</v>
      </c>
      <c r="B17" s="1449" t="s">
        <v>389</v>
      </c>
      <c r="C17" s="507" t="s">
        <v>390</v>
      </c>
      <c r="D17" s="744" t="s">
        <v>392</v>
      </c>
      <c r="E17" s="507" t="s">
        <v>1147</v>
      </c>
      <c r="F17" s="761" t="s">
        <v>391</v>
      </c>
      <c r="G17" s="1598" t="s">
        <v>392</v>
      </c>
      <c r="H17" s="761">
        <v>1560</v>
      </c>
      <c r="I17" s="1529">
        <v>1560</v>
      </c>
      <c r="J17" s="764">
        <v>10</v>
      </c>
      <c r="K17" s="1528">
        <v>20</v>
      </c>
      <c r="L17" s="1599" t="s">
        <v>2232</v>
      </c>
      <c r="M17" s="1528">
        <v>1</v>
      </c>
      <c r="N17" s="1528">
        <v>1</v>
      </c>
      <c r="O17" s="1606" t="s">
        <v>2843</v>
      </c>
      <c r="P17" s="1528">
        <v>2</v>
      </c>
      <c r="Q17" s="1528">
        <v>3</v>
      </c>
      <c r="R17" s="1600" t="s">
        <v>2324</v>
      </c>
    </row>
    <row r="18" spans="1:18" ht="12.95" customHeight="1" outlineLevel="1">
      <c r="A18" s="1514">
        <v>10</v>
      </c>
      <c r="B18" s="93" t="s">
        <v>1148</v>
      </c>
      <c r="C18" s="28" t="s">
        <v>390</v>
      </c>
      <c r="D18" s="42" t="s">
        <v>1150</v>
      </c>
      <c r="E18" s="28" t="s">
        <v>1150</v>
      </c>
      <c r="F18" s="1541" t="s">
        <v>391</v>
      </c>
      <c r="G18" s="46" t="s">
        <v>1149</v>
      </c>
      <c r="H18" s="1541">
        <v>1560</v>
      </c>
      <c r="I18" s="1518">
        <v>1560</v>
      </c>
      <c r="J18" s="1517">
        <v>10</v>
      </c>
      <c r="K18" s="1530">
        <v>20</v>
      </c>
      <c r="L18" s="1591" t="s">
        <v>2232</v>
      </c>
      <c r="M18" s="1530">
        <v>4</v>
      </c>
      <c r="N18" s="1530">
        <v>7</v>
      </c>
      <c r="O18" s="1591" t="s">
        <v>373</v>
      </c>
      <c r="P18" s="1530">
        <v>2</v>
      </c>
      <c r="Q18" s="1530">
        <v>3</v>
      </c>
      <c r="R18" s="1592" t="s">
        <v>2324</v>
      </c>
    </row>
    <row r="19" spans="1:18" ht="12.95" customHeight="1" outlineLevel="1">
      <c r="A19" s="1514">
        <v>11</v>
      </c>
      <c r="B19" s="1447" t="s">
        <v>1151</v>
      </c>
      <c r="C19" s="511" t="s">
        <v>390</v>
      </c>
      <c r="D19" s="745" t="s">
        <v>1152</v>
      </c>
      <c r="E19" s="511" t="s">
        <v>1152</v>
      </c>
      <c r="F19" s="752" t="s">
        <v>73</v>
      </c>
      <c r="G19" s="905" t="s">
        <v>391</v>
      </c>
      <c r="H19" s="752">
        <v>1560</v>
      </c>
      <c r="I19" s="1520">
        <v>1560</v>
      </c>
      <c r="J19" s="1519">
        <v>10</v>
      </c>
      <c r="K19" s="1527">
        <v>20</v>
      </c>
      <c r="L19" s="1601" t="s">
        <v>2232</v>
      </c>
      <c r="M19" s="1527">
        <v>4</v>
      </c>
      <c r="N19" s="1527">
        <v>7</v>
      </c>
      <c r="O19" s="1601" t="s">
        <v>373</v>
      </c>
      <c r="P19" s="1527">
        <v>2</v>
      </c>
      <c r="Q19" s="1527">
        <v>3</v>
      </c>
      <c r="R19" s="1602" t="s">
        <v>2324</v>
      </c>
    </row>
    <row r="20" spans="1:18" ht="12.95" customHeight="1" outlineLevel="1">
      <c r="A20" s="1514">
        <v>12</v>
      </c>
      <c r="B20" s="93" t="s">
        <v>1153</v>
      </c>
      <c r="C20" s="28" t="s">
        <v>390</v>
      </c>
      <c r="D20" s="42" t="s">
        <v>867</v>
      </c>
      <c r="E20" s="28" t="s">
        <v>867</v>
      </c>
      <c r="F20" s="30" t="s">
        <v>391</v>
      </c>
      <c r="G20" s="46" t="s">
        <v>137</v>
      </c>
      <c r="H20" s="1541">
        <v>1560</v>
      </c>
      <c r="I20" s="1518">
        <v>1560</v>
      </c>
      <c r="J20" s="1517">
        <v>10</v>
      </c>
      <c r="K20" s="1530">
        <v>20</v>
      </c>
      <c r="L20" s="1591" t="s">
        <v>2232</v>
      </c>
      <c r="M20" s="1530">
        <v>4</v>
      </c>
      <c r="N20" s="1530">
        <v>7</v>
      </c>
      <c r="O20" s="1591" t="s">
        <v>373</v>
      </c>
      <c r="P20" s="1530">
        <v>2</v>
      </c>
      <c r="Q20" s="1530">
        <v>3</v>
      </c>
      <c r="R20" s="1592" t="s">
        <v>2324</v>
      </c>
    </row>
    <row r="21" spans="1:18" ht="12.95" customHeight="1" outlineLevel="1">
      <c r="A21" s="1514">
        <v>13</v>
      </c>
      <c r="B21" s="1447" t="s">
        <v>868</v>
      </c>
      <c r="C21" s="511" t="s">
        <v>390</v>
      </c>
      <c r="D21" s="745" t="s">
        <v>870</v>
      </c>
      <c r="E21" s="511" t="s">
        <v>2056</v>
      </c>
      <c r="F21" s="752" t="s">
        <v>391</v>
      </c>
      <c r="G21" s="905" t="s">
        <v>869</v>
      </c>
      <c r="H21" s="752">
        <v>1560</v>
      </c>
      <c r="I21" s="1520">
        <v>1560</v>
      </c>
      <c r="J21" s="1519">
        <v>10</v>
      </c>
      <c r="K21" s="1527">
        <v>20</v>
      </c>
      <c r="L21" s="1601" t="s">
        <v>2232</v>
      </c>
      <c r="M21" s="1527">
        <v>4</v>
      </c>
      <c r="N21" s="1527">
        <v>7</v>
      </c>
      <c r="O21" s="1601" t="s">
        <v>373</v>
      </c>
      <c r="P21" s="1527">
        <v>2</v>
      </c>
      <c r="Q21" s="1527">
        <v>3</v>
      </c>
      <c r="R21" s="1602" t="s">
        <v>2324</v>
      </c>
    </row>
    <row r="22" spans="1:18" ht="12.95" customHeight="1" outlineLevel="1">
      <c r="A22" s="1514">
        <v>14</v>
      </c>
      <c r="B22" s="93" t="s">
        <v>871</v>
      </c>
      <c r="C22" s="28" t="s">
        <v>390</v>
      </c>
      <c r="D22" s="42" t="s">
        <v>873</v>
      </c>
      <c r="E22" s="28" t="s">
        <v>102</v>
      </c>
      <c r="F22" s="1541" t="s">
        <v>391</v>
      </c>
      <c r="G22" s="46" t="s">
        <v>872</v>
      </c>
      <c r="H22" s="1541">
        <v>1560</v>
      </c>
      <c r="I22" s="1518">
        <v>1560</v>
      </c>
      <c r="J22" s="1517">
        <v>10</v>
      </c>
      <c r="K22" s="1530">
        <v>20</v>
      </c>
      <c r="L22" s="1591" t="s">
        <v>2232</v>
      </c>
      <c r="M22" s="1530">
        <v>4</v>
      </c>
      <c r="N22" s="1530">
        <v>7</v>
      </c>
      <c r="O22" s="1591" t="s">
        <v>373</v>
      </c>
      <c r="P22" s="1530">
        <v>2</v>
      </c>
      <c r="Q22" s="1530">
        <v>3</v>
      </c>
      <c r="R22" s="1592" t="s">
        <v>2324</v>
      </c>
    </row>
    <row r="23" spans="1:18" ht="12.95" customHeight="1" outlineLevel="1">
      <c r="A23" s="1514">
        <v>15</v>
      </c>
      <c r="B23" s="1447" t="s">
        <v>215</v>
      </c>
      <c r="C23" s="511" t="s">
        <v>390</v>
      </c>
      <c r="D23" s="745" t="s">
        <v>2374</v>
      </c>
      <c r="E23" s="511" t="s">
        <v>2374</v>
      </c>
      <c r="F23" s="752" t="s">
        <v>391</v>
      </c>
      <c r="G23" s="905" t="s">
        <v>216</v>
      </c>
      <c r="H23" s="752">
        <v>1560</v>
      </c>
      <c r="I23" s="1520">
        <v>1560</v>
      </c>
      <c r="J23" s="1519">
        <v>10</v>
      </c>
      <c r="K23" s="1527">
        <v>20</v>
      </c>
      <c r="L23" s="1601" t="s">
        <v>2232</v>
      </c>
      <c r="M23" s="1527">
        <v>4</v>
      </c>
      <c r="N23" s="1527">
        <v>7</v>
      </c>
      <c r="O23" s="1601" t="s">
        <v>373</v>
      </c>
      <c r="P23" s="1527">
        <v>2</v>
      </c>
      <c r="Q23" s="1527">
        <v>3</v>
      </c>
      <c r="R23" s="1602" t="s">
        <v>2324</v>
      </c>
    </row>
    <row r="24" spans="1:18" ht="12.95" customHeight="1" outlineLevel="1" thickBot="1">
      <c r="A24" s="1514">
        <v>16</v>
      </c>
      <c r="B24" s="95" t="s">
        <v>217</v>
      </c>
      <c r="C24" s="180" t="s">
        <v>390</v>
      </c>
      <c r="D24" s="189" t="s">
        <v>2568</v>
      </c>
      <c r="E24" s="180" t="s">
        <v>680</v>
      </c>
      <c r="F24" s="1542" t="s">
        <v>391</v>
      </c>
      <c r="G24" s="47" t="s">
        <v>1142</v>
      </c>
      <c r="H24" s="1542">
        <v>1560</v>
      </c>
      <c r="I24" s="1516">
        <v>1560</v>
      </c>
      <c r="J24" s="1521">
        <v>10</v>
      </c>
      <c r="K24" s="1515">
        <v>20</v>
      </c>
      <c r="L24" s="1593" t="s">
        <v>2232</v>
      </c>
      <c r="M24" s="1515">
        <v>4</v>
      </c>
      <c r="N24" s="1515">
        <v>7</v>
      </c>
      <c r="O24" s="1593" t="s">
        <v>373</v>
      </c>
      <c r="P24" s="1515">
        <v>2</v>
      </c>
      <c r="Q24" s="1515">
        <v>3</v>
      </c>
      <c r="R24" s="1594" t="s">
        <v>2324</v>
      </c>
    </row>
    <row r="25" spans="1:18" ht="12.95" customHeight="1">
      <c r="A25" s="1514">
        <v>17</v>
      </c>
      <c r="B25" s="1449" t="s">
        <v>1485</v>
      </c>
      <c r="C25" s="507" t="s">
        <v>1486</v>
      </c>
      <c r="D25" s="744" t="s">
        <v>5</v>
      </c>
      <c r="E25" s="507" t="s">
        <v>137</v>
      </c>
      <c r="F25" s="761" t="s">
        <v>135</v>
      </c>
      <c r="G25" s="1598" t="s">
        <v>5</v>
      </c>
      <c r="H25" s="1607">
        <v>1500</v>
      </c>
      <c r="I25" s="1608">
        <v>1700</v>
      </c>
      <c r="J25" s="764">
        <v>12</v>
      </c>
      <c r="K25" s="1528">
        <v>24</v>
      </c>
      <c r="L25" s="1599" t="s">
        <v>2234</v>
      </c>
      <c r="M25" s="1528">
        <v>3</v>
      </c>
      <c r="N25" s="1528">
        <v>5</v>
      </c>
      <c r="O25" s="1599" t="s">
        <v>374</v>
      </c>
      <c r="P25" s="1528">
        <v>3</v>
      </c>
      <c r="Q25" s="1528">
        <v>6</v>
      </c>
      <c r="R25" s="1600" t="s">
        <v>2844</v>
      </c>
    </row>
    <row r="26" spans="1:18" ht="12.95" customHeight="1" outlineLevel="1">
      <c r="A26" s="1514">
        <v>18</v>
      </c>
      <c r="B26" s="93" t="s">
        <v>1489</v>
      </c>
      <c r="C26" s="28" t="s">
        <v>1486</v>
      </c>
      <c r="D26" s="42" t="s">
        <v>1826</v>
      </c>
      <c r="E26" s="28" t="s">
        <v>137</v>
      </c>
      <c r="F26" s="1541" t="s">
        <v>2377</v>
      </c>
      <c r="G26" s="46" t="s">
        <v>720</v>
      </c>
      <c r="H26" s="1541">
        <v>1560</v>
      </c>
      <c r="I26" s="1518">
        <v>1560</v>
      </c>
      <c r="J26" s="1517">
        <v>3</v>
      </c>
      <c r="K26" s="1530">
        <v>5</v>
      </c>
      <c r="L26" s="1591" t="s">
        <v>374</v>
      </c>
      <c r="M26" s="1530">
        <v>3</v>
      </c>
      <c r="N26" s="1530">
        <v>5</v>
      </c>
      <c r="O26" s="1591" t="s">
        <v>374</v>
      </c>
      <c r="P26" s="1530">
        <v>3</v>
      </c>
      <c r="Q26" s="1530">
        <v>5</v>
      </c>
      <c r="R26" s="1592" t="s">
        <v>374</v>
      </c>
    </row>
    <row r="27" spans="1:18" ht="12.95" customHeight="1" outlineLevel="1">
      <c r="A27" s="1514">
        <v>19</v>
      </c>
      <c r="B27" s="1447" t="s">
        <v>1490</v>
      </c>
      <c r="C27" s="511" t="s">
        <v>1486</v>
      </c>
      <c r="D27" s="745" t="s">
        <v>2568</v>
      </c>
      <c r="E27" s="511" t="s">
        <v>137</v>
      </c>
      <c r="F27" s="1065" t="s">
        <v>136</v>
      </c>
      <c r="G27" s="905" t="s">
        <v>137</v>
      </c>
      <c r="H27" s="1609">
        <v>1500</v>
      </c>
      <c r="I27" s="1610">
        <v>1700</v>
      </c>
      <c r="J27" s="1519">
        <v>12</v>
      </c>
      <c r="K27" s="1527">
        <v>24</v>
      </c>
      <c r="L27" s="1601" t="s">
        <v>2234</v>
      </c>
      <c r="M27" s="1527">
        <v>3</v>
      </c>
      <c r="N27" s="1527">
        <v>5</v>
      </c>
      <c r="O27" s="1601" t="s">
        <v>374</v>
      </c>
      <c r="P27" s="1527">
        <v>3</v>
      </c>
      <c r="Q27" s="1527">
        <v>6</v>
      </c>
      <c r="R27" s="1602" t="s">
        <v>2844</v>
      </c>
    </row>
    <row r="28" spans="1:18" ht="12.95" customHeight="1" outlineLevel="1">
      <c r="A28" s="1514">
        <v>20</v>
      </c>
      <c r="B28" s="93" t="s">
        <v>1673</v>
      </c>
      <c r="C28" s="28" t="s">
        <v>1486</v>
      </c>
      <c r="D28" s="42" t="s">
        <v>2249</v>
      </c>
      <c r="E28" s="28" t="s">
        <v>137</v>
      </c>
      <c r="F28" s="1541" t="s">
        <v>135</v>
      </c>
      <c r="G28" s="46" t="s">
        <v>1149</v>
      </c>
      <c r="H28" s="50">
        <v>1500</v>
      </c>
      <c r="I28" s="51">
        <v>1700</v>
      </c>
      <c r="J28" s="1517">
        <v>12</v>
      </c>
      <c r="K28" s="1530">
        <v>24</v>
      </c>
      <c r="L28" s="1591" t="s">
        <v>2234</v>
      </c>
      <c r="M28" s="1530">
        <v>3</v>
      </c>
      <c r="N28" s="1530">
        <v>5</v>
      </c>
      <c r="O28" s="1591" t="s">
        <v>374</v>
      </c>
      <c r="P28" s="1530">
        <v>3</v>
      </c>
      <c r="Q28" s="1530">
        <v>6</v>
      </c>
      <c r="R28" s="1592" t="s">
        <v>2844</v>
      </c>
    </row>
    <row r="29" spans="1:18" ht="12.95" customHeight="1" outlineLevel="1">
      <c r="A29" s="1514">
        <v>21</v>
      </c>
      <c r="B29" s="1447" t="s">
        <v>1492</v>
      </c>
      <c r="C29" s="511" t="s">
        <v>1486</v>
      </c>
      <c r="D29" s="745" t="s">
        <v>720</v>
      </c>
      <c r="E29" s="511" t="s">
        <v>137</v>
      </c>
      <c r="F29" s="1065" t="s">
        <v>720</v>
      </c>
      <c r="G29" s="905" t="s">
        <v>137</v>
      </c>
      <c r="H29" s="1609">
        <v>1500</v>
      </c>
      <c r="I29" s="1610">
        <v>1700</v>
      </c>
      <c r="J29" s="1519">
        <v>12</v>
      </c>
      <c r="K29" s="1527">
        <v>24</v>
      </c>
      <c r="L29" s="1601" t="s">
        <v>2234</v>
      </c>
      <c r="M29" s="1527">
        <v>3</v>
      </c>
      <c r="N29" s="1527">
        <v>5</v>
      </c>
      <c r="O29" s="1601" t="s">
        <v>374</v>
      </c>
      <c r="P29" s="1527">
        <v>3</v>
      </c>
      <c r="Q29" s="1527">
        <v>6</v>
      </c>
      <c r="R29" s="1602" t="s">
        <v>2844</v>
      </c>
    </row>
    <row r="30" spans="1:18" ht="12.95" customHeight="1" outlineLevel="1">
      <c r="A30" s="1514">
        <v>22</v>
      </c>
      <c r="B30" s="93" t="s">
        <v>1493</v>
      </c>
      <c r="C30" s="28" t="s">
        <v>1486</v>
      </c>
      <c r="D30" s="42" t="s">
        <v>2159</v>
      </c>
      <c r="E30" s="28" t="s">
        <v>137</v>
      </c>
      <c r="F30" s="1541" t="s">
        <v>136</v>
      </c>
      <c r="G30" s="46" t="s">
        <v>75</v>
      </c>
      <c r="H30" s="1541">
        <v>1700</v>
      </c>
      <c r="I30" s="1518">
        <v>1700</v>
      </c>
      <c r="J30" s="1517">
        <v>12</v>
      </c>
      <c r="K30" s="1530">
        <v>24</v>
      </c>
      <c r="L30" s="1591" t="s">
        <v>2234</v>
      </c>
      <c r="M30" s="1530">
        <v>3</v>
      </c>
      <c r="N30" s="1530">
        <v>6</v>
      </c>
      <c r="O30" s="1591" t="s">
        <v>2844</v>
      </c>
      <c r="P30" s="1530">
        <v>3</v>
      </c>
      <c r="Q30" s="1530">
        <v>6</v>
      </c>
      <c r="R30" s="1592" t="s">
        <v>2844</v>
      </c>
    </row>
    <row r="31" spans="1:18" ht="12.95" customHeight="1" outlineLevel="1">
      <c r="A31" s="1514">
        <v>23</v>
      </c>
      <c r="B31" s="1447" t="s">
        <v>1494</v>
      </c>
      <c r="C31" s="511" t="s">
        <v>1486</v>
      </c>
      <c r="D31" s="745" t="s">
        <v>631</v>
      </c>
      <c r="E31" s="511" t="s">
        <v>137</v>
      </c>
      <c r="F31" s="752" t="s">
        <v>720</v>
      </c>
      <c r="G31" s="905" t="s">
        <v>103</v>
      </c>
      <c r="H31" s="1609">
        <v>1500</v>
      </c>
      <c r="I31" s="1610">
        <v>1700</v>
      </c>
      <c r="J31" s="1519">
        <v>12</v>
      </c>
      <c r="K31" s="1527">
        <v>24</v>
      </c>
      <c r="L31" s="1601" t="s">
        <v>2234</v>
      </c>
      <c r="M31" s="1527">
        <v>3</v>
      </c>
      <c r="N31" s="1527">
        <v>5</v>
      </c>
      <c r="O31" s="1601" t="s">
        <v>374</v>
      </c>
      <c r="P31" s="1527">
        <v>3</v>
      </c>
      <c r="Q31" s="1527">
        <v>6</v>
      </c>
      <c r="R31" s="1602" t="s">
        <v>2844</v>
      </c>
    </row>
    <row r="32" spans="1:18" ht="12.95" customHeight="1" outlineLevel="1" thickBot="1">
      <c r="A32" s="1514">
        <v>24</v>
      </c>
      <c r="B32" s="95" t="s">
        <v>1495</v>
      </c>
      <c r="C32" s="180" t="s">
        <v>1486</v>
      </c>
      <c r="D32" s="189" t="s">
        <v>1441</v>
      </c>
      <c r="E32" s="180" t="s">
        <v>137</v>
      </c>
      <c r="F32" s="1542" t="s">
        <v>1441</v>
      </c>
      <c r="G32" s="47" t="s">
        <v>136</v>
      </c>
      <c r="H32" s="52">
        <v>1657</v>
      </c>
      <c r="I32" s="53">
        <v>1878</v>
      </c>
      <c r="J32" s="1521">
        <v>12</v>
      </c>
      <c r="K32" s="1515">
        <v>24</v>
      </c>
      <c r="L32" s="1593" t="s">
        <v>2234</v>
      </c>
      <c r="M32" s="1515">
        <v>3</v>
      </c>
      <c r="N32" s="1515">
        <v>5</v>
      </c>
      <c r="O32" s="1593" t="s">
        <v>374</v>
      </c>
      <c r="P32" s="1515">
        <v>3</v>
      </c>
      <c r="Q32" s="1515">
        <v>6</v>
      </c>
      <c r="R32" s="1594" t="s">
        <v>2844</v>
      </c>
    </row>
    <row r="33" spans="1:18" ht="12.95" customHeight="1">
      <c r="A33" s="1514">
        <v>25</v>
      </c>
      <c r="B33" s="1449" t="s">
        <v>1496</v>
      </c>
      <c r="C33" s="507" t="s">
        <v>1497</v>
      </c>
      <c r="D33" s="744" t="s">
        <v>2381</v>
      </c>
      <c r="E33" s="507" t="s">
        <v>2381</v>
      </c>
      <c r="F33" s="761" t="s">
        <v>391</v>
      </c>
      <c r="G33" s="1598" t="s">
        <v>345</v>
      </c>
      <c r="H33" s="1607">
        <v>1500</v>
      </c>
      <c r="I33" s="1608">
        <v>1700</v>
      </c>
      <c r="J33" s="764">
        <v>12</v>
      </c>
      <c r="K33" s="1528">
        <v>24</v>
      </c>
      <c r="L33" s="1599" t="s">
        <v>2234</v>
      </c>
      <c r="M33" s="1528">
        <v>3</v>
      </c>
      <c r="N33" s="1528">
        <v>5</v>
      </c>
      <c r="O33" s="1599" t="s">
        <v>374</v>
      </c>
      <c r="P33" s="1528">
        <v>3</v>
      </c>
      <c r="Q33" s="1528">
        <v>6</v>
      </c>
      <c r="R33" s="1600" t="s">
        <v>2844</v>
      </c>
    </row>
    <row r="34" spans="1:18" ht="12.95" customHeight="1" outlineLevel="1">
      <c r="A34" s="1514">
        <v>26</v>
      </c>
      <c r="B34" s="93" t="s">
        <v>1498</v>
      </c>
      <c r="C34" s="28" t="s">
        <v>1497</v>
      </c>
      <c r="D34" s="42" t="s">
        <v>680</v>
      </c>
      <c r="E34" s="28" t="s">
        <v>680</v>
      </c>
      <c r="F34" s="30" t="s">
        <v>391</v>
      </c>
      <c r="G34" s="46" t="s">
        <v>562</v>
      </c>
      <c r="H34" s="50">
        <v>1500</v>
      </c>
      <c r="I34" s="51">
        <v>1700</v>
      </c>
      <c r="J34" s="1517">
        <v>12</v>
      </c>
      <c r="K34" s="1530">
        <v>24</v>
      </c>
      <c r="L34" s="1591" t="s">
        <v>2234</v>
      </c>
      <c r="M34" s="1530">
        <v>3</v>
      </c>
      <c r="N34" s="1530">
        <v>5</v>
      </c>
      <c r="O34" s="1591" t="s">
        <v>374</v>
      </c>
      <c r="P34" s="1530">
        <v>3</v>
      </c>
      <c r="Q34" s="1530">
        <v>6</v>
      </c>
      <c r="R34" s="1592" t="s">
        <v>2844</v>
      </c>
    </row>
    <row r="35" spans="1:18" ht="12.95" customHeight="1" outlineLevel="1">
      <c r="A35" s="1514">
        <v>27</v>
      </c>
      <c r="B35" s="1447" t="s">
        <v>1499</v>
      </c>
      <c r="C35" s="511" t="s">
        <v>1497</v>
      </c>
      <c r="D35" s="745" t="s">
        <v>1142</v>
      </c>
      <c r="E35" s="511" t="s">
        <v>2056</v>
      </c>
      <c r="F35" s="752" t="s">
        <v>391</v>
      </c>
      <c r="G35" s="905" t="s">
        <v>1142</v>
      </c>
      <c r="H35" s="1609">
        <v>1500</v>
      </c>
      <c r="I35" s="1610">
        <v>1700</v>
      </c>
      <c r="J35" s="1519">
        <v>12</v>
      </c>
      <c r="K35" s="1527">
        <v>24</v>
      </c>
      <c r="L35" s="1601" t="s">
        <v>2234</v>
      </c>
      <c r="M35" s="1527">
        <v>3</v>
      </c>
      <c r="N35" s="1527">
        <v>5</v>
      </c>
      <c r="O35" s="1601" t="s">
        <v>374</v>
      </c>
      <c r="P35" s="1527">
        <v>3</v>
      </c>
      <c r="Q35" s="1527">
        <v>6</v>
      </c>
      <c r="R35" s="1602" t="s">
        <v>2844</v>
      </c>
    </row>
    <row r="36" spans="1:18" ht="12.95" customHeight="1" outlineLevel="1">
      <c r="A36" s="1514">
        <v>28</v>
      </c>
      <c r="B36" s="93" t="s">
        <v>1500</v>
      </c>
      <c r="C36" s="28" t="s">
        <v>1497</v>
      </c>
      <c r="D36" s="42" t="s">
        <v>392</v>
      </c>
      <c r="E36" s="28" t="s">
        <v>2838</v>
      </c>
      <c r="F36" s="1541" t="s">
        <v>391</v>
      </c>
      <c r="G36" s="46" t="s">
        <v>392</v>
      </c>
      <c r="H36" s="1541">
        <v>1700</v>
      </c>
      <c r="I36" s="1518">
        <v>1700</v>
      </c>
      <c r="J36" s="1517">
        <v>12</v>
      </c>
      <c r="K36" s="1530">
        <v>24</v>
      </c>
      <c r="L36" s="1591" t="s">
        <v>2234</v>
      </c>
      <c r="M36" s="1530">
        <v>1</v>
      </c>
      <c r="N36" s="1530">
        <v>1</v>
      </c>
      <c r="O36" s="1595" t="s">
        <v>2843</v>
      </c>
      <c r="P36" s="1530">
        <v>3</v>
      </c>
      <c r="Q36" s="1530">
        <v>6</v>
      </c>
      <c r="R36" s="1592" t="s">
        <v>2844</v>
      </c>
    </row>
    <row r="37" spans="1:18" ht="12.95" customHeight="1" outlineLevel="1">
      <c r="A37" s="1514">
        <v>29</v>
      </c>
      <c r="B37" s="1447" t="s">
        <v>1501</v>
      </c>
      <c r="C37" s="511" t="s">
        <v>1497</v>
      </c>
      <c r="D37" s="745" t="s">
        <v>873</v>
      </c>
      <c r="E37" s="511" t="s">
        <v>963</v>
      </c>
      <c r="F37" s="752" t="s">
        <v>391</v>
      </c>
      <c r="G37" s="905" t="s">
        <v>872</v>
      </c>
      <c r="H37" s="1609">
        <v>1500</v>
      </c>
      <c r="I37" s="1610">
        <v>1700</v>
      </c>
      <c r="J37" s="1519">
        <v>12</v>
      </c>
      <c r="K37" s="1527">
        <v>24</v>
      </c>
      <c r="L37" s="1601" t="s">
        <v>2234</v>
      </c>
      <c r="M37" s="1527">
        <v>3</v>
      </c>
      <c r="N37" s="1527">
        <v>5</v>
      </c>
      <c r="O37" s="1601" t="s">
        <v>374</v>
      </c>
      <c r="P37" s="1527">
        <v>3</v>
      </c>
      <c r="Q37" s="1527">
        <v>6</v>
      </c>
      <c r="R37" s="1602" t="s">
        <v>2844</v>
      </c>
    </row>
    <row r="38" spans="1:18" ht="12.95" customHeight="1" outlineLevel="1">
      <c r="A38" s="1514">
        <v>30</v>
      </c>
      <c r="B38" s="93" t="s">
        <v>1502</v>
      </c>
      <c r="C38" s="28" t="s">
        <v>1497</v>
      </c>
      <c r="D38" s="42" t="s">
        <v>2377</v>
      </c>
      <c r="E38" s="28" t="s">
        <v>2377</v>
      </c>
      <c r="F38" s="1541" t="s">
        <v>391</v>
      </c>
      <c r="G38" s="46" t="s">
        <v>2377</v>
      </c>
      <c r="H38" s="50">
        <v>1500</v>
      </c>
      <c r="I38" s="51">
        <v>1700</v>
      </c>
      <c r="J38" s="1517">
        <v>12</v>
      </c>
      <c r="K38" s="1530">
        <v>24</v>
      </c>
      <c r="L38" s="1591" t="s">
        <v>2234</v>
      </c>
      <c r="M38" s="1530">
        <v>3</v>
      </c>
      <c r="N38" s="1530">
        <v>5</v>
      </c>
      <c r="O38" s="1591" t="s">
        <v>374</v>
      </c>
      <c r="P38" s="1530">
        <v>3</v>
      </c>
      <c r="Q38" s="1530">
        <v>6</v>
      </c>
      <c r="R38" s="1592" t="s">
        <v>2844</v>
      </c>
    </row>
    <row r="39" spans="1:18" ht="12.95" customHeight="1" outlineLevel="1">
      <c r="A39" s="1514">
        <v>31</v>
      </c>
      <c r="B39" s="1447" t="s">
        <v>1503</v>
      </c>
      <c r="C39" s="511" t="s">
        <v>1497</v>
      </c>
      <c r="D39" s="745" t="s">
        <v>2553</v>
      </c>
      <c r="E39" s="511" t="s">
        <v>2553</v>
      </c>
      <c r="F39" s="752" t="s">
        <v>391</v>
      </c>
      <c r="G39" s="905" t="s">
        <v>1275</v>
      </c>
      <c r="H39" s="1609">
        <v>1500</v>
      </c>
      <c r="I39" s="1610">
        <v>1700</v>
      </c>
      <c r="J39" s="1519">
        <v>12</v>
      </c>
      <c r="K39" s="1527">
        <v>24</v>
      </c>
      <c r="L39" s="1601" t="s">
        <v>2234</v>
      </c>
      <c r="M39" s="1527">
        <v>3</v>
      </c>
      <c r="N39" s="1527">
        <v>5</v>
      </c>
      <c r="O39" s="1601" t="s">
        <v>374</v>
      </c>
      <c r="P39" s="1527">
        <v>3</v>
      </c>
      <c r="Q39" s="1527">
        <v>6</v>
      </c>
      <c r="R39" s="1602" t="s">
        <v>2844</v>
      </c>
    </row>
    <row r="40" spans="1:18" ht="12.95" customHeight="1" outlineLevel="1" thickBot="1">
      <c r="A40" s="1514">
        <v>32</v>
      </c>
      <c r="B40" s="95" t="s">
        <v>1504</v>
      </c>
      <c r="C40" s="180" t="s">
        <v>1497</v>
      </c>
      <c r="D40" s="189" t="s">
        <v>2071</v>
      </c>
      <c r="E40" s="180" t="s">
        <v>2185</v>
      </c>
      <c r="F40" s="1542" t="s">
        <v>391</v>
      </c>
      <c r="G40" s="47" t="s">
        <v>1442</v>
      </c>
      <c r="H40" s="54">
        <v>1500</v>
      </c>
      <c r="I40" s="55">
        <v>1700</v>
      </c>
      <c r="J40" s="1521">
        <v>12</v>
      </c>
      <c r="K40" s="1515">
        <v>24</v>
      </c>
      <c r="L40" s="1593" t="s">
        <v>2234</v>
      </c>
      <c r="M40" s="1515">
        <v>3</v>
      </c>
      <c r="N40" s="1515">
        <v>5</v>
      </c>
      <c r="O40" s="1593" t="s">
        <v>374</v>
      </c>
      <c r="P40" s="1515">
        <v>3</v>
      </c>
      <c r="Q40" s="1515">
        <v>6</v>
      </c>
      <c r="R40" s="1594" t="s">
        <v>2844</v>
      </c>
    </row>
    <row r="41" spans="1:18" ht="12.95" customHeight="1">
      <c r="A41" s="1514">
        <v>33</v>
      </c>
      <c r="B41" s="1449" t="s">
        <v>1505</v>
      </c>
      <c r="C41" s="507" t="s">
        <v>1506</v>
      </c>
      <c r="D41" s="744" t="s">
        <v>2829</v>
      </c>
      <c r="E41" s="507" t="s">
        <v>2560</v>
      </c>
      <c r="F41" s="761" t="s">
        <v>869</v>
      </c>
      <c r="G41" s="1598" t="s">
        <v>1442</v>
      </c>
      <c r="H41" s="761">
        <v>1760</v>
      </c>
      <c r="I41" s="2819">
        <v>1760</v>
      </c>
      <c r="J41" s="764">
        <v>3</v>
      </c>
      <c r="K41" s="2818">
        <v>5</v>
      </c>
      <c r="L41" s="1599" t="s">
        <v>2839</v>
      </c>
      <c r="M41" s="2818">
        <v>3</v>
      </c>
      <c r="N41" s="2818">
        <v>5</v>
      </c>
      <c r="O41" s="1599" t="s">
        <v>2839</v>
      </c>
      <c r="P41" s="2818">
        <v>3</v>
      </c>
      <c r="Q41" s="2818">
        <v>5</v>
      </c>
      <c r="R41" s="1600" t="s">
        <v>2839</v>
      </c>
    </row>
    <row r="42" spans="1:18" ht="12.95" customHeight="1" outlineLevel="1">
      <c r="A42" s="1514">
        <v>34</v>
      </c>
      <c r="B42" s="93" t="s">
        <v>1507</v>
      </c>
      <c r="C42" s="28" t="s">
        <v>1506</v>
      </c>
      <c r="D42" s="42" t="s">
        <v>2830</v>
      </c>
      <c r="E42" s="28" t="s">
        <v>963</v>
      </c>
      <c r="F42" s="30" t="s">
        <v>345</v>
      </c>
      <c r="G42" s="46" t="s">
        <v>137</v>
      </c>
      <c r="H42" s="50">
        <v>1500</v>
      </c>
      <c r="I42" s="51">
        <v>1560</v>
      </c>
      <c r="J42" s="2810">
        <v>30</v>
      </c>
      <c r="K42" s="2820">
        <v>40</v>
      </c>
      <c r="L42" s="1591" t="s">
        <v>1532</v>
      </c>
      <c r="M42" s="2820">
        <v>3</v>
      </c>
      <c r="N42" s="2820">
        <v>5</v>
      </c>
      <c r="O42" s="1591" t="s">
        <v>2839</v>
      </c>
      <c r="P42" s="2820">
        <v>2</v>
      </c>
      <c r="Q42" s="2820">
        <v>3</v>
      </c>
      <c r="R42" s="1592" t="s">
        <v>2845</v>
      </c>
    </row>
    <row r="43" spans="1:18" ht="12.95" customHeight="1" outlineLevel="1">
      <c r="A43" s="1514">
        <v>35</v>
      </c>
      <c r="B43" s="1447" t="s">
        <v>2591</v>
      </c>
      <c r="C43" s="511" t="s">
        <v>1506</v>
      </c>
      <c r="D43" s="745" t="s">
        <v>2597</v>
      </c>
      <c r="E43" s="511" t="s">
        <v>2379</v>
      </c>
      <c r="F43" s="2821" t="s">
        <v>869</v>
      </c>
      <c r="G43" s="905" t="s">
        <v>1275</v>
      </c>
      <c r="H43" s="2821">
        <v>1560</v>
      </c>
      <c r="I43" s="2812">
        <v>1560</v>
      </c>
      <c r="J43" s="2811">
        <v>30</v>
      </c>
      <c r="K43" s="2817">
        <v>40</v>
      </c>
      <c r="L43" s="1601" t="s">
        <v>1532</v>
      </c>
      <c r="M43" s="2817">
        <v>2</v>
      </c>
      <c r="N43" s="2817">
        <v>2</v>
      </c>
      <c r="O43" s="1601" t="s">
        <v>2845</v>
      </c>
      <c r="P43" s="2811">
        <v>2</v>
      </c>
      <c r="Q43" s="2817">
        <v>3</v>
      </c>
      <c r="R43" s="1602" t="s">
        <v>2845</v>
      </c>
    </row>
    <row r="44" spans="1:18" ht="12.95" customHeight="1" outlineLevel="1">
      <c r="A44" s="1514">
        <v>36</v>
      </c>
      <c r="B44" s="93" t="s">
        <v>999</v>
      </c>
      <c r="C44" s="28" t="s">
        <v>1506</v>
      </c>
      <c r="D44" s="42" t="s">
        <v>5</v>
      </c>
      <c r="E44" s="28" t="s">
        <v>2560</v>
      </c>
      <c r="F44" s="2815" t="s">
        <v>345</v>
      </c>
      <c r="G44" s="46" t="s">
        <v>5</v>
      </c>
      <c r="H44" s="50">
        <v>1500</v>
      </c>
      <c r="I44" s="51">
        <v>1560</v>
      </c>
      <c r="J44" s="2810">
        <v>30</v>
      </c>
      <c r="K44" s="2820">
        <v>40</v>
      </c>
      <c r="L44" s="1591" t="s">
        <v>1532</v>
      </c>
      <c r="M44" s="2820">
        <v>4</v>
      </c>
      <c r="N44" s="2820">
        <v>4</v>
      </c>
      <c r="O44" s="1591" t="s">
        <v>2839</v>
      </c>
      <c r="P44" s="2820">
        <v>2</v>
      </c>
      <c r="Q44" s="2820">
        <v>3</v>
      </c>
      <c r="R44" s="1592" t="s">
        <v>2845</v>
      </c>
    </row>
    <row r="45" spans="1:18" ht="12.95" customHeight="1" outlineLevel="1">
      <c r="A45" s="1514">
        <v>37</v>
      </c>
      <c r="B45" s="1447" t="s">
        <v>1812</v>
      </c>
      <c r="C45" s="511" t="s">
        <v>1506</v>
      </c>
      <c r="D45" s="745" t="s">
        <v>386</v>
      </c>
      <c r="E45" s="511" t="s">
        <v>963</v>
      </c>
      <c r="F45" s="2821" t="s">
        <v>869</v>
      </c>
      <c r="G45" s="905" t="s">
        <v>388</v>
      </c>
      <c r="H45" s="1609">
        <v>1500</v>
      </c>
      <c r="I45" s="1610">
        <v>1560</v>
      </c>
      <c r="J45" s="2811">
        <v>30</v>
      </c>
      <c r="K45" s="2817">
        <v>40</v>
      </c>
      <c r="L45" s="1601" t="s">
        <v>1532</v>
      </c>
      <c r="M45" s="2817">
        <v>1</v>
      </c>
      <c r="N45" s="2817">
        <v>1</v>
      </c>
      <c r="O45" s="1603" t="s">
        <v>386</v>
      </c>
      <c r="P45" s="2817">
        <v>2</v>
      </c>
      <c r="Q45" s="2817">
        <v>3</v>
      </c>
      <c r="R45" s="1602" t="s">
        <v>2845</v>
      </c>
    </row>
    <row r="46" spans="1:18" ht="12.95" customHeight="1" outlineLevel="1">
      <c r="A46" s="1514">
        <v>38</v>
      </c>
      <c r="B46" s="93" t="s">
        <v>1813</v>
      </c>
      <c r="C46" s="28" t="s">
        <v>1506</v>
      </c>
      <c r="D46" s="42" t="s">
        <v>59</v>
      </c>
      <c r="E46" s="28" t="s">
        <v>2379</v>
      </c>
      <c r="F46" s="2815" t="s">
        <v>345</v>
      </c>
      <c r="G46" s="46" t="s">
        <v>720</v>
      </c>
      <c r="H46" s="50">
        <v>1500</v>
      </c>
      <c r="I46" s="51">
        <v>1560</v>
      </c>
      <c r="J46" s="2810">
        <v>30</v>
      </c>
      <c r="K46" s="2820">
        <v>40</v>
      </c>
      <c r="L46" s="1591" t="s">
        <v>1532</v>
      </c>
      <c r="M46" s="2820">
        <v>3</v>
      </c>
      <c r="N46" s="2820">
        <v>5</v>
      </c>
      <c r="O46" s="1591" t="s">
        <v>2839</v>
      </c>
      <c r="P46" s="2820">
        <v>2</v>
      </c>
      <c r="Q46" s="2820">
        <v>3</v>
      </c>
      <c r="R46" s="1592" t="s">
        <v>2845</v>
      </c>
    </row>
    <row r="47" spans="1:18" ht="12.95" customHeight="1" outlineLevel="1">
      <c r="A47" s="1514">
        <v>39</v>
      </c>
      <c r="B47" s="1447" t="s">
        <v>1814</v>
      </c>
      <c r="C47" s="511" t="s">
        <v>1506</v>
      </c>
      <c r="D47" s="745" t="s">
        <v>2571</v>
      </c>
      <c r="E47" s="511" t="s">
        <v>963</v>
      </c>
      <c r="F47" s="2821" t="s">
        <v>869</v>
      </c>
      <c r="G47" s="905" t="s">
        <v>75</v>
      </c>
      <c r="H47" s="1609">
        <v>1500</v>
      </c>
      <c r="I47" s="1610">
        <v>1560</v>
      </c>
      <c r="J47" s="2811">
        <v>30</v>
      </c>
      <c r="K47" s="2817">
        <v>40</v>
      </c>
      <c r="L47" s="1601" t="s">
        <v>1532</v>
      </c>
      <c r="M47" s="2817">
        <v>3</v>
      </c>
      <c r="N47" s="2817">
        <v>5</v>
      </c>
      <c r="O47" s="1601" t="s">
        <v>2839</v>
      </c>
      <c r="P47" s="2817">
        <v>2</v>
      </c>
      <c r="Q47" s="2817">
        <v>3</v>
      </c>
      <c r="R47" s="1602" t="s">
        <v>2845</v>
      </c>
    </row>
    <row r="48" spans="1:18" ht="12.95" customHeight="1" outlineLevel="1" thickBot="1">
      <c r="A48" s="1514">
        <v>40</v>
      </c>
      <c r="B48" s="95" t="s">
        <v>1815</v>
      </c>
      <c r="C48" s="180" t="s">
        <v>1506</v>
      </c>
      <c r="D48" s="189" t="s">
        <v>2830</v>
      </c>
      <c r="E48" s="180" t="s">
        <v>963</v>
      </c>
      <c r="F48" s="2816" t="s">
        <v>345</v>
      </c>
      <c r="G48" s="47" t="s">
        <v>1142</v>
      </c>
      <c r="H48" s="54">
        <v>1500</v>
      </c>
      <c r="I48" s="55">
        <v>1560</v>
      </c>
      <c r="J48" s="2813">
        <v>30</v>
      </c>
      <c r="K48" s="2807">
        <v>40</v>
      </c>
      <c r="L48" s="1593" t="s">
        <v>1532</v>
      </c>
      <c r="M48" s="2807">
        <v>3</v>
      </c>
      <c r="N48" s="2807">
        <v>5</v>
      </c>
      <c r="O48" s="1593" t="s">
        <v>2839</v>
      </c>
      <c r="P48" s="2807">
        <v>2</v>
      </c>
      <c r="Q48" s="2807">
        <v>3</v>
      </c>
      <c r="R48" s="1594" t="s">
        <v>2845</v>
      </c>
    </row>
    <row r="49" spans="1:18" ht="12.95" customHeight="1">
      <c r="A49" s="1514">
        <v>41</v>
      </c>
      <c r="B49" s="1449" t="s">
        <v>1816</v>
      </c>
      <c r="C49" s="507" t="s">
        <v>1817</v>
      </c>
      <c r="D49" s="744" t="s">
        <v>2274</v>
      </c>
      <c r="E49" s="507" t="s">
        <v>2274</v>
      </c>
      <c r="F49" s="1611" t="s">
        <v>391</v>
      </c>
      <c r="G49" s="1598" t="s">
        <v>137</v>
      </c>
      <c r="H49" s="1607">
        <v>1500</v>
      </c>
      <c r="I49" s="1608">
        <v>1560</v>
      </c>
      <c r="J49" s="764">
        <v>30</v>
      </c>
      <c r="K49" s="1528">
        <v>40</v>
      </c>
      <c r="L49" s="1599" t="s">
        <v>1532</v>
      </c>
      <c r="M49" s="1528">
        <v>3</v>
      </c>
      <c r="N49" s="1528">
        <v>5</v>
      </c>
      <c r="O49" s="1599" t="s">
        <v>2839</v>
      </c>
      <c r="P49" s="1528">
        <v>2</v>
      </c>
      <c r="Q49" s="1598">
        <v>3</v>
      </c>
      <c r="R49" s="1600" t="s">
        <v>2845</v>
      </c>
    </row>
    <row r="50" spans="1:18" ht="12.95" customHeight="1" outlineLevel="1">
      <c r="A50" s="1514">
        <v>42</v>
      </c>
      <c r="B50" s="93" t="s">
        <v>1818</v>
      </c>
      <c r="C50" s="28" t="s">
        <v>1817</v>
      </c>
      <c r="D50" s="42" t="s">
        <v>869</v>
      </c>
      <c r="E50" s="28" t="s">
        <v>1147</v>
      </c>
      <c r="F50" s="1541" t="s">
        <v>391</v>
      </c>
      <c r="G50" s="46" t="s">
        <v>869</v>
      </c>
      <c r="H50" s="50">
        <v>1500</v>
      </c>
      <c r="I50" s="51">
        <v>1560</v>
      </c>
      <c r="J50" s="1517">
        <v>30</v>
      </c>
      <c r="K50" s="1530">
        <v>40</v>
      </c>
      <c r="L50" s="1591" t="s">
        <v>1532</v>
      </c>
      <c r="M50" s="1530">
        <v>3</v>
      </c>
      <c r="N50" s="1530">
        <v>5</v>
      </c>
      <c r="O50" s="1591" t="s">
        <v>2839</v>
      </c>
      <c r="P50" s="1530">
        <v>2</v>
      </c>
      <c r="Q50" s="46">
        <v>3</v>
      </c>
      <c r="R50" s="1592" t="s">
        <v>2845</v>
      </c>
    </row>
    <row r="51" spans="1:18" ht="12.95" customHeight="1" outlineLevel="1">
      <c r="A51" s="1514">
        <v>43</v>
      </c>
      <c r="B51" s="1447" t="s">
        <v>1819</v>
      </c>
      <c r="C51" s="511" t="s">
        <v>1817</v>
      </c>
      <c r="D51" s="745" t="s">
        <v>873</v>
      </c>
      <c r="E51" s="511" t="s">
        <v>102</v>
      </c>
      <c r="F51" s="752" t="s">
        <v>391</v>
      </c>
      <c r="G51" s="905" t="s">
        <v>872</v>
      </c>
      <c r="H51" s="1609">
        <v>1500</v>
      </c>
      <c r="I51" s="1610">
        <v>1560</v>
      </c>
      <c r="J51" s="1519">
        <v>30</v>
      </c>
      <c r="K51" s="1527">
        <v>40</v>
      </c>
      <c r="L51" s="1601" t="s">
        <v>1532</v>
      </c>
      <c r="M51" s="1527">
        <v>3</v>
      </c>
      <c r="N51" s="1527">
        <v>5</v>
      </c>
      <c r="O51" s="1601" t="s">
        <v>2839</v>
      </c>
      <c r="P51" s="1527">
        <v>2</v>
      </c>
      <c r="Q51" s="905">
        <v>3</v>
      </c>
      <c r="R51" s="1602" t="s">
        <v>2845</v>
      </c>
    </row>
    <row r="52" spans="1:18" ht="12.95" customHeight="1" outlineLevel="1">
      <c r="A52" s="1514">
        <v>44</v>
      </c>
      <c r="B52" s="93" t="s">
        <v>1680</v>
      </c>
      <c r="C52" s="28" t="s">
        <v>1817</v>
      </c>
      <c r="D52" s="42" t="s">
        <v>2377</v>
      </c>
      <c r="E52" s="28" t="s">
        <v>2377</v>
      </c>
      <c r="F52" s="1541" t="s">
        <v>391</v>
      </c>
      <c r="G52" s="46" t="s">
        <v>1142</v>
      </c>
      <c r="H52" s="50">
        <v>1500</v>
      </c>
      <c r="I52" s="51">
        <v>1560</v>
      </c>
      <c r="J52" s="1517">
        <v>30</v>
      </c>
      <c r="K52" s="1530">
        <v>40</v>
      </c>
      <c r="L52" s="1591" t="s">
        <v>1532</v>
      </c>
      <c r="M52" s="1530">
        <v>3</v>
      </c>
      <c r="N52" s="1530">
        <v>5</v>
      </c>
      <c r="O52" s="1591" t="s">
        <v>2839</v>
      </c>
      <c r="P52" s="1530">
        <v>2</v>
      </c>
      <c r="Q52" s="46">
        <v>3</v>
      </c>
      <c r="R52" s="1592" t="s">
        <v>2845</v>
      </c>
    </row>
    <row r="53" spans="1:18" ht="12.95" customHeight="1" outlineLevel="1">
      <c r="A53" s="1514">
        <v>45</v>
      </c>
      <c r="B53" s="1447" t="s">
        <v>1681</v>
      </c>
      <c r="C53" s="511" t="s">
        <v>1817</v>
      </c>
      <c r="D53" s="745" t="s">
        <v>104</v>
      </c>
      <c r="E53" s="511" t="s">
        <v>2560</v>
      </c>
      <c r="F53" s="752" t="s">
        <v>391</v>
      </c>
      <c r="G53" s="905" t="s">
        <v>562</v>
      </c>
      <c r="H53" s="1609">
        <v>1500</v>
      </c>
      <c r="I53" s="1610">
        <v>1560</v>
      </c>
      <c r="J53" s="1519">
        <v>30</v>
      </c>
      <c r="K53" s="1527">
        <v>40</v>
      </c>
      <c r="L53" s="1601" t="s">
        <v>1532</v>
      </c>
      <c r="M53" s="1527">
        <v>3</v>
      </c>
      <c r="N53" s="1527">
        <v>5</v>
      </c>
      <c r="O53" s="1601" t="s">
        <v>2839</v>
      </c>
      <c r="P53" s="1527">
        <v>2</v>
      </c>
      <c r="Q53" s="905">
        <v>3</v>
      </c>
      <c r="R53" s="1602" t="s">
        <v>2845</v>
      </c>
    </row>
    <row r="54" spans="1:18" ht="12.95" customHeight="1" outlineLevel="1">
      <c r="A54" s="1514">
        <v>46</v>
      </c>
      <c r="B54" s="93" t="s">
        <v>1682</v>
      </c>
      <c r="C54" s="28" t="s">
        <v>1817</v>
      </c>
      <c r="D54" s="42" t="s">
        <v>2556</v>
      </c>
      <c r="E54" s="28" t="s">
        <v>2556</v>
      </c>
      <c r="F54" s="1541" t="s">
        <v>391</v>
      </c>
      <c r="G54" s="46" t="s">
        <v>1275</v>
      </c>
      <c r="H54" s="50">
        <v>1500</v>
      </c>
      <c r="I54" s="51">
        <v>1560</v>
      </c>
      <c r="J54" s="1517">
        <v>30</v>
      </c>
      <c r="K54" s="1530">
        <v>40</v>
      </c>
      <c r="L54" s="1591" t="s">
        <v>1532</v>
      </c>
      <c r="M54" s="1530">
        <v>3</v>
      </c>
      <c r="N54" s="1530">
        <v>5</v>
      </c>
      <c r="O54" s="1591" t="s">
        <v>2839</v>
      </c>
      <c r="P54" s="1530">
        <v>2</v>
      </c>
      <c r="Q54" s="46">
        <v>3</v>
      </c>
      <c r="R54" s="1592" t="s">
        <v>2845</v>
      </c>
    </row>
    <row r="55" spans="1:18" ht="12.95" customHeight="1" outlineLevel="1">
      <c r="A55" s="1514">
        <v>47</v>
      </c>
      <c r="B55" s="1447" t="s">
        <v>1683</v>
      </c>
      <c r="C55" s="511" t="s">
        <v>1817</v>
      </c>
      <c r="D55" s="745" t="s">
        <v>2379</v>
      </c>
      <c r="E55" s="511" t="s">
        <v>2379</v>
      </c>
      <c r="F55" s="752" t="s">
        <v>391</v>
      </c>
      <c r="G55" s="905" t="s">
        <v>1149</v>
      </c>
      <c r="H55" s="1609">
        <v>1500</v>
      </c>
      <c r="I55" s="1610">
        <v>1560</v>
      </c>
      <c r="J55" s="1519">
        <v>30</v>
      </c>
      <c r="K55" s="1527">
        <v>40</v>
      </c>
      <c r="L55" s="1601" t="s">
        <v>1532</v>
      </c>
      <c r="M55" s="1527">
        <v>3</v>
      </c>
      <c r="N55" s="1527">
        <v>5</v>
      </c>
      <c r="O55" s="1601" t="s">
        <v>2839</v>
      </c>
      <c r="P55" s="1527">
        <v>2</v>
      </c>
      <c r="Q55" s="905">
        <v>3</v>
      </c>
      <c r="R55" s="1602" t="s">
        <v>2845</v>
      </c>
    </row>
    <row r="56" spans="1:18" ht="12.95" customHeight="1" outlineLevel="1" thickBot="1">
      <c r="A56" s="1514">
        <v>48</v>
      </c>
      <c r="B56" s="95" t="s">
        <v>1684</v>
      </c>
      <c r="C56" s="180" t="s">
        <v>1817</v>
      </c>
      <c r="D56" s="43" t="s">
        <v>2568</v>
      </c>
      <c r="E56" s="180" t="s">
        <v>2056</v>
      </c>
      <c r="F56" s="1542" t="s">
        <v>391</v>
      </c>
      <c r="G56" s="47" t="s">
        <v>345</v>
      </c>
      <c r="H56" s="54">
        <v>1500</v>
      </c>
      <c r="I56" s="55">
        <v>1560</v>
      </c>
      <c r="J56" s="1521">
        <v>30</v>
      </c>
      <c r="K56" s="1515">
        <v>40</v>
      </c>
      <c r="L56" s="1593" t="s">
        <v>1532</v>
      </c>
      <c r="M56" s="1515">
        <v>3</v>
      </c>
      <c r="N56" s="1515">
        <v>5</v>
      </c>
      <c r="O56" s="1593" t="s">
        <v>2839</v>
      </c>
      <c r="P56" s="1515">
        <v>2</v>
      </c>
      <c r="Q56" s="47">
        <v>3</v>
      </c>
      <c r="R56" s="1594" t="s">
        <v>2845</v>
      </c>
    </row>
    <row r="57" spans="1:18" ht="12.95" customHeight="1">
      <c r="A57" s="1514">
        <v>49</v>
      </c>
      <c r="B57" s="1449" t="s">
        <v>1685</v>
      </c>
      <c r="C57" s="507" t="s">
        <v>1686</v>
      </c>
      <c r="D57" s="744" t="s">
        <v>159</v>
      </c>
      <c r="E57" s="507" t="s">
        <v>137</v>
      </c>
      <c r="F57" s="1611" t="s">
        <v>1442</v>
      </c>
      <c r="G57" s="1598" t="s">
        <v>137</v>
      </c>
      <c r="H57" s="761">
        <v>1630</v>
      </c>
      <c r="I57" s="1529">
        <v>1630</v>
      </c>
      <c r="J57" s="764">
        <v>15</v>
      </c>
      <c r="K57" s="1528">
        <v>25</v>
      </c>
      <c r="L57" s="1599" t="s">
        <v>1534</v>
      </c>
      <c r="M57" s="1528">
        <v>3</v>
      </c>
      <c r="N57" s="1528">
        <v>4</v>
      </c>
      <c r="O57" s="1599" t="s">
        <v>1518</v>
      </c>
      <c r="P57" s="1528">
        <v>3</v>
      </c>
      <c r="Q57" s="1528">
        <v>4</v>
      </c>
      <c r="R57" s="1600" t="s">
        <v>1518</v>
      </c>
    </row>
    <row r="58" spans="1:18" ht="12.95" customHeight="1" outlineLevel="1">
      <c r="A58" s="1514">
        <v>50</v>
      </c>
      <c r="B58" s="93" t="s">
        <v>1688</v>
      </c>
      <c r="C58" s="28" t="s">
        <v>1686</v>
      </c>
      <c r="D58" s="42" t="s">
        <v>2831</v>
      </c>
      <c r="E58" s="28" t="s">
        <v>137</v>
      </c>
      <c r="F58" s="1541" t="s">
        <v>391</v>
      </c>
      <c r="G58" s="46" t="s">
        <v>345</v>
      </c>
      <c r="H58" s="50">
        <v>1560</v>
      </c>
      <c r="I58" s="51">
        <v>1630</v>
      </c>
      <c r="J58" s="1517">
        <v>15</v>
      </c>
      <c r="K58" s="1530">
        <v>25</v>
      </c>
      <c r="L58" s="1591" t="s">
        <v>1534</v>
      </c>
      <c r="M58" s="1530">
        <v>4</v>
      </c>
      <c r="N58" s="1530">
        <v>7</v>
      </c>
      <c r="O58" s="1591" t="s">
        <v>375</v>
      </c>
      <c r="P58" s="1530">
        <v>3</v>
      </c>
      <c r="Q58" s="1530">
        <v>4</v>
      </c>
      <c r="R58" s="1592" t="s">
        <v>1518</v>
      </c>
    </row>
    <row r="59" spans="1:18" ht="12.95" customHeight="1" outlineLevel="1">
      <c r="A59" s="1514">
        <v>51</v>
      </c>
      <c r="B59" s="1447" t="s">
        <v>1690</v>
      </c>
      <c r="C59" s="511" t="s">
        <v>1686</v>
      </c>
      <c r="D59" s="745" t="s">
        <v>2248</v>
      </c>
      <c r="E59" s="511" t="s">
        <v>137</v>
      </c>
      <c r="F59" s="1065" t="s">
        <v>5</v>
      </c>
      <c r="G59" s="905" t="s">
        <v>137</v>
      </c>
      <c r="H59" s="1609">
        <v>1560</v>
      </c>
      <c r="I59" s="1610">
        <v>1630</v>
      </c>
      <c r="J59" s="1519">
        <v>15</v>
      </c>
      <c r="K59" s="1527">
        <v>25</v>
      </c>
      <c r="L59" s="1601" t="s">
        <v>1534</v>
      </c>
      <c r="M59" s="1527">
        <v>4</v>
      </c>
      <c r="N59" s="1527">
        <v>7</v>
      </c>
      <c r="O59" s="1601" t="s">
        <v>375</v>
      </c>
      <c r="P59" s="1527">
        <v>3</v>
      </c>
      <c r="Q59" s="1527">
        <v>4</v>
      </c>
      <c r="R59" s="1602" t="s">
        <v>1518</v>
      </c>
    </row>
    <row r="60" spans="1:18" ht="12.95" customHeight="1" outlineLevel="1">
      <c r="A60" s="1514">
        <v>52</v>
      </c>
      <c r="B60" s="93" t="s">
        <v>1691</v>
      </c>
      <c r="C60" s="28" t="s">
        <v>1686</v>
      </c>
      <c r="D60" s="42" t="s">
        <v>496</v>
      </c>
      <c r="E60" s="28" t="s">
        <v>137</v>
      </c>
      <c r="F60" s="1541" t="s">
        <v>720</v>
      </c>
      <c r="G60" s="46" t="s">
        <v>388</v>
      </c>
      <c r="H60" s="1541">
        <v>1700</v>
      </c>
      <c r="I60" s="1518">
        <v>1700</v>
      </c>
      <c r="J60" s="1517">
        <v>15</v>
      </c>
      <c r="K60" s="1530">
        <v>25</v>
      </c>
      <c r="L60" s="1591" t="s">
        <v>1534</v>
      </c>
      <c r="M60" s="1530">
        <v>15</v>
      </c>
      <c r="N60" s="1530">
        <v>25</v>
      </c>
      <c r="O60" s="1591" t="s">
        <v>1534</v>
      </c>
      <c r="P60" s="1530">
        <v>15</v>
      </c>
      <c r="Q60" s="1530">
        <v>25</v>
      </c>
      <c r="R60" s="1592" t="s">
        <v>1534</v>
      </c>
    </row>
    <row r="61" spans="1:18" ht="12.95" customHeight="1" outlineLevel="1">
      <c r="A61" s="1514">
        <v>53</v>
      </c>
      <c r="B61" s="1447" t="s">
        <v>1692</v>
      </c>
      <c r="C61" s="511" t="s">
        <v>1686</v>
      </c>
      <c r="D61" s="745" t="s">
        <v>2568</v>
      </c>
      <c r="E61" s="511" t="s">
        <v>137</v>
      </c>
      <c r="F61" s="752" t="s">
        <v>345</v>
      </c>
      <c r="G61" s="905" t="s">
        <v>75</v>
      </c>
      <c r="H61" s="1609">
        <v>1560</v>
      </c>
      <c r="I61" s="1610">
        <v>1630</v>
      </c>
      <c r="J61" s="1519">
        <v>15</v>
      </c>
      <c r="K61" s="1527">
        <v>25</v>
      </c>
      <c r="L61" s="1601" t="s">
        <v>1534</v>
      </c>
      <c r="M61" s="1527">
        <v>4</v>
      </c>
      <c r="N61" s="1527">
        <v>7</v>
      </c>
      <c r="O61" s="1601" t="s">
        <v>375</v>
      </c>
      <c r="P61" s="1527">
        <v>3</v>
      </c>
      <c r="Q61" s="1527">
        <v>4</v>
      </c>
      <c r="R61" s="1602" t="s">
        <v>1518</v>
      </c>
    </row>
    <row r="62" spans="1:18" ht="12.95" customHeight="1" outlineLevel="1">
      <c r="A62" s="1514">
        <v>54</v>
      </c>
      <c r="B62" s="93" t="s">
        <v>1693</v>
      </c>
      <c r="C62" s="28" t="s">
        <v>1686</v>
      </c>
      <c r="D62" s="42" t="s">
        <v>2596</v>
      </c>
      <c r="E62" s="28" t="s">
        <v>137</v>
      </c>
      <c r="F62" s="1541" t="s">
        <v>136</v>
      </c>
      <c r="G62" s="46" t="s">
        <v>1442</v>
      </c>
      <c r="H62" s="1541">
        <v>1630</v>
      </c>
      <c r="I62" s="1518">
        <v>1630</v>
      </c>
      <c r="J62" s="1517">
        <v>4</v>
      </c>
      <c r="K62" s="1530">
        <v>7</v>
      </c>
      <c r="L62" s="1591" t="s">
        <v>375</v>
      </c>
      <c r="M62" s="1530">
        <v>4</v>
      </c>
      <c r="N62" s="1530">
        <v>7</v>
      </c>
      <c r="O62" s="1591" t="s">
        <v>375</v>
      </c>
      <c r="P62" s="1530">
        <v>4</v>
      </c>
      <c r="Q62" s="1530">
        <v>7</v>
      </c>
      <c r="R62" s="1592" t="s">
        <v>375</v>
      </c>
    </row>
    <row r="63" spans="1:18" ht="12.95" customHeight="1" outlineLevel="1">
      <c r="A63" s="1514">
        <v>55</v>
      </c>
      <c r="B63" s="1447" t="s">
        <v>1694</v>
      </c>
      <c r="C63" s="511" t="s">
        <v>1686</v>
      </c>
      <c r="D63" s="745" t="s">
        <v>386</v>
      </c>
      <c r="E63" s="511" t="s">
        <v>137</v>
      </c>
      <c r="F63" s="752" t="s">
        <v>1441</v>
      </c>
      <c r="G63" s="905" t="s">
        <v>385</v>
      </c>
      <c r="H63" s="1065">
        <v>1793</v>
      </c>
      <c r="I63" s="1588">
        <v>1793</v>
      </c>
      <c r="J63" s="1519">
        <v>15</v>
      </c>
      <c r="K63" s="1527">
        <v>25</v>
      </c>
      <c r="L63" s="1601" t="s">
        <v>1534</v>
      </c>
      <c r="M63" s="1527">
        <v>1</v>
      </c>
      <c r="N63" s="1527">
        <v>1</v>
      </c>
      <c r="O63" s="1603" t="s">
        <v>386</v>
      </c>
      <c r="P63" s="1527">
        <v>3</v>
      </c>
      <c r="Q63" s="1527">
        <v>4</v>
      </c>
      <c r="R63" s="1602" t="s">
        <v>1518</v>
      </c>
    </row>
    <row r="64" spans="1:18" ht="12.95" customHeight="1" outlineLevel="1" thickBot="1">
      <c r="A64" s="1514">
        <v>56</v>
      </c>
      <c r="B64" s="95" t="s">
        <v>1695</v>
      </c>
      <c r="C64" s="180" t="s">
        <v>1686</v>
      </c>
      <c r="D64" s="189" t="s">
        <v>1541</v>
      </c>
      <c r="E64" s="180" t="s">
        <v>137</v>
      </c>
      <c r="F64" s="31" t="s">
        <v>75</v>
      </c>
      <c r="G64" s="47" t="s">
        <v>137</v>
      </c>
      <c r="H64" s="54">
        <v>1560</v>
      </c>
      <c r="I64" s="55">
        <v>1630</v>
      </c>
      <c r="J64" s="1521">
        <v>15</v>
      </c>
      <c r="K64" s="1515">
        <v>25</v>
      </c>
      <c r="L64" s="1593" t="s">
        <v>1534</v>
      </c>
      <c r="M64" s="1515">
        <v>4</v>
      </c>
      <c r="N64" s="1515">
        <v>7</v>
      </c>
      <c r="O64" s="1593" t="s">
        <v>375</v>
      </c>
      <c r="P64" s="1515">
        <v>3</v>
      </c>
      <c r="Q64" s="1515">
        <v>4</v>
      </c>
      <c r="R64" s="1594" t="s">
        <v>1518</v>
      </c>
    </row>
    <row r="65" spans="1:18" ht="12.95" customHeight="1">
      <c r="A65" s="1514">
        <v>57</v>
      </c>
      <c r="B65" s="1449" t="s">
        <v>1696</v>
      </c>
      <c r="C65" s="507" t="s">
        <v>1697</v>
      </c>
      <c r="D65" s="744" t="s">
        <v>1142</v>
      </c>
      <c r="E65" s="507" t="s">
        <v>1305</v>
      </c>
      <c r="F65" s="761" t="s">
        <v>391</v>
      </c>
      <c r="G65" s="1598" t="s">
        <v>1142</v>
      </c>
      <c r="H65" s="1607">
        <v>1560</v>
      </c>
      <c r="I65" s="1608">
        <v>1630</v>
      </c>
      <c r="J65" s="764">
        <v>15</v>
      </c>
      <c r="K65" s="1528">
        <v>25</v>
      </c>
      <c r="L65" s="1599" t="s">
        <v>1534</v>
      </c>
      <c r="M65" s="1528">
        <v>4</v>
      </c>
      <c r="N65" s="1528">
        <v>7</v>
      </c>
      <c r="O65" s="1599" t="s">
        <v>375</v>
      </c>
      <c r="P65" s="1528">
        <v>3</v>
      </c>
      <c r="Q65" s="1528">
        <v>4</v>
      </c>
      <c r="R65" s="1600" t="s">
        <v>1518</v>
      </c>
    </row>
    <row r="66" spans="1:18" ht="12.95" customHeight="1" outlineLevel="1">
      <c r="A66" s="1514">
        <v>58</v>
      </c>
      <c r="B66" s="93" t="s">
        <v>1698</v>
      </c>
      <c r="C66" s="28" t="s">
        <v>1697</v>
      </c>
      <c r="D66" s="42" t="s">
        <v>2557</v>
      </c>
      <c r="E66" s="28" t="s">
        <v>2557</v>
      </c>
      <c r="F66" s="1541" t="s">
        <v>391</v>
      </c>
      <c r="G66" s="46" t="s">
        <v>345</v>
      </c>
      <c r="H66" s="50">
        <v>1560</v>
      </c>
      <c r="I66" s="51">
        <v>1630</v>
      </c>
      <c r="J66" s="1517">
        <v>15</v>
      </c>
      <c r="K66" s="1530">
        <v>25</v>
      </c>
      <c r="L66" s="1591" t="s">
        <v>1534</v>
      </c>
      <c r="M66" s="1530">
        <v>4</v>
      </c>
      <c r="N66" s="1530">
        <v>7</v>
      </c>
      <c r="O66" s="1591" t="s">
        <v>375</v>
      </c>
      <c r="P66" s="1530">
        <v>3</v>
      </c>
      <c r="Q66" s="1530">
        <v>4</v>
      </c>
      <c r="R66" s="1592" t="s">
        <v>1518</v>
      </c>
    </row>
    <row r="67" spans="1:18" ht="12.95" customHeight="1" outlineLevel="1">
      <c r="A67" s="1514">
        <v>59</v>
      </c>
      <c r="B67" s="1447" t="s">
        <v>1699</v>
      </c>
      <c r="C67" s="511" t="s">
        <v>1697</v>
      </c>
      <c r="D67" s="745" t="s">
        <v>869</v>
      </c>
      <c r="E67" s="511" t="s">
        <v>2185</v>
      </c>
      <c r="F67" s="752" t="s">
        <v>391</v>
      </c>
      <c r="G67" s="905" t="s">
        <v>869</v>
      </c>
      <c r="H67" s="1609">
        <v>1560</v>
      </c>
      <c r="I67" s="1610">
        <v>1630</v>
      </c>
      <c r="J67" s="1519">
        <v>15</v>
      </c>
      <c r="K67" s="1527">
        <v>25</v>
      </c>
      <c r="L67" s="1601" t="s">
        <v>1534</v>
      </c>
      <c r="M67" s="1527">
        <v>4</v>
      </c>
      <c r="N67" s="1527">
        <v>7</v>
      </c>
      <c r="O67" s="1601" t="s">
        <v>375</v>
      </c>
      <c r="P67" s="1527">
        <v>3</v>
      </c>
      <c r="Q67" s="1527">
        <v>4</v>
      </c>
      <c r="R67" s="1602" t="s">
        <v>1518</v>
      </c>
    </row>
    <row r="68" spans="1:18" ht="12.95" customHeight="1" outlineLevel="1">
      <c r="A68" s="1514">
        <v>60</v>
      </c>
      <c r="B68" s="93" t="s">
        <v>1700</v>
      </c>
      <c r="C68" s="28" t="s">
        <v>1697</v>
      </c>
      <c r="D68" s="42" t="s">
        <v>1152</v>
      </c>
      <c r="E68" s="28" t="s">
        <v>1152</v>
      </c>
      <c r="F68" s="1541" t="s">
        <v>391</v>
      </c>
      <c r="G68" s="46" t="s">
        <v>562</v>
      </c>
      <c r="H68" s="50">
        <v>1560</v>
      </c>
      <c r="I68" s="51">
        <v>1630</v>
      </c>
      <c r="J68" s="1517">
        <v>15</v>
      </c>
      <c r="K68" s="1530">
        <v>25</v>
      </c>
      <c r="L68" s="1591" t="s">
        <v>1534</v>
      </c>
      <c r="M68" s="1530">
        <v>4</v>
      </c>
      <c r="N68" s="1530">
        <v>7</v>
      </c>
      <c r="O68" s="1591" t="s">
        <v>375</v>
      </c>
      <c r="P68" s="1530">
        <v>3</v>
      </c>
      <c r="Q68" s="1530">
        <v>4</v>
      </c>
      <c r="R68" s="1592" t="s">
        <v>1518</v>
      </c>
    </row>
    <row r="69" spans="1:18" ht="12.95" customHeight="1" outlineLevel="1">
      <c r="A69" s="1514">
        <v>61</v>
      </c>
      <c r="B69" s="1447" t="s">
        <v>1701</v>
      </c>
      <c r="C69" s="511" t="s">
        <v>1697</v>
      </c>
      <c r="D69" s="745" t="s">
        <v>2572</v>
      </c>
      <c r="E69" s="511" t="s">
        <v>2379</v>
      </c>
      <c r="F69" s="752" t="s">
        <v>391</v>
      </c>
      <c r="G69" s="905" t="s">
        <v>216</v>
      </c>
      <c r="H69" s="1609">
        <v>1560</v>
      </c>
      <c r="I69" s="1610">
        <v>1630</v>
      </c>
      <c r="J69" s="1519">
        <v>15</v>
      </c>
      <c r="K69" s="1527">
        <v>25</v>
      </c>
      <c r="L69" s="1601" t="s">
        <v>1534</v>
      </c>
      <c r="M69" s="1527">
        <v>4</v>
      </c>
      <c r="N69" s="1527">
        <v>7</v>
      </c>
      <c r="O69" s="1601" t="s">
        <v>375</v>
      </c>
      <c r="P69" s="1527">
        <v>3</v>
      </c>
      <c r="Q69" s="1527">
        <v>4</v>
      </c>
      <c r="R69" s="1602" t="s">
        <v>1518</v>
      </c>
    </row>
    <row r="70" spans="1:18" ht="12.95" customHeight="1" outlineLevel="1">
      <c r="A70" s="1514">
        <v>62</v>
      </c>
      <c r="B70" s="93" t="s">
        <v>1702</v>
      </c>
      <c r="C70" s="28" t="s">
        <v>1697</v>
      </c>
      <c r="D70" s="42" t="s">
        <v>2371</v>
      </c>
      <c r="E70" s="28" t="s">
        <v>2371</v>
      </c>
      <c r="F70" s="1541" t="s">
        <v>391</v>
      </c>
      <c r="G70" s="46" t="s">
        <v>872</v>
      </c>
      <c r="H70" s="50">
        <v>1560</v>
      </c>
      <c r="I70" s="51">
        <v>1630</v>
      </c>
      <c r="J70" s="1517">
        <v>15</v>
      </c>
      <c r="K70" s="1530">
        <v>25</v>
      </c>
      <c r="L70" s="1591" t="s">
        <v>1534</v>
      </c>
      <c r="M70" s="1530">
        <v>4</v>
      </c>
      <c r="N70" s="1530">
        <v>7</v>
      </c>
      <c r="O70" s="1591" t="s">
        <v>375</v>
      </c>
      <c r="P70" s="1530">
        <v>3</v>
      </c>
      <c r="Q70" s="1530">
        <v>4</v>
      </c>
      <c r="R70" s="1592" t="s">
        <v>1518</v>
      </c>
    </row>
    <row r="71" spans="1:18" ht="12.95" customHeight="1" outlineLevel="1">
      <c r="A71" s="1514">
        <v>63</v>
      </c>
      <c r="B71" s="1447" t="s">
        <v>1703</v>
      </c>
      <c r="C71" s="511" t="s">
        <v>1697</v>
      </c>
      <c r="D71" s="745" t="s">
        <v>1275</v>
      </c>
      <c r="E71" s="511" t="s">
        <v>1147</v>
      </c>
      <c r="F71" s="752" t="s">
        <v>391</v>
      </c>
      <c r="G71" s="905" t="s">
        <v>1275</v>
      </c>
      <c r="H71" s="1609">
        <v>1560</v>
      </c>
      <c r="I71" s="1610">
        <v>1630</v>
      </c>
      <c r="J71" s="1519">
        <v>15</v>
      </c>
      <c r="K71" s="1527">
        <v>25</v>
      </c>
      <c r="L71" s="1601" t="s">
        <v>1534</v>
      </c>
      <c r="M71" s="1527">
        <v>4</v>
      </c>
      <c r="N71" s="1527">
        <v>7</v>
      </c>
      <c r="O71" s="1601" t="s">
        <v>375</v>
      </c>
      <c r="P71" s="1527">
        <v>3</v>
      </c>
      <c r="Q71" s="1527">
        <v>4</v>
      </c>
      <c r="R71" s="1602" t="s">
        <v>1518</v>
      </c>
    </row>
    <row r="72" spans="1:18" ht="12.95" customHeight="1" outlineLevel="1" thickBot="1">
      <c r="A72" s="1514">
        <v>64</v>
      </c>
      <c r="B72" s="95" t="s">
        <v>1845</v>
      </c>
      <c r="C72" s="180" t="s">
        <v>1697</v>
      </c>
      <c r="D72" s="189" t="s">
        <v>1306</v>
      </c>
      <c r="E72" s="180" t="s">
        <v>1306</v>
      </c>
      <c r="F72" s="1542" t="s">
        <v>391</v>
      </c>
      <c r="G72" s="47" t="s">
        <v>135</v>
      </c>
      <c r="H72" s="54">
        <v>1560</v>
      </c>
      <c r="I72" s="55">
        <v>1630</v>
      </c>
      <c r="J72" s="1521">
        <v>15</v>
      </c>
      <c r="K72" s="1515">
        <v>25</v>
      </c>
      <c r="L72" s="1593" t="s">
        <v>1534</v>
      </c>
      <c r="M72" s="1515">
        <v>4</v>
      </c>
      <c r="N72" s="1515">
        <v>7</v>
      </c>
      <c r="O72" s="1593" t="s">
        <v>375</v>
      </c>
      <c r="P72" s="1515">
        <v>3</v>
      </c>
      <c r="Q72" s="1515">
        <v>4</v>
      </c>
      <c r="R72" s="1594" t="s">
        <v>1518</v>
      </c>
    </row>
    <row r="73" spans="1:18" ht="12.95" customHeight="1">
      <c r="A73" s="1514">
        <v>65</v>
      </c>
      <c r="B73" s="1449" t="s">
        <v>1846</v>
      </c>
      <c r="C73" s="507" t="s">
        <v>1847</v>
      </c>
      <c r="D73" s="744" t="s">
        <v>2488</v>
      </c>
      <c r="E73" s="507" t="s">
        <v>2379</v>
      </c>
      <c r="F73" s="761" t="s">
        <v>2333</v>
      </c>
      <c r="G73" s="1598" t="s">
        <v>720</v>
      </c>
      <c r="H73" s="761">
        <v>1560</v>
      </c>
      <c r="I73" s="1529">
        <v>1560</v>
      </c>
      <c r="J73" s="764">
        <v>4</v>
      </c>
      <c r="K73" s="1528">
        <v>6</v>
      </c>
      <c r="L73" s="1599" t="s">
        <v>2840</v>
      </c>
      <c r="M73" s="1528">
        <v>4</v>
      </c>
      <c r="N73" s="1528">
        <v>6</v>
      </c>
      <c r="O73" s="1599" t="s">
        <v>2840</v>
      </c>
      <c r="P73" s="1528">
        <v>4</v>
      </c>
      <c r="Q73" s="1528">
        <v>6</v>
      </c>
      <c r="R73" s="1600" t="s">
        <v>2840</v>
      </c>
    </row>
    <row r="74" spans="1:18" ht="12.95" customHeight="1" outlineLevel="1">
      <c r="A74" s="1514">
        <v>66</v>
      </c>
      <c r="B74" s="93" t="s">
        <v>1849</v>
      </c>
      <c r="C74" s="28" t="s">
        <v>1847</v>
      </c>
      <c r="D74" s="42" t="s">
        <v>2460</v>
      </c>
      <c r="E74" s="28" t="s">
        <v>1147</v>
      </c>
      <c r="F74" s="32" t="s">
        <v>2333</v>
      </c>
      <c r="G74" s="46" t="s">
        <v>385</v>
      </c>
      <c r="H74" s="50">
        <v>1500</v>
      </c>
      <c r="I74" s="51">
        <v>1560</v>
      </c>
      <c r="J74" s="1517">
        <v>20</v>
      </c>
      <c r="K74" s="1530">
        <v>30</v>
      </c>
      <c r="L74" s="1591" t="s">
        <v>1536</v>
      </c>
      <c r="M74" s="1530">
        <v>4</v>
      </c>
      <c r="N74" s="1530">
        <v>6</v>
      </c>
      <c r="O74" s="1591" t="s">
        <v>2840</v>
      </c>
      <c r="P74" s="1530">
        <v>4</v>
      </c>
      <c r="Q74" s="1530">
        <v>6</v>
      </c>
      <c r="R74" s="1592" t="s">
        <v>1594</v>
      </c>
    </row>
    <row r="75" spans="1:18" ht="12.95" customHeight="1" outlineLevel="1">
      <c r="A75" s="1514">
        <v>67</v>
      </c>
      <c r="B75" s="1447" t="s">
        <v>1852</v>
      </c>
      <c r="C75" s="511" t="s">
        <v>1847</v>
      </c>
      <c r="D75" s="745" t="s">
        <v>1302</v>
      </c>
      <c r="E75" s="511" t="s">
        <v>2380</v>
      </c>
      <c r="F75" s="423" t="s">
        <v>2333</v>
      </c>
      <c r="G75" s="905" t="s">
        <v>216</v>
      </c>
      <c r="H75" s="1609">
        <v>1500</v>
      </c>
      <c r="I75" s="1610">
        <v>1560</v>
      </c>
      <c r="J75" s="1519">
        <v>20</v>
      </c>
      <c r="K75" s="1527">
        <v>30</v>
      </c>
      <c r="L75" s="1601" t="s">
        <v>1536</v>
      </c>
      <c r="M75" s="1527">
        <v>4</v>
      </c>
      <c r="N75" s="1527">
        <v>6</v>
      </c>
      <c r="O75" s="1601" t="s">
        <v>2840</v>
      </c>
      <c r="P75" s="1527">
        <v>4</v>
      </c>
      <c r="Q75" s="1527">
        <v>6</v>
      </c>
      <c r="R75" s="1602" t="s">
        <v>1594</v>
      </c>
    </row>
    <row r="76" spans="1:18" ht="12.95" customHeight="1" outlineLevel="1">
      <c r="A76" s="1514">
        <v>68</v>
      </c>
      <c r="B76" s="93" t="s">
        <v>1853</v>
      </c>
      <c r="C76" s="28" t="s">
        <v>1847</v>
      </c>
      <c r="D76" s="42" t="s">
        <v>1713</v>
      </c>
      <c r="E76" s="28" t="s">
        <v>963</v>
      </c>
      <c r="F76" s="32" t="s">
        <v>2333</v>
      </c>
      <c r="G76" s="46" t="s">
        <v>388</v>
      </c>
      <c r="H76" s="1541">
        <v>1560</v>
      </c>
      <c r="I76" s="1518">
        <v>1560</v>
      </c>
      <c r="J76" s="1517">
        <v>20</v>
      </c>
      <c r="K76" s="1530">
        <v>30</v>
      </c>
      <c r="L76" s="1591" t="s">
        <v>1536</v>
      </c>
      <c r="M76" s="1530">
        <v>4</v>
      </c>
      <c r="N76" s="1530">
        <v>6</v>
      </c>
      <c r="O76" s="1591" t="s">
        <v>1594</v>
      </c>
      <c r="P76" s="1530">
        <v>4</v>
      </c>
      <c r="Q76" s="1530">
        <v>6</v>
      </c>
      <c r="R76" s="1592" t="s">
        <v>1594</v>
      </c>
    </row>
    <row r="77" spans="1:18" ht="12.95" customHeight="1" outlineLevel="1">
      <c r="A77" s="1514">
        <v>69</v>
      </c>
      <c r="B77" s="1447" t="s">
        <v>1854</v>
      </c>
      <c r="C77" s="511" t="s">
        <v>1847</v>
      </c>
      <c r="D77" s="745" t="s">
        <v>1307</v>
      </c>
      <c r="E77" s="511" t="s">
        <v>963</v>
      </c>
      <c r="F77" s="423" t="s">
        <v>2333</v>
      </c>
      <c r="G77" s="905" t="s">
        <v>75</v>
      </c>
      <c r="H77" s="1609">
        <v>1500</v>
      </c>
      <c r="I77" s="1610">
        <v>1560</v>
      </c>
      <c r="J77" s="1519">
        <v>20</v>
      </c>
      <c r="K77" s="1527">
        <v>30</v>
      </c>
      <c r="L77" s="1601" t="s">
        <v>1536</v>
      </c>
      <c r="M77" s="1527">
        <v>4</v>
      </c>
      <c r="N77" s="1527">
        <v>6</v>
      </c>
      <c r="O77" s="1601" t="s">
        <v>2840</v>
      </c>
      <c r="P77" s="1527">
        <v>4</v>
      </c>
      <c r="Q77" s="1527">
        <v>6</v>
      </c>
      <c r="R77" s="1602" t="s">
        <v>1594</v>
      </c>
    </row>
    <row r="78" spans="1:18" ht="12.95" customHeight="1" outlineLevel="1">
      <c r="A78" s="1514">
        <v>70</v>
      </c>
      <c r="B78" s="93" t="s">
        <v>1855</v>
      </c>
      <c r="C78" s="28" t="s">
        <v>1847</v>
      </c>
      <c r="D78" s="42" t="s">
        <v>2333</v>
      </c>
      <c r="E78" s="28" t="s">
        <v>963</v>
      </c>
      <c r="F78" s="33" t="s">
        <v>2333</v>
      </c>
      <c r="G78" s="46" t="s">
        <v>137</v>
      </c>
      <c r="H78" s="50">
        <v>1500</v>
      </c>
      <c r="I78" s="51">
        <v>1560</v>
      </c>
      <c r="J78" s="1517">
        <v>20</v>
      </c>
      <c r="K78" s="1530">
        <v>30</v>
      </c>
      <c r="L78" s="1591" t="s">
        <v>1536</v>
      </c>
      <c r="M78" s="1530">
        <v>4</v>
      </c>
      <c r="N78" s="1530">
        <v>6</v>
      </c>
      <c r="O78" s="1591" t="s">
        <v>2840</v>
      </c>
      <c r="P78" s="1530">
        <v>4</v>
      </c>
      <c r="Q78" s="1530">
        <v>6</v>
      </c>
      <c r="R78" s="1592" t="s">
        <v>1594</v>
      </c>
    </row>
    <row r="79" spans="1:18" ht="12.95" customHeight="1" outlineLevel="1">
      <c r="A79" s="1514">
        <v>71</v>
      </c>
      <c r="B79" s="1447" t="s">
        <v>1856</v>
      </c>
      <c r="C79" s="511" t="s">
        <v>1847</v>
      </c>
      <c r="D79" s="745" t="s">
        <v>2568</v>
      </c>
      <c r="E79" s="511" t="s">
        <v>963</v>
      </c>
      <c r="F79" s="423" t="s">
        <v>2333</v>
      </c>
      <c r="G79" s="905" t="s">
        <v>75</v>
      </c>
      <c r="H79" s="1609">
        <v>1500</v>
      </c>
      <c r="I79" s="1610">
        <v>1560</v>
      </c>
      <c r="J79" s="1519">
        <v>20</v>
      </c>
      <c r="K79" s="1527">
        <v>30</v>
      </c>
      <c r="L79" s="1601" t="s">
        <v>1536</v>
      </c>
      <c r="M79" s="1527">
        <v>4</v>
      </c>
      <c r="N79" s="1527">
        <v>6</v>
      </c>
      <c r="O79" s="1601" t="s">
        <v>2840</v>
      </c>
      <c r="P79" s="1527">
        <v>4</v>
      </c>
      <c r="Q79" s="1527">
        <v>6</v>
      </c>
      <c r="R79" s="1602" t="s">
        <v>1594</v>
      </c>
    </row>
    <row r="80" spans="1:18" ht="12.95" customHeight="1" outlineLevel="1" thickBot="1">
      <c r="A80" s="1514">
        <v>72</v>
      </c>
      <c r="B80" s="95" t="s">
        <v>933</v>
      </c>
      <c r="C80" s="180" t="s">
        <v>1847</v>
      </c>
      <c r="D80" s="189" t="s">
        <v>906</v>
      </c>
      <c r="E80" s="180" t="s">
        <v>2560</v>
      </c>
      <c r="F80" s="34" t="s">
        <v>2333</v>
      </c>
      <c r="G80" s="47" t="s">
        <v>5</v>
      </c>
      <c r="H80" s="1542">
        <v>1630</v>
      </c>
      <c r="I80" s="1516">
        <v>1630</v>
      </c>
      <c r="J80" s="1521">
        <v>20</v>
      </c>
      <c r="K80" s="1515">
        <v>30</v>
      </c>
      <c r="L80" s="1593" t="s">
        <v>1536</v>
      </c>
      <c r="M80" s="1515">
        <v>20</v>
      </c>
      <c r="N80" s="1515">
        <v>30</v>
      </c>
      <c r="O80" s="1593" t="s">
        <v>1536</v>
      </c>
      <c r="P80" s="1515">
        <v>20</v>
      </c>
      <c r="Q80" s="1515">
        <v>30</v>
      </c>
      <c r="R80" s="1594" t="s">
        <v>1536</v>
      </c>
    </row>
    <row r="81" spans="1:18" ht="12.95" customHeight="1">
      <c r="A81" s="1514">
        <v>73</v>
      </c>
      <c r="B81" s="1449" t="s">
        <v>934</v>
      </c>
      <c r="C81" s="507" t="s">
        <v>935</v>
      </c>
      <c r="D81" s="744" t="s">
        <v>1308</v>
      </c>
      <c r="E81" s="507" t="s">
        <v>1308</v>
      </c>
      <c r="F81" s="761" t="s">
        <v>2333</v>
      </c>
      <c r="G81" s="1598" t="s">
        <v>345</v>
      </c>
      <c r="H81" s="1607">
        <v>1500</v>
      </c>
      <c r="I81" s="1608">
        <v>1560</v>
      </c>
      <c r="J81" s="764">
        <v>20</v>
      </c>
      <c r="K81" s="1528">
        <v>30</v>
      </c>
      <c r="L81" s="1599" t="s">
        <v>1536</v>
      </c>
      <c r="M81" s="1528">
        <v>4</v>
      </c>
      <c r="N81" s="1528">
        <v>6</v>
      </c>
      <c r="O81" s="1599" t="s">
        <v>2840</v>
      </c>
      <c r="P81" s="1528">
        <v>4</v>
      </c>
      <c r="Q81" s="1528">
        <v>6</v>
      </c>
      <c r="R81" s="1600" t="s">
        <v>1594</v>
      </c>
    </row>
    <row r="82" spans="1:18" ht="12.95" customHeight="1" outlineLevel="1">
      <c r="A82" s="1514">
        <v>74</v>
      </c>
      <c r="B82" s="93" t="s">
        <v>1341</v>
      </c>
      <c r="C82" s="28" t="s">
        <v>935</v>
      </c>
      <c r="D82" s="42" t="s">
        <v>2452</v>
      </c>
      <c r="E82" s="28" t="s">
        <v>2452</v>
      </c>
      <c r="F82" s="32" t="s">
        <v>2333</v>
      </c>
      <c r="G82" s="46" t="s">
        <v>391</v>
      </c>
      <c r="H82" s="50">
        <v>1500</v>
      </c>
      <c r="I82" s="51">
        <v>1560</v>
      </c>
      <c r="J82" s="1517">
        <v>20</v>
      </c>
      <c r="K82" s="1530">
        <v>30</v>
      </c>
      <c r="L82" s="1591" t="s">
        <v>1536</v>
      </c>
      <c r="M82" s="1530">
        <v>4</v>
      </c>
      <c r="N82" s="1530">
        <v>6</v>
      </c>
      <c r="O82" s="1591" t="s">
        <v>2840</v>
      </c>
      <c r="P82" s="1530">
        <v>4</v>
      </c>
      <c r="Q82" s="1530">
        <v>6</v>
      </c>
      <c r="R82" s="1592" t="s">
        <v>1594</v>
      </c>
    </row>
    <row r="83" spans="1:18" ht="12.95" customHeight="1" outlineLevel="1">
      <c r="A83" s="1514">
        <v>75</v>
      </c>
      <c r="B83" s="1447" t="s">
        <v>1342</v>
      </c>
      <c r="C83" s="511" t="s">
        <v>935</v>
      </c>
      <c r="D83" s="745" t="s">
        <v>1275</v>
      </c>
      <c r="E83" s="511" t="s">
        <v>2380</v>
      </c>
      <c r="F83" s="423" t="s">
        <v>2333</v>
      </c>
      <c r="G83" s="905" t="s">
        <v>1275</v>
      </c>
      <c r="H83" s="1609">
        <v>1500</v>
      </c>
      <c r="I83" s="1610">
        <v>1560</v>
      </c>
      <c r="J83" s="1519">
        <v>20</v>
      </c>
      <c r="K83" s="1527">
        <v>30</v>
      </c>
      <c r="L83" s="1601" t="s">
        <v>1536</v>
      </c>
      <c r="M83" s="1527">
        <v>4</v>
      </c>
      <c r="N83" s="1527">
        <v>6</v>
      </c>
      <c r="O83" s="1601" t="s">
        <v>2840</v>
      </c>
      <c r="P83" s="1527">
        <v>4</v>
      </c>
      <c r="Q83" s="1527">
        <v>6</v>
      </c>
      <c r="R83" s="1602" t="s">
        <v>1594</v>
      </c>
    </row>
    <row r="84" spans="1:18" ht="12.95" customHeight="1" outlineLevel="1">
      <c r="A84" s="1514">
        <v>76</v>
      </c>
      <c r="B84" s="93" t="s">
        <v>1343</v>
      </c>
      <c r="C84" s="28" t="s">
        <v>935</v>
      </c>
      <c r="D84" s="42" t="s">
        <v>873</v>
      </c>
      <c r="E84" s="28" t="s">
        <v>2560</v>
      </c>
      <c r="F84" s="32" t="s">
        <v>2333</v>
      </c>
      <c r="G84" s="46" t="s">
        <v>872</v>
      </c>
      <c r="H84" s="50">
        <v>1500</v>
      </c>
      <c r="I84" s="51">
        <v>1560</v>
      </c>
      <c r="J84" s="1517">
        <v>20</v>
      </c>
      <c r="K84" s="1530">
        <v>30</v>
      </c>
      <c r="L84" s="1591" t="s">
        <v>1536</v>
      </c>
      <c r="M84" s="1530">
        <v>4</v>
      </c>
      <c r="N84" s="1530">
        <v>6</v>
      </c>
      <c r="O84" s="1591" t="s">
        <v>2840</v>
      </c>
      <c r="P84" s="1530">
        <v>4</v>
      </c>
      <c r="Q84" s="1530">
        <v>6</v>
      </c>
      <c r="R84" s="1592" t="s">
        <v>1594</v>
      </c>
    </row>
    <row r="85" spans="1:18" ht="12.95" customHeight="1" outlineLevel="1">
      <c r="A85" s="1514">
        <v>77</v>
      </c>
      <c r="B85" s="1447" t="s">
        <v>1344</v>
      </c>
      <c r="C85" s="511" t="s">
        <v>935</v>
      </c>
      <c r="D85" s="745" t="s">
        <v>2369</v>
      </c>
      <c r="E85" s="511" t="s">
        <v>2369</v>
      </c>
      <c r="F85" s="423" t="s">
        <v>2333</v>
      </c>
      <c r="G85" s="905" t="s">
        <v>869</v>
      </c>
      <c r="H85" s="1609">
        <v>1500</v>
      </c>
      <c r="I85" s="1610">
        <v>1560</v>
      </c>
      <c r="J85" s="1519">
        <v>20</v>
      </c>
      <c r="K85" s="1527">
        <v>30</v>
      </c>
      <c r="L85" s="1601" t="s">
        <v>1536</v>
      </c>
      <c r="M85" s="1527">
        <v>4</v>
      </c>
      <c r="N85" s="1527">
        <v>6</v>
      </c>
      <c r="O85" s="1601" t="s">
        <v>2840</v>
      </c>
      <c r="P85" s="1527">
        <v>4</v>
      </c>
      <c r="Q85" s="1527">
        <v>6</v>
      </c>
      <c r="R85" s="1602" t="s">
        <v>1594</v>
      </c>
    </row>
    <row r="86" spans="1:18" ht="12.95" customHeight="1" outlineLevel="1">
      <c r="A86" s="1514">
        <v>78</v>
      </c>
      <c r="B86" s="93" t="s">
        <v>1345</v>
      </c>
      <c r="C86" s="28" t="s">
        <v>935</v>
      </c>
      <c r="D86" s="42" t="s">
        <v>1147</v>
      </c>
      <c r="E86" s="28" t="s">
        <v>1147</v>
      </c>
      <c r="F86" s="32" t="s">
        <v>2333</v>
      </c>
      <c r="G86" s="46" t="s">
        <v>216</v>
      </c>
      <c r="H86" s="50">
        <v>1500</v>
      </c>
      <c r="I86" s="51">
        <v>1560</v>
      </c>
      <c r="J86" s="1517">
        <v>20</v>
      </c>
      <c r="K86" s="1530">
        <v>30</v>
      </c>
      <c r="L86" s="1591" t="s">
        <v>1536</v>
      </c>
      <c r="M86" s="1530">
        <v>4</v>
      </c>
      <c r="N86" s="1530">
        <v>6</v>
      </c>
      <c r="O86" s="1591" t="s">
        <v>2840</v>
      </c>
      <c r="P86" s="1530">
        <v>4</v>
      </c>
      <c r="Q86" s="1530">
        <v>6</v>
      </c>
      <c r="R86" s="1592" t="s">
        <v>1594</v>
      </c>
    </row>
    <row r="87" spans="1:18" ht="12.95" customHeight="1" outlineLevel="1">
      <c r="A87" s="1514">
        <v>79</v>
      </c>
      <c r="B87" s="1447" t="s">
        <v>1346</v>
      </c>
      <c r="C87" s="511" t="s">
        <v>935</v>
      </c>
      <c r="D87" s="745" t="s">
        <v>2333</v>
      </c>
      <c r="E87" s="511" t="s">
        <v>2056</v>
      </c>
      <c r="F87" s="1064" t="s">
        <v>2333</v>
      </c>
      <c r="G87" s="905" t="s">
        <v>137</v>
      </c>
      <c r="H87" s="1609">
        <v>1500</v>
      </c>
      <c r="I87" s="1610">
        <v>1560</v>
      </c>
      <c r="J87" s="1519">
        <v>20</v>
      </c>
      <c r="K87" s="1527">
        <v>30</v>
      </c>
      <c r="L87" s="1601" t="s">
        <v>1536</v>
      </c>
      <c r="M87" s="1527">
        <v>4</v>
      </c>
      <c r="N87" s="1527">
        <v>6</v>
      </c>
      <c r="O87" s="1601" t="s">
        <v>2840</v>
      </c>
      <c r="P87" s="1527">
        <v>4</v>
      </c>
      <c r="Q87" s="1527">
        <v>6</v>
      </c>
      <c r="R87" s="1602" t="s">
        <v>1594</v>
      </c>
    </row>
    <row r="88" spans="1:18" ht="12.95" customHeight="1" outlineLevel="1" thickBot="1">
      <c r="A88" s="1514">
        <v>80</v>
      </c>
      <c r="B88" s="95" t="s">
        <v>1347</v>
      </c>
      <c r="C88" s="180" t="s">
        <v>935</v>
      </c>
      <c r="D88" s="189" t="s">
        <v>2568</v>
      </c>
      <c r="E88" s="180" t="s">
        <v>2185</v>
      </c>
      <c r="F88" s="34" t="s">
        <v>2333</v>
      </c>
      <c r="G88" s="47" t="s">
        <v>1142</v>
      </c>
      <c r="H88" s="54">
        <v>1500</v>
      </c>
      <c r="I88" s="55">
        <v>1560</v>
      </c>
      <c r="J88" s="1521">
        <v>20</v>
      </c>
      <c r="K88" s="1515">
        <v>30</v>
      </c>
      <c r="L88" s="1593" t="s">
        <v>1536</v>
      </c>
      <c r="M88" s="1515">
        <v>4</v>
      </c>
      <c r="N88" s="1515">
        <v>6</v>
      </c>
      <c r="O88" s="1593" t="s">
        <v>2840</v>
      </c>
      <c r="P88" s="1515">
        <v>4</v>
      </c>
      <c r="Q88" s="1515">
        <v>6</v>
      </c>
      <c r="R88" s="1594" t="s">
        <v>1594</v>
      </c>
    </row>
    <row r="89" spans="1:18" ht="12.95" customHeight="1">
      <c r="A89" s="1514">
        <v>81</v>
      </c>
      <c r="B89" s="1449" t="s">
        <v>1348</v>
      </c>
      <c r="C89" s="507" t="s">
        <v>1349</v>
      </c>
      <c r="D89" s="744" t="s">
        <v>768</v>
      </c>
      <c r="E89" s="507" t="s">
        <v>137</v>
      </c>
      <c r="F89" s="761" t="s">
        <v>135</v>
      </c>
      <c r="G89" s="1598" t="s">
        <v>1442</v>
      </c>
      <c r="H89" s="1611">
        <v>1760</v>
      </c>
      <c r="I89" s="1587">
        <v>1760</v>
      </c>
      <c r="J89" s="764">
        <v>4</v>
      </c>
      <c r="K89" s="1749">
        <v>6</v>
      </c>
      <c r="L89" s="1599" t="s">
        <v>377</v>
      </c>
      <c r="M89" s="1749">
        <v>4</v>
      </c>
      <c r="N89" s="1749">
        <v>6</v>
      </c>
      <c r="O89" s="1599" t="s">
        <v>377</v>
      </c>
      <c r="P89" s="1749">
        <v>4</v>
      </c>
      <c r="Q89" s="1749">
        <v>6</v>
      </c>
      <c r="R89" s="1600" t="s">
        <v>377</v>
      </c>
    </row>
    <row r="90" spans="1:18" ht="12.95" customHeight="1" outlineLevel="1">
      <c r="A90" s="1514">
        <v>82</v>
      </c>
      <c r="B90" s="93" t="s">
        <v>1351</v>
      </c>
      <c r="C90" s="28" t="s">
        <v>1349</v>
      </c>
      <c r="D90" s="42" t="s">
        <v>386</v>
      </c>
      <c r="E90" s="28" t="s">
        <v>137</v>
      </c>
      <c r="F90" s="1752" t="s">
        <v>75</v>
      </c>
      <c r="G90" s="46" t="s">
        <v>385</v>
      </c>
      <c r="H90" s="1752">
        <v>1560</v>
      </c>
      <c r="I90" s="1741">
        <v>1560</v>
      </c>
      <c r="J90" s="1740">
        <v>30</v>
      </c>
      <c r="K90" s="1750">
        <v>40</v>
      </c>
      <c r="L90" s="1591" t="s">
        <v>1537</v>
      </c>
      <c r="M90" s="1750">
        <v>1</v>
      </c>
      <c r="N90" s="1750">
        <v>1</v>
      </c>
      <c r="O90" s="1595" t="s">
        <v>386</v>
      </c>
      <c r="P90" s="1750">
        <v>3</v>
      </c>
      <c r="Q90" s="1750">
        <v>4</v>
      </c>
      <c r="R90" s="1592" t="s">
        <v>2325</v>
      </c>
    </row>
    <row r="91" spans="1:18" ht="12.95" customHeight="1" outlineLevel="1">
      <c r="A91" s="1514">
        <v>83</v>
      </c>
      <c r="B91" s="1447" t="s">
        <v>1354</v>
      </c>
      <c r="C91" s="511" t="s">
        <v>1349</v>
      </c>
      <c r="D91" s="745" t="s">
        <v>1274</v>
      </c>
      <c r="E91" s="511" t="s">
        <v>137</v>
      </c>
      <c r="F91" s="752" t="s">
        <v>75</v>
      </c>
      <c r="G91" s="905" t="s">
        <v>388</v>
      </c>
      <c r="H91" s="752">
        <v>1560</v>
      </c>
      <c r="I91" s="1743">
        <v>1560</v>
      </c>
      <c r="J91" s="1742">
        <v>30</v>
      </c>
      <c r="K91" s="1748">
        <v>40</v>
      </c>
      <c r="L91" s="1601" t="s">
        <v>1537</v>
      </c>
      <c r="M91" s="1748">
        <v>4</v>
      </c>
      <c r="N91" s="1748">
        <v>6</v>
      </c>
      <c r="O91" s="1601" t="s">
        <v>377</v>
      </c>
      <c r="P91" s="1748">
        <v>3</v>
      </c>
      <c r="Q91" s="1748">
        <v>4</v>
      </c>
      <c r="R91" s="1602" t="s">
        <v>2325</v>
      </c>
    </row>
    <row r="92" spans="1:18" ht="12.95" customHeight="1" outlineLevel="1">
      <c r="A92" s="1514">
        <v>84</v>
      </c>
      <c r="B92" s="93" t="s">
        <v>1355</v>
      </c>
      <c r="C92" s="28" t="s">
        <v>1349</v>
      </c>
      <c r="D92" s="42" t="s">
        <v>2832</v>
      </c>
      <c r="E92" s="28" t="s">
        <v>137</v>
      </c>
      <c r="F92" s="1752" t="s">
        <v>135</v>
      </c>
      <c r="G92" s="46" t="s">
        <v>720</v>
      </c>
      <c r="H92" s="1752">
        <v>1560</v>
      </c>
      <c r="I92" s="1741">
        <v>1560</v>
      </c>
      <c r="J92" s="1740">
        <v>30</v>
      </c>
      <c r="K92" s="1750">
        <v>40</v>
      </c>
      <c r="L92" s="1591" t="s">
        <v>1537</v>
      </c>
      <c r="M92" s="1750">
        <v>3</v>
      </c>
      <c r="N92" s="1750">
        <v>4</v>
      </c>
      <c r="O92" s="1591" t="s">
        <v>2325</v>
      </c>
      <c r="P92" s="1750">
        <v>3</v>
      </c>
      <c r="Q92" s="1750">
        <v>4</v>
      </c>
      <c r="R92" s="1592" t="s">
        <v>2325</v>
      </c>
    </row>
    <row r="93" spans="1:18" ht="12.95" customHeight="1" outlineLevel="1">
      <c r="A93" s="1514">
        <v>85</v>
      </c>
      <c r="B93" s="1447" t="s">
        <v>1356</v>
      </c>
      <c r="C93" s="511" t="s">
        <v>1349</v>
      </c>
      <c r="D93" s="745" t="s">
        <v>2568</v>
      </c>
      <c r="E93" s="511" t="s">
        <v>137</v>
      </c>
      <c r="F93" s="1065" t="s">
        <v>75</v>
      </c>
      <c r="G93" s="905" t="s">
        <v>137</v>
      </c>
      <c r="H93" s="752">
        <v>1560</v>
      </c>
      <c r="I93" s="1743">
        <v>1560</v>
      </c>
      <c r="J93" s="1742">
        <v>30</v>
      </c>
      <c r="K93" s="1748">
        <v>40</v>
      </c>
      <c r="L93" s="1601" t="s">
        <v>1537</v>
      </c>
      <c r="M93" s="1748">
        <v>4</v>
      </c>
      <c r="N93" s="1748">
        <v>6</v>
      </c>
      <c r="O93" s="1601" t="s">
        <v>377</v>
      </c>
      <c r="P93" s="1748">
        <v>3</v>
      </c>
      <c r="Q93" s="1748">
        <v>4</v>
      </c>
      <c r="R93" s="1602" t="s">
        <v>2325</v>
      </c>
    </row>
    <row r="94" spans="1:18" ht="12.95" customHeight="1" outlineLevel="1">
      <c r="A94" s="1514">
        <v>86</v>
      </c>
      <c r="B94" s="93" t="s">
        <v>1357</v>
      </c>
      <c r="C94" s="28" t="s">
        <v>1349</v>
      </c>
      <c r="D94" s="42" t="s">
        <v>1441</v>
      </c>
      <c r="E94" s="28" t="s">
        <v>137</v>
      </c>
      <c r="F94" s="1752" t="s">
        <v>1441</v>
      </c>
      <c r="G94" s="46" t="s">
        <v>388</v>
      </c>
      <c r="H94" s="30">
        <v>1723</v>
      </c>
      <c r="I94" s="35">
        <v>1723</v>
      </c>
      <c r="J94" s="1740">
        <v>30</v>
      </c>
      <c r="K94" s="1750">
        <v>40</v>
      </c>
      <c r="L94" s="1591" t="s">
        <v>1537</v>
      </c>
      <c r="M94" s="1750">
        <v>4</v>
      </c>
      <c r="N94" s="1750">
        <v>6</v>
      </c>
      <c r="O94" s="1591" t="s">
        <v>377</v>
      </c>
      <c r="P94" s="1750">
        <v>3</v>
      </c>
      <c r="Q94" s="1750">
        <v>4</v>
      </c>
      <c r="R94" s="1592" t="s">
        <v>2325</v>
      </c>
    </row>
    <row r="95" spans="1:18" ht="12.95" customHeight="1" outlineLevel="1">
      <c r="A95" s="1514">
        <v>87</v>
      </c>
      <c r="B95" s="1447" t="s">
        <v>1358</v>
      </c>
      <c r="C95" s="511" t="s">
        <v>1349</v>
      </c>
      <c r="D95" s="745" t="s">
        <v>278</v>
      </c>
      <c r="E95" s="511" t="s">
        <v>137</v>
      </c>
      <c r="F95" s="752" t="s">
        <v>135</v>
      </c>
      <c r="G95" s="905" t="s">
        <v>345</v>
      </c>
      <c r="H95" s="752">
        <v>1560</v>
      </c>
      <c r="I95" s="1743">
        <v>1560</v>
      </c>
      <c r="J95" s="1742">
        <v>30</v>
      </c>
      <c r="K95" s="1748">
        <v>40</v>
      </c>
      <c r="L95" s="1601" t="s">
        <v>1537</v>
      </c>
      <c r="M95" s="1748">
        <v>4</v>
      </c>
      <c r="N95" s="1748">
        <v>6</v>
      </c>
      <c r="O95" s="1601" t="s">
        <v>377</v>
      </c>
      <c r="P95" s="1748">
        <v>3</v>
      </c>
      <c r="Q95" s="1748">
        <v>4</v>
      </c>
      <c r="R95" s="1602" t="s">
        <v>2325</v>
      </c>
    </row>
    <row r="96" spans="1:18" ht="12.95" customHeight="1" outlineLevel="1" thickBot="1">
      <c r="A96" s="1514">
        <v>88</v>
      </c>
      <c r="B96" s="95" t="s">
        <v>1359</v>
      </c>
      <c r="C96" s="180" t="s">
        <v>1349</v>
      </c>
      <c r="D96" s="189" t="s">
        <v>1714</v>
      </c>
      <c r="E96" s="180" t="s">
        <v>137</v>
      </c>
      <c r="F96" s="1753" t="s">
        <v>75</v>
      </c>
      <c r="G96" s="47" t="s">
        <v>388</v>
      </c>
      <c r="H96" s="1753">
        <v>1630</v>
      </c>
      <c r="I96" s="1733">
        <v>1630</v>
      </c>
      <c r="J96" s="1744">
        <v>30</v>
      </c>
      <c r="K96" s="1732">
        <v>40</v>
      </c>
      <c r="L96" s="1593" t="s">
        <v>1537</v>
      </c>
      <c r="M96" s="1732">
        <v>30</v>
      </c>
      <c r="N96" s="1732">
        <v>40</v>
      </c>
      <c r="O96" s="1593" t="s">
        <v>1537</v>
      </c>
      <c r="P96" s="1732">
        <v>30</v>
      </c>
      <c r="Q96" s="1732">
        <v>40</v>
      </c>
      <c r="R96" s="1594" t="s">
        <v>1537</v>
      </c>
    </row>
    <row r="97" spans="1:18" ht="12.95" customHeight="1">
      <c r="A97" s="1514">
        <v>89</v>
      </c>
      <c r="B97" s="1449" t="s">
        <v>1360</v>
      </c>
      <c r="C97" s="507" t="s">
        <v>1361</v>
      </c>
      <c r="D97" s="744" t="s">
        <v>1214</v>
      </c>
      <c r="E97" s="507" t="s">
        <v>1214</v>
      </c>
      <c r="F97" s="761" t="s">
        <v>391</v>
      </c>
      <c r="G97" s="1598" t="s">
        <v>345</v>
      </c>
      <c r="H97" s="761">
        <v>1560</v>
      </c>
      <c r="I97" s="1529">
        <v>1560</v>
      </c>
      <c r="J97" s="764">
        <v>30</v>
      </c>
      <c r="K97" s="1528">
        <v>40</v>
      </c>
      <c r="L97" s="1599" t="s">
        <v>1537</v>
      </c>
      <c r="M97" s="1528">
        <v>4</v>
      </c>
      <c r="N97" s="1528">
        <v>6</v>
      </c>
      <c r="O97" s="1599" t="s">
        <v>377</v>
      </c>
      <c r="P97" s="1528">
        <v>3</v>
      </c>
      <c r="Q97" s="1528">
        <v>4</v>
      </c>
      <c r="R97" s="1600" t="s">
        <v>2325</v>
      </c>
    </row>
    <row r="98" spans="1:18" ht="12.95" customHeight="1" outlineLevel="1">
      <c r="A98" s="1514">
        <v>90</v>
      </c>
      <c r="B98" s="93" t="s">
        <v>1362</v>
      </c>
      <c r="C98" s="28" t="s">
        <v>1361</v>
      </c>
      <c r="D98" s="42" t="s">
        <v>869</v>
      </c>
      <c r="E98" s="28" t="s">
        <v>2560</v>
      </c>
      <c r="F98" s="32" t="s">
        <v>391</v>
      </c>
      <c r="G98" s="46" t="s">
        <v>869</v>
      </c>
      <c r="H98" s="1541">
        <v>1560</v>
      </c>
      <c r="I98" s="1518">
        <v>1560</v>
      </c>
      <c r="J98" s="1517">
        <v>30</v>
      </c>
      <c r="K98" s="1530">
        <v>40</v>
      </c>
      <c r="L98" s="1591" t="s">
        <v>1537</v>
      </c>
      <c r="M98" s="1530">
        <v>4</v>
      </c>
      <c r="N98" s="1530">
        <v>6</v>
      </c>
      <c r="O98" s="1591" t="s">
        <v>377</v>
      </c>
      <c r="P98" s="1530">
        <v>3</v>
      </c>
      <c r="Q98" s="1530">
        <v>4</v>
      </c>
      <c r="R98" s="1592" t="s">
        <v>2325</v>
      </c>
    </row>
    <row r="99" spans="1:18" ht="12.95" customHeight="1" outlineLevel="1">
      <c r="A99" s="1514">
        <v>91</v>
      </c>
      <c r="B99" s="1447" t="s">
        <v>1363</v>
      </c>
      <c r="C99" s="511" t="s">
        <v>1361</v>
      </c>
      <c r="D99" s="745" t="s">
        <v>1275</v>
      </c>
      <c r="E99" s="511" t="s">
        <v>2371</v>
      </c>
      <c r="F99" s="423" t="s">
        <v>391</v>
      </c>
      <c r="G99" s="905" t="s">
        <v>1275</v>
      </c>
      <c r="H99" s="752">
        <v>1560</v>
      </c>
      <c r="I99" s="1520">
        <v>1560</v>
      </c>
      <c r="J99" s="1519">
        <v>30</v>
      </c>
      <c r="K99" s="1527">
        <v>40</v>
      </c>
      <c r="L99" s="1601" t="s">
        <v>1537</v>
      </c>
      <c r="M99" s="1527">
        <v>4</v>
      </c>
      <c r="N99" s="1527">
        <v>6</v>
      </c>
      <c r="O99" s="1601" t="s">
        <v>377</v>
      </c>
      <c r="P99" s="1527">
        <v>3</v>
      </c>
      <c r="Q99" s="1527">
        <v>4</v>
      </c>
      <c r="R99" s="1602" t="s">
        <v>2325</v>
      </c>
    </row>
    <row r="100" spans="1:18" ht="12.95" customHeight="1" outlineLevel="1">
      <c r="A100" s="1514">
        <v>92</v>
      </c>
      <c r="B100" s="93" t="s">
        <v>1364</v>
      </c>
      <c r="C100" s="28" t="s">
        <v>1361</v>
      </c>
      <c r="D100" s="42" t="s">
        <v>1214</v>
      </c>
      <c r="E100" s="28" t="s">
        <v>1214</v>
      </c>
      <c r="F100" s="33" t="s">
        <v>391</v>
      </c>
      <c r="G100" s="46" t="s">
        <v>137</v>
      </c>
      <c r="H100" s="1541">
        <v>1560</v>
      </c>
      <c r="I100" s="1518">
        <v>1560</v>
      </c>
      <c r="J100" s="1517">
        <v>30</v>
      </c>
      <c r="K100" s="1530">
        <v>40</v>
      </c>
      <c r="L100" s="1591" t="s">
        <v>1537</v>
      </c>
      <c r="M100" s="1530">
        <v>4</v>
      </c>
      <c r="N100" s="1530">
        <v>6</v>
      </c>
      <c r="O100" s="1591" t="s">
        <v>377</v>
      </c>
      <c r="P100" s="1530">
        <v>3</v>
      </c>
      <c r="Q100" s="1530">
        <v>4</v>
      </c>
      <c r="R100" s="1592" t="s">
        <v>2325</v>
      </c>
    </row>
    <row r="101" spans="1:18" ht="12.95" customHeight="1" outlineLevel="1">
      <c r="A101" s="1514">
        <v>93</v>
      </c>
      <c r="B101" s="1447" t="s">
        <v>1365</v>
      </c>
      <c r="C101" s="511" t="s">
        <v>1361</v>
      </c>
      <c r="D101" s="745" t="s">
        <v>873</v>
      </c>
      <c r="E101" s="511" t="s">
        <v>2380</v>
      </c>
      <c r="F101" s="423" t="s">
        <v>391</v>
      </c>
      <c r="G101" s="432" t="s">
        <v>872</v>
      </c>
      <c r="H101" s="752">
        <v>1560</v>
      </c>
      <c r="I101" s="1520">
        <v>1560</v>
      </c>
      <c r="J101" s="1519">
        <v>30</v>
      </c>
      <c r="K101" s="1527">
        <v>40</v>
      </c>
      <c r="L101" s="1601" t="s">
        <v>1537</v>
      </c>
      <c r="M101" s="1527">
        <v>4</v>
      </c>
      <c r="N101" s="1527">
        <v>6</v>
      </c>
      <c r="O101" s="1601" t="s">
        <v>377</v>
      </c>
      <c r="P101" s="1527">
        <v>3</v>
      </c>
      <c r="Q101" s="1527">
        <v>4</v>
      </c>
      <c r="R101" s="1602" t="s">
        <v>2325</v>
      </c>
    </row>
    <row r="102" spans="1:18" ht="12.95" customHeight="1" outlineLevel="1">
      <c r="A102" s="1514">
        <v>94</v>
      </c>
      <c r="B102" s="93" t="s">
        <v>323</v>
      </c>
      <c r="C102" s="28" t="s">
        <v>1361</v>
      </c>
      <c r="D102" s="42" t="s">
        <v>2452</v>
      </c>
      <c r="E102" s="28" t="s">
        <v>2452</v>
      </c>
      <c r="F102" s="32" t="s">
        <v>391</v>
      </c>
      <c r="G102" s="48" t="s">
        <v>1442</v>
      </c>
      <c r="H102" s="1541">
        <v>1560</v>
      </c>
      <c r="I102" s="1518">
        <v>1560</v>
      </c>
      <c r="J102" s="1517">
        <v>30</v>
      </c>
      <c r="K102" s="1530">
        <v>40</v>
      </c>
      <c r="L102" s="1591" t="s">
        <v>1537</v>
      </c>
      <c r="M102" s="1530">
        <v>4</v>
      </c>
      <c r="N102" s="1530">
        <v>6</v>
      </c>
      <c r="O102" s="1591" t="s">
        <v>377</v>
      </c>
      <c r="P102" s="1530">
        <v>3</v>
      </c>
      <c r="Q102" s="1530">
        <v>4</v>
      </c>
      <c r="R102" s="1592" t="s">
        <v>2325</v>
      </c>
    </row>
    <row r="103" spans="1:18" ht="12.95" customHeight="1" outlineLevel="1">
      <c r="A103" s="1514">
        <v>95</v>
      </c>
      <c r="B103" s="1447" t="s">
        <v>324</v>
      </c>
      <c r="C103" s="511" t="s">
        <v>1361</v>
      </c>
      <c r="D103" s="745" t="s">
        <v>1766</v>
      </c>
      <c r="E103" s="511" t="s">
        <v>2185</v>
      </c>
      <c r="F103" s="423" t="s">
        <v>391</v>
      </c>
      <c r="G103" s="905" t="s">
        <v>1142</v>
      </c>
      <c r="H103" s="752">
        <v>1560</v>
      </c>
      <c r="I103" s="1520">
        <v>1560</v>
      </c>
      <c r="J103" s="1519">
        <v>30</v>
      </c>
      <c r="K103" s="1527">
        <v>40</v>
      </c>
      <c r="L103" s="1601" t="s">
        <v>1537</v>
      </c>
      <c r="M103" s="1527">
        <v>4</v>
      </c>
      <c r="N103" s="1527">
        <v>6</v>
      </c>
      <c r="O103" s="1601" t="s">
        <v>377</v>
      </c>
      <c r="P103" s="1527">
        <v>3</v>
      </c>
      <c r="Q103" s="1527">
        <v>4</v>
      </c>
      <c r="R103" s="1602" t="s">
        <v>2325</v>
      </c>
    </row>
    <row r="104" spans="1:18" ht="12.95" customHeight="1" outlineLevel="1" thickBot="1">
      <c r="A104" s="1514">
        <v>96</v>
      </c>
      <c r="B104" s="95" t="s">
        <v>325</v>
      </c>
      <c r="C104" s="180" t="s">
        <v>1361</v>
      </c>
      <c r="D104" s="189" t="s">
        <v>1147</v>
      </c>
      <c r="E104" s="180" t="s">
        <v>1147</v>
      </c>
      <c r="F104" s="34" t="s">
        <v>391</v>
      </c>
      <c r="G104" s="47" t="s">
        <v>216</v>
      </c>
      <c r="H104" s="1542">
        <v>1560</v>
      </c>
      <c r="I104" s="1516">
        <v>1560</v>
      </c>
      <c r="J104" s="1521">
        <v>30</v>
      </c>
      <c r="K104" s="1515">
        <v>40</v>
      </c>
      <c r="L104" s="1593" t="s">
        <v>1537</v>
      </c>
      <c r="M104" s="1515">
        <v>4</v>
      </c>
      <c r="N104" s="1515">
        <v>6</v>
      </c>
      <c r="O104" s="1593" t="s">
        <v>377</v>
      </c>
      <c r="P104" s="1515">
        <v>3</v>
      </c>
      <c r="Q104" s="1515">
        <v>4</v>
      </c>
      <c r="R104" s="1594" t="s">
        <v>2325</v>
      </c>
    </row>
    <row r="105" spans="1:18" ht="12.95" customHeight="1">
      <c r="A105" s="1514">
        <v>97</v>
      </c>
      <c r="B105" s="1449" t="s">
        <v>326</v>
      </c>
      <c r="C105" s="507" t="s">
        <v>327</v>
      </c>
      <c r="D105" s="744" t="s">
        <v>465</v>
      </c>
      <c r="E105" s="507" t="s">
        <v>137</v>
      </c>
      <c r="F105" s="761" t="s">
        <v>75</v>
      </c>
      <c r="G105" s="1598" t="s">
        <v>562</v>
      </c>
      <c r="H105" s="1607">
        <v>1560</v>
      </c>
      <c r="I105" s="1608">
        <v>1630</v>
      </c>
      <c r="J105" s="764">
        <v>15</v>
      </c>
      <c r="K105" s="1528">
        <v>25</v>
      </c>
      <c r="L105" s="1599" t="s">
        <v>1538</v>
      </c>
      <c r="M105" s="1528">
        <v>5</v>
      </c>
      <c r="N105" s="1528">
        <v>7</v>
      </c>
      <c r="O105" s="1599" t="s">
        <v>2841</v>
      </c>
      <c r="P105" s="1528">
        <v>4</v>
      </c>
      <c r="Q105" s="1528">
        <v>6</v>
      </c>
      <c r="R105" s="1600" t="s">
        <v>372</v>
      </c>
    </row>
    <row r="106" spans="1:18" ht="12.95" customHeight="1" outlineLevel="1">
      <c r="A106" s="1514">
        <v>98</v>
      </c>
      <c r="B106" s="93" t="s">
        <v>467</v>
      </c>
      <c r="C106" s="28" t="s">
        <v>327</v>
      </c>
      <c r="D106" s="42" t="s">
        <v>386</v>
      </c>
      <c r="E106" s="28" t="s">
        <v>137</v>
      </c>
      <c r="F106" s="32" t="s">
        <v>75</v>
      </c>
      <c r="G106" s="46" t="s">
        <v>385</v>
      </c>
      <c r="H106" s="50">
        <v>1560</v>
      </c>
      <c r="I106" s="51">
        <v>1630</v>
      </c>
      <c r="J106" s="1517">
        <v>15</v>
      </c>
      <c r="K106" s="1530">
        <v>25</v>
      </c>
      <c r="L106" s="1591" t="s">
        <v>1538</v>
      </c>
      <c r="M106" s="1530">
        <v>1</v>
      </c>
      <c r="N106" s="1530">
        <v>1</v>
      </c>
      <c r="O106" s="1595" t="s">
        <v>386</v>
      </c>
      <c r="P106" s="1530">
        <v>4</v>
      </c>
      <c r="Q106" s="1530">
        <v>6</v>
      </c>
      <c r="R106" s="1592" t="s">
        <v>372</v>
      </c>
    </row>
    <row r="107" spans="1:18" ht="12.95" customHeight="1" outlineLevel="1">
      <c r="A107" s="1514">
        <v>99</v>
      </c>
      <c r="B107" s="1447" t="s">
        <v>468</v>
      </c>
      <c r="C107" s="511" t="s">
        <v>327</v>
      </c>
      <c r="D107" s="745" t="s">
        <v>429</v>
      </c>
      <c r="E107" s="511" t="s">
        <v>137</v>
      </c>
      <c r="F107" s="423" t="s">
        <v>75</v>
      </c>
      <c r="G107" s="905" t="s">
        <v>136</v>
      </c>
      <c r="H107" s="752">
        <v>1630</v>
      </c>
      <c r="I107" s="1520">
        <v>1630</v>
      </c>
      <c r="J107" s="1519">
        <v>15</v>
      </c>
      <c r="K107" s="1527">
        <v>25</v>
      </c>
      <c r="L107" s="1601" t="s">
        <v>1538</v>
      </c>
      <c r="M107" s="1527">
        <v>4</v>
      </c>
      <c r="N107" s="1527">
        <v>6</v>
      </c>
      <c r="O107" s="1601" t="s">
        <v>372</v>
      </c>
      <c r="P107" s="1527">
        <v>4</v>
      </c>
      <c r="Q107" s="1527">
        <v>6</v>
      </c>
      <c r="R107" s="1602" t="s">
        <v>372</v>
      </c>
    </row>
    <row r="108" spans="1:18" ht="12.95" customHeight="1" outlineLevel="1">
      <c r="A108" s="1514">
        <v>100</v>
      </c>
      <c r="B108" s="93" t="s">
        <v>469</v>
      </c>
      <c r="C108" s="28" t="s">
        <v>327</v>
      </c>
      <c r="D108" s="42" t="s">
        <v>2833</v>
      </c>
      <c r="E108" s="28" t="s">
        <v>137</v>
      </c>
      <c r="F108" s="32" t="s">
        <v>75</v>
      </c>
      <c r="G108" s="46" t="s">
        <v>1442</v>
      </c>
      <c r="H108" s="50">
        <v>1560</v>
      </c>
      <c r="I108" s="51">
        <v>1630</v>
      </c>
      <c r="J108" s="1517">
        <v>15</v>
      </c>
      <c r="K108" s="1530">
        <v>25</v>
      </c>
      <c r="L108" s="1591" t="s">
        <v>1538</v>
      </c>
      <c r="M108" s="1530">
        <v>5</v>
      </c>
      <c r="N108" s="1530">
        <v>7</v>
      </c>
      <c r="O108" s="1591" t="s">
        <v>2841</v>
      </c>
      <c r="P108" s="1530">
        <v>4</v>
      </c>
      <c r="Q108" s="1530">
        <v>6</v>
      </c>
      <c r="R108" s="1592" t="s">
        <v>372</v>
      </c>
    </row>
    <row r="109" spans="1:18" ht="12.95" customHeight="1" outlineLevel="1">
      <c r="A109" s="1514">
        <v>101</v>
      </c>
      <c r="B109" s="1447" t="s">
        <v>470</v>
      </c>
      <c r="C109" s="511" t="s">
        <v>327</v>
      </c>
      <c r="D109" s="745" t="s">
        <v>430</v>
      </c>
      <c r="E109" s="511" t="s">
        <v>137</v>
      </c>
      <c r="F109" s="423" t="s">
        <v>75</v>
      </c>
      <c r="G109" s="905" t="s">
        <v>103</v>
      </c>
      <c r="H109" s="752">
        <v>1700</v>
      </c>
      <c r="I109" s="1520">
        <v>1700</v>
      </c>
      <c r="J109" s="1519">
        <v>15</v>
      </c>
      <c r="K109" s="1527">
        <v>25</v>
      </c>
      <c r="L109" s="1601" t="s">
        <v>1538</v>
      </c>
      <c r="M109" s="1527">
        <v>15</v>
      </c>
      <c r="N109" s="1527">
        <v>25</v>
      </c>
      <c r="O109" s="1601" t="s">
        <v>1538</v>
      </c>
      <c r="P109" s="1527">
        <v>15</v>
      </c>
      <c r="Q109" s="1527">
        <v>25</v>
      </c>
      <c r="R109" s="1602" t="s">
        <v>1538</v>
      </c>
    </row>
    <row r="110" spans="1:18" ht="12.95" customHeight="1" outlineLevel="1">
      <c r="A110" s="1514">
        <v>102</v>
      </c>
      <c r="B110" s="93" t="s">
        <v>471</v>
      </c>
      <c r="C110" s="28" t="s">
        <v>327</v>
      </c>
      <c r="D110" s="42" t="s">
        <v>60</v>
      </c>
      <c r="E110" s="28" t="s">
        <v>137</v>
      </c>
      <c r="F110" s="32" t="s">
        <v>75</v>
      </c>
      <c r="G110" s="46" t="s">
        <v>720</v>
      </c>
      <c r="H110" s="50">
        <v>1560</v>
      </c>
      <c r="I110" s="51">
        <v>1630</v>
      </c>
      <c r="J110" s="1517">
        <v>15</v>
      </c>
      <c r="K110" s="1530">
        <v>25</v>
      </c>
      <c r="L110" s="1591" t="s">
        <v>1538</v>
      </c>
      <c r="M110" s="1530">
        <v>5</v>
      </c>
      <c r="N110" s="1530">
        <v>7</v>
      </c>
      <c r="O110" s="1591" t="s">
        <v>2841</v>
      </c>
      <c r="P110" s="1530">
        <v>4</v>
      </c>
      <c r="Q110" s="1530">
        <v>6</v>
      </c>
      <c r="R110" s="1592" t="s">
        <v>372</v>
      </c>
    </row>
    <row r="111" spans="1:18" ht="12.95" customHeight="1" outlineLevel="1">
      <c r="A111" s="1514">
        <v>103</v>
      </c>
      <c r="B111" s="1447" t="s">
        <v>472</v>
      </c>
      <c r="C111" s="511" t="s">
        <v>327</v>
      </c>
      <c r="D111" s="745" t="s">
        <v>75</v>
      </c>
      <c r="E111" s="511" t="s">
        <v>137</v>
      </c>
      <c r="F111" s="1064" t="s">
        <v>75</v>
      </c>
      <c r="G111" s="905" t="s">
        <v>137</v>
      </c>
      <c r="H111" s="1609">
        <v>1560</v>
      </c>
      <c r="I111" s="1610">
        <v>1630</v>
      </c>
      <c r="J111" s="1519">
        <v>15</v>
      </c>
      <c r="K111" s="1527">
        <v>25</v>
      </c>
      <c r="L111" s="1601" t="s">
        <v>1538</v>
      </c>
      <c r="M111" s="1527">
        <v>5</v>
      </c>
      <c r="N111" s="1527">
        <v>7</v>
      </c>
      <c r="O111" s="1601" t="s">
        <v>2841</v>
      </c>
      <c r="P111" s="1527">
        <v>4</v>
      </c>
      <c r="Q111" s="1527">
        <v>6</v>
      </c>
      <c r="R111" s="1602" t="s">
        <v>372</v>
      </c>
    </row>
    <row r="112" spans="1:18" ht="12.95" customHeight="1" outlineLevel="1" thickBot="1">
      <c r="A112" s="1514">
        <v>104</v>
      </c>
      <c r="B112" s="95" t="s">
        <v>473</v>
      </c>
      <c r="C112" s="180" t="s">
        <v>327</v>
      </c>
      <c r="D112" s="189" t="s">
        <v>276</v>
      </c>
      <c r="E112" s="180" t="s">
        <v>137</v>
      </c>
      <c r="F112" s="34" t="s">
        <v>75</v>
      </c>
      <c r="G112" s="47" t="s">
        <v>388</v>
      </c>
      <c r="H112" s="1542">
        <v>1760</v>
      </c>
      <c r="I112" s="1516">
        <v>1760</v>
      </c>
      <c r="J112" s="1521">
        <v>5</v>
      </c>
      <c r="K112" s="1515">
        <v>7</v>
      </c>
      <c r="L112" s="1593" t="s">
        <v>2841</v>
      </c>
      <c r="M112" s="1515">
        <v>5</v>
      </c>
      <c r="N112" s="1515">
        <v>7</v>
      </c>
      <c r="O112" s="1593" t="s">
        <v>2841</v>
      </c>
      <c r="P112" s="1515">
        <v>5</v>
      </c>
      <c r="Q112" s="1515">
        <v>7</v>
      </c>
      <c r="R112" s="1594" t="s">
        <v>2841</v>
      </c>
    </row>
    <row r="113" spans="1:18" ht="12.95" customHeight="1">
      <c r="A113" s="1514">
        <v>105</v>
      </c>
      <c r="B113" s="1449" t="s">
        <v>474</v>
      </c>
      <c r="C113" s="507" t="s">
        <v>475</v>
      </c>
      <c r="D113" s="744" t="s">
        <v>1275</v>
      </c>
      <c r="E113" s="507" t="s">
        <v>2371</v>
      </c>
      <c r="F113" s="761" t="s">
        <v>391</v>
      </c>
      <c r="G113" s="1598" t="s">
        <v>1275</v>
      </c>
      <c r="H113" s="1607">
        <v>1560</v>
      </c>
      <c r="I113" s="1608">
        <v>1630</v>
      </c>
      <c r="J113" s="764">
        <v>15</v>
      </c>
      <c r="K113" s="1528">
        <v>25</v>
      </c>
      <c r="L113" s="1599" t="s">
        <v>1538</v>
      </c>
      <c r="M113" s="1528">
        <v>5</v>
      </c>
      <c r="N113" s="1528">
        <v>7</v>
      </c>
      <c r="O113" s="1599" t="s">
        <v>2841</v>
      </c>
      <c r="P113" s="1528">
        <v>4</v>
      </c>
      <c r="Q113" s="1528">
        <v>6</v>
      </c>
      <c r="R113" s="1600" t="s">
        <v>372</v>
      </c>
    </row>
    <row r="114" spans="1:18" ht="12.95" customHeight="1" outlineLevel="1">
      <c r="A114" s="1514">
        <v>106</v>
      </c>
      <c r="B114" s="93" t="s">
        <v>476</v>
      </c>
      <c r="C114" s="28" t="s">
        <v>475</v>
      </c>
      <c r="D114" s="42" t="s">
        <v>60</v>
      </c>
      <c r="E114" s="28" t="s">
        <v>963</v>
      </c>
      <c r="F114" s="32" t="s">
        <v>391</v>
      </c>
      <c r="G114" s="46" t="s">
        <v>135</v>
      </c>
      <c r="H114" s="50">
        <v>1560</v>
      </c>
      <c r="I114" s="51">
        <v>1630</v>
      </c>
      <c r="J114" s="1517">
        <v>15</v>
      </c>
      <c r="K114" s="1530">
        <v>25</v>
      </c>
      <c r="L114" s="1591" t="s">
        <v>1538</v>
      </c>
      <c r="M114" s="1530">
        <v>5</v>
      </c>
      <c r="N114" s="1530">
        <v>7</v>
      </c>
      <c r="O114" s="1591" t="s">
        <v>2841</v>
      </c>
      <c r="P114" s="1530">
        <v>4</v>
      </c>
      <c r="Q114" s="1530">
        <v>6</v>
      </c>
      <c r="R114" s="1592" t="s">
        <v>372</v>
      </c>
    </row>
    <row r="115" spans="1:18" ht="12.95" customHeight="1" outlineLevel="1">
      <c r="A115" s="1514">
        <v>107</v>
      </c>
      <c r="B115" s="1447" t="s">
        <v>1935</v>
      </c>
      <c r="C115" s="511" t="s">
        <v>475</v>
      </c>
      <c r="D115" s="745" t="s">
        <v>1441</v>
      </c>
      <c r="E115" s="511" t="s">
        <v>1147</v>
      </c>
      <c r="F115" s="423" t="s">
        <v>1441</v>
      </c>
      <c r="G115" s="905" t="s">
        <v>391</v>
      </c>
      <c r="H115" s="302">
        <v>1723</v>
      </c>
      <c r="I115" s="1612">
        <v>1801</v>
      </c>
      <c r="J115" s="1519">
        <v>15</v>
      </c>
      <c r="K115" s="1527">
        <v>25</v>
      </c>
      <c r="L115" s="1601" t="s">
        <v>1538</v>
      </c>
      <c r="M115" s="1527">
        <v>5</v>
      </c>
      <c r="N115" s="1527">
        <v>7</v>
      </c>
      <c r="O115" s="1601" t="s">
        <v>2841</v>
      </c>
      <c r="P115" s="1527">
        <v>4</v>
      </c>
      <c r="Q115" s="1527">
        <v>6</v>
      </c>
      <c r="R115" s="1602" t="s">
        <v>372</v>
      </c>
    </row>
    <row r="116" spans="1:18" ht="12.95" customHeight="1" outlineLevel="1">
      <c r="A116" s="1514">
        <v>108</v>
      </c>
      <c r="B116" s="93" t="s">
        <v>1936</v>
      </c>
      <c r="C116" s="28" t="s">
        <v>475</v>
      </c>
      <c r="D116" s="42" t="s">
        <v>2379</v>
      </c>
      <c r="E116" s="28" t="s">
        <v>2379</v>
      </c>
      <c r="F116" s="32" t="s">
        <v>391</v>
      </c>
      <c r="G116" s="46" t="s">
        <v>388</v>
      </c>
      <c r="H116" s="50">
        <v>1560</v>
      </c>
      <c r="I116" s="51">
        <v>1630</v>
      </c>
      <c r="J116" s="1517">
        <v>15</v>
      </c>
      <c r="K116" s="1530">
        <v>25</v>
      </c>
      <c r="L116" s="1591" t="s">
        <v>1538</v>
      </c>
      <c r="M116" s="1530">
        <v>5</v>
      </c>
      <c r="N116" s="1530">
        <v>7</v>
      </c>
      <c r="O116" s="1591" t="s">
        <v>2841</v>
      </c>
      <c r="P116" s="1530">
        <v>4</v>
      </c>
      <c r="Q116" s="1530">
        <v>6</v>
      </c>
      <c r="R116" s="1592" t="s">
        <v>372</v>
      </c>
    </row>
    <row r="117" spans="1:18" ht="12.95" customHeight="1" outlineLevel="1">
      <c r="A117" s="1514">
        <v>109</v>
      </c>
      <c r="B117" s="1447" t="s">
        <v>1937</v>
      </c>
      <c r="C117" s="511" t="s">
        <v>475</v>
      </c>
      <c r="D117" s="745" t="s">
        <v>2372</v>
      </c>
      <c r="E117" s="511" t="s">
        <v>2372</v>
      </c>
      <c r="F117" s="423" t="s">
        <v>391</v>
      </c>
      <c r="G117" s="905" t="s">
        <v>385</v>
      </c>
      <c r="H117" s="1609">
        <v>1560</v>
      </c>
      <c r="I117" s="1610">
        <v>1630</v>
      </c>
      <c r="J117" s="1519">
        <v>15</v>
      </c>
      <c r="K117" s="1527">
        <v>25</v>
      </c>
      <c r="L117" s="1601" t="s">
        <v>1538</v>
      </c>
      <c r="M117" s="1527">
        <v>5</v>
      </c>
      <c r="N117" s="1527">
        <v>7</v>
      </c>
      <c r="O117" s="1601" t="s">
        <v>2841</v>
      </c>
      <c r="P117" s="1527">
        <v>4</v>
      </c>
      <c r="Q117" s="1527">
        <v>6</v>
      </c>
      <c r="R117" s="1602" t="s">
        <v>372</v>
      </c>
    </row>
    <row r="118" spans="1:18" ht="12.95" customHeight="1" outlineLevel="1">
      <c r="A118" s="1514">
        <v>110</v>
      </c>
      <c r="B118" s="93" t="s">
        <v>1938</v>
      </c>
      <c r="C118" s="28" t="s">
        <v>475</v>
      </c>
      <c r="D118" s="42" t="s">
        <v>75</v>
      </c>
      <c r="E118" s="28" t="s">
        <v>2380</v>
      </c>
      <c r="F118" s="32" t="s">
        <v>391</v>
      </c>
      <c r="G118" s="46" t="s">
        <v>75</v>
      </c>
      <c r="H118" s="50">
        <v>1560</v>
      </c>
      <c r="I118" s="51">
        <v>1630</v>
      </c>
      <c r="J118" s="1517">
        <v>15</v>
      </c>
      <c r="K118" s="1530">
        <v>25</v>
      </c>
      <c r="L118" s="1591" t="s">
        <v>1538</v>
      </c>
      <c r="M118" s="1530">
        <v>5</v>
      </c>
      <c r="N118" s="1530">
        <v>7</v>
      </c>
      <c r="O118" s="1591" t="s">
        <v>2841</v>
      </c>
      <c r="P118" s="1530">
        <v>4</v>
      </c>
      <c r="Q118" s="1530">
        <v>6</v>
      </c>
      <c r="R118" s="1592" t="s">
        <v>372</v>
      </c>
    </row>
    <row r="119" spans="1:18" ht="12.95" customHeight="1" outlineLevel="1">
      <c r="A119" s="1514">
        <v>111</v>
      </c>
      <c r="B119" s="1447" t="s">
        <v>1939</v>
      </c>
      <c r="C119" s="511" t="s">
        <v>475</v>
      </c>
      <c r="D119" s="745" t="s">
        <v>873</v>
      </c>
      <c r="E119" s="511" t="s">
        <v>2185</v>
      </c>
      <c r="F119" s="423" t="s">
        <v>391</v>
      </c>
      <c r="G119" s="905" t="s">
        <v>872</v>
      </c>
      <c r="H119" s="1609">
        <v>1560</v>
      </c>
      <c r="I119" s="1610">
        <v>1630</v>
      </c>
      <c r="J119" s="1519">
        <v>15</v>
      </c>
      <c r="K119" s="1527">
        <v>25</v>
      </c>
      <c r="L119" s="1601" t="s">
        <v>1538</v>
      </c>
      <c r="M119" s="1527">
        <v>5</v>
      </c>
      <c r="N119" s="1527">
        <v>7</v>
      </c>
      <c r="O119" s="1601" t="s">
        <v>2841</v>
      </c>
      <c r="P119" s="1527">
        <v>4</v>
      </c>
      <c r="Q119" s="1527">
        <v>6</v>
      </c>
      <c r="R119" s="1602" t="s">
        <v>372</v>
      </c>
    </row>
    <row r="120" spans="1:18" ht="12.95" customHeight="1" outlineLevel="1" thickBot="1">
      <c r="A120" s="1514">
        <v>112</v>
      </c>
      <c r="B120" s="95" t="s">
        <v>1940</v>
      </c>
      <c r="C120" s="180" t="s">
        <v>475</v>
      </c>
      <c r="D120" s="189" t="s">
        <v>1767</v>
      </c>
      <c r="E120" s="180" t="s">
        <v>2371</v>
      </c>
      <c r="F120" s="34" t="s">
        <v>391</v>
      </c>
      <c r="G120" s="47" t="s">
        <v>720</v>
      </c>
      <c r="H120" s="54">
        <v>1560</v>
      </c>
      <c r="I120" s="55">
        <v>1630</v>
      </c>
      <c r="J120" s="1521">
        <v>15</v>
      </c>
      <c r="K120" s="1515">
        <v>25</v>
      </c>
      <c r="L120" s="1593" t="s">
        <v>1538</v>
      </c>
      <c r="M120" s="1515">
        <v>5</v>
      </c>
      <c r="N120" s="1515">
        <v>7</v>
      </c>
      <c r="O120" s="1593" t="s">
        <v>2841</v>
      </c>
      <c r="P120" s="1515">
        <v>4</v>
      </c>
      <c r="Q120" s="1515">
        <v>6</v>
      </c>
      <c r="R120" s="1594" t="s">
        <v>372</v>
      </c>
    </row>
    <row r="121" spans="1:18" ht="12.95" customHeight="1">
      <c r="A121" s="1514">
        <v>113</v>
      </c>
      <c r="B121" s="1449" t="s">
        <v>397</v>
      </c>
      <c r="C121" s="507" t="s">
        <v>398</v>
      </c>
      <c r="D121" s="744" t="s">
        <v>847</v>
      </c>
      <c r="E121" s="507" t="s">
        <v>137</v>
      </c>
      <c r="F121" s="761" t="s">
        <v>5</v>
      </c>
      <c r="G121" s="1598" t="s">
        <v>720</v>
      </c>
      <c r="H121" s="1607">
        <v>1560</v>
      </c>
      <c r="I121" s="1608">
        <v>1700</v>
      </c>
      <c r="J121" s="764">
        <v>10</v>
      </c>
      <c r="K121" s="1528">
        <v>20</v>
      </c>
      <c r="L121" s="1599" t="s">
        <v>1540</v>
      </c>
      <c r="M121" s="1528">
        <v>4</v>
      </c>
      <c r="N121" s="1528">
        <v>7</v>
      </c>
      <c r="O121" s="1599" t="s">
        <v>1947</v>
      </c>
      <c r="P121" s="1528">
        <v>2</v>
      </c>
      <c r="Q121" s="1528">
        <v>4</v>
      </c>
      <c r="R121" s="1600" t="s">
        <v>1595</v>
      </c>
    </row>
    <row r="122" spans="1:18" ht="12.95" customHeight="1" outlineLevel="1">
      <c r="A122" s="1514">
        <v>114</v>
      </c>
      <c r="B122" s="93" t="s">
        <v>161</v>
      </c>
      <c r="C122" s="28" t="s">
        <v>398</v>
      </c>
      <c r="D122" s="42" t="s">
        <v>1019</v>
      </c>
      <c r="E122" s="28" t="s">
        <v>137</v>
      </c>
      <c r="F122" s="1541" t="s">
        <v>5</v>
      </c>
      <c r="G122" s="46" t="s">
        <v>135</v>
      </c>
      <c r="H122" s="30">
        <v>1630</v>
      </c>
      <c r="I122" s="35">
        <v>1630</v>
      </c>
      <c r="J122" s="1517">
        <v>10</v>
      </c>
      <c r="K122" s="1530">
        <v>20</v>
      </c>
      <c r="L122" s="1591" t="s">
        <v>1540</v>
      </c>
      <c r="M122" s="1530">
        <v>10</v>
      </c>
      <c r="N122" s="1530">
        <v>20</v>
      </c>
      <c r="O122" s="1591" t="s">
        <v>1540</v>
      </c>
      <c r="P122" s="1530">
        <v>10</v>
      </c>
      <c r="Q122" s="1530">
        <v>20</v>
      </c>
      <c r="R122" s="1592" t="s">
        <v>1540</v>
      </c>
    </row>
    <row r="123" spans="1:18" ht="12.95" customHeight="1" outlineLevel="1">
      <c r="A123" s="1514">
        <v>115</v>
      </c>
      <c r="B123" s="1447" t="s">
        <v>162</v>
      </c>
      <c r="C123" s="511" t="s">
        <v>398</v>
      </c>
      <c r="D123" s="745" t="s">
        <v>450</v>
      </c>
      <c r="E123" s="511" t="s">
        <v>137</v>
      </c>
      <c r="F123" s="752" t="s">
        <v>5</v>
      </c>
      <c r="G123" s="905" t="s">
        <v>136</v>
      </c>
      <c r="H123" s="752">
        <v>1560</v>
      </c>
      <c r="I123" s="1520">
        <v>1560</v>
      </c>
      <c r="J123" s="1519">
        <v>4</v>
      </c>
      <c r="K123" s="1527">
        <v>7</v>
      </c>
      <c r="L123" s="1601" t="s">
        <v>378</v>
      </c>
      <c r="M123" s="1527">
        <v>4</v>
      </c>
      <c r="N123" s="1527">
        <v>7</v>
      </c>
      <c r="O123" s="1601" t="s">
        <v>378</v>
      </c>
      <c r="P123" s="1527">
        <v>4</v>
      </c>
      <c r="Q123" s="1527">
        <v>7</v>
      </c>
      <c r="R123" s="1602" t="s">
        <v>378</v>
      </c>
    </row>
    <row r="124" spans="1:18" ht="12.95" customHeight="1" outlineLevel="1">
      <c r="A124" s="1514">
        <v>116</v>
      </c>
      <c r="B124" s="93" t="s">
        <v>163</v>
      </c>
      <c r="C124" s="28" t="s">
        <v>398</v>
      </c>
      <c r="D124" s="42" t="s">
        <v>5</v>
      </c>
      <c r="E124" s="28" t="s">
        <v>137</v>
      </c>
      <c r="F124" s="30" t="s">
        <v>5</v>
      </c>
      <c r="G124" s="46" t="s">
        <v>137</v>
      </c>
      <c r="H124" s="50">
        <v>1560</v>
      </c>
      <c r="I124" s="51">
        <v>1700</v>
      </c>
      <c r="J124" s="1517">
        <v>10</v>
      </c>
      <c r="K124" s="1530">
        <v>20</v>
      </c>
      <c r="L124" s="1591" t="s">
        <v>1540</v>
      </c>
      <c r="M124" s="1530">
        <v>4</v>
      </c>
      <c r="N124" s="1530">
        <v>7</v>
      </c>
      <c r="O124" s="1591" t="s">
        <v>378</v>
      </c>
      <c r="P124" s="1530">
        <v>2</v>
      </c>
      <c r="Q124" s="1530">
        <v>4</v>
      </c>
      <c r="R124" s="1592" t="s">
        <v>1595</v>
      </c>
    </row>
    <row r="125" spans="1:18" ht="12.95" customHeight="1" outlineLevel="1">
      <c r="A125" s="1514">
        <v>117</v>
      </c>
      <c r="B125" s="1447" t="s">
        <v>164</v>
      </c>
      <c r="C125" s="511" t="s">
        <v>398</v>
      </c>
      <c r="D125" s="745" t="s">
        <v>2247</v>
      </c>
      <c r="E125" s="511" t="s">
        <v>137</v>
      </c>
      <c r="F125" s="752" t="s">
        <v>5</v>
      </c>
      <c r="G125" s="905" t="s">
        <v>75</v>
      </c>
      <c r="H125" s="1609">
        <v>1560</v>
      </c>
      <c r="I125" s="1610">
        <v>1700</v>
      </c>
      <c r="J125" s="1519">
        <v>10</v>
      </c>
      <c r="K125" s="1527">
        <v>20</v>
      </c>
      <c r="L125" s="1601" t="s">
        <v>1540</v>
      </c>
      <c r="M125" s="1527">
        <v>4</v>
      </c>
      <c r="N125" s="1527">
        <v>7</v>
      </c>
      <c r="O125" s="1601" t="s">
        <v>378</v>
      </c>
      <c r="P125" s="1527">
        <v>2</v>
      </c>
      <c r="Q125" s="1527">
        <v>4</v>
      </c>
      <c r="R125" s="1602" t="s">
        <v>1595</v>
      </c>
    </row>
    <row r="126" spans="1:18" ht="12.95" customHeight="1" outlineLevel="1">
      <c r="A126" s="1514">
        <v>118</v>
      </c>
      <c r="B126" s="93" t="s">
        <v>165</v>
      </c>
      <c r="C126" s="28" t="s">
        <v>398</v>
      </c>
      <c r="D126" s="42" t="s">
        <v>302</v>
      </c>
      <c r="E126" s="28" t="s">
        <v>137</v>
      </c>
      <c r="F126" s="1541" t="s">
        <v>5</v>
      </c>
      <c r="G126" s="46" t="s">
        <v>103</v>
      </c>
      <c r="H126" s="50">
        <v>1560</v>
      </c>
      <c r="I126" s="51">
        <v>1700</v>
      </c>
      <c r="J126" s="1517">
        <v>10</v>
      </c>
      <c r="K126" s="1530">
        <v>20</v>
      </c>
      <c r="L126" s="1591" t="s">
        <v>1540</v>
      </c>
      <c r="M126" s="1530">
        <v>2</v>
      </c>
      <c r="N126" s="1530">
        <v>4</v>
      </c>
      <c r="O126" s="1591" t="s">
        <v>1595</v>
      </c>
      <c r="P126" s="1530">
        <v>2</v>
      </c>
      <c r="Q126" s="1530">
        <v>4</v>
      </c>
      <c r="R126" s="1592" t="s">
        <v>1595</v>
      </c>
    </row>
    <row r="127" spans="1:18" ht="12.95" customHeight="1" outlineLevel="1">
      <c r="A127" s="1514">
        <v>119</v>
      </c>
      <c r="B127" s="1447" t="s">
        <v>166</v>
      </c>
      <c r="C127" s="511" t="s">
        <v>398</v>
      </c>
      <c r="D127" s="745" t="s">
        <v>386</v>
      </c>
      <c r="E127" s="511" t="s">
        <v>137</v>
      </c>
      <c r="F127" s="752" t="s">
        <v>5</v>
      </c>
      <c r="G127" s="905" t="s">
        <v>385</v>
      </c>
      <c r="H127" s="1609">
        <v>1560</v>
      </c>
      <c r="I127" s="1610">
        <v>1700</v>
      </c>
      <c r="J127" s="1519">
        <v>10</v>
      </c>
      <c r="K127" s="1527">
        <v>20</v>
      </c>
      <c r="L127" s="1601" t="s">
        <v>1540</v>
      </c>
      <c r="M127" s="1527">
        <v>1</v>
      </c>
      <c r="N127" s="1527">
        <v>1</v>
      </c>
      <c r="O127" s="1603" t="s">
        <v>386</v>
      </c>
      <c r="P127" s="1527">
        <v>2</v>
      </c>
      <c r="Q127" s="1527">
        <v>4</v>
      </c>
      <c r="R127" s="1602" t="s">
        <v>1595</v>
      </c>
    </row>
    <row r="128" spans="1:18" ht="12.95" customHeight="1" outlineLevel="1" thickBot="1">
      <c r="A128" s="1514">
        <v>120</v>
      </c>
      <c r="B128" s="95" t="s">
        <v>167</v>
      </c>
      <c r="C128" s="180" t="s">
        <v>398</v>
      </c>
      <c r="D128" s="189" t="s">
        <v>2016</v>
      </c>
      <c r="E128" s="180" t="s">
        <v>137</v>
      </c>
      <c r="F128" s="1542" t="s">
        <v>5</v>
      </c>
      <c r="G128" s="47" t="s">
        <v>1442</v>
      </c>
      <c r="H128" s="54">
        <v>1560</v>
      </c>
      <c r="I128" s="55">
        <v>1700</v>
      </c>
      <c r="J128" s="1521">
        <v>10</v>
      </c>
      <c r="K128" s="1515">
        <v>20</v>
      </c>
      <c r="L128" s="1593" t="s">
        <v>1540</v>
      </c>
      <c r="M128" s="1515">
        <v>4</v>
      </c>
      <c r="N128" s="1515">
        <v>7</v>
      </c>
      <c r="O128" s="1593" t="s">
        <v>378</v>
      </c>
      <c r="P128" s="1515">
        <v>2</v>
      </c>
      <c r="Q128" s="1515">
        <v>4</v>
      </c>
      <c r="R128" s="1594" t="s">
        <v>1595</v>
      </c>
    </row>
    <row r="129" spans="1:18" ht="12.95" customHeight="1">
      <c r="A129" s="1514">
        <v>121</v>
      </c>
      <c r="B129" s="1449" t="s">
        <v>168</v>
      </c>
      <c r="C129" s="507" t="s">
        <v>169</v>
      </c>
      <c r="D129" s="744" t="s">
        <v>1152</v>
      </c>
      <c r="E129" s="507" t="s">
        <v>1152</v>
      </c>
      <c r="F129" s="1611" t="s">
        <v>391</v>
      </c>
      <c r="G129" s="1598" t="s">
        <v>137</v>
      </c>
      <c r="H129" s="1607">
        <v>1560</v>
      </c>
      <c r="I129" s="1608">
        <v>1700</v>
      </c>
      <c r="J129" s="764">
        <v>10</v>
      </c>
      <c r="K129" s="1528">
        <v>20</v>
      </c>
      <c r="L129" s="1599" t="s">
        <v>1540</v>
      </c>
      <c r="M129" s="1528">
        <v>4</v>
      </c>
      <c r="N129" s="1528">
        <v>7</v>
      </c>
      <c r="O129" s="1599" t="s">
        <v>378</v>
      </c>
      <c r="P129" s="1528">
        <v>2</v>
      </c>
      <c r="Q129" s="1528">
        <v>4</v>
      </c>
      <c r="R129" s="1600" t="s">
        <v>1595</v>
      </c>
    </row>
    <row r="130" spans="1:18" ht="12.95" customHeight="1" outlineLevel="1">
      <c r="A130" s="1514">
        <v>122</v>
      </c>
      <c r="B130" s="93" t="s">
        <v>346</v>
      </c>
      <c r="C130" s="28" t="s">
        <v>169</v>
      </c>
      <c r="D130" s="42" t="s">
        <v>869</v>
      </c>
      <c r="E130" s="28" t="s">
        <v>963</v>
      </c>
      <c r="F130" s="32" t="s">
        <v>391</v>
      </c>
      <c r="G130" s="46" t="s">
        <v>869</v>
      </c>
      <c r="H130" s="50">
        <v>1560</v>
      </c>
      <c r="I130" s="51">
        <v>1700</v>
      </c>
      <c r="J130" s="1517">
        <v>10</v>
      </c>
      <c r="K130" s="1530">
        <v>20</v>
      </c>
      <c r="L130" s="1591" t="s">
        <v>1540</v>
      </c>
      <c r="M130" s="1530">
        <v>4</v>
      </c>
      <c r="N130" s="1530">
        <v>7</v>
      </c>
      <c r="O130" s="1591" t="s">
        <v>378</v>
      </c>
      <c r="P130" s="1530">
        <v>2</v>
      </c>
      <c r="Q130" s="1530">
        <v>4</v>
      </c>
      <c r="R130" s="1592" t="s">
        <v>1595</v>
      </c>
    </row>
    <row r="131" spans="1:18" ht="12.95" customHeight="1" outlineLevel="1">
      <c r="A131" s="1514">
        <v>123</v>
      </c>
      <c r="B131" s="1447" t="s">
        <v>347</v>
      </c>
      <c r="C131" s="511" t="s">
        <v>169</v>
      </c>
      <c r="D131" s="745" t="s">
        <v>71</v>
      </c>
      <c r="E131" s="511" t="s">
        <v>2380</v>
      </c>
      <c r="F131" s="423" t="s">
        <v>391</v>
      </c>
      <c r="G131" s="905" t="s">
        <v>71</v>
      </c>
      <c r="H131" s="1609">
        <v>1560</v>
      </c>
      <c r="I131" s="1610">
        <v>1700</v>
      </c>
      <c r="J131" s="1519">
        <v>10</v>
      </c>
      <c r="K131" s="1527">
        <v>20</v>
      </c>
      <c r="L131" s="1601" t="s">
        <v>1540</v>
      </c>
      <c r="M131" s="1527">
        <v>4</v>
      </c>
      <c r="N131" s="1527">
        <v>7</v>
      </c>
      <c r="O131" s="1601" t="s">
        <v>378</v>
      </c>
      <c r="P131" s="1527">
        <v>2</v>
      </c>
      <c r="Q131" s="1527">
        <v>4</v>
      </c>
      <c r="R131" s="1602" t="s">
        <v>1595</v>
      </c>
    </row>
    <row r="132" spans="1:18" ht="12.95" customHeight="1" outlineLevel="1">
      <c r="A132" s="1514">
        <v>124</v>
      </c>
      <c r="B132" s="93" t="s">
        <v>348</v>
      </c>
      <c r="C132" s="28" t="s">
        <v>169</v>
      </c>
      <c r="D132" s="42" t="s">
        <v>392</v>
      </c>
      <c r="E132" s="28" t="s">
        <v>2186</v>
      </c>
      <c r="F132" s="32" t="s">
        <v>391</v>
      </c>
      <c r="G132" s="46" t="s">
        <v>392</v>
      </c>
      <c r="H132" s="1541">
        <v>1700</v>
      </c>
      <c r="I132" s="1518">
        <v>1700</v>
      </c>
      <c r="J132" s="1517">
        <v>10</v>
      </c>
      <c r="K132" s="1530">
        <v>20</v>
      </c>
      <c r="L132" s="1591" t="s">
        <v>1540</v>
      </c>
      <c r="M132" s="1530">
        <v>1</v>
      </c>
      <c r="N132" s="1530">
        <v>1</v>
      </c>
      <c r="O132" s="1595" t="s">
        <v>2843</v>
      </c>
      <c r="P132" s="1530">
        <v>2</v>
      </c>
      <c r="Q132" s="1530">
        <v>4</v>
      </c>
      <c r="R132" s="1592" t="s">
        <v>1595</v>
      </c>
    </row>
    <row r="133" spans="1:18" ht="12.95" customHeight="1" outlineLevel="1">
      <c r="A133" s="1514">
        <v>125</v>
      </c>
      <c r="B133" s="1447" t="s">
        <v>349</v>
      </c>
      <c r="C133" s="511" t="s">
        <v>169</v>
      </c>
      <c r="D133" s="745" t="s">
        <v>1147</v>
      </c>
      <c r="E133" s="511" t="s">
        <v>1147</v>
      </c>
      <c r="F133" s="423" t="s">
        <v>391</v>
      </c>
      <c r="G133" s="905" t="s">
        <v>216</v>
      </c>
      <c r="H133" s="1609">
        <v>1560</v>
      </c>
      <c r="I133" s="1610">
        <v>1700</v>
      </c>
      <c r="J133" s="1519">
        <v>10</v>
      </c>
      <c r="K133" s="1527">
        <v>20</v>
      </c>
      <c r="L133" s="1601" t="s">
        <v>1540</v>
      </c>
      <c r="M133" s="1527">
        <v>4</v>
      </c>
      <c r="N133" s="1527">
        <v>7</v>
      </c>
      <c r="O133" s="1601" t="s">
        <v>378</v>
      </c>
      <c r="P133" s="1527">
        <v>2</v>
      </c>
      <c r="Q133" s="1527">
        <v>4</v>
      </c>
      <c r="R133" s="1602" t="s">
        <v>1595</v>
      </c>
    </row>
    <row r="134" spans="1:18" ht="12.95" customHeight="1" outlineLevel="1">
      <c r="A134" s="1514">
        <v>126</v>
      </c>
      <c r="B134" s="93" t="s">
        <v>350</v>
      </c>
      <c r="C134" s="28" t="s">
        <v>169</v>
      </c>
      <c r="D134" s="42" t="s">
        <v>1275</v>
      </c>
      <c r="E134" s="28" t="s">
        <v>2560</v>
      </c>
      <c r="F134" s="32" t="s">
        <v>391</v>
      </c>
      <c r="G134" s="46" t="s">
        <v>1275</v>
      </c>
      <c r="H134" s="50">
        <v>1560</v>
      </c>
      <c r="I134" s="51">
        <v>1700</v>
      </c>
      <c r="J134" s="1517">
        <v>10</v>
      </c>
      <c r="K134" s="1530">
        <v>20</v>
      </c>
      <c r="L134" s="1591" t="s">
        <v>1540</v>
      </c>
      <c r="M134" s="1530">
        <v>4</v>
      </c>
      <c r="N134" s="1530">
        <v>7</v>
      </c>
      <c r="O134" s="1591" t="s">
        <v>378</v>
      </c>
      <c r="P134" s="1530">
        <v>2</v>
      </c>
      <c r="Q134" s="1530">
        <v>4</v>
      </c>
      <c r="R134" s="1592" t="s">
        <v>1595</v>
      </c>
    </row>
    <row r="135" spans="1:18" ht="12.95" customHeight="1" outlineLevel="1">
      <c r="A135" s="1514">
        <v>127</v>
      </c>
      <c r="B135" s="1447" t="s">
        <v>2045</v>
      </c>
      <c r="C135" s="511" t="s">
        <v>169</v>
      </c>
      <c r="D135" s="745" t="s">
        <v>1142</v>
      </c>
      <c r="E135" s="511" t="s">
        <v>102</v>
      </c>
      <c r="F135" s="423" t="s">
        <v>391</v>
      </c>
      <c r="G135" s="905" t="s">
        <v>1142</v>
      </c>
      <c r="H135" s="1609">
        <v>1560</v>
      </c>
      <c r="I135" s="1610">
        <v>1700</v>
      </c>
      <c r="J135" s="1519">
        <v>10</v>
      </c>
      <c r="K135" s="1527">
        <v>20</v>
      </c>
      <c r="L135" s="1601" t="s">
        <v>1540</v>
      </c>
      <c r="M135" s="1527">
        <v>4</v>
      </c>
      <c r="N135" s="1527">
        <v>7</v>
      </c>
      <c r="O135" s="1601" t="s">
        <v>378</v>
      </c>
      <c r="P135" s="1527">
        <v>2</v>
      </c>
      <c r="Q135" s="1527">
        <v>4</v>
      </c>
      <c r="R135" s="1602" t="s">
        <v>1595</v>
      </c>
    </row>
    <row r="136" spans="1:18" ht="12.95" customHeight="1" outlineLevel="1" thickBot="1">
      <c r="A136" s="1514">
        <v>128</v>
      </c>
      <c r="B136" s="95" t="s">
        <v>2046</v>
      </c>
      <c r="C136" s="180" t="s">
        <v>169</v>
      </c>
      <c r="D136" s="189" t="s">
        <v>873</v>
      </c>
      <c r="E136" s="180" t="s">
        <v>1147</v>
      </c>
      <c r="F136" s="34" t="s">
        <v>391</v>
      </c>
      <c r="G136" s="47" t="s">
        <v>872</v>
      </c>
      <c r="H136" s="54">
        <v>1560</v>
      </c>
      <c r="I136" s="55">
        <v>1700</v>
      </c>
      <c r="J136" s="1521">
        <v>10</v>
      </c>
      <c r="K136" s="1515">
        <v>20</v>
      </c>
      <c r="L136" s="1593" t="s">
        <v>1540</v>
      </c>
      <c r="M136" s="1515">
        <v>4</v>
      </c>
      <c r="N136" s="1515">
        <v>7</v>
      </c>
      <c r="O136" s="1593" t="s">
        <v>378</v>
      </c>
      <c r="P136" s="1515">
        <v>2</v>
      </c>
      <c r="Q136" s="1515">
        <v>4</v>
      </c>
      <c r="R136" s="1594" t="s">
        <v>1595</v>
      </c>
    </row>
    <row r="137" spans="1:18" ht="12.95" customHeight="1">
      <c r="A137" s="1514">
        <v>129</v>
      </c>
      <c r="B137" s="1449" t="s">
        <v>2047</v>
      </c>
      <c r="C137" s="507" t="s">
        <v>2048</v>
      </c>
      <c r="D137" s="744" t="s">
        <v>2834</v>
      </c>
      <c r="E137" s="507" t="s">
        <v>137</v>
      </c>
      <c r="F137" s="761" t="s">
        <v>75</v>
      </c>
      <c r="G137" s="1598" t="s">
        <v>385</v>
      </c>
      <c r="H137" s="1611">
        <v>1760</v>
      </c>
      <c r="I137" s="1587">
        <v>1760</v>
      </c>
      <c r="J137" s="764">
        <v>15</v>
      </c>
      <c r="K137" s="1528">
        <v>25</v>
      </c>
      <c r="L137" s="1599" t="s">
        <v>2842</v>
      </c>
      <c r="M137" s="1528">
        <v>3</v>
      </c>
      <c r="N137" s="1528">
        <v>5</v>
      </c>
      <c r="O137" s="1599" t="s">
        <v>2846</v>
      </c>
      <c r="P137" s="1528">
        <v>2</v>
      </c>
      <c r="Q137" s="1528">
        <v>3</v>
      </c>
      <c r="R137" s="1600" t="s">
        <v>2846</v>
      </c>
    </row>
    <row r="138" spans="1:18" ht="12.95" customHeight="1" outlineLevel="1">
      <c r="A138" s="1514">
        <v>130</v>
      </c>
      <c r="B138" s="93" t="s">
        <v>2049</v>
      </c>
      <c r="C138" s="28" t="s">
        <v>2048</v>
      </c>
      <c r="D138" s="44" t="s">
        <v>2835</v>
      </c>
      <c r="E138" s="28" t="s">
        <v>137</v>
      </c>
      <c r="F138" s="1541" t="s">
        <v>73</v>
      </c>
      <c r="G138" s="46" t="s">
        <v>388</v>
      </c>
      <c r="H138" s="50">
        <v>1630</v>
      </c>
      <c r="I138" s="51">
        <v>1760</v>
      </c>
      <c r="J138" s="1517">
        <v>15</v>
      </c>
      <c r="K138" s="1530">
        <v>25</v>
      </c>
      <c r="L138" s="1591" t="s">
        <v>2842</v>
      </c>
      <c r="M138" s="1530">
        <v>3</v>
      </c>
      <c r="N138" s="1530">
        <v>5</v>
      </c>
      <c r="O138" s="1591" t="s">
        <v>2846</v>
      </c>
      <c r="P138" s="1530">
        <v>2</v>
      </c>
      <c r="Q138" s="1530">
        <v>3</v>
      </c>
      <c r="R138" s="1592" t="s">
        <v>2847</v>
      </c>
    </row>
    <row r="139" spans="1:18" ht="12.95" customHeight="1" outlineLevel="1">
      <c r="A139" s="1514">
        <v>131</v>
      </c>
      <c r="B139" s="1447" t="s">
        <v>2050</v>
      </c>
      <c r="C139" s="511" t="s">
        <v>2048</v>
      </c>
      <c r="D139" s="746" t="s">
        <v>2836</v>
      </c>
      <c r="E139" s="511" t="s">
        <v>137</v>
      </c>
      <c r="F139" s="423" t="s">
        <v>75</v>
      </c>
      <c r="G139" s="903" t="s">
        <v>385</v>
      </c>
      <c r="H139" s="1609">
        <v>1630</v>
      </c>
      <c r="I139" s="1610">
        <v>1760</v>
      </c>
      <c r="J139" s="1519">
        <v>15</v>
      </c>
      <c r="K139" s="1527">
        <v>25</v>
      </c>
      <c r="L139" s="1601" t="s">
        <v>2842</v>
      </c>
      <c r="M139" s="1527">
        <v>3</v>
      </c>
      <c r="N139" s="1527">
        <v>5</v>
      </c>
      <c r="O139" s="1601" t="s">
        <v>2846</v>
      </c>
      <c r="P139" s="1527">
        <v>2</v>
      </c>
      <c r="Q139" s="1527">
        <v>3</v>
      </c>
      <c r="R139" s="1602" t="s">
        <v>2847</v>
      </c>
    </row>
    <row r="140" spans="1:18" ht="12.95" customHeight="1" outlineLevel="1">
      <c r="A140" s="1514">
        <v>132</v>
      </c>
      <c r="B140" s="93" t="s">
        <v>2051</v>
      </c>
      <c r="C140" s="28" t="s">
        <v>2048</v>
      </c>
      <c r="D140" s="44" t="s">
        <v>2837</v>
      </c>
      <c r="E140" s="28" t="s">
        <v>137</v>
      </c>
      <c r="F140" s="1541" t="s">
        <v>137</v>
      </c>
      <c r="G140" s="48" t="s">
        <v>388</v>
      </c>
      <c r="H140" s="50">
        <v>1630</v>
      </c>
      <c r="I140" s="51">
        <v>1760</v>
      </c>
      <c r="J140" s="1517">
        <v>15</v>
      </c>
      <c r="K140" s="1530">
        <v>25</v>
      </c>
      <c r="L140" s="1591" t="s">
        <v>2842</v>
      </c>
      <c r="M140" s="1530">
        <v>3</v>
      </c>
      <c r="N140" s="1530">
        <v>5</v>
      </c>
      <c r="O140" s="1591" t="s">
        <v>2847</v>
      </c>
      <c r="P140" s="1530">
        <v>1</v>
      </c>
      <c r="Q140" s="1530">
        <v>2</v>
      </c>
      <c r="R140" s="1592" t="s">
        <v>2847</v>
      </c>
    </row>
    <row r="141" spans="1:18" ht="12.95" customHeight="1" outlineLevel="1">
      <c r="A141" s="1514">
        <v>133</v>
      </c>
      <c r="B141" s="1447" t="s">
        <v>2732</v>
      </c>
      <c r="C141" s="511" t="s">
        <v>2048</v>
      </c>
      <c r="D141" s="746" t="s">
        <v>2834</v>
      </c>
      <c r="E141" s="511" t="s">
        <v>137</v>
      </c>
      <c r="F141" s="752" t="s">
        <v>1441</v>
      </c>
      <c r="G141" s="905" t="s">
        <v>75</v>
      </c>
      <c r="H141" s="1065">
        <v>1936</v>
      </c>
      <c r="I141" s="1588">
        <v>1936</v>
      </c>
      <c r="J141" s="1519">
        <v>15</v>
      </c>
      <c r="K141" s="1527">
        <v>25</v>
      </c>
      <c r="L141" s="1601" t="s">
        <v>2842</v>
      </c>
      <c r="M141" s="1527">
        <v>3</v>
      </c>
      <c r="N141" s="1527">
        <v>5</v>
      </c>
      <c r="O141" s="1601" t="s">
        <v>2846</v>
      </c>
      <c r="P141" s="1527">
        <v>2</v>
      </c>
      <c r="Q141" s="1527">
        <v>3</v>
      </c>
      <c r="R141" s="1602" t="s">
        <v>2846</v>
      </c>
    </row>
    <row r="142" spans="1:18" ht="12.95" customHeight="1" outlineLevel="1">
      <c r="A142" s="1514">
        <v>134</v>
      </c>
      <c r="B142" s="93" t="s">
        <v>2733</v>
      </c>
      <c r="C142" s="28" t="s">
        <v>2048</v>
      </c>
      <c r="D142" s="44" t="s">
        <v>2835</v>
      </c>
      <c r="E142" s="28" t="s">
        <v>137</v>
      </c>
      <c r="F142" s="1541" t="s">
        <v>73</v>
      </c>
      <c r="G142" s="46" t="s">
        <v>388</v>
      </c>
      <c r="H142" s="50">
        <v>1630</v>
      </c>
      <c r="I142" s="51">
        <v>1760</v>
      </c>
      <c r="J142" s="1517">
        <v>15</v>
      </c>
      <c r="K142" s="1530">
        <v>25</v>
      </c>
      <c r="L142" s="1591" t="s">
        <v>2842</v>
      </c>
      <c r="M142" s="1530">
        <v>3</v>
      </c>
      <c r="N142" s="1530">
        <v>5</v>
      </c>
      <c r="O142" s="1591" t="s">
        <v>2846</v>
      </c>
      <c r="P142" s="1530">
        <v>2</v>
      </c>
      <c r="Q142" s="1530">
        <v>3</v>
      </c>
      <c r="R142" s="1592" t="s">
        <v>2847</v>
      </c>
    </row>
    <row r="143" spans="1:18" ht="12.95" customHeight="1" outlineLevel="1">
      <c r="A143" s="1514">
        <v>135</v>
      </c>
      <c r="B143" s="1447" t="s">
        <v>2734</v>
      </c>
      <c r="C143" s="511" t="s">
        <v>2048</v>
      </c>
      <c r="D143" s="746" t="s">
        <v>2836</v>
      </c>
      <c r="E143" s="511" t="s">
        <v>137</v>
      </c>
      <c r="F143" s="1065" t="s">
        <v>75</v>
      </c>
      <c r="G143" s="905" t="s">
        <v>137</v>
      </c>
      <c r="H143" s="1609">
        <v>1630</v>
      </c>
      <c r="I143" s="1610">
        <v>1760</v>
      </c>
      <c r="J143" s="1519">
        <v>15</v>
      </c>
      <c r="K143" s="1527">
        <v>25</v>
      </c>
      <c r="L143" s="1601" t="s">
        <v>2842</v>
      </c>
      <c r="M143" s="1527">
        <v>3</v>
      </c>
      <c r="N143" s="1527">
        <v>5</v>
      </c>
      <c r="O143" s="1601" t="s">
        <v>2846</v>
      </c>
      <c r="P143" s="1527">
        <v>2</v>
      </c>
      <c r="Q143" s="1527">
        <v>3</v>
      </c>
      <c r="R143" s="1602" t="s">
        <v>2847</v>
      </c>
    </row>
    <row r="144" spans="1:18" ht="12.95" customHeight="1" outlineLevel="1" thickBot="1">
      <c r="A144" s="1514">
        <v>136</v>
      </c>
      <c r="B144" s="95" t="s">
        <v>2735</v>
      </c>
      <c r="C144" s="180" t="s">
        <v>2048</v>
      </c>
      <c r="D144" s="45" t="s">
        <v>2837</v>
      </c>
      <c r="E144" s="180" t="s">
        <v>137</v>
      </c>
      <c r="F144" s="1542" t="s">
        <v>216</v>
      </c>
      <c r="G144" s="47" t="s">
        <v>388</v>
      </c>
      <c r="H144" s="54">
        <v>1630</v>
      </c>
      <c r="I144" s="55">
        <v>1760</v>
      </c>
      <c r="J144" s="1521">
        <v>15</v>
      </c>
      <c r="K144" s="1515">
        <v>25</v>
      </c>
      <c r="L144" s="1593" t="s">
        <v>2842</v>
      </c>
      <c r="M144" s="1515">
        <v>3</v>
      </c>
      <c r="N144" s="1515">
        <v>5</v>
      </c>
      <c r="O144" s="1593" t="s">
        <v>2847</v>
      </c>
      <c r="P144" s="1515">
        <v>1</v>
      </c>
      <c r="Q144" s="1515">
        <v>2</v>
      </c>
      <c r="R144" s="1594" t="s">
        <v>2847</v>
      </c>
    </row>
    <row r="145" spans="1:18" ht="12.95" customHeight="1">
      <c r="A145" s="1514">
        <v>137</v>
      </c>
      <c r="B145" s="1449" t="s">
        <v>2736</v>
      </c>
      <c r="C145" s="507" t="s">
        <v>2737</v>
      </c>
      <c r="D145" s="744" t="s">
        <v>866</v>
      </c>
      <c r="E145" s="507" t="s">
        <v>866</v>
      </c>
      <c r="F145" s="761" t="s">
        <v>391</v>
      </c>
      <c r="G145" s="1598" t="s">
        <v>97</v>
      </c>
      <c r="H145" s="1607">
        <v>1630</v>
      </c>
      <c r="I145" s="1608">
        <v>1760</v>
      </c>
      <c r="J145" s="764">
        <v>15</v>
      </c>
      <c r="K145" s="1528">
        <v>25</v>
      </c>
      <c r="L145" s="1599" t="s">
        <v>2842</v>
      </c>
      <c r="M145" s="1528">
        <v>3</v>
      </c>
      <c r="N145" s="1528">
        <v>5</v>
      </c>
      <c r="O145" s="1599" t="s">
        <v>2846</v>
      </c>
      <c r="P145" s="1528">
        <v>2</v>
      </c>
      <c r="Q145" s="1528">
        <v>3</v>
      </c>
      <c r="R145" s="1600" t="s">
        <v>2847</v>
      </c>
    </row>
    <row r="146" spans="1:18" ht="12.95" customHeight="1" outlineLevel="1">
      <c r="A146" s="1514">
        <v>138</v>
      </c>
      <c r="B146" s="93" t="s">
        <v>2738</v>
      </c>
      <c r="C146" s="28" t="s">
        <v>2737</v>
      </c>
      <c r="D146" s="42" t="s">
        <v>2379</v>
      </c>
      <c r="E146" s="28" t="s">
        <v>2379</v>
      </c>
      <c r="F146" s="32" t="s">
        <v>391</v>
      </c>
      <c r="G146" s="49" t="s">
        <v>98</v>
      </c>
      <c r="H146" s="50">
        <v>1630</v>
      </c>
      <c r="I146" s="51">
        <v>1760</v>
      </c>
      <c r="J146" s="1517">
        <v>15</v>
      </c>
      <c r="K146" s="1530">
        <v>25</v>
      </c>
      <c r="L146" s="1591" t="s">
        <v>2842</v>
      </c>
      <c r="M146" s="1530">
        <v>3</v>
      </c>
      <c r="N146" s="1530">
        <v>5</v>
      </c>
      <c r="O146" s="1591" t="s">
        <v>2846</v>
      </c>
      <c r="P146" s="1530">
        <v>2</v>
      </c>
      <c r="Q146" s="1530">
        <v>3</v>
      </c>
      <c r="R146" s="1592" t="s">
        <v>2847</v>
      </c>
    </row>
    <row r="147" spans="1:18" ht="12.95" customHeight="1" outlineLevel="1">
      <c r="A147" s="1514">
        <v>139</v>
      </c>
      <c r="B147" s="1447" t="s">
        <v>1219</v>
      </c>
      <c r="C147" s="511" t="s">
        <v>2737</v>
      </c>
      <c r="D147" s="745" t="s">
        <v>963</v>
      </c>
      <c r="E147" s="511" t="s">
        <v>963</v>
      </c>
      <c r="F147" s="423" t="s">
        <v>391</v>
      </c>
      <c r="G147" s="903" t="s">
        <v>99</v>
      </c>
      <c r="H147" s="1609">
        <v>1630</v>
      </c>
      <c r="I147" s="1610">
        <v>1760</v>
      </c>
      <c r="J147" s="1519">
        <v>15</v>
      </c>
      <c r="K147" s="1527">
        <v>25</v>
      </c>
      <c r="L147" s="1601" t="s">
        <v>2842</v>
      </c>
      <c r="M147" s="1527">
        <v>3</v>
      </c>
      <c r="N147" s="1527">
        <v>5</v>
      </c>
      <c r="O147" s="1601" t="s">
        <v>2846</v>
      </c>
      <c r="P147" s="1527">
        <v>2</v>
      </c>
      <c r="Q147" s="1527">
        <v>3</v>
      </c>
      <c r="R147" s="1602" t="s">
        <v>2847</v>
      </c>
    </row>
    <row r="148" spans="1:18" ht="12.95" customHeight="1" outlineLevel="1">
      <c r="A148" s="1514">
        <v>140</v>
      </c>
      <c r="B148" s="93" t="s">
        <v>2740</v>
      </c>
      <c r="C148" s="28" t="s">
        <v>2737</v>
      </c>
      <c r="D148" s="42" t="s">
        <v>1147</v>
      </c>
      <c r="E148" s="28" t="s">
        <v>1147</v>
      </c>
      <c r="F148" s="32" t="s">
        <v>391</v>
      </c>
      <c r="G148" s="49" t="s">
        <v>865</v>
      </c>
      <c r="H148" s="50">
        <v>1630</v>
      </c>
      <c r="I148" s="51">
        <v>1760</v>
      </c>
      <c r="J148" s="1517">
        <v>15</v>
      </c>
      <c r="K148" s="1530">
        <v>25</v>
      </c>
      <c r="L148" s="1591" t="s">
        <v>2842</v>
      </c>
      <c r="M148" s="1530">
        <v>3</v>
      </c>
      <c r="N148" s="1530">
        <v>5</v>
      </c>
      <c r="O148" s="1591" t="s">
        <v>2846</v>
      </c>
      <c r="P148" s="1530">
        <v>2</v>
      </c>
      <c r="Q148" s="1530">
        <v>3</v>
      </c>
      <c r="R148" s="1592" t="s">
        <v>2847</v>
      </c>
    </row>
    <row r="149" spans="1:18" ht="12.95" customHeight="1" outlineLevel="1">
      <c r="A149" s="1514">
        <v>141</v>
      </c>
      <c r="B149" s="1447" t="s">
        <v>2741</v>
      </c>
      <c r="C149" s="511" t="s">
        <v>2737</v>
      </c>
      <c r="D149" s="745" t="s">
        <v>2371</v>
      </c>
      <c r="E149" s="511" t="s">
        <v>2371</v>
      </c>
      <c r="F149" s="423" t="s">
        <v>391</v>
      </c>
      <c r="G149" s="903" t="s">
        <v>97</v>
      </c>
      <c r="H149" s="1609">
        <v>1630</v>
      </c>
      <c r="I149" s="1610">
        <v>1760</v>
      </c>
      <c r="J149" s="1519">
        <v>15</v>
      </c>
      <c r="K149" s="1527">
        <v>25</v>
      </c>
      <c r="L149" s="1601" t="s">
        <v>2842</v>
      </c>
      <c r="M149" s="1527">
        <v>3</v>
      </c>
      <c r="N149" s="1527">
        <v>5</v>
      </c>
      <c r="O149" s="1601" t="s">
        <v>2846</v>
      </c>
      <c r="P149" s="1527">
        <v>2</v>
      </c>
      <c r="Q149" s="1527">
        <v>3</v>
      </c>
      <c r="R149" s="1602" t="s">
        <v>2847</v>
      </c>
    </row>
    <row r="150" spans="1:18" ht="12.95" customHeight="1" outlineLevel="1">
      <c r="A150" s="1514">
        <v>142</v>
      </c>
      <c r="B150" s="93" t="s">
        <v>2742</v>
      </c>
      <c r="C150" s="28" t="s">
        <v>2737</v>
      </c>
      <c r="D150" s="42" t="s">
        <v>2373</v>
      </c>
      <c r="E150" s="28" t="s">
        <v>2373</v>
      </c>
      <c r="F150" s="32" t="s">
        <v>391</v>
      </c>
      <c r="G150" s="49" t="s">
        <v>98</v>
      </c>
      <c r="H150" s="50">
        <v>1630</v>
      </c>
      <c r="I150" s="51">
        <v>1760</v>
      </c>
      <c r="J150" s="1517">
        <v>15</v>
      </c>
      <c r="K150" s="1530">
        <v>25</v>
      </c>
      <c r="L150" s="1591" t="s">
        <v>2842</v>
      </c>
      <c r="M150" s="1530">
        <v>3</v>
      </c>
      <c r="N150" s="1530">
        <v>5</v>
      </c>
      <c r="O150" s="1591" t="s">
        <v>2846</v>
      </c>
      <c r="P150" s="1530">
        <v>2</v>
      </c>
      <c r="Q150" s="1530">
        <v>3</v>
      </c>
      <c r="R150" s="1592" t="s">
        <v>2847</v>
      </c>
    </row>
    <row r="151" spans="1:18" ht="12.95" customHeight="1" outlineLevel="1">
      <c r="A151" s="1514">
        <v>143</v>
      </c>
      <c r="B151" s="1447" t="s">
        <v>1747</v>
      </c>
      <c r="C151" s="511" t="s">
        <v>2737</v>
      </c>
      <c r="D151" s="745" t="s">
        <v>2568</v>
      </c>
      <c r="E151" s="511" t="s">
        <v>102</v>
      </c>
      <c r="F151" s="423" t="s">
        <v>391</v>
      </c>
      <c r="G151" s="903" t="s">
        <v>99</v>
      </c>
      <c r="H151" s="1609">
        <v>1630</v>
      </c>
      <c r="I151" s="1610">
        <v>1760</v>
      </c>
      <c r="J151" s="1519">
        <v>15</v>
      </c>
      <c r="K151" s="1527">
        <v>25</v>
      </c>
      <c r="L151" s="1601" t="s">
        <v>2842</v>
      </c>
      <c r="M151" s="1527">
        <v>3</v>
      </c>
      <c r="N151" s="1527">
        <v>5</v>
      </c>
      <c r="O151" s="1601" t="s">
        <v>2846</v>
      </c>
      <c r="P151" s="1527">
        <v>2</v>
      </c>
      <c r="Q151" s="1527">
        <v>3</v>
      </c>
      <c r="R151" s="1602" t="s">
        <v>2847</v>
      </c>
    </row>
    <row r="152" spans="1:18" ht="12.95" customHeight="1" outlineLevel="1" thickBot="1">
      <c r="A152" s="1514">
        <v>144</v>
      </c>
      <c r="B152" s="94" t="s">
        <v>1748</v>
      </c>
      <c r="C152" s="246" t="s">
        <v>2737</v>
      </c>
      <c r="D152" s="43" t="s">
        <v>2568</v>
      </c>
      <c r="E152" s="246" t="s">
        <v>2380</v>
      </c>
      <c r="F152" s="247" t="s">
        <v>391</v>
      </c>
      <c r="G152" s="248" t="s">
        <v>865</v>
      </c>
      <c r="H152" s="239">
        <v>1630</v>
      </c>
      <c r="I152" s="249">
        <v>1760</v>
      </c>
      <c r="J152" s="87">
        <v>15</v>
      </c>
      <c r="K152" s="88">
        <v>25</v>
      </c>
      <c r="L152" s="1597" t="s">
        <v>2842</v>
      </c>
      <c r="M152" s="88">
        <v>3</v>
      </c>
      <c r="N152" s="88">
        <v>5</v>
      </c>
      <c r="O152" s="1597" t="s">
        <v>2846</v>
      </c>
      <c r="P152" s="88">
        <v>2</v>
      </c>
      <c r="Q152" s="88">
        <v>3</v>
      </c>
      <c r="R152" s="1596" t="s">
        <v>2847</v>
      </c>
    </row>
    <row r="153" spans="1:18" ht="12.95" customHeight="1">
      <c r="A153" s="1514">
        <v>145</v>
      </c>
      <c r="B153" s="1451" t="s">
        <v>1568</v>
      </c>
      <c r="C153" s="507" t="s">
        <v>327</v>
      </c>
      <c r="D153" s="780" t="s">
        <v>60</v>
      </c>
      <c r="E153" s="507" t="s">
        <v>137</v>
      </c>
      <c r="F153" s="764" t="s">
        <v>75</v>
      </c>
      <c r="G153" s="1529" t="s">
        <v>388</v>
      </c>
      <c r="H153" s="764">
        <v>1630</v>
      </c>
      <c r="I153" s="1529">
        <v>1630</v>
      </c>
      <c r="J153" s="764">
        <v>15</v>
      </c>
      <c r="K153" s="1528">
        <v>25</v>
      </c>
      <c r="L153" s="1599" t="s">
        <v>1538</v>
      </c>
      <c r="M153" s="1528">
        <v>5</v>
      </c>
      <c r="N153" s="1528">
        <v>7</v>
      </c>
      <c r="O153" s="1599" t="s">
        <v>2841</v>
      </c>
      <c r="P153" s="1528"/>
      <c r="Q153" s="1528"/>
      <c r="R153" s="1600"/>
    </row>
    <row r="154" spans="1:18" ht="12.95" customHeight="1" outlineLevel="1">
      <c r="A154" s="1514">
        <v>146</v>
      </c>
      <c r="B154" s="96" t="s">
        <v>1565</v>
      </c>
      <c r="C154" s="28" t="s">
        <v>327</v>
      </c>
      <c r="D154" s="250" t="s">
        <v>744</v>
      </c>
      <c r="E154" s="28" t="s">
        <v>137</v>
      </c>
      <c r="F154" s="252" t="s">
        <v>75</v>
      </c>
      <c r="G154" s="1518" t="s">
        <v>137</v>
      </c>
      <c r="H154" s="1517">
        <v>1630</v>
      </c>
      <c r="I154" s="1518">
        <v>1630</v>
      </c>
      <c r="J154" s="1517">
        <v>15</v>
      </c>
      <c r="K154" s="1530">
        <v>25</v>
      </c>
      <c r="L154" s="1591" t="s">
        <v>1538</v>
      </c>
      <c r="M154" s="1530">
        <v>5</v>
      </c>
      <c r="N154" s="1530">
        <v>7</v>
      </c>
      <c r="O154" s="1591" t="s">
        <v>2841</v>
      </c>
      <c r="P154" s="1530"/>
      <c r="Q154" s="1530"/>
      <c r="R154" s="1592"/>
    </row>
    <row r="155" spans="1:18" ht="12.95" customHeight="1" outlineLevel="1">
      <c r="A155" s="1514">
        <v>147</v>
      </c>
      <c r="B155" s="1452" t="s">
        <v>1251</v>
      </c>
      <c r="C155" s="511" t="s">
        <v>169</v>
      </c>
      <c r="D155" s="781" t="s">
        <v>97</v>
      </c>
      <c r="E155" s="511" t="s">
        <v>2557</v>
      </c>
      <c r="F155" s="1519" t="s">
        <v>391</v>
      </c>
      <c r="G155" s="821" t="s">
        <v>97</v>
      </c>
      <c r="H155" s="1519">
        <v>1630</v>
      </c>
      <c r="I155" s="1520">
        <v>1630</v>
      </c>
      <c r="J155" s="1519">
        <v>10</v>
      </c>
      <c r="K155" s="1527">
        <v>20</v>
      </c>
      <c r="L155" s="1601" t="s">
        <v>1540</v>
      </c>
      <c r="M155" s="1527">
        <v>4</v>
      </c>
      <c r="N155" s="1527">
        <v>7</v>
      </c>
      <c r="O155" s="1601" t="s">
        <v>378</v>
      </c>
      <c r="P155" s="1527"/>
      <c r="Q155" s="1527"/>
      <c r="R155" s="1602"/>
    </row>
    <row r="156" spans="1:18" ht="12.95" customHeight="1" outlineLevel="1">
      <c r="A156" s="1514">
        <v>148</v>
      </c>
      <c r="B156" s="96" t="s">
        <v>1569</v>
      </c>
      <c r="C156" s="28" t="s">
        <v>1686</v>
      </c>
      <c r="D156" s="250" t="s">
        <v>630</v>
      </c>
      <c r="E156" s="28" t="s">
        <v>137</v>
      </c>
      <c r="F156" s="1517" t="s">
        <v>135</v>
      </c>
      <c r="G156" s="1518" t="s">
        <v>388</v>
      </c>
      <c r="H156" s="1517">
        <v>1630</v>
      </c>
      <c r="I156" s="1518">
        <v>1630</v>
      </c>
      <c r="J156" s="1517">
        <v>15</v>
      </c>
      <c r="K156" s="1530">
        <v>25</v>
      </c>
      <c r="L156" s="1591" t="s">
        <v>1534</v>
      </c>
      <c r="M156" s="1530">
        <v>3</v>
      </c>
      <c r="N156" s="1530">
        <v>4</v>
      </c>
      <c r="O156" s="1591" t="s">
        <v>1518</v>
      </c>
      <c r="P156" s="1530"/>
      <c r="Q156" s="1530"/>
      <c r="R156" s="1592"/>
    </row>
    <row r="157" spans="1:18" ht="12.95" customHeight="1" outlineLevel="1">
      <c r="A157" s="1514">
        <v>149</v>
      </c>
      <c r="B157" s="1452" t="s">
        <v>1566</v>
      </c>
      <c r="C157" s="511" t="s">
        <v>1349</v>
      </c>
      <c r="D157" s="781" t="s">
        <v>1323</v>
      </c>
      <c r="E157" s="511" t="s">
        <v>963</v>
      </c>
      <c r="F157" s="1519" t="s">
        <v>73</v>
      </c>
      <c r="G157" s="1520" t="s">
        <v>388</v>
      </c>
      <c r="H157" s="1519">
        <v>1560</v>
      </c>
      <c r="I157" s="1520">
        <v>1560</v>
      </c>
      <c r="J157" s="1519">
        <v>30</v>
      </c>
      <c r="K157" s="1527">
        <v>40</v>
      </c>
      <c r="L157" s="1601" t="s">
        <v>1537</v>
      </c>
      <c r="M157" s="1527">
        <v>4</v>
      </c>
      <c r="N157" s="1527">
        <v>6</v>
      </c>
      <c r="O157" s="1601" t="s">
        <v>377</v>
      </c>
      <c r="P157" s="1527"/>
      <c r="Q157" s="1527"/>
      <c r="R157" s="1602"/>
    </row>
    <row r="158" spans="1:18" ht="12.95" customHeight="1" outlineLevel="1">
      <c r="A158" s="1514">
        <v>150</v>
      </c>
      <c r="B158" s="96" t="s">
        <v>1567</v>
      </c>
      <c r="C158" s="28" t="s">
        <v>1349</v>
      </c>
      <c r="D158" s="250" t="s">
        <v>1323</v>
      </c>
      <c r="E158" s="28" t="s">
        <v>963</v>
      </c>
      <c r="F158" s="1517" t="s">
        <v>73</v>
      </c>
      <c r="G158" s="1518" t="s">
        <v>388</v>
      </c>
      <c r="H158" s="1517">
        <v>1560</v>
      </c>
      <c r="I158" s="1518">
        <v>1560</v>
      </c>
      <c r="J158" s="1517">
        <v>30</v>
      </c>
      <c r="K158" s="1530">
        <v>40</v>
      </c>
      <c r="L158" s="1591" t="s">
        <v>1537</v>
      </c>
      <c r="M158" s="1530">
        <v>4</v>
      </c>
      <c r="N158" s="1530">
        <v>6</v>
      </c>
      <c r="O158" s="1591" t="s">
        <v>377</v>
      </c>
      <c r="P158" s="1530"/>
      <c r="Q158" s="1530"/>
      <c r="R158" s="1592"/>
    </row>
    <row r="159" spans="1:18" ht="12.95" customHeight="1" outlineLevel="1">
      <c r="A159" s="1514">
        <v>151</v>
      </c>
      <c r="B159" s="1452" t="s">
        <v>161</v>
      </c>
      <c r="C159" s="511" t="s">
        <v>1817</v>
      </c>
      <c r="D159" s="781" t="s">
        <v>1202</v>
      </c>
      <c r="E159" s="511" t="s">
        <v>2379</v>
      </c>
      <c r="F159" s="1613" t="s">
        <v>391</v>
      </c>
      <c r="G159" s="1520" t="s">
        <v>137</v>
      </c>
      <c r="H159" s="1613">
        <v>1900</v>
      </c>
      <c r="I159" s="1588">
        <v>1900</v>
      </c>
      <c r="J159" s="1519">
        <v>6</v>
      </c>
      <c r="K159" s="1527">
        <v>6</v>
      </c>
      <c r="L159" s="1601" t="s">
        <v>1063</v>
      </c>
      <c r="M159" s="1527">
        <v>3</v>
      </c>
      <c r="N159" s="1527">
        <v>3</v>
      </c>
      <c r="O159" s="1601" t="s">
        <v>1063</v>
      </c>
      <c r="P159" s="1527">
        <v>1</v>
      </c>
      <c r="Q159" s="1527">
        <v>1</v>
      </c>
      <c r="R159" s="1602" t="s">
        <v>1063</v>
      </c>
    </row>
    <row r="160" spans="1:18" ht="12.95" customHeight="1" outlineLevel="1">
      <c r="A160" s="1514">
        <v>152</v>
      </c>
      <c r="B160" s="96" t="s">
        <v>1253</v>
      </c>
      <c r="C160" s="28" t="s">
        <v>2152</v>
      </c>
      <c r="D160" s="250" t="s">
        <v>76</v>
      </c>
      <c r="E160" s="28" t="s">
        <v>137</v>
      </c>
      <c r="F160" s="1517" t="s">
        <v>135</v>
      </c>
      <c r="G160" s="1518" t="s">
        <v>75</v>
      </c>
      <c r="H160" s="1517">
        <v>1560</v>
      </c>
      <c r="I160" s="1518">
        <v>1560</v>
      </c>
      <c r="J160" s="1517">
        <v>10</v>
      </c>
      <c r="K160" s="1530">
        <v>20</v>
      </c>
      <c r="L160" s="1591" t="s">
        <v>2232</v>
      </c>
      <c r="M160" s="1530">
        <v>4</v>
      </c>
      <c r="N160" s="1530">
        <v>7</v>
      </c>
      <c r="O160" s="1591" t="s">
        <v>373</v>
      </c>
      <c r="P160" s="1530"/>
      <c r="Q160" s="1530"/>
      <c r="R160" s="1592"/>
    </row>
    <row r="161" spans="1:18" ht="12.95" customHeight="1" outlineLevel="1">
      <c r="A161" s="1514">
        <v>153</v>
      </c>
      <c r="B161" s="1452" t="s">
        <v>1296</v>
      </c>
      <c r="C161" s="511" t="s">
        <v>2152</v>
      </c>
      <c r="D161" s="781" t="s">
        <v>76</v>
      </c>
      <c r="E161" s="511" t="s">
        <v>137</v>
      </c>
      <c r="F161" s="1519" t="s">
        <v>135</v>
      </c>
      <c r="G161" s="1520" t="s">
        <v>5</v>
      </c>
      <c r="H161" s="1519">
        <v>1560</v>
      </c>
      <c r="I161" s="1520">
        <v>1560</v>
      </c>
      <c r="J161" s="1519">
        <v>10</v>
      </c>
      <c r="K161" s="1527">
        <v>20</v>
      </c>
      <c r="L161" s="1601" t="s">
        <v>2232</v>
      </c>
      <c r="M161" s="1527"/>
      <c r="N161" s="1527"/>
      <c r="O161" s="1601"/>
      <c r="P161" s="1527"/>
      <c r="Q161" s="1527"/>
      <c r="R161" s="1602"/>
    </row>
    <row r="162" spans="1:18" ht="12.95" customHeight="1" outlineLevel="1">
      <c r="A162" s="1514">
        <v>154</v>
      </c>
      <c r="B162" s="96" t="s">
        <v>72</v>
      </c>
      <c r="C162" s="28" t="s">
        <v>1847</v>
      </c>
      <c r="D162" s="250" t="s">
        <v>1307</v>
      </c>
      <c r="E162" s="28" t="s">
        <v>2380</v>
      </c>
      <c r="F162" s="252" t="s">
        <v>2333</v>
      </c>
      <c r="G162" s="1518" t="s">
        <v>137</v>
      </c>
      <c r="H162" s="251">
        <v>1500</v>
      </c>
      <c r="I162" s="51">
        <v>1560</v>
      </c>
      <c r="J162" s="1517">
        <v>20</v>
      </c>
      <c r="K162" s="1530">
        <v>30</v>
      </c>
      <c r="L162" s="1591" t="s">
        <v>1536</v>
      </c>
      <c r="M162" s="1530">
        <v>4</v>
      </c>
      <c r="N162" s="1530">
        <v>6</v>
      </c>
      <c r="O162" s="1591" t="s">
        <v>2840</v>
      </c>
      <c r="P162" s="1530"/>
      <c r="Q162" s="1530"/>
      <c r="R162" s="1592"/>
    </row>
    <row r="163" spans="1:18" ht="12.95" customHeight="1" outlineLevel="1" thickBot="1">
      <c r="A163" s="1514">
        <v>155</v>
      </c>
      <c r="B163" s="1614" t="s">
        <v>1749</v>
      </c>
      <c r="C163" s="1111" t="s">
        <v>1486</v>
      </c>
      <c r="D163" s="1615" t="s">
        <v>1649</v>
      </c>
      <c r="E163" s="1111" t="s">
        <v>137</v>
      </c>
      <c r="F163" s="769" t="s">
        <v>135</v>
      </c>
      <c r="G163" s="1532" t="s">
        <v>136</v>
      </c>
      <c r="H163" s="1616">
        <v>1900</v>
      </c>
      <c r="I163" s="1585">
        <v>1900</v>
      </c>
      <c r="J163" s="769">
        <v>6</v>
      </c>
      <c r="K163" s="1531">
        <v>6</v>
      </c>
      <c r="L163" s="1604" t="s">
        <v>644</v>
      </c>
      <c r="M163" s="1531">
        <v>3</v>
      </c>
      <c r="N163" s="1531">
        <v>3</v>
      </c>
      <c r="O163" s="1604" t="s">
        <v>644</v>
      </c>
      <c r="P163" s="1531">
        <v>1</v>
      </c>
      <c r="Q163" s="1531">
        <v>1</v>
      </c>
      <c r="R163" s="1605" t="s">
        <v>644</v>
      </c>
    </row>
    <row r="164" spans="1:18" ht="5.0999999999999996" customHeight="1"/>
    <row r="165" spans="1:18" ht="65.099999999999994" customHeight="1">
      <c r="B165" s="296" t="s">
        <v>1322</v>
      </c>
      <c r="C165" s="2960" t="s">
        <v>7240</v>
      </c>
      <c r="D165" s="2960"/>
      <c r="E165" s="2960"/>
      <c r="F165" s="2960"/>
      <c r="G165" s="2960"/>
      <c r="H165" s="2960"/>
      <c r="I165" s="2960"/>
      <c r="J165" s="2960"/>
      <c r="K165" s="2960"/>
      <c r="L165" s="288"/>
      <c r="M165" s="288"/>
      <c r="N165" s="288"/>
      <c r="O165" s="288"/>
      <c r="P165" s="288"/>
      <c r="Q165" s="288"/>
      <c r="R165" s="288"/>
    </row>
    <row r="166" spans="1:18" ht="12.75">
      <c r="C166" s="1512"/>
      <c r="D166" s="2972" t="s">
        <v>6007</v>
      </c>
      <c r="E166" s="2972"/>
      <c r="F166" s="1512"/>
      <c r="G166" s="1512"/>
      <c r="H166" s="1512"/>
      <c r="I166" s="1512"/>
      <c r="J166" s="1512"/>
      <c r="K166" s="1512"/>
      <c r="L166" s="288"/>
      <c r="M166" s="288"/>
      <c r="N166" s="288"/>
      <c r="O166" s="288"/>
      <c r="P166" s="288"/>
      <c r="Q166" s="288"/>
      <c r="R166" s="288"/>
    </row>
    <row r="167" spans="1:18" ht="65.099999999999994" customHeight="1">
      <c r="C167" s="2960" t="s">
        <v>6005</v>
      </c>
      <c r="D167" s="2960"/>
      <c r="E167" s="2960"/>
      <c r="F167" s="2960"/>
      <c r="G167" s="2960"/>
      <c r="H167" s="2960"/>
      <c r="I167" s="2960"/>
      <c r="J167" s="2960"/>
      <c r="K167" s="2960"/>
      <c r="L167" s="288"/>
      <c r="M167" s="288"/>
      <c r="N167" s="288"/>
      <c r="O167" s="288"/>
      <c r="P167" s="288"/>
      <c r="Q167" s="288"/>
      <c r="R167" s="288"/>
    </row>
    <row r="168" spans="1:18" ht="26.1" customHeight="1">
      <c r="C168" s="2960" t="s">
        <v>5161</v>
      </c>
      <c r="D168" s="2960"/>
      <c r="E168" s="2960"/>
      <c r="F168" s="2960"/>
      <c r="G168" s="2960"/>
      <c r="H168" s="2960"/>
      <c r="I168" s="2960"/>
      <c r="J168" s="2960"/>
      <c r="K168" s="2960"/>
      <c r="L168" s="288"/>
      <c r="M168" s="288"/>
      <c r="N168" s="288"/>
      <c r="O168" s="288"/>
      <c r="P168" s="288"/>
      <c r="Q168" s="288"/>
      <c r="R168" s="288"/>
    </row>
    <row r="169" spans="1:18" ht="26.1" customHeight="1">
      <c r="C169" s="2980" t="s">
        <v>7242</v>
      </c>
      <c r="D169" s="2980"/>
      <c r="E169" s="2980"/>
      <c r="F169" s="2980"/>
      <c r="G169" s="2980"/>
      <c r="H169" s="2980"/>
      <c r="I169" s="2980"/>
      <c r="J169" s="2980"/>
      <c r="K169" s="2980"/>
    </row>
    <row r="170" spans="1:18" ht="12.95" customHeight="1">
      <c r="C170" s="2981" t="s">
        <v>7241</v>
      </c>
      <c r="D170" s="2981"/>
      <c r="E170" s="2981"/>
      <c r="F170" s="2981"/>
      <c r="G170" s="2981"/>
      <c r="H170" s="2981"/>
      <c r="I170" s="2981"/>
      <c r="J170" s="2981"/>
      <c r="K170" s="2981"/>
    </row>
    <row r="171" spans="1:18" ht="12.95" customHeight="1">
      <c r="C171" s="2981" t="s">
        <v>7243</v>
      </c>
      <c r="D171" s="2981"/>
      <c r="E171" s="2981"/>
      <c r="F171" s="2981"/>
      <c r="G171" s="2981"/>
      <c r="H171" s="2981"/>
      <c r="I171" s="2981"/>
      <c r="J171" s="2981"/>
      <c r="K171" s="2981"/>
    </row>
    <row r="172" spans="1:18" ht="12.95" customHeight="1">
      <c r="C172" s="2981" t="s">
        <v>7244</v>
      </c>
      <c r="D172" s="2981"/>
      <c r="E172" s="2981"/>
      <c r="F172" s="2981"/>
      <c r="G172" s="2981"/>
      <c r="H172" s="2981"/>
      <c r="I172" s="2981"/>
      <c r="J172" s="2981"/>
      <c r="K172" s="2981"/>
    </row>
    <row r="173" spans="1:18" ht="12.95" customHeight="1">
      <c r="C173" s="2981" t="s">
        <v>7245</v>
      </c>
      <c r="D173" s="2981"/>
      <c r="E173" s="2981"/>
      <c r="F173" s="2981"/>
      <c r="G173" s="2981"/>
      <c r="H173" s="2981"/>
      <c r="I173" s="2981"/>
      <c r="J173" s="2981"/>
      <c r="K173" s="2981"/>
    </row>
  </sheetData>
  <sheetProtection autoFilter="0"/>
  <autoFilter ref="B8:R163"/>
  <mergeCells count="21">
    <mergeCell ref="C169:K169"/>
    <mergeCell ref="C170:K170"/>
    <mergeCell ref="C171:K171"/>
    <mergeCell ref="C172:K172"/>
    <mergeCell ref="C173:K173"/>
    <mergeCell ref="C1:R1"/>
    <mergeCell ref="B6:B7"/>
    <mergeCell ref="C6:C7"/>
    <mergeCell ref="J6:R6"/>
    <mergeCell ref="C3:G3"/>
    <mergeCell ref="C4:G4"/>
    <mergeCell ref="C168:K168"/>
    <mergeCell ref="C165:K165"/>
    <mergeCell ref="C167:K167"/>
    <mergeCell ref="A6:A7"/>
    <mergeCell ref="H6:I6"/>
    <mergeCell ref="D6:D7"/>
    <mergeCell ref="E6:E7"/>
    <mergeCell ref="F6:G6"/>
    <mergeCell ref="F7:G7"/>
    <mergeCell ref="D166:E166"/>
  </mergeCells>
  <phoneticPr fontId="9" type="noConversion"/>
  <hyperlinks>
    <hyperlink ref="B1" location="Index!A1" display="Назад"/>
    <hyperlink ref="F6:G6" location="'1.6.1'!A1" display="Вторичные навыки"/>
    <hyperlink ref="D166:E166" location="'7.3'!A1" display="&gt;&gt; Подробнее о МР и Логистике"/>
  </hyperlinks>
  <printOptions horizontalCentered="1"/>
  <pageMargins left="0.74803149606299213" right="0.74803149606299213" top="0.98425196850393704" bottom="0.98425196850393704" header="0.51181102362204722" footer="0.51181102362204722"/>
  <pageSetup paperSize="9" scale="69" orientation="landscape" r:id="rId1"/>
  <headerFooter alignWithMargins="0"/>
  <rowBreaks count="3" manualBreakCount="3">
    <brk id="48" max="16383" man="1"/>
    <brk id="96" max="16383" man="1"/>
    <brk id="144" max="16383" man="1"/>
  </rowBreaks>
  <legacyDrawing r:id="rId2"/>
</worksheet>
</file>

<file path=xl/worksheets/sheet5.xml><?xml version="1.0" encoding="utf-8"?>
<worksheet xmlns="http://schemas.openxmlformats.org/spreadsheetml/2006/main" xmlns:r="http://schemas.openxmlformats.org/officeDocument/2006/relationships">
  <dimension ref="B1:D10"/>
  <sheetViews>
    <sheetView zoomScaleNormal="100" zoomScaleSheetLayoutView="100" workbookViewId="0">
      <pane ySplit="4" topLeftCell="A5" activePane="bottomLeft" state="frozen"/>
      <selection pane="bottomLeft" activeCell="B1" sqref="B1"/>
    </sheetView>
  </sheetViews>
  <sheetFormatPr defaultRowHeight="12.95" customHeight="1"/>
  <cols>
    <col min="1" max="1" width="3.7109375" style="61" customWidth="1"/>
    <col min="2" max="2" width="16" style="61" bestFit="1" customWidth="1"/>
    <col min="3" max="3" width="50.7109375" style="61" customWidth="1"/>
    <col min="4" max="4" width="56.28515625" style="61" bestFit="1" customWidth="1"/>
    <col min="5" max="16384" width="9.140625" style="61"/>
  </cols>
  <sheetData>
    <row r="1" spans="2:4" ht="12.95" customHeight="1">
      <c r="B1" s="562" t="s">
        <v>2706</v>
      </c>
      <c r="C1" s="2983" t="s">
        <v>8269</v>
      </c>
      <c r="D1" s="2983"/>
    </row>
    <row r="2" spans="2:4" ht="5.0999999999999996" customHeight="1"/>
    <row r="3" spans="2:4" ht="12.95" customHeight="1">
      <c r="B3" s="2982" t="s">
        <v>2851</v>
      </c>
      <c r="C3" s="2982"/>
      <c r="D3" s="2982"/>
    </row>
    <row r="4" spans="2:4" ht="5.0999999999999996" customHeight="1" thickBot="1"/>
    <row r="5" spans="2:4" s="395" customFormat="1" ht="12.95" customHeight="1" thickBot="1">
      <c r="B5" s="1533" t="s">
        <v>1136</v>
      </c>
      <c r="C5" s="27" t="s">
        <v>1135</v>
      </c>
      <c r="D5" s="1583" t="s">
        <v>1572</v>
      </c>
    </row>
    <row r="6" spans="2:4" s="1524" customFormat="1" ht="12.95" customHeight="1">
      <c r="B6" s="1554" t="s">
        <v>1767</v>
      </c>
      <c r="C6" s="389" t="s">
        <v>1940</v>
      </c>
      <c r="D6" s="1584" t="s">
        <v>2852</v>
      </c>
    </row>
    <row r="7" spans="2:4" s="1524" customFormat="1" ht="12.95" customHeight="1">
      <c r="B7" s="1545" t="s">
        <v>1766</v>
      </c>
      <c r="C7" s="36" t="s">
        <v>324</v>
      </c>
      <c r="D7" s="37" t="s">
        <v>2853</v>
      </c>
    </row>
    <row r="8" spans="2:4" s="1524" customFormat="1" ht="12.95" customHeight="1">
      <c r="B8" s="557" t="s">
        <v>2571</v>
      </c>
      <c r="C8" s="65" t="s">
        <v>1814</v>
      </c>
      <c r="D8" s="64" t="s">
        <v>2854</v>
      </c>
    </row>
    <row r="9" spans="2:4" s="1524" customFormat="1" ht="12.95" customHeight="1">
      <c r="B9" s="1545" t="s">
        <v>2572</v>
      </c>
      <c r="C9" s="36" t="s">
        <v>1701</v>
      </c>
      <c r="D9" s="37" t="s">
        <v>2855</v>
      </c>
    </row>
    <row r="10" spans="2:4" s="1524" customFormat="1" ht="26.1" customHeight="1" thickBot="1">
      <c r="B10" s="558" t="s">
        <v>2568</v>
      </c>
      <c r="C10" s="390" t="s">
        <v>7227</v>
      </c>
      <c r="D10" s="1559" t="s">
        <v>2856</v>
      </c>
    </row>
  </sheetData>
  <sheetProtection autoFilter="0"/>
  <mergeCells count="2">
    <mergeCell ref="B3:D3"/>
    <mergeCell ref="C1:D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orientation="landscape" r:id="rId1"/>
  <headerFooter alignWithMargins="0"/>
</worksheet>
</file>

<file path=xl/worksheets/sheet6.xml><?xml version="1.0" encoding="utf-8"?>
<worksheet xmlns="http://schemas.openxmlformats.org/spreadsheetml/2006/main" xmlns:r="http://schemas.openxmlformats.org/officeDocument/2006/relationships">
  <dimension ref="B1:D33"/>
  <sheetViews>
    <sheetView zoomScaleNormal="100" zoomScaleSheetLayoutView="100" workbookViewId="0">
      <pane ySplit="8" topLeftCell="A9" activePane="bottomLeft" state="frozen"/>
      <selection pane="bottomLeft" activeCell="B1" sqref="B1"/>
    </sheetView>
  </sheetViews>
  <sheetFormatPr defaultRowHeight="12.95" customHeight="1"/>
  <cols>
    <col min="1" max="1" width="3.7109375" style="61" customWidth="1"/>
    <col min="2" max="2" width="22.42578125" style="61" bestFit="1" customWidth="1"/>
    <col min="3" max="3" width="13.7109375" style="1546" bestFit="1" customWidth="1"/>
    <col min="4" max="4" width="96.140625" style="876" customWidth="1"/>
    <col min="5" max="16384" width="9.140625" style="61"/>
  </cols>
  <sheetData>
    <row r="1" spans="2:4" ht="12.95" customHeight="1">
      <c r="B1" s="2584" t="s">
        <v>2706</v>
      </c>
      <c r="C1" s="2983" t="s">
        <v>8269</v>
      </c>
      <c r="D1" s="2983"/>
    </row>
    <row r="2" spans="2:4" ht="5.0999999999999996" customHeight="1">
      <c r="D2" s="1310"/>
    </row>
    <row r="3" spans="2:4" ht="12.95" customHeight="1">
      <c r="B3" s="2982" t="s">
        <v>2857</v>
      </c>
      <c r="C3" s="2982"/>
      <c r="D3" s="2982"/>
    </row>
    <row r="4" spans="2:4" ht="5.0999999999999996" customHeight="1">
      <c r="D4" s="1310"/>
    </row>
    <row r="5" spans="2:4" ht="39" customHeight="1">
      <c r="B5" s="2984" t="s">
        <v>8834</v>
      </c>
      <c r="C5" s="2984"/>
      <c r="D5" s="2984"/>
    </row>
    <row r="6" spans="2:4" ht="5.0999999999999996" customHeight="1" thickBot="1">
      <c r="D6" s="1310"/>
    </row>
    <row r="7" spans="2:4" s="395" customFormat="1" ht="12.95" customHeight="1" thickBot="1">
      <c r="B7" s="1537" t="s">
        <v>1136</v>
      </c>
      <c r="C7" s="1538" t="s">
        <v>1135</v>
      </c>
      <c r="D7" s="1539" t="s">
        <v>1572</v>
      </c>
    </row>
    <row r="8" spans="2:4" s="388" customFormat="1" ht="11.25">
      <c r="B8" s="1581"/>
      <c r="C8" s="1582"/>
      <c r="D8" s="1563"/>
    </row>
    <row r="9" spans="2:4" ht="104.1" customHeight="1">
      <c r="B9" s="1579" t="s">
        <v>1150</v>
      </c>
      <c r="C9" s="1534" t="s">
        <v>1148</v>
      </c>
      <c r="D9" s="1580" t="s">
        <v>6003</v>
      </c>
    </row>
    <row r="10" spans="2:4" ht="65.099999999999994" customHeight="1">
      <c r="B10" s="260" t="s">
        <v>1308</v>
      </c>
      <c r="C10" s="1535" t="s">
        <v>934</v>
      </c>
      <c r="D10" s="39" t="s">
        <v>5981</v>
      </c>
    </row>
    <row r="11" spans="2:4" ht="65.099999999999994" customHeight="1">
      <c r="B11" s="1574" t="s">
        <v>1214</v>
      </c>
      <c r="C11" s="1540" t="s">
        <v>2858</v>
      </c>
      <c r="D11" s="1575" t="s">
        <v>5982</v>
      </c>
    </row>
    <row r="12" spans="2:4" ht="78" customHeight="1">
      <c r="B12" s="260" t="s">
        <v>2274</v>
      </c>
      <c r="C12" s="1535" t="s">
        <v>1816</v>
      </c>
      <c r="D12" s="39" t="s">
        <v>5983</v>
      </c>
    </row>
    <row r="13" spans="2:4" ht="78" customHeight="1">
      <c r="B13" s="1574" t="s">
        <v>2371</v>
      </c>
      <c r="C13" s="1540" t="s">
        <v>2859</v>
      </c>
      <c r="D13" s="1575" t="s">
        <v>5984</v>
      </c>
    </row>
    <row r="14" spans="2:4" ht="65.099999999999994" customHeight="1">
      <c r="B14" s="260" t="s">
        <v>2557</v>
      </c>
      <c r="C14" s="1535" t="s">
        <v>1698</v>
      </c>
      <c r="D14" s="39" t="s">
        <v>5985</v>
      </c>
    </row>
    <row r="15" spans="2:4" ht="78" customHeight="1">
      <c r="B15" s="1574" t="s">
        <v>1147</v>
      </c>
      <c r="C15" s="1540" t="s">
        <v>2860</v>
      </c>
      <c r="D15" s="1575" t="s">
        <v>5986</v>
      </c>
    </row>
    <row r="16" spans="2:4" ht="65.099999999999994" customHeight="1">
      <c r="B16" s="260" t="s">
        <v>867</v>
      </c>
      <c r="C16" s="1535" t="s">
        <v>1153</v>
      </c>
      <c r="D16" s="39" t="s">
        <v>5987</v>
      </c>
    </row>
    <row r="17" spans="2:4" ht="90.95" customHeight="1">
      <c r="B17" s="1574" t="s">
        <v>2553</v>
      </c>
      <c r="C17" s="1540" t="s">
        <v>1503</v>
      </c>
      <c r="D17" s="1575" t="s">
        <v>5988</v>
      </c>
    </row>
    <row r="18" spans="2:4" ht="51.95" customHeight="1">
      <c r="B18" s="260" t="s">
        <v>680</v>
      </c>
      <c r="C18" s="1535" t="s">
        <v>1498</v>
      </c>
      <c r="D18" s="39" t="s">
        <v>5989</v>
      </c>
    </row>
    <row r="19" spans="2:4" ht="26.1" customHeight="1">
      <c r="B19" s="1574" t="s">
        <v>963</v>
      </c>
      <c r="C19" s="1540" t="s">
        <v>1219</v>
      </c>
      <c r="D19" s="1575" t="s">
        <v>5990</v>
      </c>
    </row>
    <row r="20" spans="2:4" ht="65.099999999999994" customHeight="1">
      <c r="B20" s="40" t="s">
        <v>2452</v>
      </c>
      <c r="C20" s="1535" t="s">
        <v>2861</v>
      </c>
      <c r="D20" s="39" t="s">
        <v>5991</v>
      </c>
    </row>
    <row r="21" spans="2:4" ht="78" customHeight="1">
      <c r="B21" s="1574" t="s">
        <v>2374</v>
      </c>
      <c r="C21" s="1540" t="s">
        <v>215</v>
      </c>
      <c r="D21" s="1575" t="s">
        <v>5992</v>
      </c>
    </row>
    <row r="22" spans="2:4" ht="65.099999999999994" customHeight="1">
      <c r="B22" s="40" t="s">
        <v>1306</v>
      </c>
      <c r="C22" s="1535" t="s">
        <v>1845</v>
      </c>
      <c r="D22" s="39" t="s">
        <v>5993</v>
      </c>
    </row>
    <row r="23" spans="2:4" ht="65.099999999999994" customHeight="1">
      <c r="B23" s="1576" t="s">
        <v>2369</v>
      </c>
      <c r="C23" s="1540" t="s">
        <v>1344</v>
      </c>
      <c r="D23" s="1575" t="s">
        <v>5994</v>
      </c>
    </row>
    <row r="24" spans="2:4" ht="90.95" customHeight="1">
      <c r="B24" s="260" t="s">
        <v>2381</v>
      </c>
      <c r="C24" s="1535" t="s">
        <v>1496</v>
      </c>
      <c r="D24" s="39" t="s">
        <v>5995</v>
      </c>
    </row>
    <row r="25" spans="2:4" ht="26.1" customHeight="1">
      <c r="B25" s="1574" t="s">
        <v>2373</v>
      </c>
      <c r="C25" s="1540" t="s">
        <v>2742</v>
      </c>
      <c r="D25" s="1575" t="s">
        <v>5996</v>
      </c>
    </row>
    <row r="26" spans="2:4" ht="78" customHeight="1">
      <c r="B26" s="260" t="s">
        <v>1152</v>
      </c>
      <c r="C26" s="1535" t="s">
        <v>2863</v>
      </c>
      <c r="D26" s="39" t="s">
        <v>5997</v>
      </c>
    </row>
    <row r="27" spans="2:4" ht="26.1" customHeight="1">
      <c r="B27" s="1574" t="s">
        <v>866</v>
      </c>
      <c r="C27" s="1540" t="s">
        <v>2736</v>
      </c>
      <c r="D27" s="1575" t="s">
        <v>5998</v>
      </c>
    </row>
    <row r="28" spans="2:4" ht="78" customHeight="1">
      <c r="B28" s="260" t="s">
        <v>2372</v>
      </c>
      <c r="C28" s="1535" t="s">
        <v>1937</v>
      </c>
      <c r="D28" s="39" t="s">
        <v>5999</v>
      </c>
    </row>
    <row r="29" spans="2:4" ht="39" customHeight="1">
      <c r="B29" s="1574" t="s">
        <v>2377</v>
      </c>
      <c r="C29" s="1540" t="s">
        <v>2864</v>
      </c>
      <c r="D29" s="1575" t="s">
        <v>6000</v>
      </c>
    </row>
    <row r="30" spans="2:4" ht="78" customHeight="1">
      <c r="B30" s="260" t="s">
        <v>2379</v>
      </c>
      <c r="C30" s="1631" t="s">
        <v>2866</v>
      </c>
      <c r="D30" s="39" t="s">
        <v>6001</v>
      </c>
    </row>
    <row r="31" spans="2:4" ht="90.95" customHeight="1" thickBot="1">
      <c r="B31" s="1577" t="s">
        <v>2556</v>
      </c>
      <c r="C31" s="1536" t="s">
        <v>1682</v>
      </c>
      <c r="D31" s="1578" t="s">
        <v>6002</v>
      </c>
    </row>
    <row r="32" spans="2:4" ht="5.0999999999999996" customHeight="1"/>
    <row r="33" spans="2:4" ht="26.1" customHeight="1">
      <c r="B33" s="2985" t="s">
        <v>8835</v>
      </c>
      <c r="C33" s="2985"/>
      <c r="D33" s="2985"/>
    </row>
  </sheetData>
  <sheetProtection autoFilter="0"/>
  <autoFilter ref="B8:C8"/>
  <mergeCells count="4">
    <mergeCell ref="B5:D5"/>
    <mergeCell ref="B3:D3"/>
    <mergeCell ref="C1:D1"/>
    <mergeCell ref="B33:D33"/>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7" orientation="landscape" r:id="rId1"/>
  <headerFooter alignWithMargins="0"/>
  <colBreaks count="1" manualBreakCount="1">
    <brk id="4" max="30" man="1"/>
  </colBreaks>
</worksheet>
</file>

<file path=xl/worksheets/sheet7.xml><?xml version="1.0" encoding="utf-8"?>
<worksheet xmlns="http://schemas.openxmlformats.org/spreadsheetml/2006/main" xmlns:r="http://schemas.openxmlformats.org/officeDocument/2006/relationships">
  <dimension ref="B1:E21"/>
  <sheetViews>
    <sheetView zoomScaleNormal="100" zoomScaleSheetLayoutView="100" workbookViewId="0">
      <pane ySplit="4" topLeftCell="A5" activePane="bottomLeft" state="frozen"/>
      <selection pane="bottomLeft" activeCell="B1" sqref="B1"/>
    </sheetView>
  </sheetViews>
  <sheetFormatPr defaultRowHeight="12.95" customHeight="1"/>
  <cols>
    <col min="1" max="1" width="3.7109375" style="61" customWidth="1"/>
    <col min="2" max="2" width="24.85546875" style="61" bestFit="1" customWidth="1"/>
    <col min="3" max="3" width="9" style="1546" bestFit="1" customWidth="1"/>
    <col min="4" max="4" width="15" style="1546" bestFit="1" customWidth="1"/>
    <col min="5" max="5" width="78.7109375" style="415" bestFit="1" customWidth="1"/>
    <col min="6" max="16384" width="9.140625" style="61"/>
  </cols>
  <sheetData>
    <row r="1" spans="2:5" ht="12.95" customHeight="1">
      <c r="B1" s="562" t="s">
        <v>2706</v>
      </c>
      <c r="C1" s="2983" t="s">
        <v>8269</v>
      </c>
      <c r="D1" s="2983"/>
      <c r="E1" s="2983"/>
    </row>
    <row r="2" spans="2:5" ht="5.0999999999999996" customHeight="1">
      <c r="E2" s="1525"/>
    </row>
    <row r="3" spans="2:5" ht="12.95" customHeight="1">
      <c r="B3" s="2982" t="s">
        <v>2867</v>
      </c>
      <c r="C3" s="2982"/>
      <c r="D3" s="2982"/>
      <c r="E3" s="2982"/>
    </row>
    <row r="4" spans="2:5" ht="5.0999999999999996" customHeight="1">
      <c r="E4" s="1525"/>
    </row>
    <row r="5" spans="2:5" ht="51.95" customHeight="1">
      <c r="B5" s="2987" t="s">
        <v>8836</v>
      </c>
      <c r="C5" s="2987"/>
      <c r="D5" s="2987"/>
      <c r="E5" s="2987"/>
    </row>
    <row r="6" spans="2:5" ht="12.95" customHeight="1">
      <c r="B6" s="2988" t="s">
        <v>2872</v>
      </c>
      <c r="C6" s="2988"/>
      <c r="D6" s="2988"/>
      <c r="E6" s="2988"/>
    </row>
    <row r="7" spans="2:5" ht="12.95" customHeight="1">
      <c r="B7" s="2988" t="s">
        <v>2873</v>
      </c>
      <c r="C7" s="2988"/>
      <c r="D7" s="2988"/>
      <c r="E7" s="2988"/>
    </row>
    <row r="8" spans="2:5" ht="12.95" customHeight="1">
      <c r="B8" s="2987" t="s">
        <v>2874</v>
      </c>
      <c r="C8" s="2989"/>
      <c r="D8" s="2989"/>
      <c r="E8" s="2989"/>
    </row>
    <row r="9" spans="2:5" ht="5.0999999999999996" customHeight="1">
      <c r="B9" s="1564"/>
      <c r="C9" s="1564"/>
      <c r="D9" s="1565"/>
      <c r="E9" s="1564"/>
    </row>
    <row r="10" spans="2:5" ht="12.95" customHeight="1" thickBot="1">
      <c r="B10" s="2986" t="s">
        <v>8837</v>
      </c>
      <c r="C10" s="2986"/>
      <c r="D10" s="2986"/>
      <c r="E10" s="2986"/>
    </row>
    <row r="11" spans="2:5" s="395" customFormat="1" ht="12.95" customHeight="1" thickBot="1">
      <c r="B11" s="1533" t="s">
        <v>1136</v>
      </c>
      <c r="C11" s="1526" t="s">
        <v>2871</v>
      </c>
      <c r="D11" s="41" t="s">
        <v>1135</v>
      </c>
      <c r="E11" s="27" t="s">
        <v>1572</v>
      </c>
    </row>
    <row r="12" spans="2:5" ht="26.1" customHeight="1">
      <c r="B12" s="1566" t="s">
        <v>1323</v>
      </c>
      <c r="C12" s="389">
        <v>7</v>
      </c>
      <c r="D12" s="1567" t="s">
        <v>1566</v>
      </c>
      <c r="E12" s="1568" t="s">
        <v>7228</v>
      </c>
    </row>
    <row r="13" spans="2:5" ht="12.95" customHeight="1">
      <c r="B13" s="259" t="s">
        <v>630</v>
      </c>
      <c r="C13" s="36">
        <v>7</v>
      </c>
      <c r="D13" s="59" t="s">
        <v>1569</v>
      </c>
      <c r="E13" s="56" t="s">
        <v>7229</v>
      </c>
    </row>
    <row r="14" spans="2:5" ht="12.95" customHeight="1">
      <c r="B14" s="63" t="s">
        <v>2834</v>
      </c>
      <c r="C14" s="65">
        <v>6</v>
      </c>
      <c r="D14" s="572" t="s">
        <v>2877</v>
      </c>
      <c r="E14" s="1570" t="s">
        <v>7230</v>
      </c>
    </row>
    <row r="15" spans="2:5" ht="26.1" customHeight="1">
      <c r="B15" s="259" t="s">
        <v>1649</v>
      </c>
      <c r="C15" s="36">
        <v>4</v>
      </c>
      <c r="D15" s="59" t="s">
        <v>1749</v>
      </c>
      <c r="E15" s="56" t="s">
        <v>7231</v>
      </c>
    </row>
    <row r="16" spans="2:5" ht="26.1" customHeight="1">
      <c r="B16" s="63" t="s">
        <v>1202</v>
      </c>
      <c r="C16" s="65">
        <v>6</v>
      </c>
      <c r="D16" s="1569" t="s">
        <v>161</v>
      </c>
      <c r="E16" s="1570" t="s">
        <v>7232</v>
      </c>
    </row>
    <row r="17" spans="2:5" ht="12.95" customHeight="1">
      <c r="B17" s="259" t="s">
        <v>6115</v>
      </c>
      <c r="C17" s="36">
        <v>6</v>
      </c>
      <c r="D17" s="59" t="s">
        <v>72</v>
      </c>
      <c r="E17" s="56" t="s">
        <v>7233</v>
      </c>
    </row>
    <row r="18" spans="2:5" ht="12.95" customHeight="1">
      <c r="B18" s="63" t="s">
        <v>744</v>
      </c>
      <c r="C18" s="65">
        <v>7</v>
      </c>
      <c r="D18" s="1569" t="s">
        <v>1565</v>
      </c>
      <c r="E18" s="1570" t="s">
        <v>7234</v>
      </c>
    </row>
    <row r="19" spans="2:5" ht="12.95" customHeight="1">
      <c r="B19" s="259" t="s">
        <v>2837</v>
      </c>
      <c r="C19" s="36">
        <v>3</v>
      </c>
      <c r="D19" s="60" t="s">
        <v>2870</v>
      </c>
      <c r="E19" s="56" t="s">
        <v>7235</v>
      </c>
    </row>
    <row r="20" spans="2:5" ht="26.1" customHeight="1">
      <c r="B20" s="1571" t="s">
        <v>2835</v>
      </c>
      <c r="C20" s="67">
        <v>5</v>
      </c>
      <c r="D20" s="1572" t="s">
        <v>2875</v>
      </c>
      <c r="E20" s="1573" t="s">
        <v>7236</v>
      </c>
    </row>
    <row r="21" spans="2:5" ht="26.1" customHeight="1" thickBot="1">
      <c r="B21" s="57" t="s">
        <v>2836</v>
      </c>
      <c r="C21" s="58">
        <v>4</v>
      </c>
      <c r="D21" s="269" t="s">
        <v>2876</v>
      </c>
      <c r="E21" s="270" t="s">
        <v>7237</v>
      </c>
    </row>
  </sheetData>
  <sheetProtection autoFilter="0"/>
  <mergeCells count="7">
    <mergeCell ref="C1:E1"/>
    <mergeCell ref="B10:E10"/>
    <mergeCell ref="B3:E3"/>
    <mergeCell ref="B5:E5"/>
    <mergeCell ref="B6:E6"/>
    <mergeCell ref="B7:E7"/>
    <mergeCell ref="B8:E8"/>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orientation="landscape" r:id="rId1"/>
  <headerFooter alignWithMargins="0"/>
</worksheet>
</file>

<file path=xl/worksheets/sheet8.xml><?xml version="1.0" encoding="utf-8"?>
<worksheet xmlns="http://schemas.openxmlformats.org/spreadsheetml/2006/main" xmlns:r="http://schemas.openxmlformats.org/officeDocument/2006/relationships">
  <dimension ref="A1:D21"/>
  <sheetViews>
    <sheetView zoomScaleNormal="100" workbookViewId="0">
      <pane ySplit="8" topLeftCell="A9" activePane="bottomLeft" state="frozen"/>
      <selection pane="bottomLeft" activeCell="B1" sqref="B1"/>
    </sheetView>
  </sheetViews>
  <sheetFormatPr defaultRowHeight="12.95" customHeight="1"/>
  <cols>
    <col min="1" max="1" width="4.85546875" style="61" bestFit="1" customWidth="1"/>
    <col min="2" max="2" width="17" style="1485" bestFit="1" customWidth="1"/>
    <col min="3" max="3" width="12.42578125" style="1493" bestFit="1" customWidth="1"/>
    <col min="4" max="4" width="96" style="61" bestFit="1" customWidth="1"/>
    <col min="5" max="16384" width="9.140625" style="61"/>
  </cols>
  <sheetData>
    <row r="1" spans="1:4" ht="12.95" customHeight="1">
      <c r="B1" s="562" t="s">
        <v>2706</v>
      </c>
      <c r="C1" s="2990" t="s">
        <v>8269</v>
      </c>
      <c r="D1" s="2990"/>
    </row>
    <row r="2" spans="1:4" ht="5.0999999999999996" customHeight="1"/>
    <row r="3" spans="1:4" ht="12.95" customHeight="1">
      <c r="B3" s="2982" t="s">
        <v>2878</v>
      </c>
      <c r="C3" s="2982"/>
      <c r="D3" s="2982"/>
    </row>
    <row r="4" spans="1:4" ht="5.0999999999999996" customHeight="1"/>
    <row r="5" spans="1:4" ht="12.95" customHeight="1">
      <c r="B5" s="2984" t="s">
        <v>2879</v>
      </c>
      <c r="C5" s="2984"/>
      <c r="D5" s="2984"/>
    </row>
    <row r="6" spans="1:4" ht="5.0999999999999996" customHeight="1" thickBot="1"/>
    <row r="7" spans="1:4" s="395" customFormat="1" ht="12.95" customHeight="1" thickBot="1">
      <c r="B7" s="1490" t="s">
        <v>1136</v>
      </c>
      <c r="C7" s="271" t="s">
        <v>1135</v>
      </c>
      <c r="D7" s="1491" t="s">
        <v>1572</v>
      </c>
    </row>
    <row r="8" spans="1:4" s="388" customFormat="1" ht="11.25">
      <c r="B8" s="1561"/>
      <c r="C8" s="1562"/>
      <c r="D8" s="1563"/>
    </row>
    <row r="9" spans="1:4" ht="78" customHeight="1">
      <c r="B9" s="66" t="s">
        <v>1275</v>
      </c>
      <c r="C9" s="67" t="s">
        <v>5484</v>
      </c>
      <c r="D9" s="68" t="s">
        <v>5972</v>
      </c>
    </row>
    <row r="10" spans="1:4" ht="90.95" customHeight="1">
      <c r="B10" s="259" t="s">
        <v>5</v>
      </c>
      <c r="C10" s="36" t="s">
        <v>2880</v>
      </c>
      <c r="D10" s="37" t="s">
        <v>5973</v>
      </c>
    </row>
    <row r="11" spans="1:4" ht="90.95" customHeight="1">
      <c r="B11" s="63" t="s">
        <v>873</v>
      </c>
      <c r="C11" s="65" t="s">
        <v>2881</v>
      </c>
      <c r="D11" s="64" t="s">
        <v>6179</v>
      </c>
    </row>
    <row r="12" spans="1:4" ht="90.95" customHeight="1">
      <c r="B12" s="259" t="s">
        <v>1142</v>
      </c>
      <c r="C12" s="36" t="s">
        <v>2882</v>
      </c>
      <c r="D12" s="37" t="s">
        <v>5976</v>
      </c>
    </row>
    <row r="13" spans="1:4" ht="78" customHeight="1">
      <c r="B13" s="63" t="s">
        <v>1441</v>
      </c>
      <c r="C13" s="65" t="s">
        <v>2883</v>
      </c>
      <c r="D13" s="64" t="s">
        <v>5974</v>
      </c>
    </row>
    <row r="14" spans="1:4" ht="12.95" customHeight="1">
      <c r="B14" s="259" t="s">
        <v>1890</v>
      </c>
      <c r="C14" s="36" t="s">
        <v>1251</v>
      </c>
      <c r="D14" s="37" t="s">
        <v>5975</v>
      </c>
    </row>
    <row r="15" spans="1:4" ht="90.95" customHeight="1">
      <c r="A15" s="2329"/>
      <c r="B15" s="63" t="s">
        <v>869</v>
      </c>
      <c r="C15" s="65" t="s">
        <v>2884</v>
      </c>
      <c r="D15" s="64" t="s">
        <v>7330</v>
      </c>
    </row>
    <row r="16" spans="1:4" ht="65.099999999999994" customHeight="1">
      <c r="B16" s="259" t="s">
        <v>71</v>
      </c>
      <c r="C16" s="36" t="s">
        <v>2885</v>
      </c>
      <c r="D16" s="37" t="s">
        <v>6180</v>
      </c>
    </row>
    <row r="17" spans="2:4" ht="78" customHeight="1">
      <c r="B17" s="63" t="s">
        <v>75</v>
      </c>
      <c r="C17" s="65" t="s">
        <v>5485</v>
      </c>
      <c r="D17" s="64" t="s">
        <v>5977</v>
      </c>
    </row>
    <row r="18" spans="2:4" ht="117" customHeight="1">
      <c r="B18" s="259" t="s">
        <v>2470</v>
      </c>
      <c r="C18" s="36" t="s">
        <v>2886</v>
      </c>
      <c r="D18" s="37" t="s">
        <v>7313</v>
      </c>
    </row>
    <row r="19" spans="2:4" ht="117" customHeight="1">
      <c r="B19" s="63" t="s">
        <v>720</v>
      </c>
      <c r="C19" s="65" t="s">
        <v>1492</v>
      </c>
      <c r="D19" s="64" t="s">
        <v>5978</v>
      </c>
    </row>
    <row r="20" spans="2:4" ht="78" customHeight="1">
      <c r="B20" s="259" t="s">
        <v>136</v>
      </c>
      <c r="C20" s="36" t="s">
        <v>2151</v>
      </c>
      <c r="D20" s="37" t="s">
        <v>5979</v>
      </c>
    </row>
    <row r="21" spans="2:4" ht="90.95" customHeight="1" thickBot="1">
      <c r="B21" s="1558" t="s">
        <v>2333</v>
      </c>
      <c r="C21" s="390" t="s">
        <v>2887</v>
      </c>
      <c r="D21" s="1559" t="s">
        <v>5980</v>
      </c>
    </row>
  </sheetData>
  <sheetProtection autoFilter="0"/>
  <autoFilter ref="B8:C8"/>
  <mergeCells count="3">
    <mergeCell ref="B3:D3"/>
    <mergeCell ref="B5:D5"/>
    <mergeCell ref="C1:D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9.xml><?xml version="1.0" encoding="utf-8"?>
<worksheet xmlns="http://schemas.openxmlformats.org/spreadsheetml/2006/main" xmlns:r="http://schemas.openxmlformats.org/officeDocument/2006/relationships">
  <dimension ref="B1:D7"/>
  <sheetViews>
    <sheetView zoomScaleNormal="100" workbookViewId="0">
      <pane ySplit="4" topLeftCell="A5" activePane="bottomLeft" state="frozen"/>
      <selection pane="bottomLeft" activeCell="B1" sqref="B1"/>
    </sheetView>
  </sheetViews>
  <sheetFormatPr defaultRowHeight="12.95" customHeight="1"/>
  <cols>
    <col min="1" max="1" width="3.7109375" style="61" customWidth="1"/>
    <col min="2" max="2" width="16" style="61" bestFit="1" customWidth="1"/>
    <col min="3" max="3" width="35.7109375" style="1493" customWidth="1"/>
    <col min="4" max="4" width="70.7109375" style="876" customWidth="1"/>
    <col min="5" max="16384" width="9.140625" style="61"/>
  </cols>
  <sheetData>
    <row r="1" spans="2:4" ht="12.95" customHeight="1">
      <c r="B1" s="562" t="s">
        <v>2706</v>
      </c>
      <c r="C1" s="2983" t="s">
        <v>8269</v>
      </c>
      <c r="D1" s="2983"/>
    </row>
    <row r="2" spans="2:4" ht="5.0999999999999996" customHeight="1">
      <c r="D2" s="1310"/>
    </row>
    <row r="3" spans="2:4" ht="12.95" customHeight="1">
      <c r="B3" s="2982" t="s">
        <v>5486</v>
      </c>
      <c r="C3" s="2982"/>
      <c r="D3" s="2982"/>
    </row>
    <row r="4" spans="2:4" ht="5.0999999999999996" customHeight="1" thickBot="1">
      <c r="D4" s="1310"/>
    </row>
    <row r="5" spans="2:4" s="395" customFormat="1" ht="12.95" customHeight="1" thickBot="1">
      <c r="B5" s="1490" t="s">
        <v>1136</v>
      </c>
      <c r="C5" s="271" t="s">
        <v>1135</v>
      </c>
      <c r="D5" s="1491" t="s">
        <v>1572</v>
      </c>
    </row>
    <row r="6" spans="2:4" ht="26.1" customHeight="1">
      <c r="B6" s="1487" t="s">
        <v>1648</v>
      </c>
      <c r="C6" s="389" t="s">
        <v>1249</v>
      </c>
      <c r="D6" s="1488" t="s">
        <v>2869</v>
      </c>
    </row>
    <row r="7" spans="2:4" ht="26.1" customHeight="1" thickBot="1">
      <c r="B7" s="1560" t="s">
        <v>386</v>
      </c>
      <c r="C7" s="58" t="s">
        <v>2868</v>
      </c>
      <c r="D7" s="1551" t="s">
        <v>6090</v>
      </c>
    </row>
  </sheetData>
  <sheetProtection autoFilter="0"/>
  <mergeCells count="2">
    <mergeCell ref="B3:D3"/>
    <mergeCell ref="C1:D1"/>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10.xml><?xml version="1.0" encoding="utf-8"?>
<worksheet xmlns="http://schemas.openxmlformats.org/spreadsheetml/2006/main" xmlns:r="http://schemas.openxmlformats.org/officeDocument/2006/relationships">
  <dimension ref="B1:P33"/>
  <sheetViews>
    <sheetView zoomScaleNormal="100" zoomScaleSheetLayoutView="100" workbookViewId="0">
      <pane ySplit="4" topLeftCell="A5" activePane="bottomLeft" state="frozen"/>
      <selection pane="bottomLeft" activeCell="B1" sqref="B1"/>
    </sheetView>
  </sheetViews>
  <sheetFormatPr defaultColWidth="10.7109375" defaultRowHeight="12.95" customHeight="1"/>
  <cols>
    <col min="1" max="1" width="3.7109375" style="1514" customWidth="1"/>
    <col min="2" max="2" width="17.7109375" style="1513" customWidth="1"/>
    <col min="3" max="11" width="11.7109375" style="1514" customWidth="1"/>
    <col min="12" max="12" width="7" style="1514" bestFit="1" customWidth="1"/>
    <col min="13" max="13" width="6.85546875" style="1514" bestFit="1" customWidth="1"/>
    <col min="14" max="14" width="7.42578125" style="1514" bestFit="1" customWidth="1"/>
    <col min="15" max="15" width="14.42578125" style="1514" bestFit="1" customWidth="1"/>
    <col min="16" max="16" width="12.85546875" style="1514" bestFit="1" customWidth="1"/>
    <col min="17" max="16384" width="10.7109375" style="1514"/>
  </cols>
  <sheetData>
    <row r="1" spans="2:16" ht="12.95" customHeight="1">
      <c r="B1" s="1511" t="s">
        <v>2706</v>
      </c>
      <c r="C1" s="2973" t="s">
        <v>8269</v>
      </c>
      <c r="D1" s="2973"/>
      <c r="E1" s="2973"/>
      <c r="F1" s="2973"/>
      <c r="G1" s="2973"/>
      <c r="H1" s="2973"/>
      <c r="I1" s="2973"/>
      <c r="J1" s="2973"/>
      <c r="K1" s="2973"/>
    </row>
    <row r="2" spans="2:16" ht="5.0999999999999996" customHeight="1"/>
    <row r="3" spans="2:16" ht="12.95" customHeight="1">
      <c r="B3" s="2978" t="s">
        <v>3017</v>
      </c>
      <c r="C3" s="2978"/>
      <c r="D3" s="2978"/>
      <c r="E3" s="2978"/>
      <c r="F3" s="2978"/>
      <c r="G3" s="2978"/>
      <c r="H3" s="2978"/>
      <c r="I3" s="2978"/>
      <c r="J3" s="2978"/>
      <c r="K3" s="2978"/>
      <c r="L3" s="296"/>
      <c r="M3" s="296"/>
      <c r="N3" s="296"/>
      <c r="O3" s="296"/>
      <c r="P3" s="296"/>
    </row>
    <row r="4" spans="2:16" ht="5.0999999999999996" customHeight="1"/>
    <row r="5" spans="2:16" ht="12.95" customHeight="1">
      <c r="B5" s="3000" t="s">
        <v>3019</v>
      </c>
      <c r="C5" s="3000"/>
      <c r="D5" s="3000"/>
      <c r="E5" s="3000"/>
      <c r="F5" s="3000"/>
      <c r="G5" s="3000"/>
      <c r="H5" s="3000"/>
      <c r="I5" s="3000"/>
      <c r="J5" s="3000"/>
      <c r="K5" s="3000"/>
      <c r="L5" s="292"/>
    </row>
    <row r="6" spans="2:16" ht="12.95" customHeight="1">
      <c r="B6" s="3000" t="s">
        <v>3023</v>
      </c>
      <c r="C6" s="3000"/>
      <c r="D6" s="3000"/>
      <c r="E6" s="3000"/>
      <c r="F6" s="3000"/>
      <c r="G6" s="3000"/>
      <c r="H6" s="3000"/>
      <c r="I6" s="3000"/>
      <c r="J6" s="3000"/>
      <c r="K6" s="3000"/>
      <c r="L6" s="292"/>
    </row>
    <row r="7" spans="2:16" ht="12.95" customHeight="1">
      <c r="B7" s="3001" t="s">
        <v>3024</v>
      </c>
      <c r="C7" s="3001"/>
      <c r="D7" s="3001"/>
      <c r="E7" s="3001"/>
      <c r="F7" s="3001"/>
      <c r="G7" s="3001"/>
      <c r="H7" s="3001"/>
      <c r="I7" s="3001"/>
      <c r="J7" s="3001"/>
      <c r="K7" s="3001"/>
      <c r="L7" s="292"/>
    </row>
    <row r="8" spans="2:16" ht="12.95" customHeight="1">
      <c r="B8" s="3001" t="s">
        <v>3025</v>
      </c>
      <c r="C8" s="3001"/>
      <c r="D8" s="3001"/>
      <c r="E8" s="3001"/>
      <c r="F8" s="3001"/>
      <c r="G8" s="3001"/>
      <c r="H8" s="3001"/>
      <c r="I8" s="3001"/>
      <c r="J8" s="3001"/>
      <c r="K8" s="3001"/>
      <c r="L8" s="292"/>
    </row>
    <row r="9" spans="2:16" ht="12.95" customHeight="1">
      <c r="B9" s="3001" t="s">
        <v>3026</v>
      </c>
      <c r="C9" s="3001"/>
      <c r="D9" s="3001"/>
      <c r="E9" s="3001"/>
      <c r="F9" s="3001"/>
      <c r="G9" s="3001"/>
      <c r="H9" s="3001"/>
      <c r="I9" s="3001"/>
      <c r="J9" s="3001"/>
      <c r="K9" s="3001"/>
      <c r="L9" s="292"/>
    </row>
    <row r="10" spans="2:16" ht="5.0999999999999996" customHeight="1" thickBot="1"/>
    <row r="11" spans="2:16" ht="12.95" customHeight="1">
      <c r="B11" s="2991" t="s">
        <v>2710</v>
      </c>
      <c r="C11" s="2994" t="s">
        <v>3018</v>
      </c>
      <c r="D11" s="2995"/>
      <c r="E11" s="2995"/>
      <c r="F11" s="2995"/>
      <c r="G11" s="2995"/>
      <c r="H11" s="2995"/>
      <c r="I11" s="2995"/>
      <c r="J11" s="2995"/>
      <c r="K11" s="2996"/>
    </row>
    <row r="12" spans="2:16" ht="12.95" customHeight="1">
      <c r="B12" s="2992"/>
      <c r="C12" s="2997"/>
      <c r="D12" s="2998"/>
      <c r="E12" s="2998"/>
      <c r="F12" s="2998"/>
      <c r="G12" s="2998"/>
      <c r="H12" s="2998"/>
      <c r="I12" s="2998"/>
      <c r="J12" s="2998"/>
      <c r="K12" s="2999"/>
    </row>
    <row r="13" spans="2:16" ht="12.95" customHeight="1" thickBot="1">
      <c r="B13" s="2993"/>
      <c r="C13" s="1975" t="s">
        <v>2156</v>
      </c>
      <c r="D13" s="1976" t="s">
        <v>893</v>
      </c>
      <c r="E13" s="1976" t="s">
        <v>2141</v>
      </c>
      <c r="F13" s="1976" t="s">
        <v>2557</v>
      </c>
      <c r="G13" s="1976" t="s">
        <v>625</v>
      </c>
      <c r="H13" s="1976" t="s">
        <v>626</v>
      </c>
      <c r="I13" s="1976" t="s">
        <v>627</v>
      </c>
      <c r="J13" s="1976" t="s">
        <v>628</v>
      </c>
      <c r="K13" s="1977" t="s">
        <v>2259</v>
      </c>
    </row>
    <row r="14" spans="2:16" ht="12.95" customHeight="1">
      <c r="B14" s="194" t="s">
        <v>2152</v>
      </c>
      <c r="C14" s="1065">
        <v>6</v>
      </c>
      <c r="D14" s="1586">
        <v>6</v>
      </c>
      <c r="E14" s="1586">
        <v>6</v>
      </c>
      <c r="F14" s="1527">
        <v>5</v>
      </c>
      <c r="G14" s="1527">
        <v>5</v>
      </c>
      <c r="H14" s="1527">
        <v>5</v>
      </c>
      <c r="I14" s="1586">
        <v>6</v>
      </c>
      <c r="J14" s="1586">
        <v>6</v>
      </c>
      <c r="K14" s="1587">
        <v>6</v>
      </c>
    </row>
    <row r="15" spans="2:16" ht="12.95" customHeight="1" thickBot="1">
      <c r="B15" s="1978" t="s">
        <v>390</v>
      </c>
      <c r="C15" s="1979">
        <v>6</v>
      </c>
      <c r="D15" s="1980">
        <v>6</v>
      </c>
      <c r="E15" s="1980">
        <v>6</v>
      </c>
      <c r="F15" s="88">
        <v>5</v>
      </c>
      <c r="G15" s="88">
        <v>5</v>
      </c>
      <c r="H15" s="88">
        <v>5</v>
      </c>
      <c r="I15" s="1980">
        <v>6</v>
      </c>
      <c r="J15" s="1980">
        <v>6</v>
      </c>
      <c r="K15" s="796">
        <v>5</v>
      </c>
    </row>
    <row r="16" spans="2:16" ht="12.95" customHeight="1">
      <c r="B16" s="804" t="s">
        <v>2020</v>
      </c>
      <c r="C16" s="1611">
        <v>6</v>
      </c>
      <c r="D16" s="1982">
        <v>6</v>
      </c>
      <c r="E16" s="1982">
        <v>6</v>
      </c>
      <c r="F16" s="1942">
        <v>5</v>
      </c>
      <c r="G16" s="1942">
        <v>5</v>
      </c>
      <c r="H16" s="1942">
        <v>5</v>
      </c>
      <c r="I16" s="1982">
        <v>6</v>
      </c>
      <c r="J16" s="1942">
        <v>5</v>
      </c>
      <c r="K16" s="1943">
        <v>5</v>
      </c>
    </row>
    <row r="17" spans="2:11" ht="12.95" customHeight="1" thickBot="1">
      <c r="B17" s="208" t="s">
        <v>1497</v>
      </c>
      <c r="C17" s="31">
        <v>6</v>
      </c>
      <c r="D17" s="1983">
        <v>6</v>
      </c>
      <c r="E17" s="1983">
        <v>6</v>
      </c>
      <c r="F17" s="1929">
        <v>5</v>
      </c>
      <c r="G17" s="1929">
        <v>5</v>
      </c>
      <c r="H17" s="1929">
        <v>5</v>
      </c>
      <c r="I17" s="1929">
        <v>5</v>
      </c>
      <c r="J17" s="1983">
        <v>6</v>
      </c>
      <c r="K17" s="1590">
        <v>6</v>
      </c>
    </row>
    <row r="18" spans="2:11" ht="12.95" customHeight="1">
      <c r="B18" s="210" t="s">
        <v>1506</v>
      </c>
      <c r="C18" s="1064">
        <v>6</v>
      </c>
      <c r="D18" s="1981">
        <v>6</v>
      </c>
      <c r="E18" s="1981">
        <v>6</v>
      </c>
      <c r="F18" s="1927">
        <v>5</v>
      </c>
      <c r="G18" s="1927">
        <v>5</v>
      </c>
      <c r="H18" s="1927">
        <v>5</v>
      </c>
      <c r="I18" s="1981">
        <v>6</v>
      </c>
      <c r="J18" s="1927">
        <v>5</v>
      </c>
      <c r="K18" s="1928">
        <v>5</v>
      </c>
    </row>
    <row r="19" spans="2:11" ht="12.95" customHeight="1" thickBot="1">
      <c r="B19" s="1978" t="s">
        <v>1817</v>
      </c>
      <c r="C19" s="1979">
        <v>6</v>
      </c>
      <c r="D19" s="1980">
        <v>6</v>
      </c>
      <c r="E19" s="1980">
        <v>6</v>
      </c>
      <c r="F19" s="88">
        <v>5</v>
      </c>
      <c r="G19" s="88">
        <v>5</v>
      </c>
      <c r="H19" s="88">
        <v>5</v>
      </c>
      <c r="I19" s="88">
        <v>5</v>
      </c>
      <c r="J19" s="1980">
        <v>6</v>
      </c>
      <c r="K19" s="1984">
        <v>6</v>
      </c>
    </row>
    <row r="20" spans="2:11" ht="12.95" customHeight="1">
      <c r="B20" s="804" t="s">
        <v>1686</v>
      </c>
      <c r="C20" s="761">
        <v>5</v>
      </c>
      <c r="D20" s="1942">
        <v>5</v>
      </c>
      <c r="E20" s="1942">
        <v>5</v>
      </c>
      <c r="F20" s="1982">
        <v>6</v>
      </c>
      <c r="G20" s="1982">
        <v>6</v>
      </c>
      <c r="H20" s="1982">
        <v>6</v>
      </c>
      <c r="I20" s="1982">
        <v>6</v>
      </c>
      <c r="J20" s="1942">
        <v>5</v>
      </c>
      <c r="K20" s="1943">
        <v>5</v>
      </c>
    </row>
    <row r="21" spans="2:11" ht="12.95" customHeight="1" thickBot="1">
      <c r="B21" s="208" t="s">
        <v>1697</v>
      </c>
      <c r="C21" s="1945">
        <v>5</v>
      </c>
      <c r="D21" s="1929">
        <v>5</v>
      </c>
      <c r="E21" s="1929">
        <v>5</v>
      </c>
      <c r="F21" s="1983">
        <v>6</v>
      </c>
      <c r="G21" s="1983">
        <v>6</v>
      </c>
      <c r="H21" s="1983">
        <v>6</v>
      </c>
      <c r="I21" s="1929">
        <v>5</v>
      </c>
      <c r="J21" s="1983">
        <v>6</v>
      </c>
      <c r="K21" s="1930">
        <v>5</v>
      </c>
    </row>
    <row r="22" spans="2:11" ht="12.95" customHeight="1">
      <c r="B22" s="210" t="s">
        <v>2607</v>
      </c>
      <c r="C22" s="423">
        <v>5</v>
      </c>
      <c r="D22" s="1927">
        <v>5</v>
      </c>
      <c r="E22" s="1927">
        <v>5</v>
      </c>
      <c r="F22" s="1981">
        <v>6</v>
      </c>
      <c r="G22" s="1981">
        <v>6</v>
      </c>
      <c r="H22" s="1981">
        <v>6</v>
      </c>
      <c r="I22" s="1981">
        <v>6</v>
      </c>
      <c r="J22" s="1927">
        <v>5</v>
      </c>
      <c r="K22" s="1928">
        <v>5</v>
      </c>
    </row>
    <row r="23" spans="2:11" ht="12.95" customHeight="1" thickBot="1">
      <c r="B23" s="1978" t="s">
        <v>935</v>
      </c>
      <c r="C23" s="794">
        <v>5</v>
      </c>
      <c r="D23" s="88">
        <v>5</v>
      </c>
      <c r="E23" s="88">
        <v>5</v>
      </c>
      <c r="F23" s="1980">
        <v>6</v>
      </c>
      <c r="G23" s="1980">
        <v>6</v>
      </c>
      <c r="H23" s="1980">
        <v>6</v>
      </c>
      <c r="I23" s="88">
        <v>5</v>
      </c>
      <c r="J23" s="1980">
        <v>6</v>
      </c>
      <c r="K23" s="1984">
        <v>6</v>
      </c>
    </row>
    <row r="24" spans="2:11" ht="12.95" customHeight="1">
      <c r="B24" s="804" t="s">
        <v>1349</v>
      </c>
      <c r="C24" s="761">
        <v>5</v>
      </c>
      <c r="D24" s="1942">
        <v>5</v>
      </c>
      <c r="E24" s="1942">
        <v>5</v>
      </c>
      <c r="F24" s="1982">
        <v>6</v>
      </c>
      <c r="G24" s="1982">
        <v>6</v>
      </c>
      <c r="H24" s="1982">
        <v>6</v>
      </c>
      <c r="I24" s="1982">
        <v>6</v>
      </c>
      <c r="J24" s="1942">
        <v>5</v>
      </c>
      <c r="K24" s="1943">
        <v>5</v>
      </c>
    </row>
    <row r="25" spans="2:11" ht="12.95" customHeight="1" thickBot="1">
      <c r="B25" s="208" t="s">
        <v>1361</v>
      </c>
      <c r="C25" s="1945">
        <v>5</v>
      </c>
      <c r="D25" s="1929">
        <v>5</v>
      </c>
      <c r="E25" s="1929">
        <v>5</v>
      </c>
      <c r="F25" s="1983">
        <v>6</v>
      </c>
      <c r="G25" s="1983">
        <v>6</v>
      </c>
      <c r="H25" s="1983">
        <v>6</v>
      </c>
      <c r="I25" s="1929">
        <v>5</v>
      </c>
      <c r="J25" s="1983">
        <v>6</v>
      </c>
      <c r="K25" s="1590">
        <v>6</v>
      </c>
    </row>
    <row r="26" spans="2:11" ht="12.95" customHeight="1">
      <c r="B26" s="210" t="s">
        <v>327</v>
      </c>
      <c r="C26" s="1064">
        <v>6</v>
      </c>
      <c r="D26" s="1981">
        <v>6</v>
      </c>
      <c r="E26" s="1981">
        <v>6</v>
      </c>
      <c r="F26" s="1981">
        <v>6</v>
      </c>
      <c r="G26" s="1981">
        <v>6</v>
      </c>
      <c r="H26" s="1981">
        <v>6</v>
      </c>
      <c r="I26" s="1981">
        <v>6</v>
      </c>
      <c r="J26" s="1927">
        <v>5</v>
      </c>
      <c r="K26" s="1985">
        <v>6</v>
      </c>
    </row>
    <row r="27" spans="2:11" ht="12.95" customHeight="1" thickBot="1">
      <c r="B27" s="1978" t="s">
        <v>475</v>
      </c>
      <c r="C27" s="1979">
        <v>6</v>
      </c>
      <c r="D27" s="1980">
        <v>6</v>
      </c>
      <c r="E27" s="1980">
        <v>6</v>
      </c>
      <c r="F27" s="1980">
        <v>6</v>
      </c>
      <c r="G27" s="1980">
        <v>6</v>
      </c>
      <c r="H27" s="1980">
        <v>6</v>
      </c>
      <c r="I27" s="1980">
        <v>6</v>
      </c>
      <c r="J27" s="1980">
        <v>6</v>
      </c>
      <c r="K27" s="796">
        <v>5</v>
      </c>
    </row>
    <row r="28" spans="2:11" ht="12.95" customHeight="1">
      <c r="B28" s="804" t="s">
        <v>398</v>
      </c>
      <c r="C28" s="1611">
        <v>6</v>
      </c>
      <c r="D28" s="1982">
        <v>6</v>
      </c>
      <c r="E28" s="1982">
        <v>6</v>
      </c>
      <c r="F28" s="1982">
        <v>6</v>
      </c>
      <c r="G28" s="1982">
        <v>6</v>
      </c>
      <c r="H28" s="1982">
        <v>6</v>
      </c>
      <c r="I28" s="1982">
        <v>6</v>
      </c>
      <c r="J28" s="1982">
        <v>6</v>
      </c>
      <c r="K28" s="1587">
        <v>6</v>
      </c>
    </row>
    <row r="29" spans="2:11" ht="12.95" customHeight="1" thickBot="1">
      <c r="B29" s="208" t="s">
        <v>169</v>
      </c>
      <c r="C29" s="31">
        <v>6</v>
      </c>
      <c r="D29" s="1983">
        <v>6</v>
      </c>
      <c r="E29" s="1983">
        <v>6</v>
      </c>
      <c r="F29" s="1983">
        <v>6</v>
      </c>
      <c r="G29" s="1983">
        <v>6</v>
      </c>
      <c r="H29" s="1983">
        <v>6</v>
      </c>
      <c r="I29" s="1929">
        <v>5</v>
      </c>
      <c r="J29" s="1983">
        <v>6</v>
      </c>
      <c r="K29" s="1590">
        <v>6</v>
      </c>
    </row>
    <row r="30" spans="2:11" ht="12.95" customHeight="1">
      <c r="B30" s="210" t="s">
        <v>2048</v>
      </c>
      <c r="C30" s="423">
        <v>5</v>
      </c>
      <c r="D30" s="1927">
        <v>5</v>
      </c>
      <c r="E30" s="1927">
        <v>5</v>
      </c>
      <c r="F30" s="1927">
        <v>5</v>
      </c>
      <c r="G30" s="1927">
        <v>5</v>
      </c>
      <c r="H30" s="1927">
        <v>5</v>
      </c>
      <c r="I30" s="1927">
        <v>5</v>
      </c>
      <c r="J30" s="1927">
        <v>5</v>
      </c>
      <c r="K30" s="1985">
        <v>6</v>
      </c>
    </row>
    <row r="31" spans="2:11" ht="12.95" customHeight="1" thickBot="1">
      <c r="B31" s="208" t="s">
        <v>2737</v>
      </c>
      <c r="C31" s="1542">
        <v>5</v>
      </c>
      <c r="D31" s="1515">
        <v>5</v>
      </c>
      <c r="E31" s="1515">
        <v>5</v>
      </c>
      <c r="F31" s="1515">
        <v>5</v>
      </c>
      <c r="G31" s="1515">
        <v>5</v>
      </c>
      <c r="H31" s="1515">
        <v>5</v>
      </c>
      <c r="I31" s="1515">
        <v>5</v>
      </c>
      <c r="J31" s="1515">
        <v>5</v>
      </c>
      <c r="K31" s="1590">
        <v>6</v>
      </c>
    </row>
    <row r="32" spans="2:11" ht="5.0999999999999996" customHeight="1"/>
    <row r="33" spans="2:11" ht="26.1" customHeight="1">
      <c r="B33" s="2960" t="s">
        <v>6108</v>
      </c>
      <c r="C33" s="2960"/>
      <c r="D33" s="2960"/>
      <c r="E33" s="2960"/>
      <c r="F33" s="2960"/>
      <c r="G33" s="2960"/>
      <c r="H33" s="2960"/>
      <c r="I33" s="2960"/>
      <c r="J33" s="2960"/>
      <c r="K33" s="2960"/>
    </row>
  </sheetData>
  <sheetProtection autoFilter="0"/>
  <mergeCells count="10">
    <mergeCell ref="B33:K33"/>
    <mergeCell ref="C1:K1"/>
    <mergeCell ref="B11:B13"/>
    <mergeCell ref="B3:K3"/>
    <mergeCell ref="C11:K12"/>
    <mergeCell ref="B5:K5"/>
    <mergeCell ref="B6:K6"/>
    <mergeCell ref="B7:K7"/>
    <mergeCell ref="B8:K8"/>
    <mergeCell ref="B9:K9"/>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orientation="landscape" r:id="rId1"/>
  <headerFooter alignWithMargins="0"/>
</worksheet>
</file>

<file path=xl/worksheets/sheet11.xml><?xml version="1.0" encoding="utf-8"?>
<worksheet xmlns="http://schemas.openxmlformats.org/spreadsheetml/2006/main" xmlns:r="http://schemas.openxmlformats.org/officeDocument/2006/relationships">
  <sheetPr>
    <outlinePr summaryBelow="0"/>
  </sheetPr>
  <dimension ref="B1:D68"/>
  <sheetViews>
    <sheetView zoomScaleNormal="100" workbookViewId="0">
      <pane ySplit="4" topLeftCell="A5" activePane="bottomLeft" state="frozen"/>
      <selection pane="bottomLeft" activeCell="B1" sqref="B1"/>
    </sheetView>
  </sheetViews>
  <sheetFormatPr defaultRowHeight="12.95" customHeight="1"/>
  <cols>
    <col min="1" max="1" width="3.7109375" style="61" customWidth="1"/>
    <col min="2" max="2" width="13.85546875" style="61" bestFit="1" customWidth="1"/>
    <col min="3" max="3" width="16.7109375" style="1493" customWidth="1"/>
    <col min="4" max="4" width="96.140625" style="876" customWidth="1"/>
    <col min="5" max="16384" width="9.140625" style="61"/>
  </cols>
  <sheetData>
    <row r="1" spans="2:4" ht="12.95" customHeight="1">
      <c r="B1" s="562" t="s">
        <v>2706</v>
      </c>
      <c r="C1" s="2983" t="s">
        <v>8269</v>
      </c>
      <c r="D1" s="2983"/>
    </row>
    <row r="2" spans="2:4" ht="5.0999999999999996" customHeight="1">
      <c r="D2" s="1310"/>
    </row>
    <row r="3" spans="2:4" ht="12.95" customHeight="1">
      <c r="B3" s="2982" t="s">
        <v>2865</v>
      </c>
      <c r="C3" s="2982"/>
      <c r="D3" s="2982"/>
    </row>
    <row r="4" spans="2:4" ht="5.0999999999999996" customHeight="1">
      <c r="D4" s="1310"/>
    </row>
    <row r="5" spans="2:4" ht="26.1" customHeight="1">
      <c r="B5" s="2984" t="s">
        <v>8860</v>
      </c>
      <c r="C5" s="2984"/>
      <c r="D5" s="2984"/>
    </row>
    <row r="6" spans="2:4" ht="26.1" customHeight="1">
      <c r="B6" s="2984" t="s">
        <v>8861</v>
      </c>
      <c r="C6" s="2984"/>
      <c r="D6" s="2984"/>
    </row>
    <row r="7" spans="2:4" ht="12.95" customHeight="1">
      <c r="B7" s="2984" t="s">
        <v>8862</v>
      </c>
      <c r="C7" s="2984"/>
      <c r="D7" s="2984"/>
    </row>
    <row r="8" spans="2:4" ht="5.0999999999999996" customHeight="1">
      <c r="B8" s="1485"/>
      <c r="C8" s="1485"/>
      <c r="D8" s="1485"/>
    </row>
    <row r="9" spans="2:4" ht="12.95" customHeight="1">
      <c r="B9" s="1489" t="s">
        <v>2891</v>
      </c>
      <c r="C9" s="3035"/>
      <c r="D9" s="3035"/>
    </row>
    <row r="10" spans="2:4" ht="51.95" customHeight="1">
      <c r="B10" s="2984" t="s">
        <v>8863</v>
      </c>
      <c r="C10" s="2984"/>
      <c r="D10" s="2984"/>
    </row>
    <row r="11" spans="2:4" ht="26.1" customHeight="1">
      <c r="B11" s="2984" t="s">
        <v>8838</v>
      </c>
      <c r="C11" s="2984"/>
      <c r="D11" s="2984"/>
    </row>
    <row r="12" spans="2:4" ht="12.95" customHeight="1">
      <c r="B12" s="2984" t="s">
        <v>8839</v>
      </c>
      <c r="C12" s="2984"/>
      <c r="D12" s="2984"/>
    </row>
    <row r="13" spans="2:4" ht="12.95" customHeight="1">
      <c r="B13" s="2984" t="s">
        <v>8840</v>
      </c>
      <c r="C13" s="2984"/>
      <c r="D13" s="2984"/>
    </row>
    <row r="14" spans="2:4" ht="26.1" customHeight="1">
      <c r="B14" s="2984" t="s">
        <v>8841</v>
      </c>
      <c r="C14" s="2984"/>
      <c r="D14" s="2984"/>
    </row>
    <row r="15" spans="2:4" ht="12.95" customHeight="1" thickBot="1">
      <c r="B15" s="2984" t="s">
        <v>8842</v>
      </c>
      <c r="C15" s="2984"/>
      <c r="D15" s="2984"/>
    </row>
    <row r="16" spans="2:4" ht="12.95" customHeight="1" thickBot="1">
      <c r="B16" s="3002" t="s">
        <v>2888</v>
      </c>
      <c r="C16" s="3003"/>
      <c r="D16" s="69" t="s">
        <v>2889</v>
      </c>
    </row>
    <row r="17" spans="2:4" ht="12.95" customHeight="1">
      <c r="B17" s="3004" t="s">
        <v>1756</v>
      </c>
      <c r="C17" s="3005"/>
      <c r="D17" s="1555">
        <v>0.125</v>
      </c>
    </row>
    <row r="18" spans="2:4" ht="12.95" customHeight="1">
      <c r="B18" s="3008" t="s">
        <v>1755</v>
      </c>
      <c r="C18" s="3009"/>
      <c r="D18" s="176">
        <v>8.3000000000000004E-2</v>
      </c>
    </row>
    <row r="19" spans="2:4" ht="12.95" customHeight="1">
      <c r="B19" s="3006" t="s">
        <v>1754</v>
      </c>
      <c r="C19" s="3007"/>
      <c r="D19" s="1556">
        <v>4.2000000000000003E-2</v>
      </c>
    </row>
    <row r="20" spans="2:4" ht="12.95" customHeight="1" thickBot="1">
      <c r="B20" s="3025" t="s">
        <v>1000</v>
      </c>
      <c r="C20" s="3026"/>
      <c r="D20" s="177">
        <v>0</v>
      </c>
    </row>
    <row r="21" spans="2:4" ht="5.0999999999999996" customHeight="1">
      <c r="B21" s="1552"/>
      <c r="C21" s="1552"/>
      <c r="D21" s="1553"/>
    </row>
    <row r="22" spans="2:4" ht="12.95" customHeight="1">
      <c r="B22" s="3027" t="s">
        <v>6092</v>
      </c>
      <c r="C22" s="3027"/>
      <c r="D22" s="3027"/>
    </row>
    <row r="23" spans="2:4" ht="26.1" customHeight="1">
      <c r="B23" s="3034"/>
      <c r="C23" s="3024" t="s">
        <v>8843</v>
      </c>
      <c r="D23" s="3024"/>
    </row>
    <row r="24" spans="2:4" ht="26.1" customHeight="1">
      <c r="B24" s="3034"/>
      <c r="C24" s="3024" t="s">
        <v>8844</v>
      </c>
      <c r="D24" s="3024"/>
    </row>
    <row r="25" spans="2:4" ht="12.95" customHeight="1">
      <c r="B25" s="3034"/>
      <c r="C25" s="3034"/>
      <c r="D25" s="3034"/>
    </row>
    <row r="26" spans="2:4" ht="12.95" customHeight="1">
      <c r="B26" s="3034"/>
      <c r="C26" s="3024" t="s">
        <v>8845</v>
      </c>
      <c r="D26" s="3024"/>
    </row>
    <row r="27" spans="2:4" ht="26.1" customHeight="1">
      <c r="B27" s="3034"/>
      <c r="C27" s="3024" t="s">
        <v>8846</v>
      </c>
      <c r="D27" s="3024"/>
    </row>
    <row r="28" spans="2:4" ht="12.95" customHeight="1">
      <c r="B28" s="3034"/>
      <c r="C28" s="3024" t="s">
        <v>8847</v>
      </c>
      <c r="D28" s="3024"/>
    </row>
    <row r="29" spans="2:4" ht="5.0999999999999996" customHeight="1">
      <c r="B29" s="1493"/>
      <c r="D29" s="1485"/>
    </row>
    <row r="30" spans="2:4" ht="12.95" customHeight="1">
      <c r="B30" s="1489" t="s">
        <v>2892</v>
      </c>
      <c r="C30" s="3035"/>
      <c r="D30" s="3035"/>
    </row>
    <row r="31" spans="2:4" ht="12.95" customHeight="1">
      <c r="B31" s="2984" t="s">
        <v>8848</v>
      </c>
      <c r="C31" s="2984"/>
      <c r="D31" s="2984"/>
    </row>
    <row r="32" spans="2:4" ht="12.95" customHeight="1">
      <c r="B32" s="2984" t="s">
        <v>8849</v>
      </c>
      <c r="C32" s="2984"/>
      <c r="D32" s="2984"/>
    </row>
    <row r="33" spans="2:4" ht="39" customHeight="1">
      <c r="B33" s="2984" t="s">
        <v>8850</v>
      </c>
      <c r="C33" s="2984"/>
      <c r="D33" s="2984"/>
    </row>
    <row r="34" spans="2:4" ht="12.95" customHeight="1">
      <c r="B34" s="2984" t="s">
        <v>8851</v>
      </c>
      <c r="C34" s="2984"/>
      <c r="D34" s="2984"/>
    </row>
    <row r="35" spans="2:4" ht="12.95" customHeight="1">
      <c r="B35" s="3036" t="s">
        <v>8852</v>
      </c>
      <c r="C35" s="3036"/>
      <c r="D35" s="3036"/>
    </row>
    <row r="36" spans="2:4" ht="12.95" customHeight="1">
      <c r="B36" s="3036" t="s">
        <v>8853</v>
      </c>
      <c r="C36" s="3036"/>
      <c r="D36" s="3036"/>
    </row>
    <row r="37" spans="2:4" ht="12.95" customHeight="1">
      <c r="B37" s="3036" t="s">
        <v>8854</v>
      </c>
      <c r="C37" s="3036"/>
      <c r="D37" s="3036"/>
    </row>
    <row r="38" spans="2:4" ht="12.95" customHeight="1">
      <c r="B38" s="3036" t="s">
        <v>8855</v>
      </c>
      <c r="C38" s="3036"/>
      <c r="D38" s="3036"/>
    </row>
    <row r="39" spans="2:4" ht="12.95" customHeight="1">
      <c r="B39" s="3036" t="s">
        <v>8856</v>
      </c>
      <c r="C39" s="3036"/>
      <c r="D39" s="3036"/>
    </row>
    <row r="40" spans="2:4" ht="12.95" customHeight="1" thickBot="1">
      <c r="B40" s="2984" t="s">
        <v>8857</v>
      </c>
      <c r="C40" s="2984"/>
      <c r="D40" s="2984"/>
    </row>
    <row r="41" spans="2:4" ht="12.95" customHeight="1" thickBot="1">
      <c r="B41" s="3002" t="s">
        <v>2893</v>
      </c>
      <c r="C41" s="3003"/>
      <c r="D41" s="69" t="s">
        <v>2894</v>
      </c>
    </row>
    <row r="42" spans="2:4" ht="12.95" customHeight="1">
      <c r="B42" s="3004" t="s">
        <v>1756</v>
      </c>
      <c r="C42" s="3005"/>
      <c r="D42" s="1555">
        <v>0.125</v>
      </c>
    </row>
    <row r="43" spans="2:4" ht="12.95" customHeight="1">
      <c r="B43" s="3012" t="s">
        <v>1755</v>
      </c>
      <c r="C43" s="3013"/>
      <c r="D43" s="178">
        <v>8.3000000000000004E-2</v>
      </c>
    </row>
    <row r="44" spans="2:4" ht="12.95" customHeight="1">
      <c r="B44" s="3014" t="s">
        <v>1754</v>
      </c>
      <c r="C44" s="3015"/>
      <c r="D44" s="1555">
        <v>4.2000000000000003E-2</v>
      </c>
    </row>
    <row r="45" spans="2:4" ht="12.95" customHeight="1">
      <c r="B45" s="3012" t="s">
        <v>1000</v>
      </c>
      <c r="C45" s="3013"/>
      <c r="D45" s="179">
        <v>0</v>
      </c>
    </row>
    <row r="46" spans="2:4" ht="12.95" customHeight="1">
      <c r="B46" s="3006" t="s">
        <v>1757</v>
      </c>
      <c r="C46" s="3007"/>
      <c r="D46" s="1556">
        <v>8.3000000000000004E-2</v>
      </c>
    </row>
    <row r="47" spans="2:4" ht="12.95" customHeight="1">
      <c r="B47" s="3008" t="s">
        <v>2890</v>
      </c>
      <c r="C47" s="3009"/>
      <c r="D47" s="176">
        <v>0.16600000000000001</v>
      </c>
    </row>
    <row r="48" spans="2:4" ht="12.95" customHeight="1" thickBot="1">
      <c r="B48" s="3010" t="s">
        <v>1758</v>
      </c>
      <c r="C48" s="3011"/>
      <c r="D48" s="1557">
        <v>0.25</v>
      </c>
    </row>
    <row r="49" spans="2:4" ht="5.0999999999999996" customHeight="1"/>
    <row r="50" spans="2:4" ht="12.95" customHeight="1" thickBot="1">
      <c r="B50" s="2984" t="s">
        <v>8858</v>
      </c>
      <c r="C50" s="2984"/>
      <c r="D50" s="2984"/>
    </row>
    <row r="51" spans="2:4" ht="12.95" customHeight="1" thickBot="1">
      <c r="B51" s="3002" t="s">
        <v>2105</v>
      </c>
      <c r="C51" s="3003"/>
      <c r="D51" s="1486" t="s">
        <v>3949</v>
      </c>
    </row>
    <row r="52" spans="2:4" ht="12.95" customHeight="1">
      <c r="B52" s="3032" t="s">
        <v>2106</v>
      </c>
      <c r="C52" s="3033"/>
      <c r="D52" s="1492" t="s">
        <v>3967</v>
      </c>
    </row>
    <row r="53" spans="2:4" ht="12.95" customHeight="1">
      <c r="B53" s="3030" t="s">
        <v>2107</v>
      </c>
      <c r="C53" s="3031"/>
      <c r="D53" s="1483" t="s">
        <v>3967</v>
      </c>
    </row>
    <row r="54" spans="2:4" ht="12.95" customHeight="1">
      <c r="B54" s="3028" t="s">
        <v>3966</v>
      </c>
      <c r="C54" s="3029"/>
      <c r="D54" s="1944" t="s">
        <v>3973</v>
      </c>
    </row>
    <row r="55" spans="2:4" ht="12.95" customHeight="1">
      <c r="B55" s="3030" t="s">
        <v>2201</v>
      </c>
      <c r="C55" s="3031"/>
      <c r="D55" s="1483" t="s">
        <v>3968</v>
      </c>
    </row>
    <row r="56" spans="2:4" ht="12.95" customHeight="1">
      <c r="B56" s="3028" t="s">
        <v>2202</v>
      </c>
      <c r="C56" s="3029"/>
      <c r="D56" s="1484" t="s">
        <v>3968</v>
      </c>
    </row>
    <row r="57" spans="2:4" ht="12.95" customHeight="1">
      <c r="B57" s="3030" t="s">
        <v>2203</v>
      </c>
      <c r="C57" s="3031"/>
      <c r="D57" s="1483" t="s">
        <v>3968</v>
      </c>
    </row>
    <row r="58" spans="2:4" ht="12.95" customHeight="1">
      <c r="B58" s="3028" t="s">
        <v>2204</v>
      </c>
      <c r="C58" s="3029"/>
      <c r="D58" s="1484" t="s">
        <v>3969</v>
      </c>
    </row>
    <row r="59" spans="2:4" ht="12.95" customHeight="1">
      <c r="B59" s="3030" t="s">
        <v>2508</v>
      </c>
      <c r="C59" s="3031"/>
      <c r="D59" s="1483" t="s">
        <v>3970</v>
      </c>
    </row>
    <row r="60" spans="2:4" ht="12.95" customHeight="1">
      <c r="B60" s="3028" t="s">
        <v>1674</v>
      </c>
      <c r="C60" s="3029"/>
      <c r="D60" s="1484" t="s">
        <v>3971</v>
      </c>
    </row>
    <row r="61" spans="2:4" ht="12.95" customHeight="1" thickBot="1">
      <c r="B61" s="3016" t="s">
        <v>1675</v>
      </c>
      <c r="C61" s="3017"/>
      <c r="D61" s="1551" t="s">
        <v>3972</v>
      </c>
    </row>
    <row r="62" spans="2:4" ht="5.0999999999999996" customHeight="1"/>
    <row r="63" spans="2:4" ht="12.95" customHeight="1" thickBot="1">
      <c r="B63" s="2984" t="s">
        <v>8859</v>
      </c>
      <c r="C63" s="2984"/>
      <c r="D63" s="2984"/>
    </row>
    <row r="64" spans="2:4" ht="12.95" customHeight="1" thickBot="1">
      <c r="B64" s="3002" t="s">
        <v>2147</v>
      </c>
      <c r="C64" s="3003"/>
      <c r="D64" s="1486" t="s">
        <v>3949</v>
      </c>
    </row>
    <row r="65" spans="2:4" ht="12.95" customHeight="1">
      <c r="B65" s="3018" t="s">
        <v>2375</v>
      </c>
      <c r="C65" s="3019"/>
      <c r="D65" s="1492" t="s">
        <v>5313</v>
      </c>
    </row>
    <row r="66" spans="2:4" ht="12.95" customHeight="1">
      <c r="B66" s="3020" t="s">
        <v>2376</v>
      </c>
      <c r="C66" s="3021"/>
      <c r="D66" s="1483" t="s">
        <v>5314</v>
      </c>
    </row>
    <row r="67" spans="2:4" ht="12.95" customHeight="1">
      <c r="B67" s="3022" t="s">
        <v>2377</v>
      </c>
      <c r="C67" s="3023"/>
      <c r="D67" s="1492" t="s">
        <v>5315</v>
      </c>
    </row>
    <row r="68" spans="2:4" ht="12.95" customHeight="1" thickBot="1">
      <c r="B68" s="3016" t="s">
        <v>2378</v>
      </c>
      <c r="C68" s="3017"/>
      <c r="D68" s="1551" t="s">
        <v>5316</v>
      </c>
    </row>
  </sheetData>
  <sheetProtection autoFilter="0"/>
  <mergeCells count="63">
    <mergeCell ref="B40:D40"/>
    <mergeCell ref="B31:D31"/>
    <mergeCell ref="B32:D32"/>
    <mergeCell ref="B33:D33"/>
    <mergeCell ref="B34:D34"/>
    <mergeCell ref="B35:D35"/>
    <mergeCell ref="B38:D38"/>
    <mergeCell ref="B39:D39"/>
    <mergeCell ref="B36:D36"/>
    <mergeCell ref="B37:D37"/>
    <mergeCell ref="C1:D1"/>
    <mergeCell ref="B23:B25"/>
    <mergeCell ref="C25:D25"/>
    <mergeCell ref="C30:D30"/>
    <mergeCell ref="C9:D9"/>
    <mergeCell ref="C26:D26"/>
    <mergeCell ref="C27:D27"/>
    <mergeCell ref="C28:D28"/>
    <mergeCell ref="B26:B28"/>
    <mergeCell ref="B17:C17"/>
    <mergeCell ref="B18:C18"/>
    <mergeCell ref="B19:C19"/>
    <mergeCell ref="B16:C16"/>
    <mergeCell ref="B3:D3"/>
    <mergeCell ref="B5:D5"/>
    <mergeCell ref="B7:D7"/>
    <mergeCell ref="B51:C51"/>
    <mergeCell ref="B52:C52"/>
    <mergeCell ref="B53:C53"/>
    <mergeCell ref="B54:C54"/>
    <mergeCell ref="B55:C55"/>
    <mergeCell ref="B60:C60"/>
    <mergeCell ref="B61:C61"/>
    <mergeCell ref="B56:C56"/>
    <mergeCell ref="B57:C57"/>
    <mergeCell ref="B58:C58"/>
    <mergeCell ref="B59:C59"/>
    <mergeCell ref="B10:D10"/>
    <mergeCell ref="B13:D13"/>
    <mergeCell ref="B6:D6"/>
    <mergeCell ref="B15:D15"/>
    <mergeCell ref="C24:D24"/>
    <mergeCell ref="B20:C20"/>
    <mergeCell ref="B22:D22"/>
    <mergeCell ref="C23:D23"/>
    <mergeCell ref="B14:D14"/>
    <mergeCell ref="B12:D12"/>
    <mergeCell ref="B11:D11"/>
    <mergeCell ref="B68:C68"/>
    <mergeCell ref="B63:D63"/>
    <mergeCell ref="B64:C64"/>
    <mergeCell ref="B65:C65"/>
    <mergeCell ref="B66:C66"/>
    <mergeCell ref="B67:C67"/>
    <mergeCell ref="B41:C41"/>
    <mergeCell ref="B42:C42"/>
    <mergeCell ref="B46:C46"/>
    <mergeCell ref="B47:C47"/>
    <mergeCell ref="B50:D50"/>
    <mergeCell ref="B48:C48"/>
    <mergeCell ref="B43:C43"/>
    <mergeCell ref="B44:C44"/>
    <mergeCell ref="B45:C45"/>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2" manualBreakCount="2">
    <brk id="25" max="3" man="1"/>
    <brk id="48" max="3" man="1"/>
  </rowBreaks>
  <ignoredErrors>
    <ignoredError sqref="B17:C20 B42:C48" numberStoredAsText="1"/>
  </ignoredErrors>
  <drawing r:id="rId2"/>
</worksheet>
</file>

<file path=xl/worksheets/sheet12.xml><?xml version="1.0" encoding="utf-8"?>
<worksheet xmlns="http://schemas.openxmlformats.org/spreadsheetml/2006/main" xmlns:r="http://schemas.openxmlformats.org/officeDocument/2006/relationships">
  <dimension ref="B1:Z151"/>
  <sheetViews>
    <sheetView zoomScaleNormal="100" workbookViewId="0">
      <pane ySplit="4" topLeftCell="A5" activePane="bottomLeft" state="frozen"/>
      <selection pane="bottomLeft" activeCell="B1" sqref="B1"/>
    </sheetView>
  </sheetViews>
  <sheetFormatPr defaultColWidth="14.7109375" defaultRowHeight="12.95" customHeight="1"/>
  <cols>
    <col min="1" max="1" width="3.7109375" style="1482" customWidth="1"/>
    <col min="2" max="2" width="20.7109375" style="1482" customWidth="1"/>
    <col min="3" max="3" width="20.7109375" style="1549" customWidth="1"/>
    <col min="4" max="4" width="20.7109375" style="1547" customWidth="1"/>
    <col min="5" max="5" width="20.7109375" style="1132" customWidth="1"/>
    <col min="6" max="7" width="20.7109375" style="1482" customWidth="1"/>
    <col min="8" max="8" width="0" style="1482" hidden="1" customWidth="1"/>
    <col min="9" max="9" width="15.28515625" style="1482" hidden="1" customWidth="1"/>
    <col min="10" max="13" width="4.5703125" style="1482" hidden="1" customWidth="1"/>
    <col min="14" max="21" width="4.7109375" style="1482" hidden="1" customWidth="1"/>
    <col min="22" max="22" width="2" style="1482" hidden="1" customWidth="1"/>
    <col min="23" max="26" width="3.7109375" style="1482" hidden="1" customWidth="1"/>
    <col min="27" max="16384" width="14.7109375" style="1482"/>
  </cols>
  <sheetData>
    <row r="1" spans="2:26" ht="12.95" customHeight="1">
      <c r="B1" s="1550" t="s">
        <v>2706</v>
      </c>
      <c r="C1" s="3061" t="s">
        <v>8269</v>
      </c>
      <c r="D1" s="3061"/>
      <c r="E1" s="3061"/>
      <c r="F1" s="3061"/>
      <c r="G1" s="3061"/>
    </row>
    <row r="2" spans="2:26" ht="5.0999999999999996" customHeight="1"/>
    <row r="3" spans="2:26" ht="12.95" customHeight="1">
      <c r="B3" s="3039" t="s">
        <v>2983</v>
      </c>
      <c r="C3" s="3039"/>
      <c r="D3" s="3039"/>
      <c r="E3" s="3039"/>
      <c r="F3" s="3039"/>
      <c r="G3" s="3039"/>
    </row>
    <row r="4" spans="2:26" ht="5.0999999999999996" customHeight="1"/>
    <row r="5" spans="2:26" ht="12.95" customHeight="1">
      <c r="B5" s="3001" t="s">
        <v>2952</v>
      </c>
      <c r="C5" s="3001"/>
      <c r="D5" s="3001"/>
      <c r="E5" s="3001"/>
      <c r="F5" s="3001"/>
      <c r="G5" s="3001"/>
    </row>
    <row r="6" spans="2:26" ht="5.0999999999999996" customHeight="1"/>
    <row r="7" spans="2:26" ht="12.95" customHeight="1">
      <c r="B7" s="78" t="s">
        <v>2953</v>
      </c>
    </row>
    <row r="8" spans="2:26" ht="12.95" customHeight="1">
      <c r="B8" s="3001" t="s">
        <v>2954</v>
      </c>
      <c r="C8" s="3001"/>
      <c r="D8" s="3001"/>
      <c r="E8" s="3001"/>
      <c r="F8" s="3001"/>
      <c r="G8" s="3001"/>
    </row>
    <row r="9" spans="2:26" ht="26.1" customHeight="1">
      <c r="B9" s="3001" t="s">
        <v>5015</v>
      </c>
      <c r="C9" s="3001"/>
      <c r="D9" s="3001"/>
      <c r="E9" s="3001"/>
      <c r="F9" s="3001"/>
      <c r="G9" s="3001"/>
    </row>
    <row r="10" spans="2:26" ht="26.1" customHeight="1">
      <c r="B10" s="3001" t="s">
        <v>2955</v>
      </c>
      <c r="C10" s="3001"/>
      <c r="D10" s="3001"/>
      <c r="E10" s="3001"/>
      <c r="F10" s="3001"/>
      <c r="G10" s="3001"/>
    </row>
    <row r="11" spans="2:26" ht="26.1" customHeight="1">
      <c r="B11" s="3001" t="s">
        <v>2960</v>
      </c>
      <c r="C11" s="3001"/>
      <c r="D11" s="3001"/>
      <c r="E11" s="3001"/>
      <c r="F11" s="3001"/>
      <c r="G11" s="3001"/>
    </row>
    <row r="12" spans="2:26" ht="5.0999999999999996" customHeight="1"/>
    <row r="13" spans="2:26" ht="12.95" customHeight="1">
      <c r="B13" s="78" t="s">
        <v>2956</v>
      </c>
    </row>
    <row r="14" spans="2:26" ht="12.95" customHeight="1" thickBot="1">
      <c r="B14" s="3001" t="s">
        <v>2957</v>
      </c>
      <c r="C14" s="3001"/>
      <c r="D14" s="3001"/>
      <c r="E14" s="3001"/>
      <c r="F14" s="3001"/>
      <c r="G14" s="3001"/>
      <c r="I14" s="2651"/>
      <c r="J14" s="3062" t="s">
        <v>8797</v>
      </c>
      <c r="K14" s="3062"/>
      <c r="L14" s="3062"/>
      <c r="M14" s="3062"/>
      <c r="N14" s="3063" t="s">
        <v>8798</v>
      </c>
      <c r="O14" s="3063"/>
      <c r="P14" s="3063"/>
      <c r="Q14" s="3063"/>
      <c r="R14" s="2651"/>
      <c r="S14" s="2651"/>
      <c r="T14" s="2651"/>
      <c r="U14" s="2651"/>
      <c r="V14" s="2651"/>
      <c r="W14" s="2651"/>
      <c r="X14" s="2651"/>
      <c r="Y14" s="2651"/>
      <c r="Z14" s="2651"/>
    </row>
    <row r="15" spans="2:26" ht="26.1" customHeight="1">
      <c r="B15" s="3001" t="s">
        <v>5016</v>
      </c>
      <c r="C15" s="3001"/>
      <c r="D15" s="3001"/>
      <c r="E15" s="3001"/>
      <c r="F15" s="3001"/>
      <c r="G15" s="3001"/>
      <c r="I15" s="2656" t="s">
        <v>2152</v>
      </c>
      <c r="J15" s="2688">
        <v>2</v>
      </c>
      <c r="K15" s="2689">
        <v>2</v>
      </c>
      <c r="L15" s="2690">
        <v>1</v>
      </c>
      <c r="M15" s="2691">
        <v>1</v>
      </c>
      <c r="N15" s="2715">
        <v>0.35</v>
      </c>
      <c r="O15" s="2716">
        <v>0.45</v>
      </c>
      <c r="P15" s="2717">
        <v>0.1</v>
      </c>
      <c r="Q15" s="2716">
        <v>0.1</v>
      </c>
      <c r="R15" s="2718">
        <v>0.3</v>
      </c>
      <c r="S15" s="2719">
        <v>0.3</v>
      </c>
      <c r="T15" s="2720">
        <v>0.2</v>
      </c>
      <c r="U15" s="2691">
        <v>0.2</v>
      </c>
      <c r="V15" s="2740" t="s">
        <v>2158</v>
      </c>
      <c r="W15" s="2651" t="s">
        <v>1304</v>
      </c>
      <c r="X15" s="2651" t="s">
        <v>7344</v>
      </c>
      <c r="Y15" s="2651" t="s">
        <v>1304</v>
      </c>
      <c r="Z15" s="2651" t="s">
        <v>1304</v>
      </c>
    </row>
    <row r="16" spans="2:26" ht="26.1" customHeight="1">
      <c r="B16" s="3001" t="s">
        <v>2958</v>
      </c>
      <c r="C16" s="3001"/>
      <c r="D16" s="3001"/>
      <c r="E16" s="3001"/>
      <c r="F16" s="3001"/>
      <c r="G16" s="3001"/>
      <c r="I16" s="2655" t="s">
        <v>390</v>
      </c>
      <c r="J16" s="2692">
        <v>1</v>
      </c>
      <c r="K16" s="2693">
        <v>0</v>
      </c>
      <c r="L16" s="2694">
        <v>2</v>
      </c>
      <c r="M16" s="2695">
        <v>2</v>
      </c>
      <c r="N16" s="2692" t="s">
        <v>2971</v>
      </c>
      <c r="O16" s="2695" t="s">
        <v>2972</v>
      </c>
      <c r="P16" s="2694" t="s">
        <v>2973</v>
      </c>
      <c r="Q16" s="2695" t="s">
        <v>2968</v>
      </c>
      <c r="R16" s="2700" t="s">
        <v>2971</v>
      </c>
      <c r="S16" s="2721" t="s">
        <v>2971</v>
      </c>
      <c r="T16" s="2722" t="s">
        <v>2973</v>
      </c>
      <c r="U16" s="2723" t="s">
        <v>2973</v>
      </c>
      <c r="V16" s="2740" t="s">
        <v>756</v>
      </c>
      <c r="W16" s="2651" t="s">
        <v>1304</v>
      </c>
      <c r="X16" s="2651" t="s">
        <v>1304</v>
      </c>
      <c r="Y16" s="2651" t="s">
        <v>1304</v>
      </c>
      <c r="Z16" s="2651" t="s">
        <v>7344</v>
      </c>
    </row>
    <row r="17" spans="2:26" ht="26.1" customHeight="1">
      <c r="B17" s="3001" t="s">
        <v>2959</v>
      </c>
      <c r="C17" s="3001"/>
      <c r="D17" s="3001"/>
      <c r="E17" s="3001"/>
      <c r="F17" s="3001"/>
      <c r="G17" s="3001"/>
      <c r="I17" s="2654" t="s">
        <v>1486</v>
      </c>
      <c r="J17" s="2696">
        <v>1</v>
      </c>
      <c r="K17" s="2697">
        <v>3</v>
      </c>
      <c r="L17" s="2698">
        <v>1</v>
      </c>
      <c r="M17" s="2699">
        <v>1</v>
      </c>
      <c r="N17" s="2696" t="s">
        <v>2968</v>
      </c>
      <c r="O17" s="2697" t="s">
        <v>2969</v>
      </c>
      <c r="P17" s="2702" t="s">
        <v>2970</v>
      </c>
      <c r="Q17" s="2697" t="s">
        <v>2970</v>
      </c>
      <c r="R17" s="2724" t="s">
        <v>2973</v>
      </c>
      <c r="S17" s="2725" t="s">
        <v>2973</v>
      </c>
      <c r="T17" s="2726" t="s">
        <v>2971</v>
      </c>
      <c r="U17" s="2699" t="s">
        <v>2971</v>
      </c>
      <c r="V17" s="2740" t="s">
        <v>2158</v>
      </c>
      <c r="W17" s="2651" t="s">
        <v>1304</v>
      </c>
      <c r="X17" s="2651" t="s">
        <v>7344</v>
      </c>
      <c r="Y17" s="2651" t="s">
        <v>1304</v>
      </c>
      <c r="Z17" s="2651" t="s">
        <v>1304</v>
      </c>
    </row>
    <row r="18" spans="2:26" ht="5.0999999999999996" customHeight="1">
      <c r="I18" s="2655" t="s">
        <v>1497</v>
      </c>
      <c r="J18" s="2700">
        <v>0</v>
      </c>
      <c r="K18" s="2695">
        <v>2</v>
      </c>
      <c r="L18" s="2701">
        <v>1</v>
      </c>
      <c r="M18" s="2695">
        <v>2</v>
      </c>
      <c r="N18" s="2692" t="s">
        <v>2970</v>
      </c>
      <c r="O18" s="2695" t="s">
        <v>2971</v>
      </c>
      <c r="P18" s="2694" t="s">
        <v>2968</v>
      </c>
      <c r="Q18" s="2695" t="s">
        <v>2968</v>
      </c>
      <c r="R18" s="2700" t="s">
        <v>2971</v>
      </c>
      <c r="S18" s="2721" t="s">
        <v>2971</v>
      </c>
      <c r="T18" s="2722" t="s">
        <v>2973</v>
      </c>
      <c r="U18" s="2723" t="s">
        <v>2973</v>
      </c>
      <c r="V18" s="2740" t="s">
        <v>756</v>
      </c>
      <c r="W18" s="2651" t="s">
        <v>1304</v>
      </c>
      <c r="X18" s="2651" t="s">
        <v>1304</v>
      </c>
      <c r="Y18" s="2651" t="s">
        <v>7344</v>
      </c>
      <c r="Z18" s="2651" t="s">
        <v>1304</v>
      </c>
    </row>
    <row r="19" spans="2:26" ht="12.95" customHeight="1">
      <c r="B19" s="78" t="s">
        <v>2961</v>
      </c>
      <c r="I19" s="2654" t="s">
        <v>1506</v>
      </c>
      <c r="J19" s="2696">
        <v>1</v>
      </c>
      <c r="K19" s="2697">
        <v>1</v>
      </c>
      <c r="L19" s="2702">
        <v>2</v>
      </c>
      <c r="M19" s="2697">
        <v>2</v>
      </c>
      <c r="N19" s="2696" t="s">
        <v>2973</v>
      </c>
      <c r="O19" s="2697" t="s">
        <v>2973</v>
      </c>
      <c r="P19" s="2702" t="s">
        <v>2971</v>
      </c>
      <c r="Q19" s="2697" t="s">
        <v>2971</v>
      </c>
      <c r="R19" s="2724" t="s">
        <v>2973</v>
      </c>
      <c r="S19" s="2725" t="s">
        <v>2973</v>
      </c>
      <c r="T19" s="2726" t="s">
        <v>2971</v>
      </c>
      <c r="U19" s="2699" t="s">
        <v>2971</v>
      </c>
      <c r="V19" s="2740" t="s">
        <v>2158</v>
      </c>
      <c r="W19" s="2651" t="s">
        <v>7344</v>
      </c>
      <c r="X19" s="2651" t="s">
        <v>1304</v>
      </c>
      <c r="Y19" s="2651" t="s">
        <v>1304</v>
      </c>
      <c r="Z19" s="2651" t="s">
        <v>1304</v>
      </c>
    </row>
    <row r="20" spans="2:26" ht="12.95" customHeight="1">
      <c r="B20" s="3001" t="s">
        <v>2962</v>
      </c>
      <c r="C20" s="3001"/>
      <c r="D20" s="3001"/>
      <c r="E20" s="3001"/>
      <c r="F20" s="3001"/>
      <c r="G20" s="3001"/>
      <c r="I20" s="2655" t="s">
        <v>1817</v>
      </c>
      <c r="J20" s="2700">
        <v>0</v>
      </c>
      <c r="K20" s="2693">
        <v>0</v>
      </c>
      <c r="L20" s="2694">
        <v>2</v>
      </c>
      <c r="M20" s="2703">
        <v>3</v>
      </c>
      <c r="N20" s="2692" t="s">
        <v>2970</v>
      </c>
      <c r="O20" s="2693" t="s">
        <v>2970</v>
      </c>
      <c r="P20" s="2694" t="s">
        <v>2974</v>
      </c>
      <c r="Q20" s="2723" t="s">
        <v>2974</v>
      </c>
      <c r="R20" s="2727" t="s">
        <v>2973</v>
      </c>
      <c r="S20" s="2721" t="s">
        <v>2971</v>
      </c>
      <c r="T20" s="2722" t="s">
        <v>2971</v>
      </c>
      <c r="U20" s="2723" t="s">
        <v>2973</v>
      </c>
      <c r="V20" s="2740" t="s">
        <v>756</v>
      </c>
      <c r="W20" s="2651" t="s">
        <v>1304</v>
      </c>
      <c r="X20" s="2651" t="s">
        <v>1304</v>
      </c>
      <c r="Y20" s="2651" t="s">
        <v>1304</v>
      </c>
      <c r="Z20" s="2651" t="s">
        <v>7344</v>
      </c>
    </row>
    <row r="21" spans="2:26" ht="12.95" customHeight="1">
      <c r="B21" s="3042" t="s">
        <v>9990</v>
      </c>
      <c r="C21" s="3042"/>
      <c r="D21" s="3042"/>
      <c r="E21" s="3042"/>
      <c r="F21" s="3042"/>
      <c r="G21" s="3042"/>
      <c r="I21" s="2654" t="s">
        <v>1686</v>
      </c>
      <c r="J21" s="2696">
        <v>2</v>
      </c>
      <c r="K21" s="2697">
        <v>2</v>
      </c>
      <c r="L21" s="2698">
        <v>1</v>
      </c>
      <c r="M21" s="2699">
        <v>1</v>
      </c>
      <c r="N21" s="2696" t="s">
        <v>2968</v>
      </c>
      <c r="O21" s="2697" t="s">
        <v>2968</v>
      </c>
      <c r="P21" s="2702" t="s">
        <v>2972</v>
      </c>
      <c r="Q21" s="2697" t="s">
        <v>2972</v>
      </c>
      <c r="R21" s="2724" t="s">
        <v>2973</v>
      </c>
      <c r="S21" s="2725" t="s">
        <v>2973</v>
      </c>
      <c r="T21" s="2726" t="s">
        <v>2971</v>
      </c>
      <c r="U21" s="2699" t="s">
        <v>2971</v>
      </c>
      <c r="V21" s="2740" t="s">
        <v>2158</v>
      </c>
      <c r="W21" s="2651" t="s">
        <v>1304</v>
      </c>
      <c r="X21" s="2651" t="s">
        <v>7344</v>
      </c>
      <c r="Y21" s="2651" t="s">
        <v>1304</v>
      </c>
      <c r="Z21" s="2651" t="s">
        <v>1304</v>
      </c>
    </row>
    <row r="22" spans="2:26" ht="5.0999999999999996" customHeight="1">
      <c r="I22" s="2655" t="s">
        <v>1697</v>
      </c>
      <c r="J22" s="2692">
        <v>1</v>
      </c>
      <c r="K22" s="2695">
        <v>1</v>
      </c>
      <c r="L22" s="2694">
        <v>2</v>
      </c>
      <c r="M22" s="2693">
        <v>1</v>
      </c>
      <c r="N22" s="2692" t="s">
        <v>2972</v>
      </c>
      <c r="O22" s="2695" t="s">
        <v>2972</v>
      </c>
      <c r="P22" s="2694" t="s">
        <v>2968</v>
      </c>
      <c r="Q22" s="2695" t="s">
        <v>2968</v>
      </c>
      <c r="R22" s="2700" t="s">
        <v>2971</v>
      </c>
      <c r="S22" s="2721" t="s">
        <v>2971</v>
      </c>
      <c r="T22" s="2722" t="s">
        <v>2973</v>
      </c>
      <c r="U22" s="2723" t="s">
        <v>2973</v>
      </c>
      <c r="V22" s="2740" t="s">
        <v>756</v>
      </c>
      <c r="W22" s="2651" t="s">
        <v>1304</v>
      </c>
      <c r="X22" s="2651" t="s">
        <v>1304</v>
      </c>
      <c r="Y22" s="2651" t="s">
        <v>1304</v>
      </c>
      <c r="Z22" s="2651" t="s">
        <v>7344</v>
      </c>
    </row>
    <row r="23" spans="2:26" ht="12.95" customHeight="1">
      <c r="B23" s="78" t="s">
        <v>2963</v>
      </c>
      <c r="I23" s="2654" t="s">
        <v>2607</v>
      </c>
      <c r="J23" s="2696">
        <v>1</v>
      </c>
      <c r="K23" s="2697">
        <v>2</v>
      </c>
      <c r="L23" s="2702">
        <v>2</v>
      </c>
      <c r="M23" s="2699">
        <v>1</v>
      </c>
      <c r="N23" s="2696" t="s">
        <v>2973</v>
      </c>
      <c r="O23" s="2697" t="s">
        <v>2975</v>
      </c>
      <c r="P23" s="2702" t="s">
        <v>2971</v>
      </c>
      <c r="Q23" s="2697" t="s">
        <v>2975</v>
      </c>
      <c r="R23" s="2724" t="s">
        <v>2975</v>
      </c>
      <c r="S23" s="2728" t="s">
        <v>2975</v>
      </c>
      <c r="T23" s="2726" t="s">
        <v>2975</v>
      </c>
      <c r="U23" s="2728" t="s">
        <v>2975</v>
      </c>
      <c r="V23" s="2740" t="s">
        <v>2158</v>
      </c>
      <c r="W23" s="2651" t="s">
        <v>7344</v>
      </c>
      <c r="X23" s="2651" t="s">
        <v>1304</v>
      </c>
      <c r="Y23" s="2651" t="s">
        <v>1304</v>
      </c>
      <c r="Z23" s="2651" t="s">
        <v>1304</v>
      </c>
    </row>
    <row r="24" spans="2:26" ht="12.95" customHeight="1">
      <c r="B24" s="3001" t="s">
        <v>2964</v>
      </c>
      <c r="C24" s="3001"/>
      <c r="D24" s="3001"/>
      <c r="E24" s="3001"/>
      <c r="F24" s="3001"/>
      <c r="G24" s="3001"/>
      <c r="I24" s="2655" t="s">
        <v>935</v>
      </c>
      <c r="J24" s="2692">
        <v>1</v>
      </c>
      <c r="K24" s="2693">
        <v>0</v>
      </c>
      <c r="L24" s="2694">
        <v>2</v>
      </c>
      <c r="M24" s="2695">
        <v>2</v>
      </c>
      <c r="N24" s="2692" t="s">
        <v>2972</v>
      </c>
      <c r="O24" s="2695" t="s">
        <v>2972</v>
      </c>
      <c r="P24" s="2694" t="s">
        <v>2968</v>
      </c>
      <c r="Q24" s="2695" t="s">
        <v>2968</v>
      </c>
      <c r="R24" s="2727" t="s">
        <v>2975</v>
      </c>
      <c r="S24" s="2721" t="s">
        <v>2975</v>
      </c>
      <c r="T24" s="2722" t="s">
        <v>2975</v>
      </c>
      <c r="U24" s="2721" t="s">
        <v>2975</v>
      </c>
      <c r="V24" s="2740" t="s">
        <v>756</v>
      </c>
      <c r="W24" s="2651" t="s">
        <v>1304</v>
      </c>
      <c r="X24" s="2651" t="s">
        <v>1304</v>
      </c>
      <c r="Y24" s="2651" t="s">
        <v>7344</v>
      </c>
      <c r="Z24" s="2651" t="s">
        <v>1304</v>
      </c>
    </row>
    <row r="25" spans="2:26" ht="12.95" customHeight="1">
      <c r="B25" s="3041" t="s">
        <v>2965</v>
      </c>
      <c r="C25" s="3041"/>
      <c r="D25" s="3041"/>
      <c r="E25" s="3041"/>
      <c r="F25" s="3041"/>
      <c r="G25" s="3041"/>
      <c r="I25" s="2654" t="s">
        <v>1349</v>
      </c>
      <c r="J25" s="2696">
        <v>2</v>
      </c>
      <c r="K25" s="2697">
        <v>2</v>
      </c>
      <c r="L25" s="2698">
        <v>1</v>
      </c>
      <c r="M25" s="2699">
        <v>1</v>
      </c>
      <c r="N25" s="2696" t="s">
        <v>2968</v>
      </c>
      <c r="O25" s="2697" t="s">
        <v>2968</v>
      </c>
      <c r="P25" s="2702" t="s">
        <v>2972</v>
      </c>
      <c r="Q25" s="2697" t="s">
        <v>2972</v>
      </c>
      <c r="R25" s="2724" t="s">
        <v>2973</v>
      </c>
      <c r="S25" s="2725" t="s">
        <v>2973</v>
      </c>
      <c r="T25" s="2726" t="s">
        <v>2971</v>
      </c>
      <c r="U25" s="2699" t="s">
        <v>2971</v>
      </c>
      <c r="V25" s="2740" t="s">
        <v>2158</v>
      </c>
      <c r="W25" s="2651" t="s">
        <v>7344</v>
      </c>
      <c r="X25" s="2651" t="s">
        <v>1304</v>
      </c>
      <c r="Y25" s="2651" t="s">
        <v>1304</v>
      </c>
      <c r="Z25" s="2651" t="s">
        <v>1304</v>
      </c>
    </row>
    <row r="26" spans="2:26" ht="12.95" customHeight="1">
      <c r="B26" s="3001" t="s">
        <v>2966</v>
      </c>
      <c r="C26" s="3001"/>
      <c r="D26" s="3001"/>
      <c r="E26" s="3001"/>
      <c r="F26" s="3001"/>
      <c r="G26" s="3001"/>
      <c r="I26" s="2655" t="s">
        <v>1361</v>
      </c>
      <c r="J26" s="2700">
        <v>0</v>
      </c>
      <c r="K26" s="2693">
        <v>0</v>
      </c>
      <c r="L26" s="2704">
        <v>3</v>
      </c>
      <c r="M26" s="2695">
        <v>2</v>
      </c>
      <c r="N26" s="2692" t="s">
        <v>2970</v>
      </c>
      <c r="O26" s="2693" t="s">
        <v>2970</v>
      </c>
      <c r="P26" s="2729" t="s">
        <v>2976</v>
      </c>
      <c r="Q26" s="2695" t="s">
        <v>2973</v>
      </c>
      <c r="R26" s="2700" t="s">
        <v>2971</v>
      </c>
      <c r="S26" s="2721" t="s">
        <v>2971</v>
      </c>
      <c r="T26" s="2722" t="s">
        <v>2973</v>
      </c>
      <c r="U26" s="2723" t="s">
        <v>2973</v>
      </c>
      <c r="V26" s="2740" t="s">
        <v>756</v>
      </c>
      <c r="W26" s="2651" t="s">
        <v>1304</v>
      </c>
      <c r="X26" s="2651" t="s">
        <v>1304</v>
      </c>
      <c r="Y26" s="2651" t="s">
        <v>7344</v>
      </c>
      <c r="Z26" s="2651" t="s">
        <v>1304</v>
      </c>
    </row>
    <row r="27" spans="2:26" ht="5.0999999999999996" customHeight="1">
      <c r="I27" s="2654" t="s">
        <v>327</v>
      </c>
      <c r="J27" s="2705">
        <v>4</v>
      </c>
      <c r="K27" s="2699">
        <v>0</v>
      </c>
      <c r="L27" s="2698">
        <v>1</v>
      </c>
      <c r="M27" s="2699">
        <v>1</v>
      </c>
      <c r="N27" s="2730" t="s">
        <v>2977</v>
      </c>
      <c r="O27" s="2697" t="s">
        <v>2968</v>
      </c>
      <c r="P27" s="2698" t="s">
        <v>2978</v>
      </c>
      <c r="Q27" s="2699" t="s">
        <v>2978</v>
      </c>
      <c r="R27" s="2724" t="s">
        <v>2973</v>
      </c>
      <c r="S27" s="2725" t="s">
        <v>2973</v>
      </c>
      <c r="T27" s="2726" t="s">
        <v>2971</v>
      </c>
      <c r="U27" s="2699" t="s">
        <v>2971</v>
      </c>
      <c r="V27" s="2740" t="s">
        <v>2158</v>
      </c>
      <c r="W27" s="2651" t="s">
        <v>7344</v>
      </c>
      <c r="X27" s="2651" t="s">
        <v>1304</v>
      </c>
      <c r="Y27" s="2651" t="s">
        <v>1304</v>
      </c>
      <c r="Z27" s="2651" t="s">
        <v>1304</v>
      </c>
    </row>
    <row r="28" spans="2:26" s="2651" customFormat="1" ht="12.95" customHeight="1" thickBot="1">
      <c r="B28" s="3001" t="s">
        <v>8833</v>
      </c>
      <c r="C28" s="3001"/>
      <c r="D28" s="3001"/>
      <c r="E28" s="3001"/>
      <c r="F28" s="3001"/>
      <c r="G28" s="3001"/>
      <c r="I28" s="2655" t="s">
        <v>475</v>
      </c>
      <c r="J28" s="2692">
        <v>2</v>
      </c>
      <c r="K28" s="2695">
        <v>1</v>
      </c>
      <c r="L28" s="2701">
        <v>1</v>
      </c>
      <c r="M28" s="2693">
        <v>1</v>
      </c>
      <c r="N28" s="2692" t="s">
        <v>2973</v>
      </c>
      <c r="O28" s="2695" t="s">
        <v>2971</v>
      </c>
      <c r="P28" s="2694" t="s">
        <v>2975</v>
      </c>
      <c r="Q28" s="2695" t="s">
        <v>2975</v>
      </c>
      <c r="R28" s="2727" t="s">
        <v>2975</v>
      </c>
      <c r="S28" s="2721" t="s">
        <v>2975</v>
      </c>
      <c r="T28" s="2722" t="s">
        <v>2975</v>
      </c>
      <c r="U28" s="2721" t="s">
        <v>2975</v>
      </c>
      <c r="V28" s="2740" t="s">
        <v>756</v>
      </c>
      <c r="W28" s="2651" t="s">
        <v>7344</v>
      </c>
      <c r="X28" s="2651" t="s">
        <v>1304</v>
      </c>
      <c r="Y28" s="2651" t="s">
        <v>1304</v>
      </c>
      <c r="Z28" s="2651" t="s">
        <v>1304</v>
      </c>
    </row>
    <row r="29" spans="2:26" s="2651" customFormat="1" ht="12.95" customHeight="1" thickBot="1">
      <c r="B29" s="3045" t="s">
        <v>2710</v>
      </c>
      <c r="C29" s="3046"/>
      <c r="D29" s="1996" t="s">
        <v>119</v>
      </c>
      <c r="E29" s="2002" t="s">
        <v>120</v>
      </c>
      <c r="F29" s="1996" t="s">
        <v>2312</v>
      </c>
      <c r="G29" s="2652" t="s">
        <v>2313</v>
      </c>
      <c r="I29" s="2654" t="s">
        <v>398</v>
      </c>
      <c r="J29" s="2706">
        <v>0</v>
      </c>
      <c r="K29" s="2707">
        <v>4</v>
      </c>
      <c r="L29" s="2698">
        <v>1</v>
      </c>
      <c r="M29" s="2699">
        <v>1</v>
      </c>
      <c r="N29" s="2696" t="s">
        <v>2973</v>
      </c>
      <c r="O29" s="2725" t="s">
        <v>2976</v>
      </c>
      <c r="P29" s="2702" t="s">
        <v>2970</v>
      </c>
      <c r="Q29" s="2697" t="s">
        <v>2970</v>
      </c>
      <c r="R29" s="2724" t="s">
        <v>2973</v>
      </c>
      <c r="S29" s="2725" t="s">
        <v>2973</v>
      </c>
      <c r="T29" s="2726" t="s">
        <v>2971</v>
      </c>
      <c r="U29" s="2699" t="s">
        <v>2971</v>
      </c>
      <c r="V29" s="2740" t="s">
        <v>2158</v>
      </c>
      <c r="W29" s="2651" t="s">
        <v>1304</v>
      </c>
      <c r="X29" s="2651" t="s">
        <v>7344</v>
      </c>
      <c r="Y29" s="2651" t="s">
        <v>1304</v>
      </c>
      <c r="Z29" s="2651" t="s">
        <v>1304</v>
      </c>
    </row>
    <row r="30" spans="2:26" s="2651" customFormat="1" ht="26.1" customHeight="1" thickBot="1">
      <c r="B30" s="3043" t="s">
        <v>2152</v>
      </c>
      <c r="C30" s="3044"/>
      <c r="D30" s="3047">
        <f>IF(VLOOKUP(B30,I15:Z32,15,FALSE)="да",ROUNDUP(VLOOKUP(B30,I15:V32,2,FALSE)+IF(C31&lt;10,(C31-1)*VLOOKUP(B30,I15:V32,6,FALSE),9*VLOOKUP(B30,I15:V32,6,FALSE)+(C31-9)*VLOOKUP(B30,I15:V32,10,FALSE)),0),ROUNDDOWN(VLOOKUP(B30,I15:V32,2,FALSE)+IF(C31&lt;10,(C31-1)*VLOOKUP(B30,I15:V32,6,FALSE),9*VLOOKUP(B30,I15:V32,6,FALSE)+(C31-9)*VLOOKUP(B30,I15:V32,10,FALSE)),0))</f>
        <v>2</v>
      </c>
      <c r="E30" s="3049">
        <f>IF(VLOOKUP(B30,I15:Z32,16,FALSE)="да",ROUNDUP(VLOOKUP(B30,I15:V32,3,FALSE)+IF(C31&lt;10,(C31-1)*VLOOKUP(B30,I15:V32,7,FALSE),9*VLOOKUP(B30,I15:V32,7,FALSE)+(C31-9)*VLOOKUP(B30,I15:V32,11,FALSE)),0),ROUNDDOWN(VLOOKUP(B30,I15:V32,3,FALSE)+IF(C31&lt;10,(C31-1)*VLOOKUP(B30,I15:V32,7,FALSE),9*VLOOKUP(B30,I15:V32,7,FALSE)+(C31-9)*VLOOKUP(B30,I15:V32,11,FALSE)),0))</f>
        <v>2</v>
      </c>
      <c r="F30" s="3047">
        <f>IF(VLOOKUP(B30,I15:Z32,17,FALSE)="да",ROUNDUP(VLOOKUP(B30,I15:V32,4,FALSE)+IF(C31&lt;10,(C31-1)*VLOOKUP(B30,I15:V32,8,FALSE),9*VLOOKUP(B30,I15:V32,8,FALSE)+(C31-9)*VLOOKUP(B30,I15:V32,12,FALSE)),0),ROUNDDOWN(VLOOKUP(B30,I15:V32,4,FALSE)+IF(C31&lt;10,(C31-1)*VLOOKUP(B30,I15:V32,8,FALSE),9*VLOOKUP(B30,I15:V32,8,FALSE)+(C31-9)*VLOOKUP(B30,I15:V32,12,FALSE)),0))</f>
        <v>1</v>
      </c>
      <c r="G30" s="3064">
        <f>VLOOKUP(B30,I15:Z32,14,FALSE)+C31-1-D30-E30-F30</f>
        <v>1</v>
      </c>
      <c r="I30" s="2655" t="s">
        <v>169</v>
      </c>
      <c r="J30" s="2708">
        <v>0</v>
      </c>
      <c r="K30" s="2709">
        <v>1</v>
      </c>
      <c r="L30" s="2710">
        <v>2</v>
      </c>
      <c r="M30" s="2709">
        <v>2</v>
      </c>
      <c r="N30" s="2708" t="s">
        <v>2978</v>
      </c>
      <c r="O30" s="2709" t="s">
        <v>2972</v>
      </c>
      <c r="P30" s="2710" t="s">
        <v>2974</v>
      </c>
      <c r="Q30" s="2731" t="s">
        <v>2974</v>
      </c>
      <c r="R30" s="2708" t="s">
        <v>2971</v>
      </c>
      <c r="S30" s="2732" t="s">
        <v>2971</v>
      </c>
      <c r="T30" s="2733" t="s">
        <v>2973</v>
      </c>
      <c r="U30" s="2731" t="s">
        <v>2973</v>
      </c>
      <c r="V30" s="2740" t="s">
        <v>756</v>
      </c>
      <c r="W30" s="2651" t="s">
        <v>1304</v>
      </c>
      <c r="X30" s="2651" t="s">
        <v>1304</v>
      </c>
      <c r="Y30" s="2651" t="s">
        <v>1304</v>
      </c>
      <c r="Z30" s="2651" t="s">
        <v>7344</v>
      </c>
    </row>
    <row r="31" spans="2:26" s="2651" customFormat="1" ht="26.1" customHeight="1" thickBot="1">
      <c r="B31" s="2687" t="s">
        <v>8799</v>
      </c>
      <c r="C31" s="2742">
        <v>1</v>
      </c>
      <c r="D31" s="3048"/>
      <c r="E31" s="3050"/>
      <c r="F31" s="3048"/>
      <c r="G31" s="3065"/>
      <c r="I31" s="2654" t="s">
        <v>2048</v>
      </c>
      <c r="J31" s="2696">
        <v>3</v>
      </c>
      <c r="K31" s="2697">
        <v>1</v>
      </c>
      <c r="L31" s="2698">
        <v>1</v>
      </c>
      <c r="M31" s="2699">
        <v>1</v>
      </c>
      <c r="N31" s="2696" t="s">
        <v>2969</v>
      </c>
      <c r="O31" s="2697" t="s">
        <v>2975</v>
      </c>
      <c r="P31" s="2702" t="s">
        <v>2972</v>
      </c>
      <c r="Q31" s="2697" t="s">
        <v>2972</v>
      </c>
      <c r="R31" s="2724" t="s">
        <v>2973</v>
      </c>
      <c r="S31" s="2725" t="s">
        <v>2973</v>
      </c>
      <c r="T31" s="2726" t="s">
        <v>2971</v>
      </c>
      <c r="U31" s="2699" t="s">
        <v>2971</v>
      </c>
      <c r="V31" s="2740" t="s">
        <v>2158</v>
      </c>
      <c r="W31" s="2651" t="s">
        <v>7344</v>
      </c>
      <c r="X31" s="2651" t="s">
        <v>1304</v>
      </c>
      <c r="Y31" s="2651" t="s">
        <v>1304</v>
      </c>
      <c r="Z31" s="2651" t="s">
        <v>1304</v>
      </c>
    </row>
    <row r="32" spans="2:26" s="2651" customFormat="1" ht="12.95" customHeight="1" thickBot="1">
      <c r="B32" s="3051" t="s">
        <v>8832</v>
      </c>
      <c r="C32" s="3051"/>
      <c r="D32" s="3051"/>
      <c r="E32" s="3051"/>
      <c r="F32" s="3051"/>
      <c r="G32" s="3051"/>
      <c r="I32" s="2653" t="s">
        <v>2737</v>
      </c>
      <c r="J32" s="2711">
        <v>0</v>
      </c>
      <c r="K32" s="2712">
        <v>0</v>
      </c>
      <c r="L32" s="2713">
        <v>3</v>
      </c>
      <c r="M32" s="2714">
        <v>3</v>
      </c>
      <c r="N32" s="2734" t="s">
        <v>2972</v>
      </c>
      <c r="O32" s="2735" t="s">
        <v>2972</v>
      </c>
      <c r="P32" s="2736" t="s">
        <v>2968</v>
      </c>
      <c r="Q32" s="2735" t="s">
        <v>2968</v>
      </c>
      <c r="R32" s="2737" t="s">
        <v>2975</v>
      </c>
      <c r="S32" s="2738" t="s">
        <v>2975</v>
      </c>
      <c r="T32" s="2739" t="s">
        <v>2975</v>
      </c>
      <c r="U32" s="2738" t="s">
        <v>2975</v>
      </c>
      <c r="V32" s="2740" t="s">
        <v>2158</v>
      </c>
      <c r="W32" s="2651" t="s">
        <v>1304</v>
      </c>
      <c r="X32" s="2651" t="s">
        <v>1304</v>
      </c>
      <c r="Y32" s="2651" t="s">
        <v>7344</v>
      </c>
      <c r="Z32" s="2651" t="s">
        <v>1304</v>
      </c>
    </row>
    <row r="33" spans="2:21" s="2651" customFormat="1" ht="5.0999999999999996" customHeight="1">
      <c r="C33" s="1549"/>
      <c r="D33" s="1547"/>
      <c r="E33" s="1132"/>
    </row>
    <row r="34" spans="2:21" ht="12.95" customHeight="1" thickBot="1">
      <c r="B34" s="3040" t="s">
        <v>2967</v>
      </c>
      <c r="C34" s="3040"/>
      <c r="D34" s="3040"/>
      <c r="E34" s="3040"/>
      <c r="F34" s="3040"/>
      <c r="G34" s="3040"/>
    </row>
    <row r="35" spans="2:21" ht="12.95" customHeight="1" thickBot="1">
      <c r="B35" s="3059" t="s">
        <v>2710</v>
      </c>
      <c r="C35" s="3060"/>
      <c r="D35" s="1988" t="s">
        <v>119</v>
      </c>
      <c r="E35" s="1996" t="s">
        <v>120</v>
      </c>
      <c r="F35" s="2002" t="s">
        <v>2312</v>
      </c>
      <c r="G35" s="1996" t="s">
        <v>2313</v>
      </c>
    </row>
    <row r="36" spans="2:21" ht="12.95" customHeight="1">
      <c r="B36" s="3054" t="s">
        <v>2152</v>
      </c>
      <c r="C36" s="3055"/>
      <c r="D36" s="1989">
        <v>2</v>
      </c>
      <c r="E36" s="1997">
        <v>2</v>
      </c>
      <c r="F36" s="2003">
        <v>1</v>
      </c>
      <c r="G36" s="2009">
        <v>1</v>
      </c>
    </row>
    <row r="37" spans="2:21" ht="12.95" customHeight="1">
      <c r="B37" s="3037" t="s">
        <v>390</v>
      </c>
      <c r="C37" s="3038"/>
      <c r="D37" s="1990">
        <v>1</v>
      </c>
      <c r="E37" s="1998">
        <v>0</v>
      </c>
      <c r="F37" s="2004">
        <v>2</v>
      </c>
      <c r="G37" s="2000">
        <v>2</v>
      </c>
    </row>
    <row r="38" spans="2:21" ht="12.95" customHeight="1">
      <c r="B38" s="3052" t="s">
        <v>1486</v>
      </c>
      <c r="C38" s="3053"/>
      <c r="D38" s="1991">
        <v>1</v>
      </c>
      <c r="E38" s="1999">
        <v>3</v>
      </c>
      <c r="F38" s="2005">
        <v>1</v>
      </c>
      <c r="G38" s="1987">
        <v>1</v>
      </c>
    </row>
    <row r="39" spans="2:21" ht="12.95" customHeight="1">
      <c r="B39" s="3037" t="s">
        <v>1497</v>
      </c>
      <c r="C39" s="3038"/>
      <c r="D39" s="1992">
        <v>0</v>
      </c>
      <c r="E39" s="2000">
        <v>2</v>
      </c>
      <c r="F39" s="2006">
        <v>1</v>
      </c>
      <c r="G39" s="2000">
        <v>2</v>
      </c>
    </row>
    <row r="40" spans="2:21" ht="12.95" customHeight="1">
      <c r="B40" s="3052" t="s">
        <v>1506</v>
      </c>
      <c r="C40" s="3053"/>
      <c r="D40" s="1991">
        <v>1</v>
      </c>
      <c r="E40" s="1999">
        <v>1</v>
      </c>
      <c r="F40" s="2007">
        <v>2</v>
      </c>
      <c r="G40" s="1999">
        <v>2</v>
      </c>
    </row>
    <row r="41" spans="2:21" ht="12.95" customHeight="1">
      <c r="B41" s="3037" t="s">
        <v>1817</v>
      </c>
      <c r="C41" s="3038"/>
      <c r="D41" s="1992">
        <v>0</v>
      </c>
      <c r="E41" s="1998">
        <v>0</v>
      </c>
      <c r="F41" s="2004">
        <v>2</v>
      </c>
      <c r="G41" s="2060">
        <v>3</v>
      </c>
    </row>
    <row r="42" spans="2:21" ht="12.95" customHeight="1">
      <c r="B42" s="3052" t="s">
        <v>1686</v>
      </c>
      <c r="C42" s="3053"/>
      <c r="D42" s="1991">
        <v>2</v>
      </c>
      <c r="E42" s="1999">
        <v>2</v>
      </c>
      <c r="F42" s="2005">
        <v>1</v>
      </c>
      <c r="G42" s="1987">
        <v>1</v>
      </c>
    </row>
    <row r="43" spans="2:21" ht="12.95" customHeight="1">
      <c r="B43" s="3037" t="s">
        <v>1697</v>
      </c>
      <c r="C43" s="3038"/>
      <c r="D43" s="1990">
        <v>1</v>
      </c>
      <c r="E43" s="2000">
        <v>1</v>
      </c>
      <c r="F43" s="2004">
        <v>2</v>
      </c>
      <c r="G43" s="1998">
        <v>1</v>
      </c>
    </row>
    <row r="44" spans="2:21" ht="12.95" customHeight="1">
      <c r="B44" s="3052" t="s">
        <v>2607</v>
      </c>
      <c r="C44" s="3053"/>
      <c r="D44" s="1991">
        <v>1</v>
      </c>
      <c r="E44" s="1999">
        <v>2</v>
      </c>
      <c r="F44" s="2007">
        <v>2</v>
      </c>
      <c r="G44" s="1987">
        <v>1</v>
      </c>
      <c r="U44" s="2741" t="s">
        <v>729</v>
      </c>
    </row>
    <row r="45" spans="2:21" ht="12.95" customHeight="1">
      <c r="B45" s="3037" t="s">
        <v>935</v>
      </c>
      <c r="C45" s="3038"/>
      <c r="D45" s="1990">
        <v>1</v>
      </c>
      <c r="E45" s="1998">
        <v>0</v>
      </c>
      <c r="F45" s="2004">
        <v>2</v>
      </c>
      <c r="G45" s="2000">
        <v>2</v>
      </c>
      <c r="U45" s="2741" t="s">
        <v>2135</v>
      </c>
    </row>
    <row r="46" spans="2:21" ht="12.95" customHeight="1">
      <c r="B46" s="3052" t="s">
        <v>1349</v>
      </c>
      <c r="C46" s="3053"/>
      <c r="D46" s="1991">
        <v>2</v>
      </c>
      <c r="E46" s="1999">
        <v>2</v>
      </c>
      <c r="F46" s="2005">
        <v>1</v>
      </c>
      <c r="G46" s="1987">
        <v>1</v>
      </c>
      <c r="U46" s="2741" t="s">
        <v>844</v>
      </c>
    </row>
    <row r="47" spans="2:21" ht="12.95" customHeight="1">
      <c r="B47" s="3037" t="s">
        <v>1361</v>
      </c>
      <c r="C47" s="3038"/>
      <c r="D47" s="1992">
        <v>0</v>
      </c>
      <c r="E47" s="1998">
        <v>0</v>
      </c>
      <c r="F47" s="2058">
        <v>3</v>
      </c>
      <c r="G47" s="2000">
        <v>2</v>
      </c>
      <c r="U47" s="2741" t="s">
        <v>755</v>
      </c>
    </row>
    <row r="48" spans="2:21" ht="12.95" customHeight="1">
      <c r="B48" s="3052" t="s">
        <v>327</v>
      </c>
      <c r="C48" s="3053"/>
      <c r="D48" s="2055">
        <v>4</v>
      </c>
      <c r="E48" s="1987">
        <v>0</v>
      </c>
      <c r="F48" s="2005">
        <v>1</v>
      </c>
      <c r="G48" s="1987">
        <v>1</v>
      </c>
      <c r="U48" s="2741" t="s">
        <v>756</v>
      </c>
    </row>
    <row r="49" spans="2:21" ht="12.95" customHeight="1">
      <c r="B49" s="3037" t="s">
        <v>475</v>
      </c>
      <c r="C49" s="3038"/>
      <c r="D49" s="1990">
        <v>2</v>
      </c>
      <c r="E49" s="2000">
        <v>1</v>
      </c>
      <c r="F49" s="2006">
        <v>1</v>
      </c>
      <c r="G49" s="1998">
        <v>1</v>
      </c>
      <c r="U49" s="2741" t="s">
        <v>2158</v>
      </c>
    </row>
    <row r="50" spans="2:21" ht="12.95" customHeight="1">
      <c r="B50" s="3052" t="s">
        <v>398</v>
      </c>
      <c r="C50" s="3053"/>
      <c r="D50" s="1993">
        <v>0</v>
      </c>
      <c r="E50" s="2056">
        <v>4</v>
      </c>
      <c r="F50" s="2005">
        <v>1</v>
      </c>
      <c r="G50" s="1987">
        <v>1</v>
      </c>
      <c r="U50" s="2741" t="s">
        <v>1888</v>
      </c>
    </row>
    <row r="51" spans="2:21" ht="12.95" customHeight="1">
      <c r="B51" s="3037" t="s">
        <v>169</v>
      </c>
      <c r="C51" s="3038"/>
      <c r="D51" s="1994">
        <v>0</v>
      </c>
      <c r="E51" s="1986">
        <v>1</v>
      </c>
      <c r="F51" s="2008">
        <v>2</v>
      </c>
      <c r="G51" s="1986">
        <v>2</v>
      </c>
      <c r="U51" s="2741" t="s">
        <v>2137</v>
      </c>
    </row>
    <row r="52" spans="2:21" ht="12.95" customHeight="1">
      <c r="B52" s="3052" t="s">
        <v>2048</v>
      </c>
      <c r="C52" s="3053"/>
      <c r="D52" s="1991">
        <v>3</v>
      </c>
      <c r="E52" s="1999">
        <v>1</v>
      </c>
      <c r="F52" s="2005">
        <v>1</v>
      </c>
      <c r="G52" s="1987">
        <v>1</v>
      </c>
      <c r="U52" s="2741" t="s">
        <v>3157</v>
      </c>
    </row>
    <row r="53" spans="2:21" ht="12.95" customHeight="1" thickBot="1">
      <c r="B53" s="3057" t="s">
        <v>2737</v>
      </c>
      <c r="C53" s="3058"/>
      <c r="D53" s="1995">
        <v>0</v>
      </c>
      <c r="E53" s="2001">
        <v>0</v>
      </c>
      <c r="F53" s="2057">
        <v>3</v>
      </c>
      <c r="G53" s="2059">
        <v>3</v>
      </c>
      <c r="U53" s="2741" t="s">
        <v>2136</v>
      </c>
    </row>
    <row r="54" spans="2:21" ht="5.0999999999999996" customHeight="1">
      <c r="B54" s="1548"/>
      <c r="C54" s="1548"/>
      <c r="D54" s="1548"/>
      <c r="E54" s="1548"/>
      <c r="F54" s="1548"/>
      <c r="G54" s="1548"/>
      <c r="U54" s="2741" t="s">
        <v>3158</v>
      </c>
    </row>
    <row r="55" spans="2:21" ht="12.95" customHeight="1">
      <c r="B55" s="3056" t="s">
        <v>2979</v>
      </c>
      <c r="C55" s="3056"/>
      <c r="D55" s="3056"/>
      <c r="E55" s="3056"/>
      <c r="F55" s="3056"/>
      <c r="G55" s="3056"/>
      <c r="U55" s="2741" t="s">
        <v>1458</v>
      </c>
    </row>
    <row r="56" spans="2:21" ht="12.95" customHeight="1">
      <c r="B56" s="3056" t="s">
        <v>2980</v>
      </c>
      <c r="C56" s="3056"/>
      <c r="D56" s="3056"/>
      <c r="E56" s="3056"/>
      <c r="F56" s="3056"/>
      <c r="G56" s="3056"/>
      <c r="U56" s="2741" t="s">
        <v>3477</v>
      </c>
    </row>
    <row r="57" spans="2:21" ht="12.95" customHeight="1" thickBot="1">
      <c r="B57" s="3056" t="s">
        <v>2981</v>
      </c>
      <c r="C57" s="3056"/>
      <c r="D57" s="3056"/>
      <c r="E57" s="3056"/>
      <c r="F57" s="3056"/>
      <c r="G57" s="3056"/>
      <c r="U57" s="2741" t="s">
        <v>1665</v>
      </c>
    </row>
    <row r="58" spans="2:21" ht="12.95" customHeight="1" thickBot="1">
      <c r="B58" s="3059" t="s">
        <v>2710</v>
      </c>
      <c r="C58" s="3060"/>
      <c r="D58" s="1988" t="s">
        <v>119</v>
      </c>
      <c r="E58" s="1996" t="s">
        <v>120</v>
      </c>
      <c r="F58" s="2002" t="s">
        <v>2312</v>
      </c>
      <c r="G58" s="1996" t="s">
        <v>2313</v>
      </c>
      <c r="U58" s="2741" t="s">
        <v>678</v>
      </c>
    </row>
    <row r="59" spans="2:21" ht="12.95" customHeight="1">
      <c r="B59" s="3054" t="s">
        <v>2152</v>
      </c>
      <c r="C59" s="3055"/>
      <c r="D59" s="2013" t="s">
        <v>2968</v>
      </c>
      <c r="E59" s="2019" t="s">
        <v>2969</v>
      </c>
      <c r="F59" s="2024" t="s">
        <v>2970</v>
      </c>
      <c r="G59" s="2019" t="s">
        <v>2970</v>
      </c>
      <c r="U59" s="2741" t="s">
        <v>1640</v>
      </c>
    </row>
    <row r="60" spans="2:21" ht="12.95" customHeight="1">
      <c r="B60" s="3037" t="s">
        <v>390</v>
      </c>
      <c r="C60" s="3038"/>
      <c r="D60" s="2014" t="s">
        <v>2971</v>
      </c>
      <c r="E60" s="2020" t="s">
        <v>2972</v>
      </c>
      <c r="F60" s="2025" t="s">
        <v>2973</v>
      </c>
      <c r="G60" s="2020" t="s">
        <v>2968</v>
      </c>
      <c r="U60" s="2741" t="s">
        <v>3159</v>
      </c>
    </row>
    <row r="61" spans="2:21" ht="12.95" customHeight="1">
      <c r="B61" s="3052" t="s">
        <v>1486</v>
      </c>
      <c r="C61" s="3053"/>
      <c r="D61" s="2015" t="s">
        <v>2968</v>
      </c>
      <c r="E61" s="2011" t="s">
        <v>2969</v>
      </c>
      <c r="F61" s="2026" t="s">
        <v>2970</v>
      </c>
      <c r="G61" s="2011" t="s">
        <v>2970</v>
      </c>
      <c r="U61" s="2741" t="s">
        <v>1905</v>
      </c>
    </row>
    <row r="62" spans="2:21" ht="12.95" customHeight="1">
      <c r="B62" s="3037" t="s">
        <v>1497</v>
      </c>
      <c r="C62" s="3038"/>
      <c r="D62" s="2014" t="s">
        <v>2970</v>
      </c>
      <c r="E62" s="2020" t="s">
        <v>2971</v>
      </c>
      <c r="F62" s="2025" t="s">
        <v>2968</v>
      </c>
      <c r="G62" s="2020" t="s">
        <v>2968</v>
      </c>
      <c r="U62" s="2741" t="s">
        <v>3160</v>
      </c>
    </row>
    <row r="63" spans="2:21" ht="12.95" customHeight="1">
      <c r="B63" s="3052" t="s">
        <v>1506</v>
      </c>
      <c r="C63" s="3053"/>
      <c r="D63" s="2015" t="s">
        <v>2973</v>
      </c>
      <c r="E63" s="2011" t="s">
        <v>2973</v>
      </c>
      <c r="F63" s="2026" t="s">
        <v>2971</v>
      </c>
      <c r="G63" s="2011" t="s">
        <v>2971</v>
      </c>
      <c r="U63" s="2741" t="s">
        <v>1393</v>
      </c>
    </row>
    <row r="64" spans="2:21" ht="12.95" customHeight="1">
      <c r="B64" s="3037" t="s">
        <v>1817</v>
      </c>
      <c r="C64" s="3038"/>
      <c r="D64" s="2014" t="s">
        <v>2970</v>
      </c>
      <c r="E64" s="2021" t="s">
        <v>2970</v>
      </c>
      <c r="F64" s="2025" t="s">
        <v>2974</v>
      </c>
      <c r="G64" s="2031" t="s">
        <v>2974</v>
      </c>
      <c r="U64" s="2741" t="s">
        <v>3161</v>
      </c>
    </row>
    <row r="65" spans="2:21" ht="12.95" customHeight="1">
      <c r="B65" s="3052" t="s">
        <v>1686</v>
      </c>
      <c r="C65" s="3053"/>
      <c r="D65" s="2015" t="s">
        <v>2968</v>
      </c>
      <c r="E65" s="2011" t="s">
        <v>2968</v>
      </c>
      <c r="F65" s="2026" t="s">
        <v>2972</v>
      </c>
      <c r="G65" s="2011" t="s">
        <v>2972</v>
      </c>
      <c r="U65" s="2741" t="s">
        <v>3162</v>
      </c>
    </row>
    <row r="66" spans="2:21" ht="12.95" customHeight="1">
      <c r="B66" s="3037" t="s">
        <v>1697</v>
      </c>
      <c r="C66" s="3038"/>
      <c r="D66" s="2014" t="s">
        <v>2972</v>
      </c>
      <c r="E66" s="2020" t="s">
        <v>2972</v>
      </c>
      <c r="F66" s="2025" t="s">
        <v>2968</v>
      </c>
      <c r="G66" s="2020" t="s">
        <v>2968</v>
      </c>
      <c r="U66" s="2741" t="s">
        <v>3163</v>
      </c>
    </row>
    <row r="67" spans="2:21" ht="12.95" customHeight="1">
      <c r="B67" s="3052" t="s">
        <v>2607</v>
      </c>
      <c r="C67" s="3053"/>
      <c r="D67" s="2015" t="s">
        <v>2973</v>
      </c>
      <c r="E67" s="2011" t="s">
        <v>2975</v>
      </c>
      <c r="F67" s="2026" t="s">
        <v>2971</v>
      </c>
      <c r="G67" s="2011" t="s">
        <v>2975</v>
      </c>
      <c r="U67" s="2741" t="s">
        <v>2010</v>
      </c>
    </row>
    <row r="68" spans="2:21" ht="12.95" customHeight="1">
      <c r="B68" s="3037" t="s">
        <v>935</v>
      </c>
      <c r="C68" s="3038"/>
      <c r="D68" s="2014" t="s">
        <v>2972</v>
      </c>
      <c r="E68" s="2020" t="s">
        <v>2972</v>
      </c>
      <c r="F68" s="2025" t="s">
        <v>2968</v>
      </c>
      <c r="G68" s="2020" t="s">
        <v>2968</v>
      </c>
      <c r="U68" s="2741" t="s">
        <v>2350</v>
      </c>
    </row>
    <row r="69" spans="2:21" ht="12.95" customHeight="1">
      <c r="B69" s="3052" t="s">
        <v>1349</v>
      </c>
      <c r="C69" s="3053"/>
      <c r="D69" s="2015" t="s">
        <v>2968</v>
      </c>
      <c r="E69" s="2011" t="s">
        <v>2968</v>
      </c>
      <c r="F69" s="2026" t="s">
        <v>2972</v>
      </c>
      <c r="G69" s="2011" t="s">
        <v>2972</v>
      </c>
      <c r="U69" s="2741" t="s">
        <v>3164</v>
      </c>
    </row>
    <row r="70" spans="2:21" ht="12.95" customHeight="1">
      <c r="B70" s="3037" t="s">
        <v>1361</v>
      </c>
      <c r="C70" s="3038"/>
      <c r="D70" s="2014" t="s">
        <v>2970</v>
      </c>
      <c r="E70" s="2021" t="s">
        <v>2970</v>
      </c>
      <c r="F70" s="2027" t="s">
        <v>2976</v>
      </c>
      <c r="G70" s="2020" t="s">
        <v>2973</v>
      </c>
      <c r="U70" s="2741" t="s">
        <v>3165</v>
      </c>
    </row>
    <row r="71" spans="2:21" ht="12.95" customHeight="1">
      <c r="B71" s="3052" t="s">
        <v>327</v>
      </c>
      <c r="C71" s="3053"/>
      <c r="D71" s="2016" t="s">
        <v>2977</v>
      </c>
      <c r="E71" s="2011" t="s">
        <v>2968</v>
      </c>
      <c r="F71" s="2028" t="s">
        <v>2978</v>
      </c>
      <c r="G71" s="2032" t="s">
        <v>2978</v>
      </c>
      <c r="U71" s="2741" t="s">
        <v>3166</v>
      </c>
    </row>
    <row r="72" spans="2:21" ht="12.95" customHeight="1">
      <c r="B72" s="3037" t="s">
        <v>475</v>
      </c>
      <c r="C72" s="3038"/>
      <c r="D72" s="2014" t="s">
        <v>2973</v>
      </c>
      <c r="E72" s="2020" t="s">
        <v>2971</v>
      </c>
      <c r="F72" s="2025" t="s">
        <v>2975</v>
      </c>
      <c r="G72" s="2020" t="s">
        <v>2975</v>
      </c>
      <c r="U72" s="2741" t="s">
        <v>3167</v>
      </c>
    </row>
    <row r="73" spans="2:21" ht="12.95" customHeight="1">
      <c r="B73" s="3052" t="s">
        <v>398</v>
      </c>
      <c r="C73" s="3053"/>
      <c r="D73" s="2015" t="s">
        <v>2973</v>
      </c>
      <c r="E73" s="2022" t="s">
        <v>2976</v>
      </c>
      <c r="F73" s="2026" t="s">
        <v>2970</v>
      </c>
      <c r="G73" s="2011" t="s">
        <v>2970</v>
      </c>
      <c r="U73" s="2741" t="s">
        <v>561</v>
      </c>
    </row>
    <row r="74" spans="2:21" ht="12.95" customHeight="1">
      <c r="B74" s="3037" t="s">
        <v>169</v>
      </c>
      <c r="C74" s="3038"/>
      <c r="D74" s="2017" t="s">
        <v>2978</v>
      </c>
      <c r="E74" s="2023" t="s">
        <v>2972</v>
      </c>
      <c r="F74" s="2029" t="s">
        <v>2974</v>
      </c>
      <c r="G74" s="2010" t="s">
        <v>2974</v>
      </c>
      <c r="U74" s="2741" t="s">
        <v>3168</v>
      </c>
    </row>
    <row r="75" spans="2:21" ht="12.95" customHeight="1">
      <c r="B75" s="3052" t="s">
        <v>2048</v>
      </c>
      <c r="C75" s="3053"/>
      <c r="D75" s="2015" t="s">
        <v>2969</v>
      </c>
      <c r="E75" s="2011" t="s">
        <v>2975</v>
      </c>
      <c r="F75" s="2026" t="s">
        <v>2972</v>
      </c>
      <c r="G75" s="2011" t="s">
        <v>2972</v>
      </c>
      <c r="U75" s="2741" t="s">
        <v>3169</v>
      </c>
    </row>
    <row r="76" spans="2:21" ht="12.95" customHeight="1" thickBot="1">
      <c r="B76" s="3057" t="s">
        <v>2737</v>
      </c>
      <c r="C76" s="3058"/>
      <c r="D76" s="2018" t="s">
        <v>2972</v>
      </c>
      <c r="E76" s="2012" t="s">
        <v>2972</v>
      </c>
      <c r="F76" s="2030" t="s">
        <v>2968</v>
      </c>
      <c r="G76" s="2012" t="s">
        <v>2968</v>
      </c>
      <c r="U76" s="2741" t="s">
        <v>3170</v>
      </c>
    </row>
    <row r="77" spans="2:21" ht="5.0999999999999996" customHeight="1">
      <c r="B77" s="1548"/>
      <c r="C77" s="1548"/>
      <c r="D77" s="1548"/>
      <c r="E77" s="1548"/>
      <c r="F77" s="1548"/>
      <c r="G77" s="1548"/>
      <c r="U77" s="2741" t="s">
        <v>3171</v>
      </c>
    </row>
    <row r="78" spans="2:21" ht="12.95" customHeight="1" thickBot="1">
      <c r="B78" s="3056" t="s">
        <v>2982</v>
      </c>
      <c r="C78" s="3056"/>
      <c r="D78" s="3056"/>
      <c r="E78" s="3056"/>
      <c r="F78" s="3056"/>
      <c r="G78" s="3056"/>
      <c r="U78" s="2741" t="s">
        <v>3172</v>
      </c>
    </row>
    <row r="79" spans="2:21" ht="12.95" customHeight="1" thickBot="1">
      <c r="B79" s="3059" t="s">
        <v>2710</v>
      </c>
      <c r="C79" s="3060"/>
      <c r="D79" s="1988" t="s">
        <v>119</v>
      </c>
      <c r="E79" s="1996" t="s">
        <v>120</v>
      </c>
      <c r="F79" s="2002" t="s">
        <v>2312</v>
      </c>
      <c r="G79" s="1996" t="s">
        <v>2313</v>
      </c>
      <c r="U79" s="2741" t="s">
        <v>3173</v>
      </c>
    </row>
    <row r="80" spans="2:21" ht="12.95" customHeight="1">
      <c r="B80" s="3054" t="s">
        <v>2152</v>
      </c>
      <c r="C80" s="3055"/>
      <c r="D80" s="2034" t="s">
        <v>2973</v>
      </c>
      <c r="E80" s="2039" t="s">
        <v>2973</v>
      </c>
      <c r="F80" s="2041" t="s">
        <v>2971</v>
      </c>
      <c r="G80" s="2046" t="s">
        <v>2971</v>
      </c>
      <c r="U80" s="2741" t="s">
        <v>3174</v>
      </c>
    </row>
    <row r="81" spans="2:21" ht="12.95" customHeight="1">
      <c r="B81" s="3037" t="s">
        <v>390</v>
      </c>
      <c r="C81" s="3038"/>
      <c r="D81" s="2035" t="s">
        <v>2971</v>
      </c>
      <c r="E81" s="166" t="s">
        <v>2971</v>
      </c>
      <c r="F81" s="2042" t="s">
        <v>2973</v>
      </c>
      <c r="G81" s="2031" t="s">
        <v>2973</v>
      </c>
      <c r="U81" s="2741" t="s">
        <v>3175</v>
      </c>
    </row>
    <row r="82" spans="2:21" ht="12.95" customHeight="1">
      <c r="B82" s="3052" t="s">
        <v>1486</v>
      </c>
      <c r="C82" s="3053"/>
      <c r="D82" s="2036" t="s">
        <v>2973</v>
      </c>
      <c r="E82" s="2022" t="s">
        <v>2973</v>
      </c>
      <c r="F82" s="2043" t="s">
        <v>2971</v>
      </c>
      <c r="G82" s="2032" t="s">
        <v>2971</v>
      </c>
      <c r="U82" s="2741" t="s">
        <v>3176</v>
      </c>
    </row>
    <row r="83" spans="2:21" ht="12.95" customHeight="1">
      <c r="B83" s="3037" t="s">
        <v>1497</v>
      </c>
      <c r="C83" s="3038"/>
      <c r="D83" s="2035" t="s">
        <v>2971</v>
      </c>
      <c r="E83" s="166" t="s">
        <v>2971</v>
      </c>
      <c r="F83" s="2042" t="s">
        <v>2973</v>
      </c>
      <c r="G83" s="2031" t="s">
        <v>2973</v>
      </c>
      <c r="U83" s="2741" t="s">
        <v>3177</v>
      </c>
    </row>
    <row r="84" spans="2:21" ht="12.95" customHeight="1">
      <c r="B84" s="3052" t="s">
        <v>1506</v>
      </c>
      <c r="C84" s="3053"/>
      <c r="D84" s="2036" t="s">
        <v>2973</v>
      </c>
      <c r="E84" s="2022" t="s">
        <v>2973</v>
      </c>
      <c r="F84" s="2043" t="s">
        <v>2971</v>
      </c>
      <c r="G84" s="2032" t="s">
        <v>2971</v>
      </c>
      <c r="U84" s="2741" t="s">
        <v>3178</v>
      </c>
    </row>
    <row r="85" spans="2:21" ht="12.95" customHeight="1">
      <c r="B85" s="3037" t="s">
        <v>1817</v>
      </c>
      <c r="C85" s="3038"/>
      <c r="D85" s="2037" t="s">
        <v>2973</v>
      </c>
      <c r="E85" s="166" t="s">
        <v>2971</v>
      </c>
      <c r="F85" s="2042" t="s">
        <v>2971</v>
      </c>
      <c r="G85" s="2031" t="s">
        <v>2973</v>
      </c>
      <c r="U85" s="2741" t="s">
        <v>3179</v>
      </c>
    </row>
    <row r="86" spans="2:21" ht="12.95" customHeight="1">
      <c r="B86" s="3052" t="s">
        <v>1686</v>
      </c>
      <c r="C86" s="3053"/>
      <c r="D86" s="2036" t="s">
        <v>2973</v>
      </c>
      <c r="E86" s="2022" t="s">
        <v>2973</v>
      </c>
      <c r="F86" s="2043" t="s">
        <v>2971</v>
      </c>
      <c r="G86" s="2032" t="s">
        <v>2971</v>
      </c>
      <c r="U86" s="2741" t="s">
        <v>3180</v>
      </c>
    </row>
    <row r="87" spans="2:21" ht="12.95" customHeight="1">
      <c r="B87" s="3037" t="s">
        <v>1697</v>
      </c>
      <c r="C87" s="3038"/>
      <c r="D87" s="2035" t="s">
        <v>2971</v>
      </c>
      <c r="E87" s="166" t="s">
        <v>2971</v>
      </c>
      <c r="F87" s="2042" t="s">
        <v>2973</v>
      </c>
      <c r="G87" s="2031" t="s">
        <v>2973</v>
      </c>
      <c r="U87" s="2741" t="s">
        <v>3181</v>
      </c>
    </row>
    <row r="88" spans="2:21" ht="12.95" customHeight="1">
      <c r="B88" s="3052" t="s">
        <v>2607</v>
      </c>
      <c r="C88" s="3053"/>
      <c r="D88" s="2036" t="s">
        <v>2975</v>
      </c>
      <c r="E88" s="649" t="s">
        <v>2975</v>
      </c>
      <c r="F88" s="2043" t="s">
        <v>2975</v>
      </c>
      <c r="G88" s="649" t="s">
        <v>2975</v>
      </c>
      <c r="U88" s="2741" t="s">
        <v>3182</v>
      </c>
    </row>
    <row r="89" spans="2:21" ht="12.95" customHeight="1">
      <c r="B89" s="3037" t="s">
        <v>935</v>
      </c>
      <c r="C89" s="3038"/>
      <c r="D89" s="2037" t="s">
        <v>2975</v>
      </c>
      <c r="E89" s="166" t="s">
        <v>2975</v>
      </c>
      <c r="F89" s="2042" t="s">
        <v>2975</v>
      </c>
      <c r="G89" s="166" t="s">
        <v>2975</v>
      </c>
      <c r="U89" s="2741" t="s">
        <v>3183</v>
      </c>
    </row>
    <row r="90" spans="2:21" ht="12.95" customHeight="1">
      <c r="B90" s="3052" t="s">
        <v>1349</v>
      </c>
      <c r="C90" s="3053"/>
      <c r="D90" s="2036" t="s">
        <v>2973</v>
      </c>
      <c r="E90" s="2022" t="s">
        <v>2973</v>
      </c>
      <c r="F90" s="2043" t="s">
        <v>2971</v>
      </c>
      <c r="G90" s="2032" t="s">
        <v>2971</v>
      </c>
      <c r="U90" s="2741" t="s">
        <v>3184</v>
      </c>
    </row>
    <row r="91" spans="2:21" ht="12.95" customHeight="1">
      <c r="B91" s="3037" t="s">
        <v>1361</v>
      </c>
      <c r="C91" s="3038"/>
      <c r="D91" s="2035" t="s">
        <v>2971</v>
      </c>
      <c r="E91" s="166" t="s">
        <v>2971</v>
      </c>
      <c r="F91" s="2042" t="s">
        <v>2973</v>
      </c>
      <c r="G91" s="2031" t="s">
        <v>2973</v>
      </c>
      <c r="U91" s="2741" t="s">
        <v>3185</v>
      </c>
    </row>
    <row r="92" spans="2:21" ht="12.95" customHeight="1">
      <c r="B92" s="3052" t="s">
        <v>327</v>
      </c>
      <c r="C92" s="3053"/>
      <c r="D92" s="2036" t="s">
        <v>2973</v>
      </c>
      <c r="E92" s="2022" t="s">
        <v>2973</v>
      </c>
      <c r="F92" s="2043" t="s">
        <v>2971</v>
      </c>
      <c r="G92" s="2032" t="s">
        <v>2971</v>
      </c>
      <c r="U92" s="2741" t="s">
        <v>3186</v>
      </c>
    </row>
    <row r="93" spans="2:21" ht="12.95" customHeight="1">
      <c r="B93" s="3037" t="s">
        <v>475</v>
      </c>
      <c r="C93" s="3038"/>
      <c r="D93" s="2037" t="s">
        <v>2975</v>
      </c>
      <c r="E93" s="166" t="s">
        <v>2975</v>
      </c>
      <c r="F93" s="2042" t="s">
        <v>2975</v>
      </c>
      <c r="G93" s="166" t="s">
        <v>2975</v>
      </c>
      <c r="U93" s="2741" t="s">
        <v>1666</v>
      </c>
    </row>
    <row r="94" spans="2:21" ht="12.95" customHeight="1">
      <c r="B94" s="3052" t="s">
        <v>398</v>
      </c>
      <c r="C94" s="3053"/>
      <c r="D94" s="2036" t="s">
        <v>2973</v>
      </c>
      <c r="E94" s="2022" t="s">
        <v>2973</v>
      </c>
      <c r="F94" s="2043" t="s">
        <v>2971</v>
      </c>
      <c r="G94" s="2032" t="s">
        <v>2971</v>
      </c>
      <c r="U94" s="2741" t="s">
        <v>3187</v>
      </c>
    </row>
    <row r="95" spans="2:21" ht="12.95" customHeight="1">
      <c r="B95" s="3037" t="s">
        <v>169</v>
      </c>
      <c r="C95" s="3038"/>
      <c r="D95" s="2017" t="s">
        <v>2971</v>
      </c>
      <c r="E95" s="2040" t="s">
        <v>2971</v>
      </c>
      <c r="F95" s="2044" t="s">
        <v>2973</v>
      </c>
      <c r="G95" s="2010" t="s">
        <v>2973</v>
      </c>
      <c r="U95" s="2741" t="s">
        <v>3188</v>
      </c>
    </row>
    <row r="96" spans="2:21" ht="12.95" customHeight="1">
      <c r="B96" s="3052" t="s">
        <v>2048</v>
      </c>
      <c r="C96" s="3053"/>
      <c r="D96" s="2036" t="s">
        <v>2973</v>
      </c>
      <c r="E96" s="2022" t="s">
        <v>2973</v>
      </c>
      <c r="F96" s="2043" t="s">
        <v>2971</v>
      </c>
      <c r="G96" s="2032" t="s">
        <v>2971</v>
      </c>
      <c r="U96" s="2741" t="s">
        <v>3189</v>
      </c>
    </row>
    <row r="97" spans="2:21" ht="12.95" customHeight="1" thickBot="1">
      <c r="B97" s="3057" t="s">
        <v>2737</v>
      </c>
      <c r="C97" s="3058"/>
      <c r="D97" s="2038" t="s">
        <v>2975</v>
      </c>
      <c r="E97" s="2033" t="s">
        <v>2975</v>
      </c>
      <c r="F97" s="2045" t="s">
        <v>2975</v>
      </c>
      <c r="G97" s="2033" t="s">
        <v>2975</v>
      </c>
      <c r="U97" s="2741" t="s">
        <v>3190</v>
      </c>
    </row>
    <row r="98" spans="2:21" ht="5.0999999999999996" customHeight="1">
      <c r="U98" s="2741" t="s">
        <v>3191</v>
      </c>
    </row>
    <row r="99" spans="2:21" ht="26.1" customHeight="1">
      <c r="B99" s="3001" t="s">
        <v>3221</v>
      </c>
      <c r="C99" s="3001"/>
      <c r="D99" s="3001"/>
      <c r="E99" s="3001"/>
      <c r="F99" s="3001"/>
      <c r="G99" s="3001"/>
      <c r="U99" s="2741" t="s">
        <v>3192</v>
      </c>
    </row>
    <row r="100" spans="2:21" ht="12.95" customHeight="1">
      <c r="U100" s="2741" t="s">
        <v>3193</v>
      </c>
    </row>
    <row r="101" spans="2:21" ht="12.95" customHeight="1">
      <c r="U101" s="2741" t="s">
        <v>3194</v>
      </c>
    </row>
    <row r="102" spans="2:21" ht="12.95" customHeight="1">
      <c r="U102" s="2741" t="s">
        <v>3195</v>
      </c>
    </row>
    <row r="103" spans="2:21" ht="12.95" customHeight="1">
      <c r="U103" s="2741" t="s">
        <v>3196</v>
      </c>
    </row>
    <row r="104" spans="2:21" ht="12.95" customHeight="1">
      <c r="U104" s="2741" t="s">
        <v>3197</v>
      </c>
    </row>
    <row r="105" spans="2:21" ht="12.95" customHeight="1">
      <c r="U105" s="2741" t="s">
        <v>3198</v>
      </c>
    </row>
    <row r="106" spans="2:21" ht="12.95" customHeight="1">
      <c r="U106" s="2741" t="s">
        <v>3199</v>
      </c>
    </row>
    <row r="107" spans="2:21" ht="12.95" customHeight="1">
      <c r="U107" s="2741" t="s">
        <v>3200</v>
      </c>
    </row>
    <row r="108" spans="2:21" ht="12.95" customHeight="1">
      <c r="U108" s="2741" t="s">
        <v>3201</v>
      </c>
    </row>
    <row r="109" spans="2:21" ht="12.95" customHeight="1">
      <c r="U109" s="2741" t="s">
        <v>3202</v>
      </c>
    </row>
    <row r="110" spans="2:21" ht="12.95" customHeight="1">
      <c r="U110" s="2741" t="s">
        <v>3203</v>
      </c>
    </row>
    <row r="111" spans="2:21" ht="12.95" customHeight="1">
      <c r="U111" s="2741" t="s">
        <v>3204</v>
      </c>
    </row>
    <row r="112" spans="2:21" ht="12.95" customHeight="1">
      <c r="U112" s="2741" t="s">
        <v>3205</v>
      </c>
    </row>
    <row r="113" spans="21:21" ht="12.95" customHeight="1">
      <c r="U113" s="2741" t="s">
        <v>3206</v>
      </c>
    </row>
    <row r="114" spans="21:21" ht="12.95" customHeight="1">
      <c r="U114" s="2741" t="s">
        <v>3207</v>
      </c>
    </row>
    <row r="115" spans="21:21" ht="12.95" customHeight="1">
      <c r="U115" s="2741" t="s">
        <v>3208</v>
      </c>
    </row>
    <row r="116" spans="21:21" ht="12.95" customHeight="1">
      <c r="U116" s="2741" t="s">
        <v>3209</v>
      </c>
    </row>
    <row r="117" spans="21:21" ht="12.95" customHeight="1">
      <c r="U117" s="2741" t="s">
        <v>3210</v>
      </c>
    </row>
    <row r="118" spans="21:21" ht="12.95" customHeight="1">
      <c r="U118" s="2741" t="s">
        <v>3478</v>
      </c>
    </row>
    <row r="119" spans="21:21" ht="12.95" customHeight="1">
      <c r="U119" s="2741" t="s">
        <v>8800</v>
      </c>
    </row>
    <row r="120" spans="21:21" ht="12.95" customHeight="1">
      <c r="U120" s="2741" t="s">
        <v>8801</v>
      </c>
    </row>
    <row r="121" spans="21:21" ht="12.95" customHeight="1">
      <c r="U121" s="2741" t="s">
        <v>8802</v>
      </c>
    </row>
    <row r="122" spans="21:21" ht="12.95" customHeight="1">
      <c r="U122" s="2741" t="s">
        <v>8803</v>
      </c>
    </row>
    <row r="123" spans="21:21" ht="12.95" customHeight="1">
      <c r="U123" s="2741" t="s">
        <v>3479</v>
      </c>
    </row>
    <row r="124" spans="21:21" ht="12.95" customHeight="1">
      <c r="U124" s="2741" t="s">
        <v>8804</v>
      </c>
    </row>
    <row r="125" spans="21:21" ht="12.95" customHeight="1">
      <c r="U125" s="2741" t="s">
        <v>8805</v>
      </c>
    </row>
    <row r="126" spans="21:21" ht="12.95" customHeight="1">
      <c r="U126" s="2741" t="s">
        <v>8806</v>
      </c>
    </row>
    <row r="127" spans="21:21" ht="12.95" customHeight="1">
      <c r="U127" s="2741" t="s">
        <v>8807</v>
      </c>
    </row>
    <row r="128" spans="21:21" ht="12.95" customHeight="1">
      <c r="U128" s="2741" t="s">
        <v>8808</v>
      </c>
    </row>
    <row r="129" spans="21:21" ht="12.95" customHeight="1">
      <c r="U129" s="2741" t="s">
        <v>8809</v>
      </c>
    </row>
    <row r="130" spans="21:21" ht="12.95" customHeight="1">
      <c r="U130" s="2741" t="s">
        <v>8810</v>
      </c>
    </row>
    <row r="131" spans="21:21" ht="12.95" customHeight="1">
      <c r="U131" s="2741" t="s">
        <v>8811</v>
      </c>
    </row>
    <row r="132" spans="21:21" ht="12.95" customHeight="1">
      <c r="U132" s="2741" t="s">
        <v>8812</v>
      </c>
    </row>
    <row r="133" spans="21:21" ht="12.95" customHeight="1">
      <c r="U133" s="2741" t="s">
        <v>8813</v>
      </c>
    </row>
    <row r="134" spans="21:21" ht="12.95" customHeight="1">
      <c r="U134" s="2741" t="s">
        <v>8814</v>
      </c>
    </row>
    <row r="135" spans="21:21" ht="12.95" customHeight="1">
      <c r="U135" s="2741" t="s">
        <v>8815</v>
      </c>
    </row>
    <row r="136" spans="21:21" ht="12.95" customHeight="1">
      <c r="U136" s="2741" t="s">
        <v>8816</v>
      </c>
    </row>
    <row r="137" spans="21:21" ht="12.95" customHeight="1">
      <c r="U137" s="2741" t="s">
        <v>8817</v>
      </c>
    </row>
    <row r="138" spans="21:21" ht="12.95" customHeight="1">
      <c r="U138" s="2741" t="s">
        <v>8818</v>
      </c>
    </row>
    <row r="139" spans="21:21" ht="12.95" customHeight="1">
      <c r="U139" s="2741" t="s">
        <v>8819</v>
      </c>
    </row>
    <row r="140" spans="21:21" ht="12.95" customHeight="1">
      <c r="U140" s="2741" t="s">
        <v>8820</v>
      </c>
    </row>
    <row r="141" spans="21:21" ht="12.95" customHeight="1">
      <c r="U141" s="2741" t="s">
        <v>8821</v>
      </c>
    </row>
    <row r="142" spans="21:21" ht="12.95" customHeight="1">
      <c r="U142" s="2741" t="s">
        <v>8822</v>
      </c>
    </row>
    <row r="143" spans="21:21" ht="12.95" customHeight="1">
      <c r="U143" s="2741" t="s">
        <v>8823</v>
      </c>
    </row>
    <row r="144" spans="21:21" ht="12.95" customHeight="1">
      <c r="U144" s="2741" t="s">
        <v>8824</v>
      </c>
    </row>
    <row r="145" spans="21:21" ht="12.95" customHeight="1">
      <c r="U145" s="2741" t="s">
        <v>8825</v>
      </c>
    </row>
    <row r="146" spans="21:21" ht="12.95" customHeight="1">
      <c r="U146" s="2741" t="s">
        <v>8826</v>
      </c>
    </row>
    <row r="147" spans="21:21" ht="12.95" customHeight="1">
      <c r="U147" s="2741" t="s">
        <v>8827</v>
      </c>
    </row>
    <row r="148" spans="21:21" ht="12.95" customHeight="1">
      <c r="U148" s="2741" t="s">
        <v>8828</v>
      </c>
    </row>
    <row r="149" spans="21:21" ht="12.95" customHeight="1">
      <c r="U149" s="2741" t="s">
        <v>8829</v>
      </c>
    </row>
    <row r="150" spans="21:21" ht="12.95" customHeight="1">
      <c r="U150" s="2741" t="s">
        <v>8830</v>
      </c>
    </row>
    <row r="151" spans="21:21" ht="12.95" customHeight="1">
      <c r="U151" s="2741" t="s">
        <v>8831</v>
      </c>
    </row>
  </sheetData>
  <sheetProtection autoFilter="0"/>
  <mergeCells count="89">
    <mergeCell ref="J14:M14"/>
    <mergeCell ref="N14:Q14"/>
    <mergeCell ref="B58:C58"/>
    <mergeCell ref="B53:C53"/>
    <mergeCell ref="B35:C35"/>
    <mergeCell ref="B36:C36"/>
    <mergeCell ref="B37:C37"/>
    <mergeCell ref="B38:C38"/>
    <mergeCell ref="B43:C43"/>
    <mergeCell ref="B44:C44"/>
    <mergeCell ref="B41:C41"/>
    <mergeCell ref="B42:C42"/>
    <mergeCell ref="B39:C39"/>
    <mergeCell ref="B40:C40"/>
    <mergeCell ref="F30:F31"/>
    <mergeCell ref="G30:G31"/>
    <mergeCell ref="C1:G1"/>
    <mergeCell ref="B99:G99"/>
    <mergeCell ref="B10:G10"/>
    <mergeCell ref="B11:G11"/>
    <mergeCell ref="B14:G14"/>
    <mergeCell ref="B15:G15"/>
    <mergeCell ref="B16:G16"/>
    <mergeCell ref="B17:G17"/>
    <mergeCell ref="B96:C96"/>
    <mergeCell ref="B97:C97"/>
    <mergeCell ref="B94:C94"/>
    <mergeCell ref="B95:C95"/>
    <mergeCell ref="B91:C91"/>
    <mergeCell ref="B92:C92"/>
    <mergeCell ref="B93:C93"/>
    <mergeCell ref="B89:C89"/>
    <mergeCell ref="B90:C90"/>
    <mergeCell ref="B87:C87"/>
    <mergeCell ref="B88:C88"/>
    <mergeCell ref="B85:C85"/>
    <mergeCell ref="B86:C86"/>
    <mergeCell ref="B84:C84"/>
    <mergeCell ref="B75:C75"/>
    <mergeCell ref="B76:C76"/>
    <mergeCell ref="B73:C73"/>
    <mergeCell ref="B74:C74"/>
    <mergeCell ref="B81:C81"/>
    <mergeCell ref="B80:C80"/>
    <mergeCell ref="B78:G78"/>
    <mergeCell ref="B79:C79"/>
    <mergeCell ref="B82:C82"/>
    <mergeCell ref="B83:C83"/>
    <mergeCell ref="B50:C50"/>
    <mergeCell ref="B48:C48"/>
    <mergeCell ref="B49:C49"/>
    <mergeCell ref="B71:C71"/>
    <mergeCell ref="B72:C72"/>
    <mergeCell ref="B69:C69"/>
    <mergeCell ref="B70:C70"/>
    <mergeCell ref="B67:C67"/>
    <mergeCell ref="B68:C68"/>
    <mergeCell ref="B32:G32"/>
    <mergeCell ref="B65:C65"/>
    <mergeCell ref="B66:C66"/>
    <mergeCell ref="B63:C63"/>
    <mergeCell ref="B64:C64"/>
    <mergeCell ref="B61:C61"/>
    <mergeCell ref="B62:C62"/>
    <mergeCell ref="B59:C59"/>
    <mergeCell ref="B60:C60"/>
    <mergeCell ref="B46:C46"/>
    <mergeCell ref="B56:G56"/>
    <mergeCell ref="B57:G57"/>
    <mergeCell ref="B55:G55"/>
    <mergeCell ref="B51:C51"/>
    <mergeCell ref="B52:C52"/>
    <mergeCell ref="B47:C47"/>
    <mergeCell ref="B45:C45"/>
    <mergeCell ref="B3:G3"/>
    <mergeCell ref="B5:G5"/>
    <mergeCell ref="B8:G8"/>
    <mergeCell ref="B9:G9"/>
    <mergeCell ref="B34:G34"/>
    <mergeCell ref="B24:G24"/>
    <mergeCell ref="B25:G25"/>
    <mergeCell ref="B26:G26"/>
    <mergeCell ref="B20:G20"/>
    <mergeCell ref="B21:G21"/>
    <mergeCell ref="B28:G28"/>
    <mergeCell ref="B30:C30"/>
    <mergeCell ref="B29:C29"/>
    <mergeCell ref="D30:D31"/>
    <mergeCell ref="E30:E31"/>
  </mergeCells>
  <phoneticPr fontId="0" type="noConversion"/>
  <dataValidations count="2">
    <dataValidation type="list" allowBlank="1" showInputMessage="1" showErrorMessage="1" sqref="B30:C30">
      <formula1>$I$15:$I$32</formula1>
    </dataValidation>
    <dataValidation type="whole" allowBlank="1" showInputMessage="1" showErrorMessage="1" sqref="C31">
      <formula1>1</formula1>
      <formula2>108</formula2>
    </dataValidation>
  </dataValidations>
  <hyperlinks>
    <hyperlink ref="B1" location="Index!A1" display="Назад"/>
    <hyperlink ref="B21:G21" location="'2.1'!A1" display="Подробнее о влиянии силы магии героя на эффект заклинаний см.в разделе 2.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3" manualBreakCount="3">
    <brk id="26" max="6" man="1"/>
    <brk id="56" max="6" man="1"/>
    <brk id="76" max="6" man="1"/>
  </rowBreaks>
  <ignoredErrors>
    <ignoredError sqref="D59:G67 D80:G97 D69:G76 D68:E68 F68:G68" numberStoredAsText="1"/>
  </ignoredErrors>
</worksheet>
</file>

<file path=xl/worksheets/sheet13.xml><?xml version="1.0" encoding="utf-8"?>
<worksheet xmlns="http://schemas.openxmlformats.org/spreadsheetml/2006/main" xmlns:r="http://schemas.openxmlformats.org/officeDocument/2006/relationships">
  <dimension ref="B1:G39"/>
  <sheetViews>
    <sheetView zoomScaleNormal="100" workbookViewId="0">
      <pane ySplit="6" topLeftCell="A7" activePane="bottomLeft" state="frozen"/>
      <selection pane="bottomLeft" activeCell="B1" sqref="B1"/>
    </sheetView>
  </sheetViews>
  <sheetFormatPr defaultRowHeight="12.75"/>
  <cols>
    <col min="1" max="1" width="3.7109375" style="1472" customWidth="1"/>
    <col min="2" max="2" width="17.85546875" style="1473" bestFit="1" customWidth="1"/>
    <col min="3" max="3" width="11.7109375" style="1473" customWidth="1"/>
    <col min="4" max="4" width="20.7109375" style="599" customWidth="1"/>
    <col min="5" max="7" width="27.7109375" style="1476" customWidth="1"/>
    <col min="8" max="16384" width="9.140625" style="1472"/>
  </cols>
  <sheetData>
    <row r="1" spans="2:7" ht="12.95" customHeight="1">
      <c r="B1" s="1471" t="s">
        <v>2706</v>
      </c>
      <c r="C1" s="3074" t="s">
        <v>8269</v>
      </c>
      <c r="D1" s="3074"/>
      <c r="E1" s="3074"/>
      <c r="F1" s="3074"/>
      <c r="G1" s="3074"/>
    </row>
    <row r="2" spans="2:7" ht="5.0999999999999996" customHeight="1"/>
    <row r="3" spans="2:7" ht="12.95" customHeight="1">
      <c r="B3" s="3075" t="s">
        <v>2951</v>
      </c>
      <c r="C3" s="3075"/>
      <c r="D3" s="3075"/>
      <c r="E3" s="3075"/>
      <c r="F3" s="3075"/>
      <c r="G3" s="3075"/>
    </row>
    <row r="4" spans="2:7" ht="5.0999999999999996" customHeight="1" thickBot="1"/>
    <row r="5" spans="2:7" s="287" customFormat="1" ht="12.95" customHeight="1" thickBot="1">
      <c r="B5" s="3076" t="s">
        <v>1280</v>
      </c>
      <c r="C5" s="3077"/>
      <c r="D5" s="1507" t="s">
        <v>2895</v>
      </c>
      <c r="E5" s="1474" t="s">
        <v>2363</v>
      </c>
      <c r="F5" s="1475" t="s">
        <v>2364</v>
      </c>
      <c r="G5" s="1479" t="s">
        <v>2365</v>
      </c>
    </row>
    <row r="6" spans="2:7" s="1481" customFormat="1" ht="12" thickBot="1">
      <c r="B6" s="1508"/>
      <c r="C6" s="3078"/>
      <c r="D6" s="3078"/>
      <c r="E6" s="3078"/>
      <c r="F6" s="3078"/>
      <c r="G6" s="3079"/>
    </row>
    <row r="7" spans="2:7" ht="71.099999999999994" customHeight="1">
      <c r="B7" s="2049" t="s">
        <v>385</v>
      </c>
      <c r="C7" s="2050"/>
      <c r="D7" s="2051" t="s">
        <v>2896</v>
      </c>
      <c r="E7" s="2052" t="s">
        <v>2984</v>
      </c>
      <c r="F7" s="2053" t="s">
        <v>2985</v>
      </c>
      <c r="G7" s="2054" t="s">
        <v>2897</v>
      </c>
    </row>
    <row r="8" spans="2:7" ht="71.099999999999994" customHeight="1">
      <c r="B8" s="2047" t="s">
        <v>562</v>
      </c>
      <c r="C8" s="1509"/>
      <c r="D8" s="70" t="s">
        <v>2986</v>
      </c>
      <c r="E8" s="71" t="s">
        <v>9991</v>
      </c>
      <c r="F8" s="72" t="s">
        <v>2987</v>
      </c>
      <c r="G8" s="73" t="s">
        <v>9992</v>
      </c>
    </row>
    <row r="9" spans="2:7" ht="71.099999999999994" customHeight="1">
      <c r="B9" s="1499" t="s">
        <v>1275</v>
      </c>
      <c r="C9" s="1505"/>
      <c r="D9" s="1500" t="s">
        <v>2898</v>
      </c>
      <c r="E9" s="1501" t="s">
        <v>2899</v>
      </c>
      <c r="F9" s="1502" t="s">
        <v>2900</v>
      </c>
      <c r="G9" s="1503" t="s">
        <v>2901</v>
      </c>
    </row>
    <row r="10" spans="2:7" ht="71.099999999999994" customHeight="1">
      <c r="B10" s="79" t="s">
        <v>345</v>
      </c>
      <c r="C10" s="1509"/>
      <c r="D10" s="70" t="s">
        <v>137</v>
      </c>
      <c r="E10" s="71" t="s">
        <v>2902</v>
      </c>
      <c r="F10" s="72" t="s">
        <v>2903</v>
      </c>
      <c r="G10" s="73" t="s">
        <v>2904</v>
      </c>
    </row>
    <row r="11" spans="2:7" ht="71.099999999999994" customHeight="1">
      <c r="B11" s="2048" t="s">
        <v>1149</v>
      </c>
      <c r="C11" s="1506"/>
      <c r="D11" s="1504" t="s">
        <v>6178</v>
      </c>
      <c r="E11" s="1501" t="s">
        <v>2988</v>
      </c>
      <c r="F11" s="1502" t="s">
        <v>2989</v>
      </c>
      <c r="G11" s="1503" t="s">
        <v>2990</v>
      </c>
    </row>
    <row r="12" spans="2:7" ht="44.25" customHeight="1">
      <c r="B12" s="3082" t="s">
        <v>5</v>
      </c>
      <c r="C12" s="3084"/>
      <c r="D12" s="3086" t="s">
        <v>137</v>
      </c>
      <c r="E12" s="71" t="s">
        <v>2905</v>
      </c>
      <c r="F12" s="72" t="s">
        <v>2906</v>
      </c>
      <c r="G12" s="73" t="s">
        <v>2907</v>
      </c>
    </row>
    <row r="13" spans="2:7" ht="26.1" customHeight="1">
      <c r="B13" s="3083"/>
      <c r="C13" s="3085"/>
      <c r="D13" s="3087"/>
      <c r="E13" s="3080" t="s">
        <v>5971</v>
      </c>
      <c r="F13" s="3080"/>
      <c r="G13" s="3081"/>
    </row>
    <row r="14" spans="2:7" ht="71.099999999999994" customHeight="1">
      <c r="B14" s="1499" t="s">
        <v>873</v>
      </c>
      <c r="C14" s="1505"/>
      <c r="D14" s="1500" t="s">
        <v>137</v>
      </c>
      <c r="E14" s="1501" t="s">
        <v>2908</v>
      </c>
      <c r="F14" s="1502" t="s">
        <v>2909</v>
      </c>
      <c r="G14" s="1503" t="s">
        <v>2910</v>
      </c>
    </row>
    <row r="15" spans="2:7" ht="71.099999999999994" customHeight="1">
      <c r="B15" s="79" t="s">
        <v>73</v>
      </c>
      <c r="C15" s="1509"/>
      <c r="D15" s="70" t="s">
        <v>137</v>
      </c>
      <c r="E15" s="71" t="s">
        <v>2911</v>
      </c>
      <c r="F15" s="72" t="s">
        <v>2912</v>
      </c>
      <c r="G15" s="73" t="s">
        <v>2913</v>
      </c>
    </row>
    <row r="16" spans="2:7" ht="71.099999999999994" customHeight="1">
      <c r="B16" s="1499" t="s">
        <v>1142</v>
      </c>
      <c r="C16" s="1505"/>
      <c r="D16" s="1500" t="s">
        <v>2991</v>
      </c>
      <c r="E16" s="1501" t="s">
        <v>6232</v>
      </c>
      <c r="F16" s="1502" t="s">
        <v>6233</v>
      </c>
      <c r="G16" s="1503" t="s">
        <v>2914</v>
      </c>
    </row>
    <row r="17" spans="2:7" ht="71.099999999999994" customHeight="1">
      <c r="B17" s="2047" t="s">
        <v>135</v>
      </c>
      <c r="C17" s="1509"/>
      <c r="D17" s="70" t="s">
        <v>6008</v>
      </c>
      <c r="E17" s="71" t="s">
        <v>2915</v>
      </c>
      <c r="F17" s="72" t="s">
        <v>2916</v>
      </c>
      <c r="G17" s="73" t="s">
        <v>2917</v>
      </c>
    </row>
    <row r="18" spans="2:7" ht="71.099999999999994" customHeight="1">
      <c r="B18" s="2048" t="s">
        <v>1441</v>
      </c>
      <c r="C18" s="1506"/>
      <c r="D18" s="1504" t="s">
        <v>2992</v>
      </c>
      <c r="E18" s="1501" t="s">
        <v>2918</v>
      </c>
      <c r="F18" s="1502" t="s">
        <v>2919</v>
      </c>
      <c r="G18" s="1503" t="s">
        <v>2920</v>
      </c>
    </row>
    <row r="19" spans="2:7" ht="71.099999999999994" customHeight="1">
      <c r="B19" s="79" t="s">
        <v>1527</v>
      </c>
      <c r="C19" s="1509"/>
      <c r="D19" s="70" t="s">
        <v>2994</v>
      </c>
      <c r="E19" s="71" t="s">
        <v>2993</v>
      </c>
      <c r="F19" s="72" t="s">
        <v>2921</v>
      </c>
      <c r="G19" s="73" t="s">
        <v>2922</v>
      </c>
    </row>
    <row r="20" spans="2:7" ht="71.099999999999994" customHeight="1">
      <c r="B20" s="1499" t="s">
        <v>1321</v>
      </c>
      <c r="C20" s="1505"/>
      <c r="D20" s="1500" t="s">
        <v>2995</v>
      </c>
      <c r="E20" s="1501" t="s">
        <v>2996</v>
      </c>
      <c r="F20" s="1502" t="s">
        <v>2923</v>
      </c>
      <c r="G20" s="1503" t="s">
        <v>2924</v>
      </c>
    </row>
    <row r="21" spans="2:7" ht="71.099999999999994" customHeight="1">
      <c r="B21" s="79" t="s">
        <v>1769</v>
      </c>
      <c r="C21" s="1509"/>
      <c r="D21" s="70" t="s">
        <v>2997</v>
      </c>
      <c r="E21" s="71" t="s">
        <v>2998</v>
      </c>
      <c r="F21" s="72" t="s">
        <v>2925</v>
      </c>
      <c r="G21" s="73" t="s">
        <v>2927</v>
      </c>
    </row>
    <row r="22" spans="2:7" ht="71.099999999999994" customHeight="1">
      <c r="B22" s="1499" t="s">
        <v>1890</v>
      </c>
      <c r="C22" s="1505"/>
      <c r="D22" s="1500" t="s">
        <v>2999</v>
      </c>
      <c r="E22" s="1501" t="s">
        <v>3000</v>
      </c>
      <c r="F22" s="1502" t="s">
        <v>2926</v>
      </c>
      <c r="G22" s="1503" t="s">
        <v>2928</v>
      </c>
    </row>
    <row r="23" spans="2:7" ht="71.099999999999994" customHeight="1">
      <c r="B23" s="79" t="s">
        <v>869</v>
      </c>
      <c r="C23" s="1509"/>
      <c r="D23" s="70" t="s">
        <v>2929</v>
      </c>
      <c r="E23" s="71" t="s">
        <v>2930</v>
      </c>
      <c r="F23" s="72" t="s">
        <v>2931</v>
      </c>
      <c r="G23" s="73" t="s">
        <v>2932</v>
      </c>
    </row>
    <row r="24" spans="2:7" ht="71.099999999999994" customHeight="1">
      <c r="B24" s="1499" t="s">
        <v>391</v>
      </c>
      <c r="C24" s="1505"/>
      <c r="D24" s="1500" t="s">
        <v>2933</v>
      </c>
      <c r="E24" s="1501" t="s">
        <v>10034</v>
      </c>
      <c r="F24" s="1502" t="s">
        <v>2934</v>
      </c>
      <c r="G24" s="1503" t="s">
        <v>2935</v>
      </c>
    </row>
    <row r="25" spans="2:7" ht="71.099999999999994" customHeight="1">
      <c r="B25" s="2047" t="s">
        <v>71</v>
      </c>
      <c r="C25" s="1510"/>
      <c r="D25" s="74" t="s">
        <v>3001</v>
      </c>
      <c r="E25" s="75" t="s">
        <v>3002</v>
      </c>
      <c r="F25" s="76" t="s">
        <v>3003</v>
      </c>
      <c r="G25" s="77" t="s">
        <v>3004</v>
      </c>
    </row>
    <row r="26" spans="2:7" ht="71.099999999999994" customHeight="1">
      <c r="B26" s="1499" t="s">
        <v>75</v>
      </c>
      <c r="C26" s="1505"/>
      <c r="D26" s="1500" t="s">
        <v>137</v>
      </c>
      <c r="E26" s="1501" t="s">
        <v>2936</v>
      </c>
      <c r="F26" s="1502" t="s">
        <v>2937</v>
      </c>
      <c r="G26" s="1503" t="s">
        <v>2938</v>
      </c>
    </row>
    <row r="27" spans="2:7" ht="71.099999999999994" customHeight="1">
      <c r="B27" s="2047" t="s">
        <v>216</v>
      </c>
      <c r="C27" s="1509"/>
      <c r="D27" s="70" t="s">
        <v>137</v>
      </c>
      <c r="E27" s="71" t="s">
        <v>2939</v>
      </c>
      <c r="F27" s="72" t="s">
        <v>2940</v>
      </c>
      <c r="G27" s="73" t="s">
        <v>2941</v>
      </c>
    </row>
    <row r="28" spans="2:7" ht="71.099999999999994" customHeight="1">
      <c r="B28" s="1499" t="s">
        <v>392</v>
      </c>
      <c r="C28" s="1505"/>
      <c r="D28" s="1500" t="s">
        <v>2942</v>
      </c>
      <c r="E28" s="1501" t="s">
        <v>5166</v>
      </c>
      <c r="F28" s="1502" t="s">
        <v>5167</v>
      </c>
      <c r="G28" s="1503" t="s">
        <v>5168</v>
      </c>
    </row>
    <row r="29" spans="2:7" ht="71.099999999999994" customHeight="1">
      <c r="B29" s="2047" t="s">
        <v>2366</v>
      </c>
      <c r="C29" s="1510"/>
      <c r="D29" s="74" t="s">
        <v>3005</v>
      </c>
      <c r="E29" s="71" t="s">
        <v>3006</v>
      </c>
      <c r="F29" s="72" t="s">
        <v>3007</v>
      </c>
      <c r="G29" s="73" t="s">
        <v>2943</v>
      </c>
    </row>
    <row r="30" spans="2:7" ht="39" customHeight="1">
      <c r="B30" s="3072" t="s">
        <v>1442</v>
      </c>
      <c r="C30" s="3070"/>
      <c r="D30" s="3068" t="s">
        <v>2944</v>
      </c>
      <c r="E30" s="1501" t="s">
        <v>2945</v>
      </c>
      <c r="F30" s="1502" t="s">
        <v>2946</v>
      </c>
      <c r="G30" s="1503" t="s">
        <v>2947</v>
      </c>
    </row>
    <row r="31" spans="2:7" s="1687" customFormat="1" ht="39" customHeight="1">
      <c r="B31" s="3073"/>
      <c r="C31" s="3071"/>
      <c r="D31" s="3069"/>
      <c r="E31" s="3066" t="s">
        <v>6126</v>
      </c>
      <c r="F31" s="3066"/>
      <c r="G31" s="3067"/>
    </row>
    <row r="32" spans="2:7" ht="65.099999999999994" customHeight="1">
      <c r="B32" s="3098" t="s">
        <v>720</v>
      </c>
      <c r="C32" s="3084"/>
      <c r="D32" s="3086" t="s">
        <v>7238</v>
      </c>
      <c r="E32" s="71" t="s">
        <v>3008</v>
      </c>
      <c r="F32" s="72" t="s">
        <v>3009</v>
      </c>
      <c r="G32" s="73" t="s">
        <v>3010</v>
      </c>
    </row>
    <row r="33" spans="2:7" s="1911" customFormat="1" ht="51.95" customHeight="1">
      <c r="B33" s="3099"/>
      <c r="C33" s="3085"/>
      <c r="D33" s="3087"/>
      <c r="E33" s="3096" t="s">
        <v>10035</v>
      </c>
      <c r="F33" s="3096"/>
      <c r="G33" s="3097"/>
    </row>
    <row r="34" spans="2:7" ht="71.099999999999994" customHeight="1">
      <c r="B34" s="1499" t="s">
        <v>136</v>
      </c>
      <c r="C34" s="1505"/>
      <c r="D34" s="1500" t="s">
        <v>137</v>
      </c>
      <c r="E34" s="1501" t="s">
        <v>8196</v>
      </c>
      <c r="F34" s="1502" t="s">
        <v>8197</v>
      </c>
      <c r="G34" s="1503" t="s">
        <v>8198</v>
      </c>
    </row>
    <row r="35" spans="2:7" ht="65.099999999999994" customHeight="1">
      <c r="B35" s="3098" t="s">
        <v>388</v>
      </c>
      <c r="C35" s="3084"/>
      <c r="D35" s="3086" t="s">
        <v>137</v>
      </c>
      <c r="E35" s="71" t="s">
        <v>3027</v>
      </c>
      <c r="F35" s="72" t="s">
        <v>3028</v>
      </c>
      <c r="G35" s="73" t="s">
        <v>3029</v>
      </c>
    </row>
    <row r="36" spans="2:7" s="1911" customFormat="1" ht="195" customHeight="1">
      <c r="B36" s="3099"/>
      <c r="C36" s="3085"/>
      <c r="D36" s="3087"/>
      <c r="E36" s="3100" t="s">
        <v>7239</v>
      </c>
      <c r="F36" s="3100"/>
      <c r="G36" s="3101"/>
    </row>
    <row r="37" spans="2:7" ht="71.099999999999994" customHeight="1">
      <c r="B37" s="2048" t="s">
        <v>2377</v>
      </c>
      <c r="C37" s="1505"/>
      <c r="D37" s="1500" t="s">
        <v>3011</v>
      </c>
      <c r="E37" s="1501" t="s">
        <v>2948</v>
      </c>
      <c r="F37" s="1502" t="s">
        <v>2949</v>
      </c>
      <c r="G37" s="1503" t="s">
        <v>2950</v>
      </c>
    </row>
    <row r="38" spans="2:7" ht="65.099999999999994" customHeight="1">
      <c r="B38" s="3094" t="s">
        <v>2333</v>
      </c>
      <c r="C38" s="3092"/>
      <c r="D38" s="3090" t="s">
        <v>137</v>
      </c>
      <c r="E38" s="71" t="s">
        <v>3012</v>
      </c>
      <c r="F38" s="72" t="s">
        <v>3013</v>
      </c>
      <c r="G38" s="73" t="s">
        <v>3014</v>
      </c>
    </row>
    <row r="39" spans="2:7" s="1911" customFormat="1" ht="90.95" customHeight="1" thickBot="1">
      <c r="B39" s="3095"/>
      <c r="C39" s="3093"/>
      <c r="D39" s="3091"/>
      <c r="E39" s="3088" t="s">
        <v>10036</v>
      </c>
      <c r="F39" s="3088"/>
      <c r="G39" s="3089"/>
    </row>
  </sheetData>
  <sheetProtection autoFilter="0"/>
  <autoFilter ref="B6"/>
  <mergeCells count="24">
    <mergeCell ref="E39:G39"/>
    <mergeCell ref="D38:D39"/>
    <mergeCell ref="C38:C39"/>
    <mergeCell ref="B38:B39"/>
    <mergeCell ref="E33:G33"/>
    <mergeCell ref="D32:D33"/>
    <mergeCell ref="C32:C33"/>
    <mergeCell ref="B32:B33"/>
    <mergeCell ref="E36:G36"/>
    <mergeCell ref="D35:D36"/>
    <mergeCell ref="C35:C36"/>
    <mergeCell ref="B35:B36"/>
    <mergeCell ref="E31:G31"/>
    <mergeCell ref="D30:D31"/>
    <mergeCell ref="C30:C31"/>
    <mergeCell ref="B30:B31"/>
    <mergeCell ref="C1:G1"/>
    <mergeCell ref="B3:G3"/>
    <mergeCell ref="B5:C5"/>
    <mergeCell ref="C6:G6"/>
    <mergeCell ref="E13:G13"/>
    <mergeCell ref="B12:B13"/>
    <mergeCell ref="C12:C13"/>
    <mergeCell ref="D12:D13"/>
  </mergeCells>
  <hyperlinks>
    <hyperlink ref="B1" location="Index!A1" display="Назад"/>
    <hyperlink ref="B38" location="'51'!A1" display="Чародейство"/>
    <hyperlink ref="B11" location="'7.5'!A1" display="Дипломатия"/>
    <hyperlink ref="B18" location="'7.3'!A1" display="Логистика"/>
    <hyperlink ref="B25" location="'7.3'!A1" display="Навигация"/>
    <hyperlink ref="B29" location="'7.3'!A1" display="Поиск Пути"/>
    <hyperlink ref="B17" location="'1.4'!A1" display="Лидерство"/>
    <hyperlink ref="B37" location="'1.4'!A1" display="Удача"/>
    <hyperlink ref="B8" location="'5.7'!A1" display="Баллистика"/>
    <hyperlink ref="B27" location="'1.9'!A1" display="Обучение"/>
    <hyperlink ref="B38:B39" location="'5.11'!A1" display="Чародейство"/>
  </hyperlinks>
  <printOptions horizontalCentered="1"/>
  <pageMargins left="0.74803149606299213" right="0.74803149606299213" top="0.98425196850393704" bottom="0.98425196850393704" header="0.51181102362204722" footer="0.51181102362204722"/>
  <pageSetup paperSize="9" scale="95" orientation="landscape" r:id="rId1"/>
  <headerFooter alignWithMargins="0"/>
  <rowBreaks count="1" manualBreakCount="1">
    <brk id="11" max="16383" man="1"/>
  </rowBreaks>
  <drawing r:id="rId2"/>
</worksheet>
</file>

<file path=xl/worksheets/sheet14.xml><?xml version="1.0" encoding="utf-8"?>
<worksheet xmlns="http://schemas.openxmlformats.org/spreadsheetml/2006/main" xmlns:r="http://schemas.openxmlformats.org/officeDocument/2006/relationships">
  <dimension ref="B1:T45"/>
  <sheetViews>
    <sheetView zoomScaleNormal="100" workbookViewId="0">
      <pane ySplit="8" topLeftCell="A9" activePane="bottomLeft" state="frozen"/>
      <selection pane="bottomLeft" activeCell="B1" sqref="B1"/>
    </sheetView>
  </sheetViews>
  <sheetFormatPr defaultColWidth="10.7109375" defaultRowHeight="12.95" customHeight="1"/>
  <cols>
    <col min="1" max="1" width="3.7109375" style="1011" customWidth="1"/>
    <col min="2" max="2" width="26.7109375" style="1007" customWidth="1"/>
    <col min="3" max="20" width="5.7109375" style="1011" customWidth="1"/>
    <col min="21" max="16384" width="10.7109375" style="1011"/>
  </cols>
  <sheetData>
    <row r="1" spans="2:20" ht="12.95" customHeight="1">
      <c r="B1" s="313" t="s">
        <v>2706</v>
      </c>
      <c r="C1" s="2973" t="s">
        <v>8269</v>
      </c>
      <c r="D1" s="2973"/>
      <c r="E1" s="2973"/>
      <c r="F1" s="2973"/>
      <c r="G1" s="2973"/>
      <c r="H1" s="2973"/>
      <c r="I1" s="2973"/>
      <c r="J1" s="2973"/>
      <c r="K1" s="2973"/>
      <c r="L1" s="2973"/>
      <c r="M1" s="2973"/>
      <c r="N1" s="2973"/>
      <c r="O1" s="2973"/>
      <c r="P1" s="2973"/>
      <c r="Q1" s="2973"/>
      <c r="R1" s="2973"/>
      <c r="S1" s="2973"/>
      <c r="T1" s="2973"/>
    </row>
    <row r="2" spans="2:20" ht="5.0999999999999996" customHeight="1"/>
    <row r="3" spans="2:20" ht="12.95" customHeight="1">
      <c r="B3" s="2978" t="s">
        <v>3016</v>
      </c>
      <c r="C3" s="2978"/>
      <c r="D3" s="2978"/>
      <c r="E3" s="2978"/>
      <c r="F3" s="2978"/>
      <c r="G3" s="2978"/>
      <c r="H3" s="2978"/>
      <c r="I3" s="2978"/>
      <c r="J3" s="2978"/>
      <c r="K3" s="2978"/>
      <c r="L3" s="2978"/>
      <c r="M3" s="2978"/>
      <c r="N3" s="2978"/>
      <c r="O3" s="2978"/>
      <c r="P3" s="2978"/>
      <c r="Q3" s="2978"/>
      <c r="R3" s="2978"/>
      <c r="S3" s="2978"/>
      <c r="T3" s="2978"/>
    </row>
    <row r="4" spans="2:20" ht="5.0999999999999996" customHeight="1"/>
    <row r="5" spans="2:20" ht="12.95" customHeight="1">
      <c r="B5" s="3000" t="s">
        <v>3015</v>
      </c>
      <c r="C5" s="3000"/>
      <c r="D5" s="3000"/>
      <c r="E5" s="3000"/>
      <c r="F5" s="3000"/>
      <c r="G5" s="3000"/>
      <c r="H5" s="3000"/>
      <c r="I5" s="3000"/>
      <c r="J5" s="3000"/>
      <c r="K5" s="3000"/>
      <c r="L5" s="3000"/>
      <c r="M5" s="3000"/>
      <c r="N5" s="3000"/>
      <c r="O5" s="3000"/>
      <c r="P5" s="3000"/>
      <c r="Q5" s="3000"/>
      <c r="R5" s="3000"/>
      <c r="S5" s="3000"/>
      <c r="T5" s="3000"/>
    </row>
    <row r="6" spans="2:20" ht="5.0999999999999996" customHeight="1" thickBot="1"/>
    <row r="7" spans="2:20" ht="68.25" thickBot="1">
      <c r="B7" s="1507" t="s">
        <v>1280</v>
      </c>
      <c r="C7" s="272" t="s">
        <v>2152</v>
      </c>
      <c r="D7" s="256" t="s">
        <v>390</v>
      </c>
      <c r="E7" s="256" t="s">
        <v>1486</v>
      </c>
      <c r="F7" s="256" t="s">
        <v>1497</v>
      </c>
      <c r="G7" s="256" t="s">
        <v>1506</v>
      </c>
      <c r="H7" s="256" t="s">
        <v>1817</v>
      </c>
      <c r="I7" s="256" t="s">
        <v>1686</v>
      </c>
      <c r="J7" s="256" t="s">
        <v>1697</v>
      </c>
      <c r="K7" s="257" t="s">
        <v>7246</v>
      </c>
      <c r="L7" s="256" t="s">
        <v>935</v>
      </c>
      <c r="M7" s="256" t="s">
        <v>1349</v>
      </c>
      <c r="N7" s="257" t="s">
        <v>7247</v>
      </c>
      <c r="O7" s="256" t="s">
        <v>327</v>
      </c>
      <c r="P7" s="257" t="s">
        <v>475</v>
      </c>
      <c r="Q7" s="257" t="s">
        <v>7248</v>
      </c>
      <c r="R7" s="256" t="s">
        <v>169</v>
      </c>
      <c r="S7" s="257" t="s">
        <v>7249</v>
      </c>
      <c r="T7" s="258" t="s">
        <v>2737</v>
      </c>
    </row>
    <row r="8" spans="2:20" s="1005" customFormat="1" ht="12" thickBot="1">
      <c r="B8" s="1470"/>
      <c r="C8" s="3103"/>
      <c r="D8" s="3104"/>
      <c r="E8" s="3104"/>
      <c r="F8" s="3104"/>
      <c r="G8" s="3104"/>
      <c r="H8" s="3104"/>
      <c r="I8" s="3104"/>
      <c r="J8" s="3104"/>
      <c r="K8" s="3104"/>
      <c r="L8" s="3104"/>
      <c r="M8" s="3104"/>
      <c r="N8" s="3104"/>
      <c r="O8" s="3104"/>
      <c r="P8" s="3104"/>
      <c r="Q8" s="3104"/>
      <c r="R8" s="3104"/>
      <c r="S8" s="3104"/>
      <c r="T8" s="3105"/>
    </row>
    <row r="9" spans="2:20" ht="12.95" customHeight="1">
      <c r="B9" s="1457" t="s">
        <v>385</v>
      </c>
      <c r="C9" s="1458">
        <v>0.05</v>
      </c>
      <c r="D9" s="1459">
        <v>0.02</v>
      </c>
      <c r="E9" s="1459">
        <v>0.06</v>
      </c>
      <c r="F9" s="1459">
        <v>0.01</v>
      </c>
      <c r="G9" s="1459">
        <v>0.04</v>
      </c>
      <c r="H9" s="1459">
        <v>0.01</v>
      </c>
      <c r="I9" s="1459">
        <v>0.05</v>
      </c>
      <c r="J9" s="1459">
        <v>0.04</v>
      </c>
      <c r="K9" s="1459">
        <v>0.05</v>
      </c>
      <c r="L9" s="1459">
        <v>0.03</v>
      </c>
      <c r="M9" s="1460">
        <v>0.08</v>
      </c>
      <c r="N9" s="1459">
        <v>0.01</v>
      </c>
      <c r="O9" s="1460">
        <v>0.08</v>
      </c>
      <c r="P9" s="1459">
        <v>0.04</v>
      </c>
      <c r="Q9" s="1460">
        <v>0.08</v>
      </c>
      <c r="R9" s="1459">
        <v>0.01</v>
      </c>
      <c r="S9" s="1460">
        <v>0.08</v>
      </c>
      <c r="T9" s="1461">
        <v>0.01</v>
      </c>
    </row>
    <row r="10" spans="2:20" ht="12.95" customHeight="1">
      <c r="B10" s="80" t="s">
        <v>562</v>
      </c>
      <c r="C10" s="273">
        <v>0.08</v>
      </c>
      <c r="D10" s="81">
        <v>0.04</v>
      </c>
      <c r="E10" s="81">
        <v>0.04</v>
      </c>
      <c r="F10" s="81">
        <v>0.04</v>
      </c>
      <c r="G10" s="81">
        <v>0.06</v>
      </c>
      <c r="H10" s="81">
        <v>0.04</v>
      </c>
      <c r="I10" s="81">
        <v>7.0000000000000007E-2</v>
      </c>
      <c r="J10" s="81">
        <v>0.06</v>
      </c>
      <c r="K10" s="81">
        <v>7.0000000000000007E-2</v>
      </c>
      <c r="L10" s="81">
        <v>0.05</v>
      </c>
      <c r="M10" s="81">
        <v>7.0000000000000007E-2</v>
      </c>
      <c r="N10" s="81">
        <v>0.06</v>
      </c>
      <c r="O10" s="82">
        <v>0.08</v>
      </c>
      <c r="P10" s="81">
        <v>0.06</v>
      </c>
      <c r="Q10" s="81">
        <v>7.0000000000000007E-2</v>
      </c>
      <c r="R10" s="82">
        <v>0.08</v>
      </c>
      <c r="S10" s="82">
        <v>0.08</v>
      </c>
      <c r="T10" s="274">
        <v>0.04</v>
      </c>
    </row>
    <row r="11" spans="2:20" ht="12.95" customHeight="1">
      <c r="B11" s="1462" t="s">
        <v>1275</v>
      </c>
      <c r="C11" s="1466">
        <v>0.01</v>
      </c>
      <c r="D11" s="1463">
        <v>0.05</v>
      </c>
      <c r="E11" s="1463">
        <v>0.02</v>
      </c>
      <c r="F11" s="1463">
        <v>0.06</v>
      </c>
      <c r="G11" s="1463">
        <v>0.03</v>
      </c>
      <c r="H11" s="1463">
        <v>0.08</v>
      </c>
      <c r="I11" s="1463">
        <v>0.03</v>
      </c>
      <c r="J11" s="1463">
        <v>0.06</v>
      </c>
      <c r="K11" s="1463">
        <v>0.04</v>
      </c>
      <c r="L11" s="1463">
        <v>0.06</v>
      </c>
      <c r="M11" s="1463">
        <v>0.02</v>
      </c>
      <c r="N11" s="1464">
        <v>0.1</v>
      </c>
      <c r="O11" s="1463">
        <v>0.01</v>
      </c>
      <c r="P11" s="1463">
        <v>0.06</v>
      </c>
      <c r="Q11" s="1463">
        <v>0.01</v>
      </c>
      <c r="R11" s="1463">
        <v>0.08</v>
      </c>
      <c r="S11" s="1463">
        <v>0.01</v>
      </c>
      <c r="T11" s="1465">
        <v>0.08</v>
      </c>
    </row>
    <row r="12" spans="2:20" ht="12.95" customHeight="1">
      <c r="B12" s="80" t="s">
        <v>345</v>
      </c>
      <c r="C12" s="275">
        <v>0.01</v>
      </c>
      <c r="D12" s="81">
        <v>0.06</v>
      </c>
      <c r="E12" s="81">
        <v>0.01</v>
      </c>
      <c r="F12" s="81">
        <v>0.08</v>
      </c>
      <c r="G12" s="81">
        <v>0.03</v>
      </c>
      <c r="H12" s="82">
        <v>0.09</v>
      </c>
      <c r="I12" s="81">
        <v>0.02</v>
      </c>
      <c r="J12" s="81">
        <v>0.05</v>
      </c>
      <c r="K12" s="81">
        <v>0.02</v>
      </c>
      <c r="L12" s="81">
        <v>0.06</v>
      </c>
      <c r="M12" s="81">
        <v>0.01</v>
      </c>
      <c r="N12" s="81">
        <v>0.08</v>
      </c>
      <c r="O12" s="81">
        <v>0.01</v>
      </c>
      <c r="P12" s="81">
        <v>0.04</v>
      </c>
      <c r="Q12" s="81">
        <v>0.01</v>
      </c>
      <c r="R12" s="81">
        <v>7.0000000000000007E-2</v>
      </c>
      <c r="S12" s="81">
        <v>0.01</v>
      </c>
      <c r="T12" s="274">
        <v>0.08</v>
      </c>
    </row>
    <row r="13" spans="2:20" ht="12.95" customHeight="1">
      <c r="B13" s="1462" t="s">
        <v>1149</v>
      </c>
      <c r="C13" s="1466">
        <v>0.04</v>
      </c>
      <c r="D13" s="1464">
        <v>7.0000000000000007E-2</v>
      </c>
      <c r="E13" s="1463">
        <v>0.04</v>
      </c>
      <c r="F13" s="1463">
        <v>0.04</v>
      </c>
      <c r="G13" s="1463">
        <v>0.03</v>
      </c>
      <c r="H13" s="1463">
        <v>0.04</v>
      </c>
      <c r="I13" s="1463">
        <v>0.04</v>
      </c>
      <c r="J13" s="1463">
        <v>0.03</v>
      </c>
      <c r="K13" s="1463">
        <v>0.02</v>
      </c>
      <c r="L13" s="1463">
        <v>0.04</v>
      </c>
      <c r="M13" s="1463">
        <v>0.03</v>
      </c>
      <c r="N13" s="1463">
        <v>0.04</v>
      </c>
      <c r="O13" s="1463">
        <v>0.01</v>
      </c>
      <c r="P13" s="1463">
        <v>0.03</v>
      </c>
      <c r="Q13" s="1463">
        <v>0.01</v>
      </c>
      <c r="R13" s="1463">
        <v>0.02</v>
      </c>
      <c r="S13" s="1463">
        <v>0.02</v>
      </c>
      <c r="T13" s="1465">
        <v>0.04</v>
      </c>
    </row>
    <row r="14" spans="2:20" ht="12.95" customHeight="1">
      <c r="B14" s="80" t="s">
        <v>5</v>
      </c>
      <c r="C14" s="275">
        <v>0.05</v>
      </c>
      <c r="D14" s="81">
        <v>0.03</v>
      </c>
      <c r="E14" s="81">
        <v>0.08</v>
      </c>
      <c r="F14" s="81">
        <v>0.03</v>
      </c>
      <c r="G14" s="81">
        <v>0.08</v>
      </c>
      <c r="H14" s="81">
        <v>0.01</v>
      </c>
      <c r="I14" s="81">
        <v>7.0000000000000007E-2</v>
      </c>
      <c r="J14" s="81">
        <v>0.04</v>
      </c>
      <c r="K14" s="81">
        <v>0.05</v>
      </c>
      <c r="L14" s="81">
        <v>0.02</v>
      </c>
      <c r="M14" s="81">
        <v>0.06</v>
      </c>
      <c r="N14" s="81">
        <v>0.01</v>
      </c>
      <c r="O14" s="81">
        <v>0.06</v>
      </c>
      <c r="P14" s="81">
        <v>0.04</v>
      </c>
      <c r="Q14" s="82">
        <v>0.1</v>
      </c>
      <c r="R14" s="81">
        <v>0.04</v>
      </c>
      <c r="S14" s="81">
        <v>0.05</v>
      </c>
      <c r="T14" s="274">
        <v>0.01</v>
      </c>
    </row>
    <row r="15" spans="2:20" ht="12.95" customHeight="1">
      <c r="B15" s="1462" t="s">
        <v>873</v>
      </c>
      <c r="C15" s="1466">
        <v>0.02</v>
      </c>
      <c r="D15" s="1463">
        <v>0.06</v>
      </c>
      <c r="E15" s="1463">
        <v>0.02</v>
      </c>
      <c r="F15" s="1463">
        <v>7.0000000000000007E-2</v>
      </c>
      <c r="G15" s="1463">
        <v>0.03</v>
      </c>
      <c r="H15" s="1463">
        <v>0.08</v>
      </c>
      <c r="I15" s="1463">
        <v>0.03</v>
      </c>
      <c r="J15" s="1463">
        <v>0.04</v>
      </c>
      <c r="K15" s="1463">
        <v>0.04</v>
      </c>
      <c r="L15" s="1463">
        <v>7.0000000000000007E-2</v>
      </c>
      <c r="M15" s="1463">
        <v>0.02</v>
      </c>
      <c r="N15" s="1463">
        <v>0.08</v>
      </c>
      <c r="O15" s="1463">
        <v>0.02</v>
      </c>
      <c r="P15" s="1463">
        <v>0.05</v>
      </c>
      <c r="Q15" s="1463">
        <v>0.01</v>
      </c>
      <c r="R15" s="1464">
        <v>0.1</v>
      </c>
      <c r="S15" s="1463">
        <v>0.02</v>
      </c>
      <c r="T15" s="1465">
        <v>0.08</v>
      </c>
    </row>
    <row r="16" spans="2:20" ht="12.95" customHeight="1">
      <c r="B16" s="80" t="s">
        <v>73</v>
      </c>
      <c r="C16" s="273">
        <v>0.06</v>
      </c>
      <c r="D16" s="81">
        <v>0.03</v>
      </c>
      <c r="E16" s="81">
        <v>0.02</v>
      </c>
      <c r="F16" s="81">
        <v>0.03</v>
      </c>
      <c r="G16" s="81">
        <v>0.04</v>
      </c>
      <c r="H16" s="81">
        <v>0.05</v>
      </c>
      <c r="I16" s="81">
        <v>0.03</v>
      </c>
      <c r="J16" s="81">
        <v>0.02</v>
      </c>
      <c r="K16" s="83" t="s">
        <v>137</v>
      </c>
      <c r="L16" s="81">
        <v>0.03</v>
      </c>
      <c r="M16" s="81">
        <v>0.04</v>
      </c>
      <c r="N16" s="81">
        <v>0.05</v>
      </c>
      <c r="O16" s="81">
        <v>0.02</v>
      </c>
      <c r="P16" s="81">
        <v>0.01</v>
      </c>
      <c r="Q16" s="81">
        <v>0.01</v>
      </c>
      <c r="R16" s="81">
        <v>0.01</v>
      </c>
      <c r="S16" s="81">
        <v>0.03</v>
      </c>
      <c r="T16" s="274">
        <v>0.03</v>
      </c>
    </row>
    <row r="17" spans="2:20" ht="12.95" customHeight="1">
      <c r="B17" s="1462" t="s">
        <v>1142</v>
      </c>
      <c r="C17" s="1466">
        <v>0.01</v>
      </c>
      <c r="D17" s="1463">
        <v>0.06</v>
      </c>
      <c r="E17" s="1463">
        <v>0.02</v>
      </c>
      <c r="F17" s="1463">
        <v>7.0000000000000007E-2</v>
      </c>
      <c r="G17" s="1463">
        <v>0.04</v>
      </c>
      <c r="H17" s="1464">
        <v>0.1</v>
      </c>
      <c r="I17" s="1463">
        <v>0.02</v>
      </c>
      <c r="J17" s="1463">
        <v>0.06</v>
      </c>
      <c r="K17" s="1463">
        <v>0.05</v>
      </c>
      <c r="L17" s="1463">
        <v>0.06</v>
      </c>
      <c r="M17" s="1463">
        <v>0.01</v>
      </c>
      <c r="N17" s="1463">
        <v>0.08</v>
      </c>
      <c r="O17" s="1463">
        <v>0.01</v>
      </c>
      <c r="P17" s="1463">
        <v>0.05</v>
      </c>
      <c r="Q17" s="1463">
        <v>0.01</v>
      </c>
      <c r="R17" s="1463">
        <v>7.0000000000000007E-2</v>
      </c>
      <c r="S17" s="1463">
        <v>0.01</v>
      </c>
      <c r="T17" s="1465">
        <v>0.08</v>
      </c>
    </row>
    <row r="18" spans="2:20" ht="12.95" customHeight="1">
      <c r="B18" s="80" t="s">
        <v>135</v>
      </c>
      <c r="C18" s="273">
        <v>0.1</v>
      </c>
      <c r="D18" s="81">
        <v>0.02</v>
      </c>
      <c r="E18" s="81">
        <v>0.06</v>
      </c>
      <c r="F18" s="81">
        <v>0.02</v>
      </c>
      <c r="G18" s="81">
        <v>0.03</v>
      </c>
      <c r="H18" s="81">
        <v>0.04</v>
      </c>
      <c r="I18" s="81">
        <v>0.03</v>
      </c>
      <c r="J18" s="81">
        <v>0.02</v>
      </c>
      <c r="K18" s="83" t="s">
        <v>137</v>
      </c>
      <c r="L18" s="83" t="s">
        <v>137</v>
      </c>
      <c r="M18" s="81">
        <v>0.08</v>
      </c>
      <c r="N18" s="81">
        <v>0.03</v>
      </c>
      <c r="O18" s="81">
        <v>0.05</v>
      </c>
      <c r="P18" s="81">
        <v>0.04</v>
      </c>
      <c r="Q18" s="81">
        <v>0.05</v>
      </c>
      <c r="R18" s="81">
        <v>0.01</v>
      </c>
      <c r="S18" s="81">
        <v>0.03</v>
      </c>
      <c r="T18" s="274">
        <v>0.03</v>
      </c>
    </row>
    <row r="19" spans="2:20" ht="12.95" customHeight="1">
      <c r="B19" s="1462" t="s">
        <v>1441</v>
      </c>
      <c r="C19" s="1466">
        <v>0.05</v>
      </c>
      <c r="D19" s="1463">
        <v>0.04</v>
      </c>
      <c r="E19" s="1463">
        <v>0.05</v>
      </c>
      <c r="F19" s="1463">
        <v>0.05</v>
      </c>
      <c r="G19" s="1463">
        <v>0.06</v>
      </c>
      <c r="H19" s="1463">
        <v>0.02</v>
      </c>
      <c r="I19" s="1464">
        <v>0.1</v>
      </c>
      <c r="J19" s="1463">
        <v>0.03</v>
      </c>
      <c r="K19" s="1463">
        <v>0.05</v>
      </c>
      <c r="L19" s="1463">
        <v>0.04</v>
      </c>
      <c r="M19" s="1463">
        <v>0.08</v>
      </c>
      <c r="N19" s="1463">
        <v>0.02</v>
      </c>
      <c r="O19" s="1463">
        <v>7.0000000000000007E-2</v>
      </c>
      <c r="P19" s="1463">
        <v>0.09</v>
      </c>
      <c r="Q19" s="1463">
        <v>0.08</v>
      </c>
      <c r="R19" s="1463">
        <v>0.03</v>
      </c>
      <c r="S19" s="1463">
        <v>0.08</v>
      </c>
      <c r="T19" s="1465">
        <v>0.02</v>
      </c>
    </row>
    <row r="20" spans="2:20" ht="12.95" customHeight="1">
      <c r="B20" s="80" t="s">
        <v>99</v>
      </c>
      <c r="C20" s="275">
        <v>0.04</v>
      </c>
      <c r="D20" s="81">
        <v>0.04</v>
      </c>
      <c r="E20" s="81">
        <v>0.03</v>
      </c>
      <c r="F20" s="81">
        <v>0.04</v>
      </c>
      <c r="G20" s="81">
        <v>0.02</v>
      </c>
      <c r="H20" s="81">
        <v>0.03</v>
      </c>
      <c r="I20" s="81">
        <v>0.01</v>
      </c>
      <c r="J20" s="81">
        <v>0.02</v>
      </c>
      <c r="K20" s="81">
        <v>0.03</v>
      </c>
      <c r="L20" s="81">
        <v>0.03</v>
      </c>
      <c r="M20" s="83" t="s">
        <v>137</v>
      </c>
      <c r="N20" s="81">
        <v>0.02</v>
      </c>
      <c r="O20" s="83" t="s">
        <v>137</v>
      </c>
      <c r="P20" s="81">
        <v>0.03</v>
      </c>
      <c r="Q20" s="81">
        <v>0.02</v>
      </c>
      <c r="R20" s="81">
        <v>0.03</v>
      </c>
      <c r="S20" s="81">
        <v>0.02</v>
      </c>
      <c r="T20" s="253">
        <v>0.06</v>
      </c>
    </row>
    <row r="21" spans="2:20" ht="12.95" customHeight="1">
      <c r="B21" s="1462" t="s">
        <v>98</v>
      </c>
      <c r="C21" s="1466">
        <v>0.03</v>
      </c>
      <c r="D21" s="1463">
        <v>0.04</v>
      </c>
      <c r="E21" s="1463">
        <v>0.01</v>
      </c>
      <c r="F21" s="1463">
        <v>0.02</v>
      </c>
      <c r="G21" s="1463">
        <v>0.04</v>
      </c>
      <c r="H21" s="1464">
        <v>0.06</v>
      </c>
      <c r="I21" s="1463">
        <v>0.02</v>
      </c>
      <c r="J21" s="1463">
        <v>0.03</v>
      </c>
      <c r="K21" s="1463">
        <v>0.02</v>
      </c>
      <c r="L21" s="1463">
        <v>0.03</v>
      </c>
      <c r="M21" s="1463">
        <v>0.01</v>
      </c>
      <c r="N21" s="1463">
        <v>0.02</v>
      </c>
      <c r="O21" s="1463">
        <v>0.03</v>
      </c>
      <c r="P21" s="1463">
        <v>0.03</v>
      </c>
      <c r="Q21" s="1463">
        <v>0.01</v>
      </c>
      <c r="R21" s="1463">
        <v>0.03</v>
      </c>
      <c r="S21" s="1463">
        <v>0.02</v>
      </c>
      <c r="T21" s="1468">
        <v>0.06</v>
      </c>
    </row>
    <row r="22" spans="2:20" ht="12.95" customHeight="1">
      <c r="B22" s="80" t="s">
        <v>865</v>
      </c>
      <c r="C22" s="275">
        <v>0.02</v>
      </c>
      <c r="D22" s="81">
        <v>0.03</v>
      </c>
      <c r="E22" s="81">
        <v>0.03</v>
      </c>
      <c r="F22" s="81">
        <v>0.04</v>
      </c>
      <c r="G22" s="81">
        <v>0.03</v>
      </c>
      <c r="H22" s="81">
        <v>0.03</v>
      </c>
      <c r="I22" s="81">
        <v>0.03</v>
      </c>
      <c r="J22" s="81">
        <v>0.04</v>
      </c>
      <c r="K22" s="81">
        <v>0.04</v>
      </c>
      <c r="L22" s="82">
        <v>0.08</v>
      </c>
      <c r="M22" s="81">
        <v>0.03</v>
      </c>
      <c r="N22" s="81">
        <v>0.05</v>
      </c>
      <c r="O22" s="81">
        <v>0.03</v>
      </c>
      <c r="P22" s="81">
        <v>0.03</v>
      </c>
      <c r="Q22" s="81">
        <v>0.03</v>
      </c>
      <c r="R22" s="81">
        <v>0.03</v>
      </c>
      <c r="S22" s="81">
        <v>0.03</v>
      </c>
      <c r="T22" s="274">
        <v>0.06</v>
      </c>
    </row>
    <row r="23" spans="2:20" ht="12.95" customHeight="1">
      <c r="B23" s="1462" t="s">
        <v>97</v>
      </c>
      <c r="C23" s="1466">
        <v>0.01</v>
      </c>
      <c r="D23" s="1463">
        <v>0.02</v>
      </c>
      <c r="E23" s="1467" t="s">
        <v>137</v>
      </c>
      <c r="F23" s="1463">
        <v>0.01</v>
      </c>
      <c r="G23" s="1463">
        <v>0.01</v>
      </c>
      <c r="H23" s="1463">
        <v>0.02</v>
      </c>
      <c r="I23" s="1463">
        <v>0.04</v>
      </c>
      <c r="J23" s="1463">
        <v>0.05</v>
      </c>
      <c r="K23" s="1463">
        <v>0.01</v>
      </c>
      <c r="L23" s="1463">
        <v>0.02</v>
      </c>
      <c r="M23" s="1463">
        <v>0.02</v>
      </c>
      <c r="N23" s="1463">
        <v>0.05</v>
      </c>
      <c r="O23" s="1463">
        <v>0.02</v>
      </c>
      <c r="P23" s="1463">
        <v>0.03</v>
      </c>
      <c r="Q23" s="1463" t="s">
        <v>137</v>
      </c>
      <c r="R23" s="1463">
        <v>0.03</v>
      </c>
      <c r="S23" s="1463">
        <v>0.03</v>
      </c>
      <c r="T23" s="1468">
        <v>0.06</v>
      </c>
    </row>
    <row r="24" spans="2:20" ht="12.95" customHeight="1">
      <c r="B24" s="80" t="s">
        <v>869</v>
      </c>
      <c r="C24" s="275">
        <v>0.02</v>
      </c>
      <c r="D24" s="81">
        <v>0.04</v>
      </c>
      <c r="E24" s="81">
        <v>0.03</v>
      </c>
      <c r="F24" s="81">
        <v>0.06</v>
      </c>
      <c r="G24" s="81">
        <v>0.04</v>
      </c>
      <c r="H24" s="81">
        <v>0.08</v>
      </c>
      <c r="I24" s="81">
        <v>0.02</v>
      </c>
      <c r="J24" s="82">
        <v>0.1</v>
      </c>
      <c r="K24" s="81">
        <v>0.04</v>
      </c>
      <c r="L24" s="81">
        <v>0.06</v>
      </c>
      <c r="M24" s="81">
        <v>0.03</v>
      </c>
      <c r="N24" s="81">
        <v>0.08</v>
      </c>
      <c r="O24" s="81">
        <v>0.03</v>
      </c>
      <c r="P24" s="81">
        <v>0.04</v>
      </c>
      <c r="Q24" s="81">
        <v>0.02</v>
      </c>
      <c r="R24" s="81">
        <v>0.08</v>
      </c>
      <c r="S24" s="81">
        <v>0.03</v>
      </c>
      <c r="T24" s="274">
        <v>0.08</v>
      </c>
    </row>
    <row r="25" spans="2:20" ht="12.95" customHeight="1">
      <c r="B25" s="1462" t="s">
        <v>391</v>
      </c>
      <c r="C25" s="1466">
        <v>0.03</v>
      </c>
      <c r="D25" s="1463">
        <v>7.0000000000000007E-2</v>
      </c>
      <c r="E25" s="1463">
        <v>0.03</v>
      </c>
      <c r="F25" s="1463">
        <v>0.08</v>
      </c>
      <c r="G25" s="1463">
        <v>0.06</v>
      </c>
      <c r="H25" s="1464">
        <v>0.1</v>
      </c>
      <c r="I25" s="1463">
        <v>0.04</v>
      </c>
      <c r="J25" s="1463">
        <v>0.08</v>
      </c>
      <c r="K25" s="1463">
        <v>0.06</v>
      </c>
      <c r="L25" s="1463">
        <v>0.08</v>
      </c>
      <c r="M25" s="1463">
        <v>0.03</v>
      </c>
      <c r="N25" s="1464">
        <v>0.1</v>
      </c>
      <c r="O25" s="1463">
        <v>0.02</v>
      </c>
      <c r="P25" s="1463">
        <v>0.06</v>
      </c>
      <c r="Q25" s="1463">
        <v>0.02</v>
      </c>
      <c r="R25" s="1463">
        <v>0.08</v>
      </c>
      <c r="S25" s="1463">
        <v>0.02</v>
      </c>
      <c r="T25" s="1465">
        <v>0.08</v>
      </c>
    </row>
    <row r="26" spans="2:20" ht="12.95" customHeight="1">
      <c r="B26" s="80" t="s">
        <v>71</v>
      </c>
      <c r="C26" s="273">
        <v>0.08</v>
      </c>
      <c r="D26" s="81">
        <v>0.05</v>
      </c>
      <c r="E26" s="81">
        <v>0.03</v>
      </c>
      <c r="F26" s="81">
        <v>0.02</v>
      </c>
      <c r="G26" s="81">
        <v>0.03</v>
      </c>
      <c r="H26" s="81">
        <v>0.01</v>
      </c>
      <c r="I26" s="81">
        <v>0.04</v>
      </c>
      <c r="J26" s="81">
        <v>0.02</v>
      </c>
      <c r="K26" s="82">
        <v>0.08</v>
      </c>
      <c r="L26" s="81">
        <v>0.05</v>
      </c>
      <c r="M26" s="81">
        <v>0.04</v>
      </c>
      <c r="N26" s="81">
        <v>0.04</v>
      </c>
      <c r="O26" s="81">
        <v>0.02</v>
      </c>
      <c r="P26" s="83" t="s">
        <v>137</v>
      </c>
      <c r="Q26" s="82">
        <v>0.08</v>
      </c>
      <c r="R26" s="81">
        <v>0.06</v>
      </c>
      <c r="S26" s="81">
        <v>0.05</v>
      </c>
      <c r="T26" s="274">
        <v>0.04</v>
      </c>
    </row>
    <row r="27" spans="2:20" ht="12.95" customHeight="1">
      <c r="B27" s="1462" t="s">
        <v>75</v>
      </c>
      <c r="C27" s="1466">
        <v>7.0000000000000007E-2</v>
      </c>
      <c r="D27" s="1463">
        <v>0.04</v>
      </c>
      <c r="E27" s="1463">
        <v>0.05</v>
      </c>
      <c r="F27" s="1463">
        <v>0.01</v>
      </c>
      <c r="G27" s="1463">
        <v>0.06</v>
      </c>
      <c r="H27" s="1463">
        <v>0.01</v>
      </c>
      <c r="I27" s="1463">
        <v>0.08</v>
      </c>
      <c r="J27" s="1463">
        <v>0.04</v>
      </c>
      <c r="K27" s="1463">
        <v>7.0000000000000007E-2</v>
      </c>
      <c r="L27" s="1463">
        <v>0.03</v>
      </c>
      <c r="M27" s="1463">
        <v>0.08</v>
      </c>
      <c r="N27" s="1463">
        <v>0.01</v>
      </c>
      <c r="O27" s="1464">
        <v>0.1</v>
      </c>
      <c r="P27" s="1463">
        <v>0.08</v>
      </c>
      <c r="Q27" s="1463">
        <v>0.05</v>
      </c>
      <c r="R27" s="1463">
        <v>0.02</v>
      </c>
      <c r="S27" s="1463">
        <v>0.09</v>
      </c>
      <c r="T27" s="1465">
        <v>0.01</v>
      </c>
    </row>
    <row r="28" spans="2:20" ht="12.95" customHeight="1">
      <c r="B28" s="80" t="s">
        <v>216</v>
      </c>
      <c r="C28" s="275">
        <v>0.04</v>
      </c>
      <c r="D28" s="81">
        <v>0.04</v>
      </c>
      <c r="E28" s="81">
        <v>0.04</v>
      </c>
      <c r="F28" s="81">
        <v>0.04</v>
      </c>
      <c r="G28" s="82">
        <v>0.1</v>
      </c>
      <c r="H28" s="81">
        <v>0.04</v>
      </c>
      <c r="I28" s="81">
        <v>0.04</v>
      </c>
      <c r="J28" s="81">
        <v>0.04</v>
      </c>
      <c r="K28" s="81">
        <v>0.04</v>
      </c>
      <c r="L28" s="81">
        <v>0.04</v>
      </c>
      <c r="M28" s="81">
        <v>0.04</v>
      </c>
      <c r="N28" s="81">
        <v>0.04</v>
      </c>
      <c r="O28" s="81">
        <v>0.04</v>
      </c>
      <c r="P28" s="81">
        <v>0.04</v>
      </c>
      <c r="Q28" s="81">
        <v>0.04</v>
      </c>
      <c r="R28" s="81">
        <v>0.04</v>
      </c>
      <c r="S28" s="81">
        <v>0.08</v>
      </c>
      <c r="T28" s="274">
        <v>0.04</v>
      </c>
    </row>
    <row r="29" spans="2:20" ht="12.95" customHeight="1">
      <c r="B29" s="1462" t="s">
        <v>392</v>
      </c>
      <c r="C29" s="1466">
        <v>0.02</v>
      </c>
      <c r="D29" s="1464">
        <v>0.1</v>
      </c>
      <c r="E29" s="1463">
        <v>0.03</v>
      </c>
      <c r="F29" s="1463">
        <v>7.0000000000000007E-2</v>
      </c>
      <c r="G29" s="1463">
        <v>0.02</v>
      </c>
      <c r="H29" s="1463">
        <v>7.0000000000000007E-2</v>
      </c>
      <c r="I29" s="1463">
        <v>0.02</v>
      </c>
      <c r="J29" s="1463">
        <v>0.05</v>
      </c>
      <c r="K29" s="1467" t="s">
        <v>137</v>
      </c>
      <c r="L29" s="1467" t="s">
        <v>137</v>
      </c>
      <c r="M29" s="1463">
        <v>0.01</v>
      </c>
      <c r="N29" s="1463">
        <v>0.06</v>
      </c>
      <c r="O29" s="1463">
        <v>0.01</v>
      </c>
      <c r="P29" s="1463">
        <v>0.04</v>
      </c>
      <c r="Q29" s="1463">
        <v>0.06</v>
      </c>
      <c r="R29" s="1463">
        <v>0.08</v>
      </c>
      <c r="S29" s="1463">
        <v>0.01</v>
      </c>
      <c r="T29" s="1465">
        <v>0.04</v>
      </c>
    </row>
    <row r="30" spans="2:20" ht="12.95" customHeight="1">
      <c r="B30" s="80" t="s">
        <v>103</v>
      </c>
      <c r="C30" s="275">
        <v>0.04</v>
      </c>
      <c r="D30" s="81">
        <v>0.02</v>
      </c>
      <c r="E30" s="81">
        <v>7.0000000000000007E-2</v>
      </c>
      <c r="F30" s="81">
        <v>0.05</v>
      </c>
      <c r="G30" s="81">
        <v>0.04</v>
      </c>
      <c r="H30" s="81">
        <v>0.02</v>
      </c>
      <c r="I30" s="81">
        <v>0.04</v>
      </c>
      <c r="J30" s="81">
        <v>0.04</v>
      </c>
      <c r="K30" s="81">
        <v>0.04</v>
      </c>
      <c r="L30" s="81">
        <v>0.06</v>
      </c>
      <c r="M30" s="81">
        <v>0.05</v>
      </c>
      <c r="N30" s="81">
        <v>0.02</v>
      </c>
      <c r="O30" s="82">
        <v>0.08</v>
      </c>
      <c r="P30" s="81">
        <v>0.04</v>
      </c>
      <c r="Q30" s="82">
        <v>0.08</v>
      </c>
      <c r="R30" s="81">
        <v>0.02</v>
      </c>
      <c r="S30" s="81">
        <v>0.06</v>
      </c>
      <c r="T30" s="274">
        <v>0.02</v>
      </c>
    </row>
    <row r="31" spans="2:20" ht="12.95" customHeight="1">
      <c r="B31" s="1462" t="s">
        <v>1442</v>
      </c>
      <c r="C31" s="1466">
        <v>0.04</v>
      </c>
      <c r="D31" s="1463">
        <v>0.03</v>
      </c>
      <c r="E31" s="1463">
        <v>7.0000000000000007E-2</v>
      </c>
      <c r="F31" s="1463">
        <v>0.02</v>
      </c>
      <c r="G31" s="1463">
        <v>0.04</v>
      </c>
      <c r="H31" s="1463">
        <v>0.02</v>
      </c>
      <c r="I31" s="1463">
        <v>0.05</v>
      </c>
      <c r="J31" s="1463">
        <v>0.03</v>
      </c>
      <c r="K31" s="1463">
        <v>0.04</v>
      </c>
      <c r="L31" s="1463">
        <v>0.02</v>
      </c>
      <c r="M31" s="1463">
        <v>0.05</v>
      </c>
      <c r="N31" s="1463">
        <v>0.02</v>
      </c>
      <c r="O31" s="1464">
        <v>0.08</v>
      </c>
      <c r="P31" s="1463">
        <v>0.04</v>
      </c>
      <c r="Q31" s="1463">
        <v>7.0000000000000007E-2</v>
      </c>
      <c r="R31" s="1463">
        <v>0.02</v>
      </c>
      <c r="S31" s="1463">
        <v>0.06</v>
      </c>
      <c r="T31" s="1465">
        <v>0.02</v>
      </c>
    </row>
    <row r="32" spans="2:20" ht="12.95" customHeight="1">
      <c r="B32" s="80" t="s">
        <v>720</v>
      </c>
      <c r="C32" s="275">
        <v>0.05</v>
      </c>
      <c r="D32" s="81">
        <v>0.02</v>
      </c>
      <c r="E32" s="82">
        <v>0.09</v>
      </c>
      <c r="F32" s="81">
        <v>0.01</v>
      </c>
      <c r="G32" s="81">
        <v>0.05</v>
      </c>
      <c r="H32" s="83" t="s">
        <v>137</v>
      </c>
      <c r="I32" s="81">
        <v>0.06</v>
      </c>
      <c r="J32" s="81">
        <v>0.03</v>
      </c>
      <c r="K32" s="81">
        <v>0.05</v>
      </c>
      <c r="L32" s="81">
        <v>0.01</v>
      </c>
      <c r="M32" s="81">
        <v>0.06</v>
      </c>
      <c r="N32" s="83" t="s">
        <v>137</v>
      </c>
      <c r="O32" s="81">
        <v>0.06</v>
      </c>
      <c r="P32" s="81">
        <v>0.04</v>
      </c>
      <c r="Q32" s="81">
        <v>0.05</v>
      </c>
      <c r="R32" s="83" t="s">
        <v>137</v>
      </c>
      <c r="S32" s="81">
        <v>0.02</v>
      </c>
      <c r="T32" s="276" t="s">
        <v>137</v>
      </c>
    </row>
    <row r="33" spans="2:20" ht="12.95" customHeight="1">
      <c r="B33" s="1462" t="s">
        <v>136</v>
      </c>
      <c r="C33" s="1466">
        <v>0.05</v>
      </c>
      <c r="D33" s="1463">
        <v>0.03</v>
      </c>
      <c r="E33" s="1469">
        <v>0.08</v>
      </c>
      <c r="F33" s="1463">
        <v>0.05</v>
      </c>
      <c r="G33" s="1463">
        <v>0.05</v>
      </c>
      <c r="H33" s="1463">
        <v>0.02</v>
      </c>
      <c r="I33" s="1463">
        <v>0.06</v>
      </c>
      <c r="J33" s="1463">
        <v>0.04</v>
      </c>
      <c r="K33" s="1463">
        <v>0.05</v>
      </c>
      <c r="L33" s="1463">
        <v>0.02</v>
      </c>
      <c r="M33" s="1463">
        <v>0.06</v>
      </c>
      <c r="N33" s="1463">
        <v>0.02</v>
      </c>
      <c r="O33" s="1463">
        <v>7.0000000000000007E-2</v>
      </c>
      <c r="P33" s="1463">
        <v>0.04</v>
      </c>
      <c r="Q33" s="1463">
        <v>7.0000000000000007E-2</v>
      </c>
      <c r="R33" s="1463">
        <v>0.03</v>
      </c>
      <c r="S33" s="1464">
        <v>0.08</v>
      </c>
      <c r="T33" s="1465">
        <v>0.02</v>
      </c>
    </row>
    <row r="34" spans="2:20" ht="12.95" customHeight="1">
      <c r="B34" s="80" t="s">
        <v>388</v>
      </c>
      <c r="C34" s="275">
        <v>7.0000000000000007E-2</v>
      </c>
      <c r="D34" s="81">
        <v>0.02</v>
      </c>
      <c r="E34" s="81">
        <v>0.05</v>
      </c>
      <c r="F34" s="81">
        <v>0.01</v>
      </c>
      <c r="G34" s="81">
        <v>0.04</v>
      </c>
      <c r="H34" s="81">
        <v>0.01</v>
      </c>
      <c r="I34" s="81">
        <v>0.06</v>
      </c>
      <c r="J34" s="81">
        <v>0.04</v>
      </c>
      <c r="K34" s="81">
        <v>0.05</v>
      </c>
      <c r="L34" s="81">
        <v>0.02</v>
      </c>
      <c r="M34" s="82">
        <v>0.1</v>
      </c>
      <c r="N34" s="81">
        <v>0.01</v>
      </c>
      <c r="O34" s="81">
        <v>0.08</v>
      </c>
      <c r="P34" s="81">
        <v>0.05</v>
      </c>
      <c r="Q34" s="81">
        <v>0.06</v>
      </c>
      <c r="R34" s="81">
        <v>0.01</v>
      </c>
      <c r="S34" s="81">
        <v>0.08</v>
      </c>
      <c r="T34" s="274">
        <v>0.01</v>
      </c>
    </row>
    <row r="35" spans="2:20" ht="12.95" customHeight="1">
      <c r="B35" s="1462" t="s">
        <v>2377</v>
      </c>
      <c r="C35" s="1466">
        <v>0.03</v>
      </c>
      <c r="D35" s="1463">
        <v>0.05</v>
      </c>
      <c r="E35" s="1463">
        <v>0.06</v>
      </c>
      <c r="F35" s="1464">
        <v>0.09</v>
      </c>
      <c r="G35" s="1463">
        <v>0.02</v>
      </c>
      <c r="H35" s="1463">
        <v>0.04</v>
      </c>
      <c r="I35" s="1463">
        <v>0.02</v>
      </c>
      <c r="J35" s="1463">
        <v>0.02</v>
      </c>
      <c r="K35" s="1463">
        <v>0.01</v>
      </c>
      <c r="L35" s="1463">
        <v>0.01</v>
      </c>
      <c r="M35" s="1463">
        <v>0.01</v>
      </c>
      <c r="N35" s="1463">
        <v>0.02</v>
      </c>
      <c r="O35" s="1463">
        <v>0.03</v>
      </c>
      <c r="P35" s="1463">
        <v>0.02</v>
      </c>
      <c r="Q35" s="1463">
        <v>0.02</v>
      </c>
      <c r="R35" s="1463">
        <v>0.04</v>
      </c>
      <c r="S35" s="1463">
        <v>0.02</v>
      </c>
      <c r="T35" s="1465">
        <v>0.02</v>
      </c>
    </row>
    <row r="36" spans="2:20" ht="12.95" customHeight="1" thickBot="1">
      <c r="B36" s="84" t="s">
        <v>2333</v>
      </c>
      <c r="C36" s="277" t="s">
        <v>137</v>
      </c>
      <c r="D36" s="85" t="s">
        <v>137</v>
      </c>
      <c r="E36" s="85" t="s">
        <v>137</v>
      </c>
      <c r="F36" s="85" t="s">
        <v>137</v>
      </c>
      <c r="G36" s="85" t="s">
        <v>137</v>
      </c>
      <c r="H36" s="85" t="s">
        <v>137</v>
      </c>
      <c r="I36" s="85" t="s">
        <v>137</v>
      </c>
      <c r="J36" s="85" t="s">
        <v>137</v>
      </c>
      <c r="K36" s="86">
        <v>0.1</v>
      </c>
      <c r="L36" s="86">
        <v>0.1</v>
      </c>
      <c r="M36" s="85" t="s">
        <v>137</v>
      </c>
      <c r="N36" s="85" t="s">
        <v>137</v>
      </c>
      <c r="O36" s="85" t="s">
        <v>137</v>
      </c>
      <c r="P36" s="85" t="s">
        <v>137</v>
      </c>
      <c r="Q36" s="85" t="s">
        <v>137</v>
      </c>
      <c r="R36" s="85" t="s">
        <v>137</v>
      </c>
      <c r="S36" s="85" t="s">
        <v>137</v>
      </c>
      <c r="T36" s="278" t="s">
        <v>137</v>
      </c>
    </row>
    <row r="37" spans="2:20" ht="5.0999999999999996" customHeight="1"/>
    <row r="38" spans="2:20" ht="12.95" customHeight="1">
      <c r="C38" s="3102" t="s">
        <v>5487</v>
      </c>
      <c r="D38" s="3102"/>
      <c r="E38" s="3102"/>
      <c r="F38" s="3102"/>
      <c r="G38" s="3102"/>
      <c r="H38" s="3102"/>
      <c r="I38" s="3102"/>
      <c r="J38" s="3102"/>
      <c r="K38" s="3102"/>
      <c r="L38" s="3102"/>
      <c r="M38" s="3102"/>
      <c r="N38" s="3102"/>
      <c r="O38" s="3102"/>
      <c r="P38" s="3102"/>
      <c r="Q38" s="3102"/>
      <c r="R38" s="3102"/>
      <c r="S38" s="3102"/>
      <c r="T38" s="3102"/>
    </row>
    <row r="39" spans="2:20" ht="26.1" customHeight="1">
      <c r="B39" s="1785" t="s">
        <v>5303</v>
      </c>
      <c r="C39" s="2960" t="s">
        <v>6228</v>
      </c>
      <c r="D39" s="2960"/>
      <c r="E39" s="2960"/>
      <c r="F39" s="2960"/>
      <c r="G39" s="2960"/>
      <c r="H39" s="2960"/>
      <c r="I39" s="2960"/>
      <c r="J39" s="2960"/>
      <c r="K39" s="2960"/>
      <c r="L39" s="2960"/>
      <c r="M39" s="2960"/>
      <c r="N39" s="2960"/>
      <c r="O39" s="2960"/>
      <c r="P39" s="2960"/>
      <c r="Q39" s="2960"/>
      <c r="R39" s="2960"/>
      <c r="S39" s="2960"/>
      <c r="T39" s="2960"/>
    </row>
    <row r="40" spans="2:20" ht="26.1" customHeight="1">
      <c r="B40" s="1786"/>
      <c r="C40" s="2960" t="s">
        <v>6229</v>
      </c>
      <c r="D40" s="2960"/>
      <c r="E40" s="2960"/>
      <c r="F40" s="2960"/>
      <c r="G40" s="2960"/>
      <c r="H40" s="2960"/>
      <c r="I40" s="2960"/>
      <c r="J40" s="2960"/>
      <c r="K40" s="2960"/>
      <c r="L40" s="2960"/>
      <c r="M40" s="2960"/>
      <c r="N40" s="2960"/>
      <c r="O40" s="2960"/>
      <c r="P40" s="2960"/>
      <c r="Q40" s="2960"/>
      <c r="R40" s="2960"/>
      <c r="S40" s="2960"/>
      <c r="T40" s="2960"/>
    </row>
    <row r="41" spans="2:20" ht="26.1" customHeight="1">
      <c r="B41" s="1785" t="s">
        <v>5303</v>
      </c>
      <c r="C41" s="2960" t="s">
        <v>6230</v>
      </c>
      <c r="D41" s="2960"/>
      <c r="E41" s="2960"/>
      <c r="F41" s="2960"/>
      <c r="G41" s="2960"/>
      <c r="H41" s="2960"/>
      <c r="I41" s="2960"/>
      <c r="J41" s="2960"/>
      <c r="K41" s="2960"/>
      <c r="L41" s="2960"/>
      <c r="M41" s="2960"/>
      <c r="N41" s="2960"/>
      <c r="O41" s="2960"/>
      <c r="P41" s="2960"/>
      <c r="Q41" s="2960"/>
      <c r="R41" s="2960"/>
      <c r="S41" s="2960"/>
      <c r="T41" s="2960"/>
    </row>
    <row r="42" spans="2:20" ht="26.1" customHeight="1">
      <c r="B42" s="1785" t="s">
        <v>5303</v>
      </c>
      <c r="C42" s="2960" t="s">
        <v>5908</v>
      </c>
      <c r="D42" s="2960"/>
      <c r="E42" s="2960"/>
      <c r="F42" s="2960"/>
      <c r="G42" s="2960"/>
      <c r="H42" s="2960"/>
      <c r="I42" s="2960"/>
      <c r="J42" s="2960"/>
      <c r="K42" s="2960"/>
      <c r="L42" s="2960"/>
      <c r="M42" s="2960"/>
      <c r="N42" s="2960"/>
      <c r="O42" s="2960"/>
      <c r="P42" s="2960"/>
      <c r="Q42" s="2960"/>
      <c r="R42" s="2960"/>
      <c r="S42" s="2960"/>
      <c r="T42" s="2960"/>
    </row>
    <row r="43" spans="2:20" ht="26.1" customHeight="1">
      <c r="B43" s="1785" t="s">
        <v>5303</v>
      </c>
      <c r="C43" s="2960" t="s">
        <v>5909</v>
      </c>
      <c r="D43" s="2960"/>
      <c r="E43" s="2960"/>
      <c r="F43" s="2960"/>
      <c r="G43" s="2960"/>
      <c r="H43" s="2960"/>
      <c r="I43" s="2960"/>
      <c r="J43" s="2960"/>
      <c r="K43" s="2960"/>
      <c r="L43" s="2960"/>
      <c r="M43" s="2960"/>
      <c r="N43" s="2960"/>
      <c r="O43" s="2960"/>
      <c r="P43" s="2960"/>
      <c r="Q43" s="2960"/>
      <c r="R43" s="2960"/>
      <c r="S43" s="2960"/>
      <c r="T43" s="2960"/>
    </row>
    <row r="44" spans="2:20" ht="5.0999999999999996" customHeight="1">
      <c r="B44" s="1786"/>
    </row>
    <row r="45" spans="2:20" ht="39" customHeight="1">
      <c r="B45" s="1786"/>
      <c r="C45" s="2960" t="s">
        <v>6231</v>
      </c>
      <c r="D45" s="2960"/>
      <c r="E45" s="2960"/>
      <c r="F45" s="2960"/>
      <c r="G45" s="2960"/>
      <c r="H45" s="2960"/>
      <c r="I45" s="2960"/>
      <c r="J45" s="2960"/>
      <c r="K45" s="2960"/>
      <c r="L45" s="2960"/>
      <c r="M45" s="2960"/>
      <c r="N45" s="2960"/>
      <c r="O45" s="2960"/>
      <c r="P45" s="2960"/>
      <c r="Q45" s="2960"/>
      <c r="R45" s="2960"/>
      <c r="S45" s="2960"/>
      <c r="T45" s="2960"/>
    </row>
  </sheetData>
  <sheetProtection autoFilter="0"/>
  <autoFilter ref="B8"/>
  <mergeCells count="11">
    <mergeCell ref="C39:T39"/>
    <mergeCell ref="C38:T38"/>
    <mergeCell ref="C1:T1"/>
    <mergeCell ref="B3:T3"/>
    <mergeCell ref="C8:T8"/>
    <mergeCell ref="B5:T5"/>
    <mergeCell ref="C45:T45"/>
    <mergeCell ref="C40:T40"/>
    <mergeCell ref="C41:T41"/>
    <mergeCell ref="C42:T42"/>
    <mergeCell ref="C43:T43"/>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3" orientation="landscape" r:id="rId1"/>
  <headerFooter alignWithMargins="0"/>
  <rowBreaks count="1" manualBreakCount="1">
    <brk id="36" max="19" man="1"/>
  </rowBreaks>
</worksheet>
</file>

<file path=xl/worksheets/sheet15.xml><?xml version="1.0" encoding="utf-8"?>
<worksheet xmlns="http://schemas.openxmlformats.org/spreadsheetml/2006/main" xmlns:r="http://schemas.openxmlformats.org/officeDocument/2006/relationships">
  <dimension ref="B1:I33"/>
  <sheetViews>
    <sheetView zoomScaleNormal="100" workbookViewId="0">
      <pane ySplit="4" topLeftCell="A5" activePane="bottomLeft" state="frozen"/>
      <selection pane="bottomLeft" activeCell="B1" sqref="B1"/>
    </sheetView>
  </sheetViews>
  <sheetFormatPr defaultRowHeight="12.95" customHeight="1"/>
  <cols>
    <col min="1" max="1" width="3.7109375" style="292" customWidth="1"/>
    <col min="2" max="2" width="16.140625" style="296" bestFit="1" customWidth="1"/>
    <col min="3" max="3" width="12.85546875" style="296" bestFit="1" customWidth="1"/>
    <col min="4" max="4" width="15.28515625" style="296" bestFit="1" customWidth="1"/>
    <col min="5" max="5" width="5.5703125" style="296" bestFit="1" customWidth="1"/>
    <col min="6" max="6" width="6.85546875" style="296" bestFit="1" customWidth="1"/>
    <col min="7" max="7" width="10.140625" style="296" bestFit="1" customWidth="1"/>
    <col min="8" max="8" width="6.85546875" style="296" bestFit="1" customWidth="1"/>
    <col min="9" max="9" width="53.7109375" style="296" customWidth="1"/>
    <col min="10" max="16384" width="9.140625" style="292"/>
  </cols>
  <sheetData>
    <row r="1" spans="2:9" ht="12.95" customHeight="1">
      <c r="B1" s="1471" t="s">
        <v>2706</v>
      </c>
      <c r="C1" s="3074" t="s">
        <v>8269</v>
      </c>
      <c r="D1" s="3074"/>
      <c r="E1" s="3074"/>
      <c r="F1" s="3074"/>
      <c r="G1" s="3074"/>
      <c r="H1" s="3074"/>
      <c r="I1" s="3074"/>
    </row>
    <row r="2" spans="2:9" ht="5.0999999999999996" customHeight="1"/>
    <row r="3" spans="2:9" ht="12.95" customHeight="1">
      <c r="B3" s="2978" t="s">
        <v>3054</v>
      </c>
      <c r="C3" s="2978"/>
      <c r="D3" s="2978"/>
      <c r="E3" s="2978"/>
      <c r="F3" s="2978"/>
      <c r="G3" s="2978"/>
      <c r="H3" s="2978"/>
      <c r="I3" s="2978"/>
    </row>
    <row r="4" spans="2:9" ht="5.0999999999999996" customHeight="1"/>
    <row r="5" spans="2:9" ht="12.95" customHeight="1">
      <c r="B5" s="3000" t="s">
        <v>9981</v>
      </c>
      <c r="C5" s="3000"/>
      <c r="D5" s="3000"/>
      <c r="E5" s="3000"/>
      <c r="F5" s="3000"/>
      <c r="G5" s="3000"/>
      <c r="H5" s="3000"/>
      <c r="I5" s="3000"/>
    </row>
    <row r="6" spans="2:9" ht="12.95" customHeight="1">
      <c r="B6" s="3000" t="s">
        <v>9982</v>
      </c>
      <c r="C6" s="3000"/>
      <c r="D6" s="3000"/>
      <c r="E6" s="3000"/>
      <c r="F6" s="3000"/>
      <c r="G6" s="3000"/>
      <c r="H6" s="3000"/>
      <c r="I6" s="3000"/>
    </row>
    <row r="7" spans="2:9" ht="26.1" customHeight="1">
      <c r="B7" s="2960" t="s">
        <v>9983</v>
      </c>
      <c r="C7" s="2960"/>
      <c r="D7" s="2960"/>
      <c r="E7" s="2960"/>
      <c r="F7" s="2960"/>
      <c r="G7" s="2960"/>
      <c r="H7" s="2960"/>
      <c r="I7" s="2960"/>
    </row>
    <row r="8" spans="2:9" ht="12.95" customHeight="1">
      <c r="B8" s="3000" t="s">
        <v>10037</v>
      </c>
      <c r="C8" s="3000"/>
      <c r="D8" s="3000"/>
      <c r="E8" s="3000"/>
      <c r="F8" s="3000"/>
      <c r="G8" s="3000"/>
      <c r="H8" s="3000"/>
      <c r="I8" s="3000"/>
    </row>
    <row r="9" spans="2:9" ht="26.1" customHeight="1">
      <c r="B9" s="3001" t="s">
        <v>9984</v>
      </c>
      <c r="C9" s="3001"/>
      <c r="D9" s="3001"/>
      <c r="E9" s="3001"/>
      <c r="F9" s="3001"/>
      <c r="G9" s="3001"/>
      <c r="H9" s="3001"/>
      <c r="I9" s="3001"/>
    </row>
    <row r="10" spans="2:9" ht="39" customHeight="1">
      <c r="B10" s="3120" t="s">
        <v>9985</v>
      </c>
      <c r="C10" s="3120"/>
      <c r="D10" s="3120"/>
      <c r="E10" s="3120"/>
      <c r="F10" s="3120"/>
      <c r="G10" s="3120"/>
      <c r="H10" s="3120"/>
      <c r="I10" s="3120"/>
    </row>
    <row r="11" spans="2:9" ht="12.95" customHeight="1">
      <c r="B11" s="2981" t="s">
        <v>9986</v>
      </c>
      <c r="C11" s="2981"/>
      <c r="D11" s="2981"/>
      <c r="E11" s="2981"/>
      <c r="F11" s="2981"/>
      <c r="G11" s="2981"/>
      <c r="H11" s="2981"/>
      <c r="I11" s="2981"/>
    </row>
    <row r="12" spans="2:9" ht="5.0999999999999996" customHeight="1" thickBot="1"/>
    <row r="13" spans="2:9" ht="12.95" customHeight="1">
      <c r="B13" s="2962" t="s">
        <v>3037</v>
      </c>
      <c r="C13" s="3127" t="s">
        <v>310</v>
      </c>
      <c r="D13" s="3122" t="s">
        <v>2710</v>
      </c>
      <c r="E13" s="3121" t="s">
        <v>3030</v>
      </c>
      <c r="F13" s="3121"/>
      <c r="G13" s="3121"/>
      <c r="H13" s="3121"/>
      <c r="I13" s="3117" t="s">
        <v>1572</v>
      </c>
    </row>
    <row r="14" spans="2:9" ht="12.95" customHeight="1" thickBot="1">
      <c r="B14" s="2974"/>
      <c r="C14" s="3128"/>
      <c r="D14" s="3123"/>
      <c r="E14" s="2061" t="s">
        <v>3031</v>
      </c>
      <c r="F14" s="2061" t="s">
        <v>3032</v>
      </c>
      <c r="G14" s="2061" t="s">
        <v>3033</v>
      </c>
      <c r="H14" s="2061" t="s">
        <v>3034</v>
      </c>
      <c r="I14" s="3118"/>
    </row>
    <row r="15" spans="2:9" s="387" customFormat="1" ht="12" thickBot="1">
      <c r="B15" s="1496"/>
      <c r="C15" s="1497"/>
      <c r="D15" s="1498"/>
      <c r="E15" s="3124"/>
      <c r="F15" s="3125"/>
      <c r="G15" s="3125"/>
      <c r="H15" s="3125"/>
      <c r="I15" s="3126"/>
    </row>
    <row r="16" spans="2:9" ht="51.95" customHeight="1">
      <c r="B16" s="3110" t="s">
        <v>3035</v>
      </c>
      <c r="C16" s="3114" t="s">
        <v>2156</v>
      </c>
      <c r="D16" s="764" t="s">
        <v>2152</v>
      </c>
      <c r="E16" s="1480">
        <v>2</v>
      </c>
      <c r="F16" s="1480">
        <v>2</v>
      </c>
      <c r="G16" s="1480">
        <v>1</v>
      </c>
      <c r="H16" s="1480">
        <v>1</v>
      </c>
      <c r="I16" s="1494" t="s">
        <v>3038</v>
      </c>
    </row>
    <row r="17" spans="2:9" ht="39" customHeight="1" thickBot="1">
      <c r="B17" s="3111"/>
      <c r="C17" s="3115"/>
      <c r="D17" s="87" t="s">
        <v>390</v>
      </c>
      <c r="E17" s="88">
        <v>1</v>
      </c>
      <c r="F17" s="88">
        <v>0</v>
      </c>
      <c r="G17" s="88">
        <v>2</v>
      </c>
      <c r="H17" s="88">
        <v>2</v>
      </c>
      <c r="I17" s="89" t="s">
        <v>3039</v>
      </c>
    </row>
    <row r="18" spans="2:9" ht="39" customHeight="1">
      <c r="B18" s="3110" t="s">
        <v>3035</v>
      </c>
      <c r="C18" s="3114" t="s">
        <v>893</v>
      </c>
      <c r="D18" s="764" t="s">
        <v>1486</v>
      </c>
      <c r="E18" s="1480">
        <v>1</v>
      </c>
      <c r="F18" s="1480">
        <v>3</v>
      </c>
      <c r="G18" s="1480">
        <v>1</v>
      </c>
      <c r="H18" s="1480">
        <v>1</v>
      </c>
      <c r="I18" s="1494" t="s">
        <v>3040</v>
      </c>
    </row>
    <row r="19" spans="2:9" ht="51.95" customHeight="1" thickBot="1">
      <c r="B19" s="3112"/>
      <c r="C19" s="3116"/>
      <c r="D19" s="1478" t="s">
        <v>1497</v>
      </c>
      <c r="E19" s="1477">
        <v>0</v>
      </c>
      <c r="F19" s="1477">
        <v>2</v>
      </c>
      <c r="G19" s="1477">
        <v>1</v>
      </c>
      <c r="H19" s="1477">
        <v>2</v>
      </c>
      <c r="I19" s="91" t="s">
        <v>3041</v>
      </c>
    </row>
    <row r="20" spans="2:9" ht="65.099999999999994" customHeight="1">
      <c r="B20" s="3110" t="s">
        <v>3035</v>
      </c>
      <c r="C20" s="3114" t="s">
        <v>2141</v>
      </c>
      <c r="D20" s="764" t="s">
        <v>1506</v>
      </c>
      <c r="E20" s="1942">
        <v>1</v>
      </c>
      <c r="F20" s="1942">
        <v>1</v>
      </c>
      <c r="G20" s="1942">
        <v>2</v>
      </c>
      <c r="H20" s="1942">
        <v>2</v>
      </c>
      <c r="I20" s="1494" t="s">
        <v>3042</v>
      </c>
    </row>
    <row r="21" spans="2:9" ht="90.95" customHeight="1" thickBot="1">
      <c r="B21" s="3112"/>
      <c r="C21" s="3116"/>
      <c r="D21" s="1935" t="s">
        <v>1817</v>
      </c>
      <c r="E21" s="1929">
        <v>0</v>
      </c>
      <c r="F21" s="1929">
        <v>0</v>
      </c>
      <c r="G21" s="1929">
        <v>2</v>
      </c>
      <c r="H21" s="1929">
        <v>3</v>
      </c>
      <c r="I21" s="1939" t="s">
        <v>5169</v>
      </c>
    </row>
    <row r="22" spans="2:9" ht="51.95" customHeight="1">
      <c r="B22" s="3106" t="s">
        <v>3036</v>
      </c>
      <c r="C22" s="3114" t="s">
        <v>2557</v>
      </c>
      <c r="D22" s="764" t="s">
        <v>1686</v>
      </c>
      <c r="E22" s="1480">
        <v>2</v>
      </c>
      <c r="F22" s="1480">
        <v>2</v>
      </c>
      <c r="G22" s="1480">
        <v>1</v>
      </c>
      <c r="H22" s="1480">
        <v>1</v>
      </c>
      <c r="I22" s="1494" t="s">
        <v>3043</v>
      </c>
    </row>
    <row r="23" spans="2:9" ht="78" customHeight="1" thickBot="1">
      <c r="B23" s="3113"/>
      <c r="C23" s="3115"/>
      <c r="D23" s="87" t="s">
        <v>1697</v>
      </c>
      <c r="E23" s="88">
        <v>1</v>
      </c>
      <c r="F23" s="88">
        <v>1</v>
      </c>
      <c r="G23" s="88">
        <v>2</v>
      </c>
      <c r="H23" s="88">
        <v>1</v>
      </c>
      <c r="I23" s="92" t="s">
        <v>3044</v>
      </c>
    </row>
    <row r="24" spans="2:9" ht="51.95" customHeight="1">
      <c r="B24" s="3106" t="s">
        <v>3036</v>
      </c>
      <c r="C24" s="3114" t="s">
        <v>625</v>
      </c>
      <c r="D24" s="764" t="s">
        <v>2607</v>
      </c>
      <c r="E24" s="1480">
        <v>1</v>
      </c>
      <c r="F24" s="1480">
        <v>2</v>
      </c>
      <c r="G24" s="1480">
        <v>2</v>
      </c>
      <c r="H24" s="1480">
        <v>1</v>
      </c>
      <c r="I24" s="1494" t="s">
        <v>3045</v>
      </c>
    </row>
    <row r="25" spans="2:9" ht="39" customHeight="1" thickBot="1">
      <c r="B25" s="3107"/>
      <c r="C25" s="3116"/>
      <c r="D25" s="1478" t="s">
        <v>935</v>
      </c>
      <c r="E25" s="1477">
        <v>1</v>
      </c>
      <c r="F25" s="1477">
        <v>0</v>
      </c>
      <c r="G25" s="1477">
        <v>2</v>
      </c>
      <c r="H25" s="1477">
        <v>2</v>
      </c>
      <c r="I25" s="91" t="s">
        <v>3046</v>
      </c>
    </row>
    <row r="26" spans="2:9" ht="65.099999999999994" customHeight="1">
      <c r="B26" s="3106" t="s">
        <v>3036</v>
      </c>
      <c r="C26" s="3114" t="s">
        <v>626</v>
      </c>
      <c r="D26" s="764" t="s">
        <v>1349</v>
      </c>
      <c r="E26" s="1942">
        <v>2</v>
      </c>
      <c r="F26" s="1942">
        <v>2</v>
      </c>
      <c r="G26" s="1942">
        <v>1</v>
      </c>
      <c r="H26" s="1942">
        <v>1</v>
      </c>
      <c r="I26" s="1494" t="s">
        <v>3047</v>
      </c>
    </row>
    <row r="27" spans="2:9" ht="65.099999999999994" customHeight="1" thickBot="1">
      <c r="B27" s="3107"/>
      <c r="C27" s="3116"/>
      <c r="D27" s="1935" t="s">
        <v>1361</v>
      </c>
      <c r="E27" s="1929">
        <v>0</v>
      </c>
      <c r="F27" s="1929">
        <v>0</v>
      </c>
      <c r="G27" s="1929">
        <v>3</v>
      </c>
      <c r="H27" s="1929">
        <v>2</v>
      </c>
      <c r="I27" s="91" t="s">
        <v>3048</v>
      </c>
    </row>
    <row r="28" spans="2:9" ht="65.099999999999994" customHeight="1">
      <c r="B28" s="3108" t="s">
        <v>506</v>
      </c>
      <c r="C28" s="3114" t="s">
        <v>627</v>
      </c>
      <c r="D28" s="764" t="s">
        <v>327</v>
      </c>
      <c r="E28" s="1749">
        <v>4</v>
      </c>
      <c r="F28" s="1749">
        <v>0</v>
      </c>
      <c r="G28" s="1749">
        <v>1</v>
      </c>
      <c r="H28" s="1749">
        <v>1</v>
      </c>
      <c r="I28" s="1494" t="s">
        <v>3049</v>
      </c>
    </row>
    <row r="29" spans="2:9" ht="78" customHeight="1" thickBot="1">
      <c r="B29" s="3109"/>
      <c r="C29" s="3115"/>
      <c r="D29" s="87" t="s">
        <v>475</v>
      </c>
      <c r="E29" s="88">
        <v>2</v>
      </c>
      <c r="F29" s="88">
        <v>1</v>
      </c>
      <c r="G29" s="88">
        <v>1</v>
      </c>
      <c r="H29" s="88">
        <v>1</v>
      </c>
      <c r="I29" s="92" t="s">
        <v>3050</v>
      </c>
    </row>
    <row r="30" spans="2:9" ht="65.099999999999994" customHeight="1">
      <c r="B30" s="3108" t="s">
        <v>506</v>
      </c>
      <c r="C30" s="3114" t="s">
        <v>628</v>
      </c>
      <c r="D30" s="764" t="s">
        <v>398</v>
      </c>
      <c r="E30" s="1749">
        <v>0</v>
      </c>
      <c r="F30" s="1749">
        <v>4</v>
      </c>
      <c r="G30" s="1749">
        <v>1</v>
      </c>
      <c r="H30" s="1749">
        <v>1</v>
      </c>
      <c r="I30" s="1494" t="s">
        <v>3051</v>
      </c>
    </row>
    <row r="31" spans="2:9" ht="51.95" customHeight="1" thickBot="1">
      <c r="B31" s="3109"/>
      <c r="C31" s="3116"/>
      <c r="D31" s="1744" t="s">
        <v>169</v>
      </c>
      <c r="E31" s="1732">
        <v>0</v>
      </c>
      <c r="F31" s="1732">
        <v>1</v>
      </c>
      <c r="G31" s="1732">
        <v>2</v>
      </c>
      <c r="H31" s="1732">
        <v>2</v>
      </c>
      <c r="I31" s="91" t="s">
        <v>3052</v>
      </c>
    </row>
    <row r="32" spans="2:9" ht="51.95" customHeight="1">
      <c r="B32" s="3108" t="s">
        <v>506</v>
      </c>
      <c r="C32" s="3119" t="s">
        <v>2259</v>
      </c>
      <c r="D32" s="1739" t="s">
        <v>2048</v>
      </c>
      <c r="E32" s="1731">
        <v>3</v>
      </c>
      <c r="F32" s="1731">
        <v>1</v>
      </c>
      <c r="G32" s="1731">
        <v>1</v>
      </c>
      <c r="H32" s="1731">
        <v>1</v>
      </c>
      <c r="I32" s="1495" t="s">
        <v>5170</v>
      </c>
    </row>
    <row r="33" spans="2:9" ht="51.95" customHeight="1" thickBot="1">
      <c r="B33" s="3109"/>
      <c r="C33" s="3116"/>
      <c r="D33" s="1744" t="s">
        <v>2737</v>
      </c>
      <c r="E33" s="1732">
        <v>0</v>
      </c>
      <c r="F33" s="1732">
        <v>0</v>
      </c>
      <c r="G33" s="1732">
        <v>3</v>
      </c>
      <c r="H33" s="1732">
        <v>3</v>
      </c>
      <c r="I33" s="91" t="s">
        <v>3053</v>
      </c>
    </row>
  </sheetData>
  <sheetProtection autoFilter="0"/>
  <autoFilter ref="B15:D15"/>
  <mergeCells count="33">
    <mergeCell ref="B30:B31"/>
    <mergeCell ref="B32:B33"/>
    <mergeCell ref="C1:I1"/>
    <mergeCell ref="B11:I11"/>
    <mergeCell ref="B3:I3"/>
    <mergeCell ref="B5:I5"/>
    <mergeCell ref="B6:I6"/>
    <mergeCell ref="B7:I7"/>
    <mergeCell ref="B8:I8"/>
    <mergeCell ref="B9:I9"/>
    <mergeCell ref="B10:I10"/>
    <mergeCell ref="E13:H13"/>
    <mergeCell ref="B13:B14"/>
    <mergeCell ref="D13:D14"/>
    <mergeCell ref="E15:I15"/>
    <mergeCell ref="C13:C14"/>
    <mergeCell ref="C26:C27"/>
    <mergeCell ref="C28:C29"/>
    <mergeCell ref="C30:C31"/>
    <mergeCell ref="C32:C33"/>
    <mergeCell ref="C24:C25"/>
    <mergeCell ref="C16:C17"/>
    <mergeCell ref="C18:C19"/>
    <mergeCell ref="C20:C21"/>
    <mergeCell ref="C22:C23"/>
    <mergeCell ref="I13:I14"/>
    <mergeCell ref="B24:B25"/>
    <mergeCell ref="B26:B27"/>
    <mergeCell ref="B28:B29"/>
    <mergeCell ref="B16:B17"/>
    <mergeCell ref="B18:B19"/>
    <mergeCell ref="B20:B21"/>
    <mergeCell ref="B22:B23"/>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83" orientation="landscape" r:id="rId1"/>
  <headerFooter alignWithMargins="0"/>
  <rowBreaks count="2" manualBreakCount="2">
    <brk id="21" max="8" man="1"/>
    <brk id="27" max="8" man="1"/>
  </rowBreaks>
</worksheet>
</file>

<file path=xl/worksheets/sheet16.xml><?xml version="1.0" encoding="utf-8"?>
<worksheet xmlns="http://schemas.openxmlformats.org/spreadsheetml/2006/main" xmlns:r="http://schemas.openxmlformats.org/officeDocument/2006/relationships">
  <sheetPr>
    <outlinePr summaryBelow="0"/>
  </sheetPr>
  <dimension ref="B1:J170"/>
  <sheetViews>
    <sheetView zoomScaleNormal="100" workbookViewId="0">
      <pane ySplit="7" topLeftCell="A8" activePane="bottomLeft" state="frozen"/>
      <selection pane="bottomLeft" activeCell="B1" sqref="B1:C1"/>
    </sheetView>
  </sheetViews>
  <sheetFormatPr defaultRowHeight="12.75" outlineLevelRow="1"/>
  <cols>
    <col min="1" max="1" width="3.7109375" style="292" customWidth="1"/>
    <col min="2" max="2" width="8.140625" style="292" customWidth="1"/>
    <col min="3" max="3" width="13.28515625" style="296" bestFit="1" customWidth="1"/>
    <col min="4" max="4" width="15.28515625" style="1011" bestFit="1" customWidth="1"/>
    <col min="5" max="5" width="4.5703125" style="1011" bestFit="1" customWidth="1"/>
    <col min="6" max="6" width="12.85546875" style="1011" customWidth="1"/>
    <col min="7" max="7" width="74.7109375" style="996" customWidth="1"/>
    <col min="8" max="16384" width="9.140625" style="292"/>
  </cols>
  <sheetData>
    <row r="1" spans="2:10" ht="12.95" customHeight="1">
      <c r="B1" s="3129" t="s">
        <v>2706</v>
      </c>
      <c r="C1" s="3129"/>
      <c r="D1" s="2973" t="s">
        <v>8269</v>
      </c>
      <c r="E1" s="2973"/>
      <c r="F1" s="2973"/>
      <c r="G1" s="2973"/>
    </row>
    <row r="2" spans="2:10" ht="5.0999999999999996" customHeight="1"/>
    <row r="3" spans="2:10" ht="12.95" customHeight="1">
      <c r="B3" s="2978" t="s">
        <v>3153</v>
      </c>
      <c r="C3" s="2978"/>
      <c r="D3" s="2978"/>
      <c r="E3" s="2978"/>
      <c r="F3" s="2978"/>
      <c r="G3" s="2978"/>
    </row>
    <row r="4" spans="2:10" s="641" customFormat="1" ht="11.25" customHeight="1">
      <c r="B4" s="3130" t="s">
        <v>7250</v>
      </c>
      <c r="C4" s="3130"/>
      <c r="D4" s="3130"/>
      <c r="E4" s="3130"/>
      <c r="F4" s="3130"/>
      <c r="G4" s="3130"/>
      <c r="H4" s="1858"/>
      <c r="I4" s="1858"/>
      <c r="J4" s="1858"/>
    </row>
    <row r="5" spans="2:10" ht="5.0999999999999996" customHeight="1" thickBot="1">
      <c r="D5" s="1843"/>
      <c r="E5" s="1843"/>
      <c r="F5" s="1843"/>
      <c r="G5" s="1839"/>
    </row>
    <row r="6" spans="2:10" s="1006" customFormat="1" ht="12.95" customHeight="1" thickBot="1">
      <c r="C6" s="162" t="s">
        <v>2707</v>
      </c>
      <c r="D6" s="163" t="s">
        <v>2709</v>
      </c>
      <c r="E6" s="1455" t="s">
        <v>3055</v>
      </c>
      <c r="F6" s="1455" t="s">
        <v>292</v>
      </c>
      <c r="G6" s="1456" t="s">
        <v>1303</v>
      </c>
    </row>
    <row r="7" spans="2:10" s="387" customFormat="1" ht="12" thickBot="1">
      <c r="C7" s="1453"/>
      <c r="D7" s="1236"/>
      <c r="E7" s="1235"/>
      <c r="F7" s="1235"/>
      <c r="G7" s="1454"/>
    </row>
    <row r="8" spans="2:10" ht="48" customHeight="1">
      <c r="C8" s="1449" t="s">
        <v>2151</v>
      </c>
      <c r="D8" s="507" t="s">
        <v>2152</v>
      </c>
      <c r="E8" s="744" t="s">
        <v>3059</v>
      </c>
      <c r="F8" s="744" t="s">
        <v>3060</v>
      </c>
      <c r="G8" s="1450" t="s">
        <v>3065</v>
      </c>
    </row>
    <row r="9" spans="2:10" ht="48" customHeight="1" outlineLevel="1">
      <c r="C9" s="93" t="s">
        <v>2643</v>
      </c>
      <c r="D9" s="28" t="s">
        <v>2152</v>
      </c>
      <c r="E9" s="42" t="s">
        <v>3061</v>
      </c>
      <c r="F9" s="42" t="s">
        <v>3060</v>
      </c>
      <c r="G9" s="97" t="s">
        <v>3066</v>
      </c>
    </row>
    <row r="10" spans="2:10" ht="48" customHeight="1" outlineLevel="1">
      <c r="C10" s="1447" t="s">
        <v>275</v>
      </c>
      <c r="D10" s="511" t="s">
        <v>2152</v>
      </c>
      <c r="E10" s="745" t="s">
        <v>3059</v>
      </c>
      <c r="F10" s="745" t="s">
        <v>3060</v>
      </c>
      <c r="G10" s="1448" t="s">
        <v>3067</v>
      </c>
    </row>
    <row r="11" spans="2:10" ht="48" customHeight="1" outlineLevel="1">
      <c r="C11" s="93" t="s">
        <v>7</v>
      </c>
      <c r="D11" s="28" t="s">
        <v>2152</v>
      </c>
      <c r="E11" s="42" t="s">
        <v>3061</v>
      </c>
      <c r="F11" s="42" t="s">
        <v>3060</v>
      </c>
      <c r="G11" s="97" t="s">
        <v>3068</v>
      </c>
    </row>
    <row r="12" spans="2:10" ht="48" customHeight="1" outlineLevel="1">
      <c r="C12" s="1447" t="s">
        <v>1249</v>
      </c>
      <c r="D12" s="511" t="s">
        <v>2152</v>
      </c>
      <c r="E12" s="745" t="s">
        <v>3059</v>
      </c>
      <c r="F12" s="745" t="s">
        <v>3060</v>
      </c>
      <c r="G12" s="1448" t="s">
        <v>3069</v>
      </c>
    </row>
    <row r="13" spans="2:10" ht="48" customHeight="1" outlineLevel="1">
      <c r="C13" s="93" t="s">
        <v>74</v>
      </c>
      <c r="D13" s="28" t="s">
        <v>2152</v>
      </c>
      <c r="E13" s="42" t="s">
        <v>3061</v>
      </c>
      <c r="F13" s="42" t="s">
        <v>3060</v>
      </c>
      <c r="G13" s="97" t="s">
        <v>3070</v>
      </c>
    </row>
    <row r="14" spans="2:10" ht="65.099999999999994" customHeight="1" outlineLevel="1">
      <c r="C14" s="1447" t="s">
        <v>182</v>
      </c>
      <c r="D14" s="511" t="s">
        <v>2152</v>
      </c>
      <c r="E14" s="745" t="s">
        <v>3059</v>
      </c>
      <c r="F14" s="745" t="s">
        <v>3060</v>
      </c>
      <c r="G14" s="1448" t="s">
        <v>3056</v>
      </c>
    </row>
    <row r="15" spans="2:10" ht="51.95" customHeight="1" outlineLevel="1" thickBot="1">
      <c r="C15" s="95" t="s">
        <v>387</v>
      </c>
      <c r="D15" s="180" t="s">
        <v>2152</v>
      </c>
      <c r="E15" s="189" t="s">
        <v>3061</v>
      </c>
      <c r="F15" s="189" t="s">
        <v>3060</v>
      </c>
      <c r="G15" s="98" t="s">
        <v>2533</v>
      </c>
    </row>
    <row r="16" spans="2:10" ht="48" customHeight="1">
      <c r="C16" s="1449" t="s">
        <v>389</v>
      </c>
      <c r="D16" s="507" t="s">
        <v>390</v>
      </c>
      <c r="E16" s="744" t="s">
        <v>3059</v>
      </c>
      <c r="F16" s="744" t="s">
        <v>3060</v>
      </c>
      <c r="G16" s="1450" t="s">
        <v>206</v>
      </c>
    </row>
    <row r="17" spans="3:7" ht="48" customHeight="1" outlineLevel="1">
      <c r="C17" s="93" t="s">
        <v>1148</v>
      </c>
      <c r="D17" s="28" t="s">
        <v>390</v>
      </c>
      <c r="E17" s="42" t="s">
        <v>3061</v>
      </c>
      <c r="F17" s="42" t="s">
        <v>3060</v>
      </c>
      <c r="G17" s="97" t="s">
        <v>3071</v>
      </c>
    </row>
    <row r="18" spans="3:7" ht="51" outlineLevel="1">
      <c r="C18" s="1447" t="s">
        <v>1151</v>
      </c>
      <c r="D18" s="511" t="s">
        <v>390</v>
      </c>
      <c r="E18" s="745" t="s">
        <v>3059</v>
      </c>
      <c r="F18" s="745" t="s">
        <v>3060</v>
      </c>
      <c r="G18" s="1448" t="s">
        <v>3072</v>
      </c>
    </row>
    <row r="19" spans="3:7" ht="48" customHeight="1" outlineLevel="1">
      <c r="C19" s="93" t="s">
        <v>1153</v>
      </c>
      <c r="D19" s="28" t="s">
        <v>390</v>
      </c>
      <c r="E19" s="42" t="s">
        <v>3061</v>
      </c>
      <c r="F19" s="42" t="s">
        <v>3060</v>
      </c>
      <c r="G19" s="97" t="s">
        <v>3073</v>
      </c>
    </row>
    <row r="20" spans="3:7" ht="48" customHeight="1" outlineLevel="1">
      <c r="C20" s="1447" t="s">
        <v>868</v>
      </c>
      <c r="D20" s="511" t="s">
        <v>390</v>
      </c>
      <c r="E20" s="745" t="s">
        <v>3059</v>
      </c>
      <c r="F20" s="745" t="s">
        <v>3060</v>
      </c>
      <c r="G20" s="1448" t="s">
        <v>2057</v>
      </c>
    </row>
    <row r="21" spans="3:7" ht="48" customHeight="1" outlineLevel="1">
      <c r="C21" s="93" t="s">
        <v>871</v>
      </c>
      <c r="D21" s="28" t="s">
        <v>390</v>
      </c>
      <c r="E21" s="42" t="s">
        <v>3061</v>
      </c>
      <c r="F21" s="42" t="s">
        <v>3060</v>
      </c>
      <c r="G21" s="97" t="s">
        <v>3074</v>
      </c>
    </row>
    <row r="22" spans="3:7" ht="48" customHeight="1" outlineLevel="1">
      <c r="C22" s="1447" t="s">
        <v>215</v>
      </c>
      <c r="D22" s="511" t="s">
        <v>390</v>
      </c>
      <c r="E22" s="745" t="s">
        <v>3059</v>
      </c>
      <c r="F22" s="745" t="s">
        <v>3060</v>
      </c>
      <c r="G22" s="1448" t="s">
        <v>3075</v>
      </c>
    </row>
    <row r="23" spans="3:7" ht="48" customHeight="1" outlineLevel="1" thickBot="1">
      <c r="C23" s="95" t="s">
        <v>217</v>
      </c>
      <c r="D23" s="180" t="s">
        <v>390</v>
      </c>
      <c r="E23" s="189" t="s">
        <v>3061</v>
      </c>
      <c r="F23" s="189" t="s">
        <v>3060</v>
      </c>
      <c r="G23" s="98" t="s">
        <v>3076</v>
      </c>
    </row>
    <row r="24" spans="3:7" ht="48" customHeight="1">
      <c r="C24" s="1449" t="s">
        <v>1485</v>
      </c>
      <c r="D24" s="507" t="s">
        <v>1486</v>
      </c>
      <c r="E24" s="744" t="s">
        <v>3061</v>
      </c>
      <c r="F24" s="744" t="s">
        <v>3060</v>
      </c>
      <c r="G24" s="1450" t="s">
        <v>3077</v>
      </c>
    </row>
    <row r="25" spans="3:7" ht="48" customHeight="1" outlineLevel="1">
      <c r="C25" s="93" t="s">
        <v>1489</v>
      </c>
      <c r="D25" s="28" t="s">
        <v>1486</v>
      </c>
      <c r="E25" s="42" t="s">
        <v>3059</v>
      </c>
      <c r="F25" s="42" t="s">
        <v>374</v>
      </c>
      <c r="G25" s="97" t="s">
        <v>1745</v>
      </c>
    </row>
    <row r="26" spans="3:7" ht="48" customHeight="1" outlineLevel="1">
      <c r="C26" s="1447" t="s">
        <v>1490</v>
      </c>
      <c r="D26" s="511" t="s">
        <v>1486</v>
      </c>
      <c r="E26" s="745" t="s">
        <v>3061</v>
      </c>
      <c r="F26" s="745" t="s">
        <v>889</v>
      </c>
      <c r="G26" s="1448" t="s">
        <v>3078</v>
      </c>
    </row>
    <row r="27" spans="3:7" ht="48" customHeight="1" outlineLevel="1">
      <c r="C27" s="93" t="s">
        <v>1673</v>
      </c>
      <c r="D27" s="28" t="s">
        <v>1486</v>
      </c>
      <c r="E27" s="42" t="s">
        <v>3059</v>
      </c>
      <c r="F27" s="42" t="s">
        <v>3060</v>
      </c>
      <c r="G27" s="97" t="s">
        <v>3079</v>
      </c>
    </row>
    <row r="28" spans="3:7" ht="48" customHeight="1" outlineLevel="1">
      <c r="C28" s="1447" t="s">
        <v>1492</v>
      </c>
      <c r="D28" s="511" t="s">
        <v>1486</v>
      </c>
      <c r="E28" s="745" t="s">
        <v>3059</v>
      </c>
      <c r="F28" s="745" t="s">
        <v>374</v>
      </c>
      <c r="G28" s="1448" t="s">
        <v>3080</v>
      </c>
    </row>
    <row r="29" spans="3:7" ht="48" customHeight="1" outlineLevel="1">
      <c r="C29" s="93" t="s">
        <v>1493</v>
      </c>
      <c r="D29" s="28" t="s">
        <v>1486</v>
      </c>
      <c r="E29" s="42" t="s">
        <v>3059</v>
      </c>
      <c r="F29" s="42" t="s">
        <v>889</v>
      </c>
      <c r="G29" s="97" t="s">
        <v>5449</v>
      </c>
    </row>
    <row r="30" spans="3:7" ht="48" customHeight="1" outlineLevel="1">
      <c r="C30" s="1447" t="s">
        <v>1494</v>
      </c>
      <c r="D30" s="511" t="s">
        <v>1486</v>
      </c>
      <c r="E30" s="745" t="s">
        <v>3059</v>
      </c>
      <c r="F30" s="745" t="s">
        <v>374</v>
      </c>
      <c r="G30" s="1448" t="s">
        <v>3081</v>
      </c>
    </row>
    <row r="31" spans="3:7" ht="48" customHeight="1" outlineLevel="1" thickBot="1">
      <c r="C31" s="95" t="s">
        <v>1495</v>
      </c>
      <c r="D31" s="180" t="s">
        <v>1486</v>
      </c>
      <c r="E31" s="189" t="s">
        <v>3061</v>
      </c>
      <c r="F31" s="189" t="s">
        <v>889</v>
      </c>
      <c r="G31" s="98" t="s">
        <v>3082</v>
      </c>
    </row>
    <row r="32" spans="3:7" ht="48" customHeight="1">
      <c r="C32" s="1449" t="s">
        <v>1496</v>
      </c>
      <c r="D32" s="507" t="s">
        <v>1497</v>
      </c>
      <c r="E32" s="744" t="s">
        <v>3059</v>
      </c>
      <c r="F32" s="744" t="s">
        <v>3060</v>
      </c>
      <c r="G32" s="1450" t="s">
        <v>3083</v>
      </c>
    </row>
    <row r="33" spans="3:7" ht="48" customHeight="1" outlineLevel="1">
      <c r="C33" s="93" t="s">
        <v>1498</v>
      </c>
      <c r="D33" s="28" t="s">
        <v>1497</v>
      </c>
      <c r="E33" s="42" t="s">
        <v>3059</v>
      </c>
      <c r="F33" s="42" t="s">
        <v>374</v>
      </c>
      <c r="G33" s="97" t="s">
        <v>2490</v>
      </c>
    </row>
    <row r="34" spans="3:7" ht="48" customHeight="1" outlineLevel="1">
      <c r="C34" s="1447" t="s">
        <v>1499</v>
      </c>
      <c r="D34" s="511" t="s">
        <v>1497</v>
      </c>
      <c r="E34" s="745" t="s">
        <v>3059</v>
      </c>
      <c r="F34" s="745" t="s">
        <v>889</v>
      </c>
      <c r="G34" s="1448" t="s">
        <v>3084</v>
      </c>
    </row>
    <row r="35" spans="3:7" ht="48" customHeight="1" outlineLevel="1">
      <c r="C35" s="93" t="s">
        <v>1500</v>
      </c>
      <c r="D35" s="28" t="s">
        <v>1497</v>
      </c>
      <c r="E35" s="42" t="s">
        <v>3061</v>
      </c>
      <c r="F35" s="42" t="s">
        <v>3060</v>
      </c>
      <c r="G35" s="97" t="s">
        <v>3085</v>
      </c>
    </row>
    <row r="36" spans="3:7" ht="48" customHeight="1" outlineLevel="1">
      <c r="C36" s="1447" t="s">
        <v>1501</v>
      </c>
      <c r="D36" s="511" t="s">
        <v>1497</v>
      </c>
      <c r="E36" s="745" t="s">
        <v>3059</v>
      </c>
      <c r="F36" s="745" t="s">
        <v>374</v>
      </c>
      <c r="G36" s="1448" t="s">
        <v>3086</v>
      </c>
    </row>
    <row r="37" spans="3:7" ht="48" customHeight="1" outlineLevel="1">
      <c r="C37" s="93" t="s">
        <v>1502</v>
      </c>
      <c r="D37" s="28" t="s">
        <v>1497</v>
      </c>
      <c r="E37" s="42" t="s">
        <v>3061</v>
      </c>
      <c r="F37" s="42" t="s">
        <v>889</v>
      </c>
      <c r="G37" s="97" t="s">
        <v>5171</v>
      </c>
    </row>
    <row r="38" spans="3:7" ht="48" customHeight="1" outlineLevel="1">
      <c r="C38" s="1447" t="s">
        <v>1503</v>
      </c>
      <c r="D38" s="511" t="s">
        <v>1497</v>
      </c>
      <c r="E38" s="745" t="s">
        <v>3059</v>
      </c>
      <c r="F38" s="745" t="s">
        <v>3060</v>
      </c>
      <c r="G38" s="1448" t="s">
        <v>3087</v>
      </c>
    </row>
    <row r="39" spans="3:7" ht="48" customHeight="1" outlineLevel="1" thickBot="1">
      <c r="C39" s="95" t="s">
        <v>1504</v>
      </c>
      <c r="D39" s="180" t="s">
        <v>1497</v>
      </c>
      <c r="E39" s="189" t="s">
        <v>3059</v>
      </c>
      <c r="F39" s="189" t="s">
        <v>889</v>
      </c>
      <c r="G39" s="98" t="s">
        <v>3088</v>
      </c>
    </row>
    <row r="40" spans="3:7" ht="48" customHeight="1">
      <c r="C40" s="1449" t="s">
        <v>1505</v>
      </c>
      <c r="D40" s="507" t="s">
        <v>1506</v>
      </c>
      <c r="E40" s="744" t="s">
        <v>3059</v>
      </c>
      <c r="F40" s="744" t="s">
        <v>3060</v>
      </c>
      <c r="G40" s="1450" t="s">
        <v>3089</v>
      </c>
    </row>
    <row r="41" spans="3:7" ht="48" customHeight="1" outlineLevel="1">
      <c r="C41" s="93" t="s">
        <v>1507</v>
      </c>
      <c r="D41" s="28" t="s">
        <v>1506</v>
      </c>
      <c r="E41" s="42" t="s">
        <v>3059</v>
      </c>
      <c r="F41" s="42" t="s">
        <v>3062</v>
      </c>
      <c r="G41" s="97" t="s">
        <v>3090</v>
      </c>
    </row>
    <row r="42" spans="3:7" ht="48" customHeight="1" outlineLevel="1">
      <c r="C42" s="1447" t="s">
        <v>2591</v>
      </c>
      <c r="D42" s="511" t="s">
        <v>1506</v>
      </c>
      <c r="E42" s="745" t="s">
        <v>3061</v>
      </c>
      <c r="F42" s="745" t="s">
        <v>3060</v>
      </c>
      <c r="G42" s="1448" t="s">
        <v>3091</v>
      </c>
    </row>
    <row r="43" spans="3:7" ht="48" customHeight="1" outlineLevel="1">
      <c r="C43" s="93" t="s">
        <v>999</v>
      </c>
      <c r="D43" s="28" t="s">
        <v>1506</v>
      </c>
      <c r="E43" s="42" t="s">
        <v>3061</v>
      </c>
      <c r="F43" s="42" t="s">
        <v>3062</v>
      </c>
      <c r="G43" s="97" t="s">
        <v>3092</v>
      </c>
    </row>
    <row r="44" spans="3:7" ht="48" customHeight="1" outlineLevel="1">
      <c r="C44" s="1447" t="s">
        <v>1812</v>
      </c>
      <c r="D44" s="511" t="s">
        <v>1506</v>
      </c>
      <c r="E44" s="745" t="s">
        <v>3059</v>
      </c>
      <c r="F44" s="745" t="s">
        <v>3060</v>
      </c>
      <c r="G44" s="1448" t="s">
        <v>1676</v>
      </c>
    </row>
    <row r="45" spans="3:7" ht="48" customHeight="1" outlineLevel="1">
      <c r="C45" s="93" t="s">
        <v>1813</v>
      </c>
      <c r="D45" s="28" t="s">
        <v>1506</v>
      </c>
      <c r="E45" s="42" t="s">
        <v>3059</v>
      </c>
      <c r="F45" s="42" t="s">
        <v>3062</v>
      </c>
      <c r="G45" s="97" t="s">
        <v>3093</v>
      </c>
    </row>
    <row r="46" spans="3:7" ht="48" customHeight="1" outlineLevel="1">
      <c r="C46" s="1447" t="s">
        <v>1814</v>
      </c>
      <c r="D46" s="511" t="s">
        <v>1506</v>
      </c>
      <c r="E46" s="745" t="s">
        <v>3061</v>
      </c>
      <c r="F46" s="745" t="s">
        <v>3060</v>
      </c>
      <c r="G46" s="1448" t="s">
        <v>3094</v>
      </c>
    </row>
    <row r="47" spans="3:7" ht="48" customHeight="1" outlineLevel="1" thickBot="1">
      <c r="C47" s="95" t="s">
        <v>1815</v>
      </c>
      <c r="D47" s="180" t="s">
        <v>1506</v>
      </c>
      <c r="E47" s="189" t="s">
        <v>3061</v>
      </c>
      <c r="F47" s="189" t="s">
        <v>3062</v>
      </c>
      <c r="G47" s="98" t="s">
        <v>3095</v>
      </c>
    </row>
    <row r="48" spans="3:7" ht="48" customHeight="1">
      <c r="C48" s="1449" t="s">
        <v>1816</v>
      </c>
      <c r="D48" s="507" t="s">
        <v>1817</v>
      </c>
      <c r="E48" s="744" t="s">
        <v>3059</v>
      </c>
      <c r="F48" s="744" t="s">
        <v>3060</v>
      </c>
      <c r="G48" s="1450" t="s">
        <v>3096</v>
      </c>
    </row>
    <row r="49" spans="3:7" ht="48" customHeight="1" outlineLevel="1">
      <c r="C49" s="93" t="s">
        <v>1818</v>
      </c>
      <c r="D49" s="28" t="s">
        <v>1817</v>
      </c>
      <c r="E49" s="42" t="s">
        <v>3059</v>
      </c>
      <c r="F49" s="42" t="s">
        <v>3062</v>
      </c>
      <c r="G49" s="97" t="s">
        <v>3097</v>
      </c>
    </row>
    <row r="50" spans="3:7" ht="48" customHeight="1" outlineLevel="1">
      <c r="C50" s="1447" t="s">
        <v>1819</v>
      </c>
      <c r="D50" s="511" t="s">
        <v>1817</v>
      </c>
      <c r="E50" s="745" t="s">
        <v>3061</v>
      </c>
      <c r="F50" s="745" t="s">
        <v>3060</v>
      </c>
      <c r="G50" s="1448" t="s">
        <v>3098</v>
      </c>
    </row>
    <row r="51" spans="3:7" ht="48" customHeight="1" outlineLevel="1">
      <c r="C51" s="93" t="s">
        <v>1680</v>
      </c>
      <c r="D51" s="28" t="s">
        <v>1817</v>
      </c>
      <c r="E51" s="42" t="s">
        <v>3061</v>
      </c>
      <c r="F51" s="42" t="s">
        <v>3062</v>
      </c>
      <c r="G51" s="97" t="s">
        <v>2142</v>
      </c>
    </row>
    <row r="52" spans="3:7" ht="48" customHeight="1" outlineLevel="1">
      <c r="C52" s="1447" t="s">
        <v>1681</v>
      </c>
      <c r="D52" s="511" t="s">
        <v>1817</v>
      </c>
      <c r="E52" s="745" t="s">
        <v>3059</v>
      </c>
      <c r="F52" s="745" t="s">
        <v>3060</v>
      </c>
      <c r="G52" s="1448" t="s">
        <v>320</v>
      </c>
    </row>
    <row r="53" spans="3:7" ht="51.95" customHeight="1" outlineLevel="1">
      <c r="C53" s="93" t="s">
        <v>1682</v>
      </c>
      <c r="D53" s="28" t="s">
        <v>1817</v>
      </c>
      <c r="E53" s="42" t="s">
        <v>3059</v>
      </c>
      <c r="F53" s="42" t="s">
        <v>3062</v>
      </c>
      <c r="G53" s="97" t="s">
        <v>3099</v>
      </c>
    </row>
    <row r="54" spans="3:7" ht="48" customHeight="1" outlineLevel="1">
      <c r="C54" s="1447" t="s">
        <v>1683</v>
      </c>
      <c r="D54" s="511" t="s">
        <v>1817</v>
      </c>
      <c r="E54" s="745" t="s">
        <v>3061</v>
      </c>
      <c r="F54" s="745" t="s">
        <v>3060</v>
      </c>
      <c r="G54" s="1448" t="s">
        <v>321</v>
      </c>
    </row>
    <row r="55" spans="3:7" ht="51.95" customHeight="1" outlineLevel="1" thickBot="1">
      <c r="C55" s="95" t="s">
        <v>1684</v>
      </c>
      <c r="D55" s="180" t="s">
        <v>1817</v>
      </c>
      <c r="E55" s="189" t="s">
        <v>3061</v>
      </c>
      <c r="F55" s="189" t="s">
        <v>3062</v>
      </c>
      <c r="G55" s="98" t="s">
        <v>2750</v>
      </c>
    </row>
    <row r="56" spans="3:7" ht="48" customHeight="1">
      <c r="C56" s="1449" t="s">
        <v>1685</v>
      </c>
      <c r="D56" s="507" t="s">
        <v>1686</v>
      </c>
      <c r="E56" s="744" t="s">
        <v>3061</v>
      </c>
      <c r="F56" s="744" t="s">
        <v>3060</v>
      </c>
      <c r="G56" s="1450" t="s">
        <v>322</v>
      </c>
    </row>
    <row r="57" spans="3:7" ht="48" customHeight="1" outlineLevel="1">
      <c r="C57" s="93" t="s">
        <v>1688</v>
      </c>
      <c r="D57" s="28" t="s">
        <v>1686</v>
      </c>
      <c r="E57" s="42" t="s">
        <v>3059</v>
      </c>
      <c r="F57" s="42" t="s">
        <v>3063</v>
      </c>
      <c r="G57" s="97" t="s">
        <v>2650</v>
      </c>
    </row>
    <row r="58" spans="3:7" ht="48" customHeight="1" outlineLevel="1">
      <c r="C58" s="1447" t="s">
        <v>1690</v>
      </c>
      <c r="D58" s="511" t="s">
        <v>1686</v>
      </c>
      <c r="E58" s="745" t="s">
        <v>3061</v>
      </c>
      <c r="F58" s="745" t="s">
        <v>1686</v>
      </c>
      <c r="G58" s="1448" t="s">
        <v>1955</v>
      </c>
    </row>
    <row r="59" spans="3:7" ht="48" customHeight="1" outlineLevel="1">
      <c r="C59" s="93" t="s">
        <v>1691</v>
      </c>
      <c r="D59" s="28" t="s">
        <v>1686</v>
      </c>
      <c r="E59" s="42" t="s">
        <v>3059</v>
      </c>
      <c r="F59" s="42" t="s">
        <v>3060</v>
      </c>
      <c r="G59" s="97" t="s">
        <v>1612</v>
      </c>
    </row>
    <row r="60" spans="3:7" ht="48" customHeight="1" outlineLevel="1">
      <c r="C60" s="1447" t="s">
        <v>1692</v>
      </c>
      <c r="D60" s="511" t="s">
        <v>1686</v>
      </c>
      <c r="E60" s="745" t="s">
        <v>3061</v>
      </c>
      <c r="F60" s="745" t="s">
        <v>3063</v>
      </c>
      <c r="G60" s="1448" t="s">
        <v>3057</v>
      </c>
    </row>
    <row r="61" spans="3:7" ht="48" customHeight="1" outlineLevel="1">
      <c r="C61" s="93" t="s">
        <v>1693</v>
      </c>
      <c r="D61" s="28" t="s">
        <v>1686</v>
      </c>
      <c r="E61" s="42" t="s">
        <v>3059</v>
      </c>
      <c r="F61" s="42" t="s">
        <v>1686</v>
      </c>
      <c r="G61" s="97" t="s">
        <v>3100</v>
      </c>
    </row>
    <row r="62" spans="3:7" ht="51.95" customHeight="1" outlineLevel="1">
      <c r="C62" s="1447" t="s">
        <v>1694</v>
      </c>
      <c r="D62" s="511" t="s">
        <v>1686</v>
      </c>
      <c r="E62" s="745" t="s">
        <v>3061</v>
      </c>
      <c r="F62" s="745" t="s">
        <v>3060</v>
      </c>
      <c r="G62" s="1448" t="s">
        <v>410</v>
      </c>
    </row>
    <row r="63" spans="3:7" ht="48" customHeight="1" outlineLevel="1" thickBot="1">
      <c r="C63" s="95" t="s">
        <v>1695</v>
      </c>
      <c r="D63" s="180" t="s">
        <v>1686</v>
      </c>
      <c r="E63" s="189" t="s">
        <v>3061</v>
      </c>
      <c r="F63" s="189" t="s">
        <v>1686</v>
      </c>
      <c r="G63" s="98" t="s">
        <v>3101</v>
      </c>
    </row>
    <row r="64" spans="3:7" ht="48" customHeight="1">
      <c r="C64" s="1449" t="s">
        <v>1696</v>
      </c>
      <c r="D64" s="507" t="s">
        <v>1697</v>
      </c>
      <c r="E64" s="744" t="s">
        <v>3059</v>
      </c>
      <c r="F64" s="744" t="s">
        <v>3060</v>
      </c>
      <c r="G64" s="1450" t="s">
        <v>5172</v>
      </c>
    </row>
    <row r="65" spans="3:7" ht="48" customHeight="1" outlineLevel="1">
      <c r="C65" s="93" t="s">
        <v>1698</v>
      </c>
      <c r="D65" s="28" t="s">
        <v>1697</v>
      </c>
      <c r="E65" s="42" t="s">
        <v>3059</v>
      </c>
      <c r="F65" s="42" t="s">
        <v>3063</v>
      </c>
      <c r="G65" s="97" t="s">
        <v>3102</v>
      </c>
    </row>
    <row r="66" spans="3:7" ht="48" customHeight="1" outlineLevel="1">
      <c r="C66" s="1447" t="s">
        <v>1699</v>
      </c>
      <c r="D66" s="511" t="s">
        <v>1697</v>
      </c>
      <c r="E66" s="745" t="s">
        <v>3059</v>
      </c>
      <c r="F66" s="745" t="s">
        <v>1686</v>
      </c>
      <c r="G66" s="1448" t="s">
        <v>3103</v>
      </c>
    </row>
    <row r="67" spans="3:7" ht="48" customHeight="1" outlineLevel="1">
      <c r="C67" s="93" t="s">
        <v>1700</v>
      </c>
      <c r="D67" s="28" t="s">
        <v>1697</v>
      </c>
      <c r="E67" s="42" t="s">
        <v>3061</v>
      </c>
      <c r="F67" s="42" t="s">
        <v>3060</v>
      </c>
      <c r="G67" s="97" t="s">
        <v>2451</v>
      </c>
    </row>
    <row r="68" spans="3:7" ht="48" customHeight="1" outlineLevel="1">
      <c r="C68" s="1447" t="s">
        <v>1701</v>
      </c>
      <c r="D68" s="511" t="s">
        <v>1697</v>
      </c>
      <c r="E68" s="745" t="s">
        <v>3061</v>
      </c>
      <c r="F68" s="745" t="s">
        <v>1686</v>
      </c>
      <c r="G68" s="1448" t="s">
        <v>623</v>
      </c>
    </row>
    <row r="69" spans="3:7" ht="48" customHeight="1" outlineLevel="1">
      <c r="C69" s="93" t="s">
        <v>1702</v>
      </c>
      <c r="D69" s="28" t="s">
        <v>1697</v>
      </c>
      <c r="E69" s="42" t="s">
        <v>3061</v>
      </c>
      <c r="F69" s="42" t="s">
        <v>1686</v>
      </c>
      <c r="G69" s="97" t="s">
        <v>170</v>
      </c>
    </row>
    <row r="70" spans="3:7" ht="48" customHeight="1" outlineLevel="1">
      <c r="C70" s="1447" t="s">
        <v>1703</v>
      </c>
      <c r="D70" s="511" t="s">
        <v>1697</v>
      </c>
      <c r="E70" s="745" t="s">
        <v>3059</v>
      </c>
      <c r="F70" s="745" t="s">
        <v>3063</v>
      </c>
      <c r="G70" s="1448" t="s">
        <v>1138</v>
      </c>
    </row>
    <row r="71" spans="3:7" ht="48" customHeight="1" outlineLevel="1" thickBot="1">
      <c r="C71" s="95" t="s">
        <v>1845</v>
      </c>
      <c r="D71" s="180" t="s">
        <v>1697</v>
      </c>
      <c r="E71" s="189" t="s">
        <v>3059</v>
      </c>
      <c r="F71" s="189" t="s">
        <v>3060</v>
      </c>
      <c r="G71" s="98" t="s">
        <v>754</v>
      </c>
    </row>
    <row r="72" spans="3:7" ht="51.95" customHeight="1">
      <c r="C72" s="1449" t="s">
        <v>1846</v>
      </c>
      <c r="D72" s="507" t="s">
        <v>1847</v>
      </c>
      <c r="E72" s="744" t="s">
        <v>3059</v>
      </c>
      <c r="F72" s="744" t="s">
        <v>3060</v>
      </c>
      <c r="G72" s="1450" t="s">
        <v>3104</v>
      </c>
    </row>
    <row r="73" spans="3:7" ht="48" customHeight="1" outlineLevel="1">
      <c r="C73" s="93" t="s">
        <v>1849</v>
      </c>
      <c r="D73" s="28" t="s">
        <v>1847</v>
      </c>
      <c r="E73" s="42" t="s">
        <v>3059</v>
      </c>
      <c r="F73" s="42" t="s">
        <v>895</v>
      </c>
      <c r="G73" s="97" t="s">
        <v>1564</v>
      </c>
    </row>
    <row r="74" spans="3:7" ht="48" customHeight="1" outlineLevel="1">
      <c r="C74" s="1447" t="s">
        <v>1852</v>
      </c>
      <c r="D74" s="511" t="s">
        <v>1847</v>
      </c>
      <c r="E74" s="745" t="s">
        <v>3059</v>
      </c>
      <c r="F74" s="745" t="s">
        <v>642</v>
      </c>
      <c r="G74" s="1448" t="s">
        <v>987</v>
      </c>
    </row>
    <row r="75" spans="3:7" ht="48" customHeight="1" outlineLevel="1">
      <c r="C75" s="93" t="s">
        <v>1853</v>
      </c>
      <c r="D75" s="28" t="s">
        <v>1847</v>
      </c>
      <c r="E75" s="42" t="s">
        <v>3061</v>
      </c>
      <c r="F75" s="42" t="s">
        <v>3060</v>
      </c>
      <c r="G75" s="97" t="s">
        <v>301</v>
      </c>
    </row>
    <row r="76" spans="3:7" ht="48" customHeight="1" outlineLevel="1">
      <c r="C76" s="1447" t="s">
        <v>1854</v>
      </c>
      <c r="D76" s="511" t="s">
        <v>1847</v>
      </c>
      <c r="E76" s="745" t="s">
        <v>3061</v>
      </c>
      <c r="F76" s="745" t="s">
        <v>895</v>
      </c>
      <c r="G76" s="1448" t="s">
        <v>3105</v>
      </c>
    </row>
    <row r="77" spans="3:7" ht="48" customHeight="1" outlineLevel="1">
      <c r="C77" s="93" t="s">
        <v>1855</v>
      </c>
      <c r="D77" s="28" t="s">
        <v>1847</v>
      </c>
      <c r="E77" s="42" t="s">
        <v>3061</v>
      </c>
      <c r="F77" s="42" t="s">
        <v>642</v>
      </c>
      <c r="G77" s="97" t="s">
        <v>3106</v>
      </c>
    </row>
    <row r="78" spans="3:7" ht="48" customHeight="1" outlineLevel="1">
      <c r="C78" s="1447" t="s">
        <v>1856</v>
      </c>
      <c r="D78" s="511" t="s">
        <v>1847</v>
      </c>
      <c r="E78" s="745" t="s">
        <v>3059</v>
      </c>
      <c r="F78" s="745" t="s">
        <v>3060</v>
      </c>
      <c r="G78" s="1448" t="s">
        <v>61</v>
      </c>
    </row>
    <row r="79" spans="3:7" ht="48" customHeight="1" outlineLevel="1" thickBot="1">
      <c r="C79" s="95" t="s">
        <v>933</v>
      </c>
      <c r="D79" s="180" t="s">
        <v>1847</v>
      </c>
      <c r="E79" s="189" t="s">
        <v>3059</v>
      </c>
      <c r="F79" s="189" t="s">
        <v>895</v>
      </c>
      <c r="G79" s="98" t="s">
        <v>3107</v>
      </c>
    </row>
    <row r="80" spans="3:7" ht="48" customHeight="1">
      <c r="C80" s="1449" t="s">
        <v>934</v>
      </c>
      <c r="D80" s="507" t="s">
        <v>935</v>
      </c>
      <c r="E80" s="744" t="s">
        <v>3061</v>
      </c>
      <c r="F80" s="744" t="s">
        <v>3060</v>
      </c>
      <c r="G80" s="1450" t="s">
        <v>3108</v>
      </c>
    </row>
    <row r="81" spans="3:7" ht="48" customHeight="1" outlineLevel="1">
      <c r="C81" s="93" t="s">
        <v>1341</v>
      </c>
      <c r="D81" s="28" t="s">
        <v>935</v>
      </c>
      <c r="E81" s="42" t="s">
        <v>3061</v>
      </c>
      <c r="F81" s="42" t="s">
        <v>895</v>
      </c>
      <c r="G81" s="97" t="s">
        <v>3109</v>
      </c>
    </row>
    <row r="82" spans="3:7" ht="48" customHeight="1" outlineLevel="1">
      <c r="C82" s="1447" t="s">
        <v>1342</v>
      </c>
      <c r="D82" s="511" t="s">
        <v>935</v>
      </c>
      <c r="E82" s="745" t="s">
        <v>3059</v>
      </c>
      <c r="F82" s="745" t="s">
        <v>642</v>
      </c>
      <c r="G82" s="1448" t="s">
        <v>3110</v>
      </c>
    </row>
    <row r="83" spans="3:7" ht="48" customHeight="1" outlineLevel="1">
      <c r="C83" s="93" t="s">
        <v>1343</v>
      </c>
      <c r="D83" s="28" t="s">
        <v>935</v>
      </c>
      <c r="E83" s="42" t="s">
        <v>3059</v>
      </c>
      <c r="F83" s="42" t="s">
        <v>3060</v>
      </c>
      <c r="G83" s="97" t="s">
        <v>3111</v>
      </c>
    </row>
    <row r="84" spans="3:7" ht="48" customHeight="1" outlineLevel="1">
      <c r="C84" s="1447" t="s">
        <v>1344</v>
      </c>
      <c r="D84" s="511" t="s">
        <v>935</v>
      </c>
      <c r="E84" s="745" t="s">
        <v>3059</v>
      </c>
      <c r="F84" s="745" t="s">
        <v>895</v>
      </c>
      <c r="G84" s="1448" t="s">
        <v>5173</v>
      </c>
    </row>
    <row r="85" spans="3:7" ht="48" customHeight="1" outlineLevel="1">
      <c r="C85" s="93" t="s">
        <v>1345</v>
      </c>
      <c r="D85" s="28" t="s">
        <v>935</v>
      </c>
      <c r="E85" s="42" t="s">
        <v>3061</v>
      </c>
      <c r="F85" s="42" t="s">
        <v>642</v>
      </c>
      <c r="G85" s="97" t="s">
        <v>3112</v>
      </c>
    </row>
    <row r="86" spans="3:7" ht="48" customHeight="1" outlineLevel="1">
      <c r="C86" s="1447" t="s">
        <v>1346</v>
      </c>
      <c r="D86" s="511" t="s">
        <v>935</v>
      </c>
      <c r="E86" s="745" t="s">
        <v>3061</v>
      </c>
      <c r="F86" s="745" t="s">
        <v>3060</v>
      </c>
      <c r="G86" s="1448" t="s">
        <v>3113</v>
      </c>
    </row>
    <row r="87" spans="3:7" ht="48" customHeight="1" outlineLevel="1" thickBot="1">
      <c r="C87" s="95" t="s">
        <v>1347</v>
      </c>
      <c r="D87" s="180" t="s">
        <v>935</v>
      </c>
      <c r="E87" s="189" t="s">
        <v>3059</v>
      </c>
      <c r="F87" s="189" t="s">
        <v>642</v>
      </c>
      <c r="G87" s="98" t="s">
        <v>3114</v>
      </c>
    </row>
    <row r="88" spans="3:7" ht="48" customHeight="1">
      <c r="C88" s="1449" t="s">
        <v>1348</v>
      </c>
      <c r="D88" s="507" t="s">
        <v>1349</v>
      </c>
      <c r="E88" s="744" t="s">
        <v>3061</v>
      </c>
      <c r="F88" s="744" t="s">
        <v>3060</v>
      </c>
      <c r="G88" s="1450" t="s">
        <v>3115</v>
      </c>
    </row>
    <row r="89" spans="3:7" ht="48" customHeight="1" outlineLevel="1">
      <c r="C89" s="93" t="s">
        <v>1351</v>
      </c>
      <c r="D89" s="28" t="s">
        <v>1349</v>
      </c>
      <c r="E89" s="42" t="s">
        <v>3059</v>
      </c>
      <c r="F89" s="42" t="s">
        <v>1537</v>
      </c>
      <c r="G89" s="97" t="s">
        <v>563</v>
      </c>
    </row>
    <row r="90" spans="3:7" ht="48" customHeight="1" outlineLevel="1">
      <c r="C90" s="1447" t="s">
        <v>1354</v>
      </c>
      <c r="D90" s="511" t="s">
        <v>1349</v>
      </c>
      <c r="E90" s="745" t="s">
        <v>3059</v>
      </c>
      <c r="F90" s="745" t="s">
        <v>643</v>
      </c>
      <c r="G90" s="1448" t="s">
        <v>564</v>
      </c>
    </row>
    <row r="91" spans="3:7" ht="48" customHeight="1" outlineLevel="1">
      <c r="C91" s="93" t="s">
        <v>1355</v>
      </c>
      <c r="D91" s="28" t="s">
        <v>1349</v>
      </c>
      <c r="E91" s="42" t="s">
        <v>3059</v>
      </c>
      <c r="F91" s="42" t="s">
        <v>3060</v>
      </c>
      <c r="G91" s="97" t="s">
        <v>3116</v>
      </c>
    </row>
    <row r="92" spans="3:7" ht="48" customHeight="1" outlineLevel="1">
      <c r="C92" s="1447" t="s">
        <v>1356</v>
      </c>
      <c r="D92" s="511" t="s">
        <v>1349</v>
      </c>
      <c r="E92" s="745" t="s">
        <v>3059</v>
      </c>
      <c r="F92" s="745" t="s">
        <v>1537</v>
      </c>
      <c r="G92" s="1448" t="s">
        <v>1827</v>
      </c>
    </row>
    <row r="93" spans="3:7" ht="48" customHeight="1" outlineLevel="1">
      <c r="C93" s="93" t="s">
        <v>1357</v>
      </c>
      <c r="D93" s="28" t="s">
        <v>1349</v>
      </c>
      <c r="E93" s="42" t="s">
        <v>3059</v>
      </c>
      <c r="F93" s="42" t="s">
        <v>643</v>
      </c>
      <c r="G93" s="97" t="s">
        <v>3058</v>
      </c>
    </row>
    <row r="94" spans="3:7" ht="48" customHeight="1" outlineLevel="1">
      <c r="C94" s="1447" t="s">
        <v>1358</v>
      </c>
      <c r="D94" s="511" t="s">
        <v>1349</v>
      </c>
      <c r="E94" s="745" t="s">
        <v>3061</v>
      </c>
      <c r="F94" s="745" t="s">
        <v>1537</v>
      </c>
      <c r="G94" s="1448" t="s">
        <v>3117</v>
      </c>
    </row>
    <row r="95" spans="3:7" ht="48" customHeight="1" outlineLevel="1" thickBot="1">
      <c r="C95" s="95" t="s">
        <v>1359</v>
      </c>
      <c r="D95" s="180" t="s">
        <v>1349</v>
      </c>
      <c r="E95" s="189" t="s">
        <v>3059</v>
      </c>
      <c r="F95" s="189" t="s">
        <v>1537</v>
      </c>
      <c r="G95" s="98" t="s">
        <v>1961</v>
      </c>
    </row>
    <row r="96" spans="3:7" ht="48" customHeight="1">
      <c r="C96" s="1449" t="s">
        <v>1360</v>
      </c>
      <c r="D96" s="507" t="s">
        <v>1361</v>
      </c>
      <c r="E96" s="744" t="s">
        <v>3059</v>
      </c>
      <c r="F96" s="744" t="s">
        <v>3060</v>
      </c>
      <c r="G96" s="1450" t="s">
        <v>3</v>
      </c>
    </row>
    <row r="97" spans="3:7" ht="48" customHeight="1" outlineLevel="1">
      <c r="C97" s="93" t="s">
        <v>1362</v>
      </c>
      <c r="D97" s="28" t="s">
        <v>1361</v>
      </c>
      <c r="E97" s="42" t="s">
        <v>3059</v>
      </c>
      <c r="F97" s="42" t="s">
        <v>1537</v>
      </c>
      <c r="G97" s="97" t="s">
        <v>3118</v>
      </c>
    </row>
    <row r="98" spans="3:7" ht="48" customHeight="1" outlineLevel="1">
      <c r="C98" s="1447" t="s">
        <v>1363</v>
      </c>
      <c r="D98" s="511" t="s">
        <v>1361</v>
      </c>
      <c r="E98" s="745" t="s">
        <v>3059</v>
      </c>
      <c r="F98" s="745" t="s">
        <v>643</v>
      </c>
      <c r="G98" s="1448" t="s">
        <v>3119</v>
      </c>
    </row>
    <row r="99" spans="3:7" ht="48" customHeight="1" outlineLevel="1">
      <c r="C99" s="93" t="s">
        <v>1364</v>
      </c>
      <c r="D99" s="28" t="s">
        <v>1361</v>
      </c>
      <c r="E99" s="42" t="s">
        <v>3059</v>
      </c>
      <c r="F99" s="42" t="s">
        <v>3060</v>
      </c>
      <c r="G99" s="97" t="s">
        <v>3120</v>
      </c>
    </row>
    <row r="100" spans="3:7" ht="48" customHeight="1" outlineLevel="1">
      <c r="C100" s="1447" t="s">
        <v>1365</v>
      </c>
      <c r="D100" s="511" t="s">
        <v>1361</v>
      </c>
      <c r="E100" s="745" t="s">
        <v>3059</v>
      </c>
      <c r="F100" s="745" t="s">
        <v>1537</v>
      </c>
      <c r="G100" s="1448" t="s">
        <v>5174</v>
      </c>
    </row>
    <row r="101" spans="3:7" ht="48" customHeight="1" outlineLevel="1">
      <c r="C101" s="93" t="s">
        <v>323</v>
      </c>
      <c r="D101" s="28" t="s">
        <v>1361</v>
      </c>
      <c r="E101" s="42" t="s">
        <v>3059</v>
      </c>
      <c r="F101" s="42" t="s">
        <v>643</v>
      </c>
      <c r="G101" s="97" t="s">
        <v>1377</v>
      </c>
    </row>
    <row r="102" spans="3:7" ht="48" customHeight="1" outlineLevel="1">
      <c r="C102" s="1447" t="s">
        <v>324</v>
      </c>
      <c r="D102" s="511" t="s">
        <v>1361</v>
      </c>
      <c r="E102" s="745" t="s">
        <v>3061</v>
      </c>
      <c r="F102" s="745" t="s">
        <v>3060</v>
      </c>
      <c r="G102" s="1448" t="s">
        <v>3121</v>
      </c>
    </row>
    <row r="103" spans="3:7" ht="48" customHeight="1" outlineLevel="1" thickBot="1">
      <c r="C103" s="95" t="s">
        <v>325</v>
      </c>
      <c r="D103" s="180" t="s">
        <v>1361</v>
      </c>
      <c r="E103" s="189" t="s">
        <v>3059</v>
      </c>
      <c r="F103" s="189" t="s">
        <v>643</v>
      </c>
      <c r="G103" s="98" t="s">
        <v>3122</v>
      </c>
    </row>
    <row r="104" spans="3:7" ht="48" customHeight="1">
      <c r="C104" s="1449" t="s">
        <v>326</v>
      </c>
      <c r="D104" s="507" t="s">
        <v>327</v>
      </c>
      <c r="E104" s="744" t="s">
        <v>3059</v>
      </c>
      <c r="F104" s="744" t="s">
        <v>3062</v>
      </c>
      <c r="G104" s="1450" t="s">
        <v>3123</v>
      </c>
    </row>
    <row r="105" spans="3:7" ht="48" customHeight="1" outlineLevel="1">
      <c r="C105" s="93" t="s">
        <v>467</v>
      </c>
      <c r="D105" s="28" t="s">
        <v>327</v>
      </c>
      <c r="E105" s="42" t="s">
        <v>3059</v>
      </c>
      <c r="F105" s="42" t="s">
        <v>1538</v>
      </c>
      <c r="G105" s="97" t="s">
        <v>2690</v>
      </c>
    </row>
    <row r="106" spans="3:7" ht="48" customHeight="1" outlineLevel="1">
      <c r="C106" s="1447" t="s">
        <v>468</v>
      </c>
      <c r="D106" s="511" t="s">
        <v>327</v>
      </c>
      <c r="E106" s="745" t="s">
        <v>3059</v>
      </c>
      <c r="F106" s="745" t="s">
        <v>2322</v>
      </c>
      <c r="G106" s="1448" t="s">
        <v>2691</v>
      </c>
    </row>
    <row r="107" spans="3:7" ht="48" customHeight="1" outlineLevel="1">
      <c r="C107" s="93" t="s">
        <v>469</v>
      </c>
      <c r="D107" s="28" t="s">
        <v>327</v>
      </c>
      <c r="E107" s="42" t="s">
        <v>3061</v>
      </c>
      <c r="F107" s="42" t="s">
        <v>3060</v>
      </c>
      <c r="G107" s="97" t="s">
        <v>3124</v>
      </c>
    </row>
    <row r="108" spans="3:7" ht="48" customHeight="1" outlineLevel="1">
      <c r="C108" s="1447" t="s">
        <v>470</v>
      </c>
      <c r="D108" s="511" t="s">
        <v>327</v>
      </c>
      <c r="E108" s="745" t="s">
        <v>3061</v>
      </c>
      <c r="F108" s="745" t="s">
        <v>1538</v>
      </c>
      <c r="G108" s="1448" t="s">
        <v>962</v>
      </c>
    </row>
    <row r="109" spans="3:7" ht="48" customHeight="1" outlineLevel="1">
      <c r="C109" s="93" t="s">
        <v>471</v>
      </c>
      <c r="D109" s="28" t="s">
        <v>327</v>
      </c>
      <c r="E109" s="42" t="s">
        <v>3059</v>
      </c>
      <c r="F109" s="42" t="s">
        <v>2322</v>
      </c>
      <c r="G109" s="97" t="s">
        <v>3125</v>
      </c>
    </row>
    <row r="110" spans="3:7" ht="48" customHeight="1" outlineLevel="1">
      <c r="C110" s="1447" t="s">
        <v>472</v>
      </c>
      <c r="D110" s="511" t="s">
        <v>327</v>
      </c>
      <c r="E110" s="745" t="s">
        <v>3059</v>
      </c>
      <c r="F110" s="745" t="s">
        <v>3060</v>
      </c>
      <c r="G110" s="1448" t="s">
        <v>3126</v>
      </c>
    </row>
    <row r="111" spans="3:7" ht="48" customHeight="1" outlineLevel="1" thickBot="1">
      <c r="C111" s="95" t="s">
        <v>473</v>
      </c>
      <c r="D111" s="180" t="s">
        <v>327</v>
      </c>
      <c r="E111" s="189" t="s">
        <v>3059</v>
      </c>
      <c r="F111" s="189" t="s">
        <v>1538</v>
      </c>
      <c r="G111" s="98" t="s">
        <v>3127</v>
      </c>
    </row>
    <row r="112" spans="3:7" ht="48" customHeight="1">
      <c r="C112" s="1449" t="s">
        <v>474</v>
      </c>
      <c r="D112" s="507" t="s">
        <v>475</v>
      </c>
      <c r="E112" s="744" t="s">
        <v>3061</v>
      </c>
      <c r="F112" s="744" t="s">
        <v>3060</v>
      </c>
      <c r="G112" s="1450" t="s">
        <v>1121</v>
      </c>
    </row>
    <row r="113" spans="3:7" ht="48" customHeight="1" outlineLevel="1">
      <c r="C113" s="93" t="s">
        <v>476</v>
      </c>
      <c r="D113" s="28" t="s">
        <v>475</v>
      </c>
      <c r="E113" s="42" t="s">
        <v>3059</v>
      </c>
      <c r="F113" s="42" t="s">
        <v>2322</v>
      </c>
      <c r="G113" s="97" t="s">
        <v>3128</v>
      </c>
    </row>
    <row r="114" spans="3:7" ht="48" customHeight="1" outlineLevel="1">
      <c r="C114" s="1447" t="s">
        <v>1935</v>
      </c>
      <c r="D114" s="511" t="s">
        <v>475</v>
      </c>
      <c r="E114" s="745" t="s">
        <v>3059</v>
      </c>
      <c r="F114" s="745" t="s">
        <v>2322</v>
      </c>
      <c r="G114" s="1448" t="s">
        <v>1122</v>
      </c>
    </row>
    <row r="115" spans="3:7" ht="48" customHeight="1" outlineLevel="1">
      <c r="C115" s="93" t="s">
        <v>1936</v>
      </c>
      <c r="D115" s="28" t="s">
        <v>475</v>
      </c>
      <c r="E115" s="42" t="s">
        <v>3059</v>
      </c>
      <c r="F115" s="42" t="s">
        <v>3060</v>
      </c>
      <c r="G115" s="97" t="s">
        <v>3129</v>
      </c>
    </row>
    <row r="116" spans="3:7" ht="48" customHeight="1" outlineLevel="1">
      <c r="C116" s="1447" t="s">
        <v>1937</v>
      </c>
      <c r="D116" s="511" t="s">
        <v>475</v>
      </c>
      <c r="E116" s="745" t="s">
        <v>3059</v>
      </c>
      <c r="F116" s="745" t="s">
        <v>1538</v>
      </c>
      <c r="G116" s="1448" t="s">
        <v>1180</v>
      </c>
    </row>
    <row r="117" spans="3:7" ht="51.95" customHeight="1" outlineLevel="1">
      <c r="C117" s="93" t="s">
        <v>1938</v>
      </c>
      <c r="D117" s="28" t="s">
        <v>475</v>
      </c>
      <c r="E117" s="42" t="s">
        <v>3061</v>
      </c>
      <c r="F117" s="42" t="s">
        <v>2322</v>
      </c>
      <c r="G117" s="97" t="s">
        <v>1440</v>
      </c>
    </row>
    <row r="118" spans="3:7" ht="48" customHeight="1" outlineLevel="1">
      <c r="C118" s="1447" t="s">
        <v>1939</v>
      </c>
      <c r="D118" s="511" t="s">
        <v>475</v>
      </c>
      <c r="E118" s="745" t="s">
        <v>3061</v>
      </c>
      <c r="F118" s="745" t="s">
        <v>3060</v>
      </c>
      <c r="G118" s="1448" t="s">
        <v>1931</v>
      </c>
    </row>
    <row r="119" spans="3:7" ht="48" customHeight="1" outlineLevel="1" thickBot="1">
      <c r="C119" s="95" t="s">
        <v>1940</v>
      </c>
      <c r="D119" s="180" t="s">
        <v>475</v>
      </c>
      <c r="E119" s="189" t="s">
        <v>3059</v>
      </c>
      <c r="F119" s="189" t="s">
        <v>2322</v>
      </c>
      <c r="G119" s="98" t="s">
        <v>1912</v>
      </c>
    </row>
    <row r="120" spans="3:7" ht="48" customHeight="1">
      <c r="C120" s="1449" t="s">
        <v>397</v>
      </c>
      <c r="D120" s="507" t="s">
        <v>398</v>
      </c>
      <c r="E120" s="744" t="s">
        <v>3059</v>
      </c>
      <c r="F120" s="744" t="s">
        <v>3060</v>
      </c>
      <c r="G120" s="1450" t="s">
        <v>3130</v>
      </c>
    </row>
    <row r="121" spans="3:7" ht="48" customHeight="1" outlineLevel="1">
      <c r="C121" s="93" t="s">
        <v>161</v>
      </c>
      <c r="D121" s="28" t="s">
        <v>398</v>
      </c>
      <c r="E121" s="42" t="s">
        <v>3059</v>
      </c>
      <c r="F121" s="42" t="s">
        <v>1540</v>
      </c>
      <c r="G121" s="97" t="s">
        <v>1118</v>
      </c>
    </row>
    <row r="122" spans="3:7" ht="48" customHeight="1" outlineLevel="1">
      <c r="C122" s="1447" t="s">
        <v>162</v>
      </c>
      <c r="D122" s="511" t="s">
        <v>398</v>
      </c>
      <c r="E122" s="745" t="s">
        <v>3059</v>
      </c>
      <c r="F122" s="745" t="s">
        <v>378</v>
      </c>
      <c r="G122" s="1448" t="s">
        <v>2776</v>
      </c>
    </row>
    <row r="123" spans="3:7" ht="48" customHeight="1" outlineLevel="1">
      <c r="C123" s="93" t="s">
        <v>163</v>
      </c>
      <c r="D123" s="28" t="s">
        <v>398</v>
      </c>
      <c r="E123" s="42" t="s">
        <v>3059</v>
      </c>
      <c r="F123" s="42" t="s">
        <v>3060</v>
      </c>
      <c r="G123" s="97" t="s">
        <v>1776</v>
      </c>
    </row>
    <row r="124" spans="3:7" ht="48" customHeight="1" outlineLevel="1">
      <c r="C124" s="1447" t="s">
        <v>164</v>
      </c>
      <c r="D124" s="511" t="s">
        <v>398</v>
      </c>
      <c r="E124" s="745" t="s">
        <v>3059</v>
      </c>
      <c r="F124" s="745" t="s">
        <v>1540</v>
      </c>
      <c r="G124" s="1448" t="s">
        <v>2235</v>
      </c>
    </row>
    <row r="125" spans="3:7" ht="48" customHeight="1" outlineLevel="1">
      <c r="C125" s="93" t="s">
        <v>165</v>
      </c>
      <c r="D125" s="28" t="s">
        <v>398</v>
      </c>
      <c r="E125" s="42" t="s">
        <v>3059</v>
      </c>
      <c r="F125" s="42" t="s">
        <v>378</v>
      </c>
      <c r="G125" s="97" t="s">
        <v>1176</v>
      </c>
    </row>
    <row r="126" spans="3:7" ht="48" customHeight="1" outlineLevel="1">
      <c r="C126" s="1447" t="s">
        <v>166</v>
      </c>
      <c r="D126" s="511" t="s">
        <v>398</v>
      </c>
      <c r="E126" s="745" t="s">
        <v>3059</v>
      </c>
      <c r="F126" s="745" t="s">
        <v>3060</v>
      </c>
      <c r="G126" s="1448" t="s">
        <v>3131</v>
      </c>
    </row>
    <row r="127" spans="3:7" ht="48" customHeight="1" outlineLevel="1" thickBot="1">
      <c r="C127" s="95" t="s">
        <v>167</v>
      </c>
      <c r="D127" s="180" t="s">
        <v>398</v>
      </c>
      <c r="E127" s="189" t="s">
        <v>3059</v>
      </c>
      <c r="F127" s="189" t="s">
        <v>378</v>
      </c>
      <c r="G127" s="98" t="s">
        <v>303</v>
      </c>
    </row>
    <row r="128" spans="3:7" ht="48" customHeight="1">
      <c r="C128" s="1449" t="s">
        <v>168</v>
      </c>
      <c r="D128" s="507" t="s">
        <v>169</v>
      </c>
      <c r="E128" s="744" t="s">
        <v>3061</v>
      </c>
      <c r="F128" s="744" t="s">
        <v>3060</v>
      </c>
      <c r="G128" s="1450" t="s">
        <v>1366</v>
      </c>
    </row>
    <row r="129" spans="3:7" ht="48" customHeight="1" outlineLevel="1">
      <c r="C129" s="93" t="s">
        <v>346</v>
      </c>
      <c r="D129" s="28" t="s">
        <v>169</v>
      </c>
      <c r="E129" s="42" t="s">
        <v>3061</v>
      </c>
      <c r="F129" s="42" t="s">
        <v>1540</v>
      </c>
      <c r="G129" s="97" t="s">
        <v>863</v>
      </c>
    </row>
    <row r="130" spans="3:7" ht="48" customHeight="1" outlineLevel="1">
      <c r="C130" s="1447" t="s">
        <v>347</v>
      </c>
      <c r="D130" s="511" t="s">
        <v>169</v>
      </c>
      <c r="E130" s="745" t="s">
        <v>3061</v>
      </c>
      <c r="F130" s="745" t="s">
        <v>378</v>
      </c>
      <c r="G130" s="1448" t="s">
        <v>3132</v>
      </c>
    </row>
    <row r="131" spans="3:7" ht="48" customHeight="1" outlineLevel="1">
      <c r="C131" s="93" t="s">
        <v>348</v>
      </c>
      <c r="D131" s="28" t="s">
        <v>169</v>
      </c>
      <c r="E131" s="42" t="s">
        <v>3061</v>
      </c>
      <c r="F131" s="42" t="s">
        <v>3060</v>
      </c>
      <c r="G131" s="97" t="s">
        <v>679</v>
      </c>
    </row>
    <row r="132" spans="3:7" ht="48" customHeight="1" outlineLevel="1">
      <c r="C132" s="1447" t="s">
        <v>349</v>
      </c>
      <c r="D132" s="511" t="s">
        <v>169</v>
      </c>
      <c r="E132" s="745" t="s">
        <v>3061</v>
      </c>
      <c r="F132" s="745" t="s">
        <v>1540</v>
      </c>
      <c r="G132" s="1448" t="s">
        <v>1643</v>
      </c>
    </row>
    <row r="133" spans="3:7" ht="48" customHeight="1" outlineLevel="1">
      <c r="C133" s="93" t="s">
        <v>350</v>
      </c>
      <c r="D133" s="28" t="s">
        <v>169</v>
      </c>
      <c r="E133" s="42" t="s">
        <v>3061</v>
      </c>
      <c r="F133" s="42" t="s">
        <v>378</v>
      </c>
      <c r="G133" s="97" t="s">
        <v>3133</v>
      </c>
    </row>
    <row r="134" spans="3:7" ht="48" customHeight="1" outlineLevel="1">
      <c r="C134" s="1447" t="s">
        <v>2045</v>
      </c>
      <c r="D134" s="511" t="s">
        <v>169</v>
      </c>
      <c r="E134" s="745" t="s">
        <v>3061</v>
      </c>
      <c r="F134" s="745" t="s">
        <v>3060</v>
      </c>
      <c r="G134" s="1448" t="s">
        <v>3134</v>
      </c>
    </row>
    <row r="135" spans="3:7" ht="48" customHeight="1" outlineLevel="1" thickBot="1">
      <c r="C135" s="99" t="s">
        <v>2046</v>
      </c>
      <c r="D135" s="100" t="s">
        <v>169</v>
      </c>
      <c r="E135" s="45" t="s">
        <v>3061</v>
      </c>
      <c r="F135" s="45" t="s">
        <v>1540</v>
      </c>
      <c r="G135" s="101" t="s">
        <v>879</v>
      </c>
    </row>
    <row r="136" spans="3:7" ht="48" customHeight="1">
      <c r="C136" s="1449" t="s">
        <v>2047</v>
      </c>
      <c r="D136" s="507" t="s">
        <v>2048</v>
      </c>
      <c r="E136" s="744" t="s">
        <v>3061</v>
      </c>
      <c r="F136" s="744" t="s">
        <v>3064</v>
      </c>
      <c r="G136" s="1450" t="s">
        <v>3135</v>
      </c>
    </row>
    <row r="137" spans="3:7" ht="48" customHeight="1" outlineLevel="1">
      <c r="C137" s="93" t="s">
        <v>2049</v>
      </c>
      <c r="D137" s="28" t="s">
        <v>2048</v>
      </c>
      <c r="E137" s="42" t="s">
        <v>3061</v>
      </c>
      <c r="F137" s="42" t="s">
        <v>3064</v>
      </c>
      <c r="G137" s="97" t="s">
        <v>5175</v>
      </c>
    </row>
    <row r="138" spans="3:7" ht="48" customHeight="1" outlineLevel="1">
      <c r="C138" s="1447" t="s">
        <v>2050</v>
      </c>
      <c r="D138" s="511" t="s">
        <v>2048</v>
      </c>
      <c r="E138" s="745" t="s">
        <v>3061</v>
      </c>
      <c r="F138" s="745" t="s">
        <v>3064</v>
      </c>
      <c r="G138" s="1448" t="s">
        <v>5176</v>
      </c>
    </row>
    <row r="139" spans="3:7" ht="48" customHeight="1" outlineLevel="1">
      <c r="C139" s="93" t="s">
        <v>2051</v>
      </c>
      <c r="D139" s="28" t="s">
        <v>2048</v>
      </c>
      <c r="E139" s="42" t="s">
        <v>3061</v>
      </c>
      <c r="F139" s="42" t="s">
        <v>3064</v>
      </c>
      <c r="G139" s="97" t="s">
        <v>3136</v>
      </c>
    </row>
    <row r="140" spans="3:7" ht="48" customHeight="1" outlineLevel="1">
      <c r="C140" s="1447" t="s">
        <v>2732</v>
      </c>
      <c r="D140" s="511" t="s">
        <v>2048</v>
      </c>
      <c r="E140" s="745" t="s">
        <v>3059</v>
      </c>
      <c r="F140" s="745" t="s">
        <v>3064</v>
      </c>
      <c r="G140" s="1448" t="s">
        <v>3137</v>
      </c>
    </row>
    <row r="141" spans="3:7" ht="48" customHeight="1" outlineLevel="1">
      <c r="C141" s="93" t="s">
        <v>2733</v>
      </c>
      <c r="D141" s="28" t="s">
        <v>2048</v>
      </c>
      <c r="E141" s="42" t="s">
        <v>3059</v>
      </c>
      <c r="F141" s="42" t="s">
        <v>3064</v>
      </c>
      <c r="G141" s="97" t="s">
        <v>3138</v>
      </c>
    </row>
    <row r="142" spans="3:7" ht="48" customHeight="1" outlineLevel="1">
      <c r="C142" s="1447" t="s">
        <v>2734</v>
      </c>
      <c r="D142" s="511" t="s">
        <v>2048</v>
      </c>
      <c r="E142" s="745" t="s">
        <v>3059</v>
      </c>
      <c r="F142" s="745" t="s">
        <v>3064</v>
      </c>
      <c r="G142" s="1448" t="s">
        <v>3139</v>
      </c>
    </row>
    <row r="143" spans="3:7" ht="48" customHeight="1" outlineLevel="1" thickBot="1">
      <c r="C143" s="95" t="s">
        <v>2735</v>
      </c>
      <c r="D143" s="180" t="s">
        <v>2048</v>
      </c>
      <c r="E143" s="189" t="s">
        <v>3059</v>
      </c>
      <c r="F143" s="189" t="s">
        <v>3064</v>
      </c>
      <c r="G143" s="98" t="s">
        <v>3140</v>
      </c>
    </row>
    <row r="144" spans="3:7" ht="48" customHeight="1">
      <c r="C144" s="1449" t="s">
        <v>2736</v>
      </c>
      <c r="D144" s="507" t="s">
        <v>2737</v>
      </c>
      <c r="E144" s="744" t="s">
        <v>3061</v>
      </c>
      <c r="F144" s="744" t="s">
        <v>3060</v>
      </c>
      <c r="G144" s="1450" t="s">
        <v>3141</v>
      </c>
    </row>
    <row r="145" spans="3:7" ht="48" customHeight="1" outlineLevel="1">
      <c r="C145" s="93" t="s">
        <v>2738</v>
      </c>
      <c r="D145" s="28" t="s">
        <v>2737</v>
      </c>
      <c r="E145" s="42" t="s">
        <v>3061</v>
      </c>
      <c r="F145" s="42" t="s">
        <v>3062</v>
      </c>
      <c r="G145" s="97" t="s">
        <v>3142</v>
      </c>
    </row>
    <row r="146" spans="3:7" ht="48" customHeight="1" outlineLevel="1">
      <c r="C146" s="1447" t="s">
        <v>2739</v>
      </c>
      <c r="D146" s="511" t="s">
        <v>2737</v>
      </c>
      <c r="E146" s="745" t="s">
        <v>3061</v>
      </c>
      <c r="F146" s="745" t="s">
        <v>889</v>
      </c>
      <c r="G146" s="1448" t="s">
        <v>3143</v>
      </c>
    </row>
    <row r="147" spans="3:7" ht="48" customHeight="1" outlineLevel="1">
      <c r="C147" s="93" t="s">
        <v>2740</v>
      </c>
      <c r="D147" s="28" t="s">
        <v>2737</v>
      </c>
      <c r="E147" s="42" t="s">
        <v>3061</v>
      </c>
      <c r="F147" s="42" t="s">
        <v>3060</v>
      </c>
      <c r="G147" s="97" t="s">
        <v>3144</v>
      </c>
    </row>
    <row r="148" spans="3:7" ht="48" customHeight="1" outlineLevel="1">
      <c r="C148" s="1447" t="s">
        <v>2741</v>
      </c>
      <c r="D148" s="511" t="s">
        <v>2737</v>
      </c>
      <c r="E148" s="745" t="s">
        <v>3059</v>
      </c>
      <c r="F148" s="745" t="s">
        <v>3060</v>
      </c>
      <c r="G148" s="1448" t="s">
        <v>3145</v>
      </c>
    </row>
    <row r="149" spans="3:7" ht="51" outlineLevel="1">
      <c r="C149" s="93" t="s">
        <v>2742</v>
      </c>
      <c r="D149" s="28" t="s">
        <v>2737</v>
      </c>
      <c r="E149" s="42" t="s">
        <v>3059</v>
      </c>
      <c r="F149" s="42" t="s">
        <v>3062</v>
      </c>
      <c r="G149" s="97" t="s">
        <v>3146</v>
      </c>
    </row>
    <row r="150" spans="3:7" ht="48" customHeight="1" outlineLevel="1">
      <c r="C150" s="1447" t="s">
        <v>1747</v>
      </c>
      <c r="D150" s="511" t="s">
        <v>2737</v>
      </c>
      <c r="E150" s="745" t="s">
        <v>3059</v>
      </c>
      <c r="F150" s="745" t="s">
        <v>889</v>
      </c>
      <c r="G150" s="1448" t="s">
        <v>3147</v>
      </c>
    </row>
    <row r="151" spans="3:7" ht="48" customHeight="1" outlineLevel="1" thickBot="1">
      <c r="C151" s="95" t="s">
        <v>1748</v>
      </c>
      <c r="D151" s="180" t="s">
        <v>2737</v>
      </c>
      <c r="E151" s="189" t="s">
        <v>3059</v>
      </c>
      <c r="F151" s="189" t="s">
        <v>374</v>
      </c>
      <c r="G151" s="98" t="s">
        <v>3148</v>
      </c>
    </row>
    <row r="152" spans="3:7" ht="48" customHeight="1">
      <c r="C152" s="1451" t="s">
        <v>1568</v>
      </c>
      <c r="D152" s="507" t="s">
        <v>327</v>
      </c>
      <c r="E152" s="780" t="s">
        <v>3059</v>
      </c>
      <c r="F152" s="507" t="s">
        <v>2322</v>
      </c>
      <c r="G152" s="1450" t="s">
        <v>5177</v>
      </c>
    </row>
    <row r="153" spans="3:7" ht="48" customHeight="1" outlineLevel="1">
      <c r="C153" s="96" t="s">
        <v>1565</v>
      </c>
      <c r="D153" s="28" t="s">
        <v>327</v>
      </c>
      <c r="E153" s="250" t="s">
        <v>3059</v>
      </c>
      <c r="F153" s="28" t="s">
        <v>3060</v>
      </c>
      <c r="G153" s="97" t="s">
        <v>5178</v>
      </c>
    </row>
    <row r="154" spans="3:7" ht="48" customHeight="1" outlineLevel="1">
      <c r="C154" s="1452" t="s">
        <v>1251</v>
      </c>
      <c r="D154" s="511" t="s">
        <v>169</v>
      </c>
      <c r="E154" s="781" t="s">
        <v>3061</v>
      </c>
      <c r="F154" s="511" t="s">
        <v>3060</v>
      </c>
      <c r="G154" s="1448" t="s">
        <v>2183</v>
      </c>
    </row>
    <row r="155" spans="3:7" ht="48" customHeight="1" outlineLevel="1">
      <c r="C155" s="96" t="s">
        <v>1569</v>
      </c>
      <c r="D155" s="28" t="s">
        <v>1686</v>
      </c>
      <c r="E155" s="250" t="s">
        <v>3059</v>
      </c>
      <c r="F155" s="28" t="s">
        <v>3063</v>
      </c>
      <c r="G155" s="97" t="s">
        <v>3149</v>
      </c>
    </row>
    <row r="156" spans="3:7" ht="51" outlineLevel="1">
      <c r="C156" s="1452" t="s">
        <v>1566</v>
      </c>
      <c r="D156" s="511" t="s">
        <v>1349</v>
      </c>
      <c r="E156" s="781" t="s">
        <v>3061</v>
      </c>
      <c r="F156" s="511" t="s">
        <v>3060</v>
      </c>
      <c r="G156" s="1448" t="s">
        <v>3150</v>
      </c>
    </row>
    <row r="157" spans="3:7" ht="48" customHeight="1" outlineLevel="1">
      <c r="C157" s="96" t="s">
        <v>161</v>
      </c>
      <c r="D157" s="28" t="s">
        <v>1817</v>
      </c>
      <c r="E157" s="250" t="s">
        <v>3059</v>
      </c>
      <c r="F157" s="28" t="s">
        <v>3060</v>
      </c>
      <c r="G157" s="97" t="s">
        <v>3151</v>
      </c>
    </row>
    <row r="158" spans="3:7" ht="48" customHeight="1" outlineLevel="1">
      <c r="C158" s="1452" t="s">
        <v>1253</v>
      </c>
      <c r="D158" s="511" t="s">
        <v>2152</v>
      </c>
      <c r="E158" s="781" t="s">
        <v>3061</v>
      </c>
      <c r="F158" s="511" t="s">
        <v>3060</v>
      </c>
      <c r="G158" s="1448" t="s">
        <v>3152</v>
      </c>
    </row>
    <row r="159" spans="3:7" ht="51.95" customHeight="1" outlineLevel="1">
      <c r="C159" s="96" t="s">
        <v>1491</v>
      </c>
      <c r="D159" s="28" t="s">
        <v>2152</v>
      </c>
      <c r="E159" s="250" t="s">
        <v>3059</v>
      </c>
      <c r="F159" s="28" t="s">
        <v>3060</v>
      </c>
      <c r="G159" s="97" t="s">
        <v>5179</v>
      </c>
    </row>
    <row r="160" spans="3:7" ht="48" customHeight="1" outlineLevel="1">
      <c r="C160" s="1452" t="s">
        <v>72</v>
      </c>
      <c r="D160" s="511" t="s">
        <v>1847</v>
      </c>
      <c r="E160" s="781" t="s">
        <v>3059</v>
      </c>
      <c r="F160" s="511" t="s">
        <v>642</v>
      </c>
      <c r="G160" s="1448" t="s">
        <v>877</v>
      </c>
    </row>
    <row r="161" spans="3:7" ht="51.95" customHeight="1" outlineLevel="1">
      <c r="C161" s="96" t="s">
        <v>1749</v>
      </c>
      <c r="D161" s="28" t="s">
        <v>1486</v>
      </c>
      <c r="E161" s="250" t="s">
        <v>3059</v>
      </c>
      <c r="F161" s="113" t="s">
        <v>5180</v>
      </c>
      <c r="G161" s="97" t="s">
        <v>5181</v>
      </c>
    </row>
    <row r="162" spans="3:7" ht="51.95" customHeight="1" outlineLevel="1">
      <c r="C162" s="1853" t="s">
        <v>6423</v>
      </c>
      <c r="D162" s="511" t="s">
        <v>935</v>
      </c>
      <c r="E162" s="781" t="s">
        <v>3059</v>
      </c>
      <c r="F162" s="592" t="s">
        <v>6418</v>
      </c>
      <c r="G162" s="1448" t="s">
        <v>6419</v>
      </c>
    </row>
    <row r="163" spans="3:7" ht="51.95" customHeight="1" outlineLevel="1">
      <c r="C163" s="1854" t="s">
        <v>6424</v>
      </c>
      <c r="D163" s="28" t="s">
        <v>2152</v>
      </c>
      <c r="E163" s="250" t="s">
        <v>3059</v>
      </c>
      <c r="F163" s="113" t="s">
        <v>3060</v>
      </c>
      <c r="G163" s="97" t="s">
        <v>6420</v>
      </c>
    </row>
    <row r="164" spans="3:7" ht="51.95" customHeight="1" outlineLevel="1">
      <c r="C164" s="1853" t="s">
        <v>6425</v>
      </c>
      <c r="D164" s="511" t="s">
        <v>1361</v>
      </c>
      <c r="E164" s="781" t="s">
        <v>3059</v>
      </c>
      <c r="F164" s="592" t="s">
        <v>3060</v>
      </c>
      <c r="G164" s="1448" t="s">
        <v>6421</v>
      </c>
    </row>
    <row r="165" spans="3:7" ht="51.95" customHeight="1" outlineLevel="1">
      <c r="C165" s="1854" t="s">
        <v>72</v>
      </c>
      <c r="D165" s="28" t="s">
        <v>2152</v>
      </c>
      <c r="E165" s="250" t="s">
        <v>3059</v>
      </c>
      <c r="F165" s="113" t="s">
        <v>3060</v>
      </c>
      <c r="G165" s="97" t="s">
        <v>6422</v>
      </c>
    </row>
    <row r="166" spans="3:7" ht="51" outlineLevel="1">
      <c r="C166" s="1857" t="s">
        <v>1567</v>
      </c>
      <c r="D166" s="511" t="s">
        <v>1349</v>
      </c>
      <c r="E166" s="781" t="s">
        <v>3061</v>
      </c>
      <c r="F166" s="511" t="s">
        <v>3060</v>
      </c>
      <c r="G166" s="1448" t="s">
        <v>3150</v>
      </c>
    </row>
    <row r="167" spans="3:7" ht="48" customHeight="1" outlineLevel="1">
      <c r="C167" s="1851" t="s">
        <v>1500</v>
      </c>
      <c r="D167" s="28" t="s">
        <v>1497</v>
      </c>
      <c r="E167" s="250" t="s">
        <v>3061</v>
      </c>
      <c r="F167" s="28" t="s">
        <v>3060</v>
      </c>
      <c r="G167" s="97" t="s">
        <v>3085</v>
      </c>
    </row>
    <row r="168" spans="3:7" ht="48" customHeight="1" outlineLevel="1">
      <c r="C168" s="1852" t="s">
        <v>1342</v>
      </c>
      <c r="D168" s="511" t="s">
        <v>935</v>
      </c>
      <c r="E168" s="781" t="s">
        <v>3059</v>
      </c>
      <c r="F168" s="511" t="s">
        <v>642</v>
      </c>
      <c r="G168" s="1448" t="s">
        <v>3110</v>
      </c>
    </row>
    <row r="169" spans="3:7" ht="51.95" customHeight="1" outlineLevel="1">
      <c r="C169" s="1854" t="s">
        <v>6426</v>
      </c>
      <c r="D169" s="28" t="s">
        <v>2152</v>
      </c>
      <c r="E169" s="250" t="s">
        <v>3059</v>
      </c>
      <c r="F169" s="113" t="s">
        <v>3060</v>
      </c>
      <c r="G169" s="97" t="s">
        <v>7225</v>
      </c>
    </row>
    <row r="170" spans="3:7" ht="48" customHeight="1" outlineLevel="1" thickBot="1">
      <c r="C170" s="1855" t="s">
        <v>326</v>
      </c>
      <c r="D170" s="1111" t="s">
        <v>327</v>
      </c>
      <c r="E170" s="1615" t="s">
        <v>3059</v>
      </c>
      <c r="F170" s="1111" t="s">
        <v>3062</v>
      </c>
      <c r="G170" s="1856" t="s">
        <v>3123</v>
      </c>
    </row>
  </sheetData>
  <sheetProtection autoFilter="0"/>
  <autoFilter ref="C7:F7"/>
  <mergeCells count="4">
    <mergeCell ref="B1:C1"/>
    <mergeCell ref="D1:G1"/>
    <mergeCell ref="B3:G3"/>
    <mergeCell ref="B4:G4"/>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1" orientation="landscape" r:id="rId1"/>
  <headerFooter alignWithMargins="0"/>
  <rowBreaks count="19" manualBreakCount="19">
    <brk id="15" max="6" man="1"/>
    <brk id="23" max="6" man="1"/>
    <brk id="31" max="6" man="1"/>
    <brk id="39" max="6" man="1"/>
    <brk id="47" max="6" man="1"/>
    <brk id="55" max="6" man="1"/>
    <brk id="63" max="6" man="1"/>
    <brk id="71" max="6" man="1"/>
    <brk id="79" max="6" man="1"/>
    <brk id="87" max="6" man="1"/>
    <brk id="95" max="6" man="1"/>
    <brk id="103" max="6" man="1"/>
    <brk id="111" max="6" man="1"/>
    <brk id="119" max="6" man="1"/>
    <brk id="127" max="6" man="1"/>
    <brk id="135" max="6" man="1"/>
    <brk id="143" max="6" man="1"/>
    <brk id="151" max="6" man="1"/>
    <brk id="160" max="6" man="1"/>
  </rowBreaks>
  <drawing r:id="rId2"/>
</worksheet>
</file>

<file path=xl/worksheets/sheet17.xml><?xml version="1.0" encoding="utf-8"?>
<worksheet xmlns="http://schemas.openxmlformats.org/spreadsheetml/2006/main" xmlns:r="http://schemas.openxmlformats.org/officeDocument/2006/relationships">
  <dimension ref="B1:I51"/>
  <sheetViews>
    <sheetView zoomScaleNormal="100" workbookViewId="0">
      <pane ySplit="4" topLeftCell="A5" activePane="bottomLeft" state="frozen"/>
      <selection pane="bottomLeft" activeCell="B1" sqref="B1"/>
    </sheetView>
  </sheetViews>
  <sheetFormatPr defaultRowHeight="12.95" customHeight="1"/>
  <cols>
    <col min="1" max="1" width="3.7109375" style="292" customWidth="1"/>
    <col min="2" max="2" width="15.7109375" style="292" customWidth="1"/>
    <col min="3" max="4" width="15.7109375" style="1422" customWidth="1"/>
    <col min="5" max="9" width="15.7109375" style="292" customWidth="1"/>
    <col min="10" max="16384" width="9.140625" style="292"/>
  </cols>
  <sheetData>
    <row r="1" spans="2:9" ht="12.95" customHeight="1">
      <c r="B1" s="313" t="s">
        <v>2706</v>
      </c>
      <c r="C1" s="3143" t="s">
        <v>8269</v>
      </c>
      <c r="D1" s="3143"/>
      <c r="E1" s="3143"/>
      <c r="F1" s="3143"/>
      <c r="G1" s="3143"/>
      <c r="H1" s="3143"/>
      <c r="I1" s="3143"/>
    </row>
    <row r="2" spans="2:9" ht="5.0999999999999996" customHeight="1"/>
    <row r="3" spans="2:9" ht="12.95" customHeight="1">
      <c r="B3" s="2978" t="s">
        <v>3154</v>
      </c>
      <c r="C3" s="2978"/>
      <c r="D3" s="2978"/>
      <c r="E3" s="2978"/>
      <c r="F3" s="2978"/>
      <c r="G3" s="2978"/>
      <c r="H3" s="2978"/>
      <c r="I3" s="2978"/>
    </row>
    <row r="4" spans="2:9" ht="5.0999999999999996" customHeight="1"/>
    <row r="5" spans="2:9" ht="39" customHeight="1">
      <c r="B5" s="3134" t="s">
        <v>8864</v>
      </c>
      <c r="C5" s="3134"/>
      <c r="D5" s="3134"/>
      <c r="E5" s="3134"/>
      <c r="F5" s="3134"/>
      <c r="G5" s="3134"/>
      <c r="H5" s="3134"/>
      <c r="I5" s="3134"/>
    </row>
    <row r="6" spans="2:9" ht="5.0999999999999996" customHeight="1">
      <c r="B6" s="1004"/>
      <c r="C6" s="1004"/>
      <c r="D6" s="1004"/>
      <c r="E6" s="1004"/>
      <c r="F6" s="1004"/>
      <c r="G6" s="1004"/>
      <c r="H6" s="1004"/>
      <c r="I6" s="1007"/>
    </row>
    <row r="7" spans="2:9" ht="12.95" customHeight="1">
      <c r="B7" s="3134" t="s">
        <v>8865</v>
      </c>
      <c r="C7" s="3134"/>
      <c r="D7" s="3134"/>
      <c r="E7" s="3134"/>
      <c r="F7" s="3134"/>
      <c r="G7" s="3134"/>
      <c r="H7" s="3134"/>
      <c r="I7" s="3134"/>
    </row>
    <row r="8" spans="2:9" ht="12.95" customHeight="1">
      <c r="B8" s="3133" t="s">
        <v>8866</v>
      </c>
      <c r="C8" s="3133"/>
      <c r="D8" s="3133"/>
      <c r="E8" s="3133"/>
      <c r="F8" s="3133"/>
      <c r="G8" s="3133"/>
      <c r="H8" s="3133"/>
      <c r="I8" s="3133"/>
    </row>
    <row r="9" spans="2:9" ht="51.95" customHeight="1">
      <c r="B9" s="3142" t="s">
        <v>8867</v>
      </c>
      <c r="C9" s="3142"/>
      <c r="D9" s="3142"/>
      <c r="E9" s="3142"/>
      <c r="F9" s="3142"/>
      <c r="G9" s="3142"/>
      <c r="H9" s="3142"/>
      <c r="I9" s="3142"/>
    </row>
    <row r="10" spans="2:9" ht="12.95" customHeight="1">
      <c r="B10" s="3133" t="s">
        <v>8868</v>
      </c>
      <c r="C10" s="3133"/>
      <c r="D10" s="3133"/>
      <c r="E10" s="3133"/>
      <c r="F10" s="3133"/>
      <c r="G10" s="3133"/>
      <c r="H10" s="3133"/>
      <c r="I10" s="3133"/>
    </row>
    <row r="11" spans="2:9" ht="5.0999999999999996" customHeight="1">
      <c r="B11" s="1421"/>
      <c r="C11" s="1421"/>
      <c r="D11" s="1421"/>
      <c r="E11" s="1421"/>
      <c r="F11" s="1421"/>
      <c r="G11" s="1421"/>
      <c r="H11" s="1421"/>
      <c r="I11" s="1007"/>
    </row>
    <row r="12" spans="2:9" ht="12.95" customHeight="1" thickBot="1">
      <c r="B12" s="3133" t="s">
        <v>3155</v>
      </c>
      <c r="C12" s="3133"/>
      <c r="D12" s="3133"/>
      <c r="E12" s="3133"/>
      <c r="F12" s="3133"/>
      <c r="G12" s="3133"/>
      <c r="H12" s="3133"/>
      <c r="I12" s="3133"/>
    </row>
    <row r="13" spans="2:9" ht="12.95" customHeight="1" thickBot="1">
      <c r="B13" s="103" t="s">
        <v>1571</v>
      </c>
      <c r="C13" s="104" t="s">
        <v>3156</v>
      </c>
      <c r="D13" s="103" t="s">
        <v>1571</v>
      </c>
      <c r="E13" s="105" t="s">
        <v>3156</v>
      </c>
      <c r="F13" s="106" t="s">
        <v>1571</v>
      </c>
      <c r="G13" s="104" t="s">
        <v>3156</v>
      </c>
      <c r="H13" s="103" t="s">
        <v>1571</v>
      </c>
      <c r="I13" s="105" t="s">
        <v>3156</v>
      </c>
    </row>
    <row r="14" spans="2:9" ht="12.95" customHeight="1">
      <c r="B14" s="107" t="s">
        <v>729</v>
      </c>
      <c r="C14" s="1425" t="s">
        <v>137</v>
      </c>
      <c r="D14" s="1427" t="s">
        <v>3164</v>
      </c>
      <c r="E14" s="1778">
        <v>240714</v>
      </c>
      <c r="F14" s="1429" t="s">
        <v>3187</v>
      </c>
      <c r="G14" s="1774">
        <v>22770702</v>
      </c>
      <c r="H14" s="1432" t="s">
        <v>3213</v>
      </c>
      <c r="I14" s="1770">
        <v>2073739175</v>
      </c>
    </row>
    <row r="15" spans="2:9" ht="12.95" customHeight="1">
      <c r="B15" s="1434" t="s">
        <v>2135</v>
      </c>
      <c r="C15" s="1782">
        <v>1000</v>
      </c>
      <c r="D15" s="1435" t="s">
        <v>3165</v>
      </c>
      <c r="E15" s="1779">
        <v>288451</v>
      </c>
      <c r="F15" s="1436" t="s">
        <v>3188</v>
      </c>
      <c r="G15" s="1775">
        <v>27324424</v>
      </c>
      <c r="H15" s="1446" t="s">
        <v>3214</v>
      </c>
      <c r="I15" s="1771">
        <v>2099639276</v>
      </c>
    </row>
    <row r="16" spans="2:9" ht="12.95" customHeight="1">
      <c r="B16" s="108" t="s">
        <v>844</v>
      </c>
      <c r="C16" s="1783">
        <v>2000</v>
      </c>
      <c r="D16" s="1428" t="s">
        <v>3166</v>
      </c>
      <c r="E16" s="1780">
        <v>345735</v>
      </c>
      <c r="F16" s="1430" t="s">
        <v>3189</v>
      </c>
      <c r="G16" s="1776">
        <v>32788890</v>
      </c>
      <c r="H16" s="1433" t="s">
        <v>3215</v>
      </c>
      <c r="I16" s="1772">
        <v>2144641867</v>
      </c>
    </row>
    <row r="17" spans="2:9" ht="12.95" customHeight="1">
      <c r="B17" s="1434" t="s">
        <v>755</v>
      </c>
      <c r="C17" s="1782">
        <v>3200</v>
      </c>
      <c r="D17" s="1435" t="s">
        <v>3167</v>
      </c>
      <c r="E17" s="1779">
        <v>414475</v>
      </c>
      <c r="F17" s="1436" t="s">
        <v>3190</v>
      </c>
      <c r="G17" s="1775">
        <v>39346249</v>
      </c>
      <c r="H17" s="1437" t="s">
        <v>3216</v>
      </c>
      <c r="I17" s="1771">
        <v>2146553679</v>
      </c>
    </row>
    <row r="18" spans="2:9" ht="12.95" customHeight="1">
      <c r="B18" s="1426" t="s">
        <v>756</v>
      </c>
      <c r="C18" s="1783">
        <v>4600</v>
      </c>
      <c r="D18" s="1443" t="s">
        <v>561</v>
      </c>
      <c r="E18" s="1780">
        <v>496963</v>
      </c>
      <c r="F18" s="1444" t="s">
        <v>3191</v>
      </c>
      <c r="G18" s="1776">
        <v>47215079</v>
      </c>
      <c r="H18" s="1433" t="s">
        <v>3217</v>
      </c>
      <c r="I18" s="1772">
        <v>2146673313</v>
      </c>
    </row>
    <row r="19" spans="2:9" ht="12.95" customHeight="1">
      <c r="B19" s="1434" t="s">
        <v>2158</v>
      </c>
      <c r="C19" s="1782">
        <v>6200</v>
      </c>
      <c r="D19" s="1435" t="s">
        <v>3168</v>
      </c>
      <c r="E19" s="1779">
        <v>595948</v>
      </c>
      <c r="F19" s="1436" t="s">
        <v>3192</v>
      </c>
      <c r="G19" s="1775">
        <v>56657657</v>
      </c>
      <c r="H19" s="1437" t="s">
        <v>3218</v>
      </c>
      <c r="I19" s="1771">
        <v>2147293156</v>
      </c>
    </row>
    <row r="20" spans="2:9" ht="12.95" customHeight="1">
      <c r="B20" s="108" t="s">
        <v>1888</v>
      </c>
      <c r="C20" s="1783">
        <v>8000</v>
      </c>
      <c r="D20" s="1428" t="s">
        <v>3169</v>
      </c>
      <c r="E20" s="1780">
        <v>714730</v>
      </c>
      <c r="F20" s="1430" t="s">
        <v>3193</v>
      </c>
      <c r="G20" s="1776">
        <v>67988790</v>
      </c>
      <c r="H20" s="1433" t="s">
        <v>3219</v>
      </c>
      <c r="I20" s="1772">
        <v>2147400657</v>
      </c>
    </row>
    <row r="21" spans="2:9" ht="12.95" customHeight="1" thickBot="1">
      <c r="B21" s="1434" t="s">
        <v>2137</v>
      </c>
      <c r="C21" s="1782">
        <v>10000</v>
      </c>
      <c r="D21" s="1435" t="s">
        <v>3170</v>
      </c>
      <c r="E21" s="1779">
        <v>857268</v>
      </c>
      <c r="F21" s="1436" t="s">
        <v>3194</v>
      </c>
      <c r="G21" s="1775">
        <v>81586128</v>
      </c>
      <c r="H21" s="1438" t="s">
        <v>3220</v>
      </c>
      <c r="I21" s="1773">
        <v>2147483647</v>
      </c>
    </row>
    <row r="22" spans="2:9" ht="12.95" customHeight="1">
      <c r="B22" s="108" t="s">
        <v>3157</v>
      </c>
      <c r="C22" s="1783">
        <v>12200</v>
      </c>
      <c r="D22" s="1428" t="s">
        <v>3171</v>
      </c>
      <c r="E22" s="1780">
        <v>1028313</v>
      </c>
      <c r="F22" s="1430" t="s">
        <v>3195</v>
      </c>
      <c r="G22" s="1776">
        <v>97902933</v>
      </c>
      <c r="H22" s="3135"/>
      <c r="I22" s="3136"/>
    </row>
    <row r="23" spans="2:9" ht="12.95" customHeight="1">
      <c r="B23" s="1439" t="s">
        <v>2136</v>
      </c>
      <c r="C23" s="1782">
        <v>14700</v>
      </c>
      <c r="D23" s="1442" t="s">
        <v>3172</v>
      </c>
      <c r="E23" s="1779">
        <v>1233567</v>
      </c>
      <c r="F23" s="1445" t="s">
        <v>3196</v>
      </c>
      <c r="G23" s="1775">
        <v>117483099</v>
      </c>
      <c r="H23" s="3137"/>
      <c r="I23" s="3138"/>
    </row>
    <row r="24" spans="2:9" ht="12.95" customHeight="1">
      <c r="B24" s="108" t="s">
        <v>3158</v>
      </c>
      <c r="C24" s="1783">
        <v>17500</v>
      </c>
      <c r="D24" s="1428" t="s">
        <v>3173</v>
      </c>
      <c r="E24" s="1780">
        <v>1479871</v>
      </c>
      <c r="F24" s="1430" t="s">
        <v>3197</v>
      </c>
      <c r="G24" s="1776">
        <v>140979298</v>
      </c>
      <c r="H24" s="3137"/>
      <c r="I24" s="3138"/>
    </row>
    <row r="25" spans="2:9" ht="12.95" customHeight="1">
      <c r="B25" s="1434" t="s">
        <v>1458</v>
      </c>
      <c r="C25" s="1782">
        <v>20600</v>
      </c>
      <c r="D25" s="1435" t="s">
        <v>3174</v>
      </c>
      <c r="E25" s="1779">
        <v>1775435</v>
      </c>
      <c r="F25" s="1436" t="s">
        <v>3198</v>
      </c>
      <c r="G25" s="1775">
        <v>169174736</v>
      </c>
      <c r="H25" s="3137"/>
      <c r="I25" s="3138"/>
    </row>
    <row r="26" spans="2:9" ht="12.95" customHeight="1">
      <c r="B26" s="108" t="s">
        <v>3211</v>
      </c>
      <c r="C26" s="1783">
        <v>24320</v>
      </c>
      <c r="D26" s="1428" t="s">
        <v>3175</v>
      </c>
      <c r="E26" s="1780">
        <v>2139111</v>
      </c>
      <c r="F26" s="1430" t="s">
        <v>3199</v>
      </c>
      <c r="G26" s="1776">
        <v>203009261</v>
      </c>
      <c r="H26" s="3137"/>
      <c r="I26" s="3138"/>
    </row>
    <row r="27" spans="2:9" ht="12.95" customHeight="1">
      <c r="B27" s="1434" t="s">
        <v>1665</v>
      </c>
      <c r="C27" s="1782">
        <v>28784</v>
      </c>
      <c r="D27" s="1435" t="s">
        <v>3176</v>
      </c>
      <c r="E27" s="1779">
        <v>255722</v>
      </c>
      <c r="F27" s="1436" t="s">
        <v>3200</v>
      </c>
      <c r="G27" s="1775">
        <v>243610691</v>
      </c>
      <c r="H27" s="3137"/>
      <c r="I27" s="3138"/>
    </row>
    <row r="28" spans="2:9" ht="12.95" customHeight="1">
      <c r="B28" s="1426" t="s">
        <v>678</v>
      </c>
      <c r="C28" s="1783">
        <v>34140</v>
      </c>
      <c r="D28" s="1443" t="s">
        <v>3177</v>
      </c>
      <c r="E28" s="1780">
        <v>3066455</v>
      </c>
      <c r="F28" s="1444" t="s">
        <v>3201</v>
      </c>
      <c r="G28" s="1776">
        <v>292332407</v>
      </c>
      <c r="H28" s="3137"/>
      <c r="I28" s="3138"/>
    </row>
    <row r="29" spans="2:9" ht="12.95" customHeight="1">
      <c r="B29" s="1434" t="s">
        <v>1640</v>
      </c>
      <c r="C29" s="1782">
        <v>40567</v>
      </c>
      <c r="D29" s="1435" t="s">
        <v>3178</v>
      </c>
      <c r="E29" s="1779">
        <v>3679334</v>
      </c>
      <c r="F29" s="1436" t="s">
        <v>3202</v>
      </c>
      <c r="G29" s="1775">
        <v>350798466</v>
      </c>
      <c r="H29" s="3137"/>
      <c r="I29" s="3138"/>
    </row>
    <row r="30" spans="2:9" ht="12.95" customHeight="1">
      <c r="B30" s="108" t="s">
        <v>3159</v>
      </c>
      <c r="C30" s="1783">
        <v>48279</v>
      </c>
      <c r="D30" s="1428" t="s">
        <v>3179</v>
      </c>
      <c r="E30" s="1780">
        <v>4414788</v>
      </c>
      <c r="F30" s="1430" t="s">
        <v>3203</v>
      </c>
      <c r="G30" s="1776">
        <v>420957736</v>
      </c>
      <c r="H30" s="3137"/>
      <c r="I30" s="3138"/>
    </row>
    <row r="31" spans="2:9" ht="12.95" customHeight="1">
      <c r="B31" s="1434" t="s">
        <v>1905</v>
      </c>
      <c r="C31" s="1782">
        <v>57533</v>
      </c>
      <c r="D31" s="1435" t="s">
        <v>3180</v>
      </c>
      <c r="E31" s="1779">
        <v>5287332</v>
      </c>
      <c r="F31" s="1436" t="s">
        <v>3204</v>
      </c>
      <c r="G31" s="1775">
        <v>505148860</v>
      </c>
      <c r="H31" s="3137"/>
      <c r="I31" s="3138"/>
    </row>
    <row r="32" spans="2:9" ht="12.95" customHeight="1">
      <c r="B32" s="108" t="s">
        <v>3160</v>
      </c>
      <c r="C32" s="1783">
        <v>68637</v>
      </c>
      <c r="D32" s="1428" t="s">
        <v>3181</v>
      </c>
      <c r="E32" s="1780">
        <v>6356384</v>
      </c>
      <c r="F32" s="1430" t="s">
        <v>3205</v>
      </c>
      <c r="G32" s="1776">
        <v>606178208</v>
      </c>
      <c r="H32" s="3137"/>
      <c r="I32" s="3138"/>
    </row>
    <row r="33" spans="2:9" ht="12.95" customHeight="1">
      <c r="B33" s="1439" t="s">
        <v>1393</v>
      </c>
      <c r="C33" s="1782">
        <v>81961</v>
      </c>
      <c r="D33" s="1442" t="s">
        <v>3182</v>
      </c>
      <c r="E33" s="1779">
        <v>7627246</v>
      </c>
      <c r="F33" s="1445" t="s">
        <v>3206</v>
      </c>
      <c r="G33" s="1775">
        <v>727413425</v>
      </c>
      <c r="H33" s="3137"/>
      <c r="I33" s="3138"/>
    </row>
    <row r="34" spans="2:9" ht="12.95" customHeight="1">
      <c r="B34" s="108" t="s">
        <v>3161</v>
      </c>
      <c r="C34" s="1783">
        <v>97949</v>
      </c>
      <c r="D34" s="1428" t="s">
        <v>3183</v>
      </c>
      <c r="E34" s="1780">
        <v>9152280</v>
      </c>
      <c r="F34" s="1430" t="s">
        <v>3207</v>
      </c>
      <c r="G34" s="1776">
        <v>872895685</v>
      </c>
      <c r="H34" s="3137"/>
      <c r="I34" s="3138"/>
    </row>
    <row r="35" spans="2:9" ht="12.95" customHeight="1">
      <c r="B35" s="1434" t="s">
        <v>3162</v>
      </c>
      <c r="C35" s="1782">
        <v>117134</v>
      </c>
      <c r="D35" s="1435" t="s">
        <v>3184</v>
      </c>
      <c r="E35" s="1779">
        <v>10982320</v>
      </c>
      <c r="F35" s="1436" t="s">
        <v>3208</v>
      </c>
      <c r="G35" s="1775">
        <v>1047474397</v>
      </c>
      <c r="H35" s="3137"/>
      <c r="I35" s="3138"/>
    </row>
    <row r="36" spans="2:9" ht="12.95" customHeight="1">
      <c r="B36" s="108" t="s">
        <v>3163</v>
      </c>
      <c r="C36" s="1783">
        <v>140156</v>
      </c>
      <c r="D36" s="1428" t="s">
        <v>3185</v>
      </c>
      <c r="E36" s="1780">
        <v>13178368</v>
      </c>
      <c r="F36" s="1430" t="s">
        <v>3209</v>
      </c>
      <c r="G36" s="1776">
        <v>1256968851</v>
      </c>
      <c r="H36" s="3137"/>
      <c r="I36" s="3138"/>
    </row>
    <row r="37" spans="2:9" ht="12.95" customHeight="1">
      <c r="B37" s="1434" t="s">
        <v>2010</v>
      </c>
      <c r="C37" s="1782">
        <v>167782</v>
      </c>
      <c r="D37" s="1435" t="s">
        <v>3186</v>
      </c>
      <c r="E37" s="1779">
        <v>15813625</v>
      </c>
      <c r="F37" s="1436" t="s">
        <v>3210</v>
      </c>
      <c r="G37" s="1775">
        <v>1508362195</v>
      </c>
      <c r="H37" s="3137"/>
      <c r="I37" s="3138"/>
    </row>
    <row r="38" spans="2:9" ht="12.95" customHeight="1" thickBot="1">
      <c r="B38" s="1440" t="s">
        <v>2350</v>
      </c>
      <c r="C38" s="1784">
        <v>200933</v>
      </c>
      <c r="D38" s="1441" t="s">
        <v>1666</v>
      </c>
      <c r="E38" s="1781">
        <v>18975933</v>
      </c>
      <c r="F38" s="1431" t="s">
        <v>3212</v>
      </c>
      <c r="G38" s="1777">
        <v>1810034207</v>
      </c>
      <c r="H38" s="3139"/>
      <c r="I38" s="3140"/>
    </row>
    <row r="39" spans="2:9" ht="5.0999999999999996" customHeight="1">
      <c r="B39" s="600"/>
      <c r="C39" s="1423"/>
      <c r="D39" s="1423"/>
      <c r="E39" s="1424"/>
      <c r="F39" s="1423"/>
      <c r="G39" s="1423"/>
      <c r="H39" s="1423"/>
    </row>
    <row r="40" spans="2:9" ht="12.95" customHeight="1">
      <c r="B40" s="3134" t="s">
        <v>5450</v>
      </c>
      <c r="C40" s="3134"/>
      <c r="D40" s="3134"/>
      <c r="E40" s="3134"/>
      <c r="F40" s="3134"/>
      <c r="G40" s="3134"/>
      <c r="H40" s="3134"/>
      <c r="I40" s="3134"/>
    </row>
    <row r="41" spans="2:9" ht="90.95" customHeight="1">
      <c r="B41" s="3134" t="s">
        <v>5391</v>
      </c>
      <c r="C41" s="3134"/>
      <c r="D41" s="3134"/>
      <c r="E41" s="3134"/>
      <c r="F41" s="3134"/>
      <c r="G41" s="3134"/>
      <c r="H41" s="3134"/>
      <c r="I41" s="3134"/>
    </row>
    <row r="42" spans="2:9" ht="26.1" customHeight="1">
      <c r="B42" s="3134" t="s">
        <v>5969</v>
      </c>
      <c r="C42" s="3134"/>
      <c r="D42" s="3134"/>
      <c r="E42" s="3134"/>
      <c r="F42" s="3134"/>
      <c r="G42" s="3134"/>
      <c r="H42" s="3134"/>
      <c r="I42" s="3134"/>
    </row>
    <row r="43" spans="2:9" ht="5.0999999999999996" customHeight="1">
      <c r="B43" s="377"/>
    </row>
    <row r="44" spans="2:9" ht="12.95" customHeight="1">
      <c r="B44" s="3134" t="s">
        <v>5451</v>
      </c>
      <c r="C44" s="3134"/>
      <c r="D44" s="3134"/>
      <c r="E44" s="3134"/>
      <c r="F44" s="3134"/>
      <c r="G44" s="3134"/>
      <c r="H44" s="3134"/>
      <c r="I44" s="3134"/>
    </row>
    <row r="45" spans="2:9" ht="78" customHeight="1">
      <c r="B45" s="3141" t="s">
        <v>8870</v>
      </c>
      <c r="C45" s="3141"/>
      <c r="D45" s="3141"/>
      <c r="E45" s="3141"/>
      <c r="F45" s="3141"/>
      <c r="G45" s="3141"/>
      <c r="H45" s="3141"/>
      <c r="I45" s="3141"/>
    </row>
    <row r="46" spans="2:9" ht="5.0999999999999996" customHeight="1">
      <c r="B46" s="1018"/>
      <c r="C46" s="1018"/>
      <c r="D46" s="1018"/>
      <c r="E46" s="1018"/>
      <c r="F46" s="1018"/>
      <c r="G46" s="1018"/>
      <c r="H46" s="1018"/>
    </row>
    <row r="47" spans="2:9" ht="78" customHeight="1">
      <c r="B47" s="3141" t="s">
        <v>8869</v>
      </c>
      <c r="C47" s="3141"/>
      <c r="D47" s="3141"/>
      <c r="E47" s="3141"/>
      <c r="F47" s="3141"/>
      <c r="G47" s="3141"/>
      <c r="H47" s="3141"/>
      <c r="I47" s="3141"/>
    </row>
    <row r="48" spans="2:9" ht="65.099999999999994" customHeight="1">
      <c r="B48" s="3134" t="s">
        <v>8871</v>
      </c>
      <c r="C48" s="3134"/>
      <c r="D48" s="3134"/>
      <c r="E48" s="3134"/>
      <c r="F48" s="3134"/>
      <c r="G48" s="3134"/>
      <c r="H48" s="3134"/>
      <c r="I48" s="3134"/>
    </row>
    <row r="49" spans="2:9" ht="5.0999999999999996" customHeight="1">
      <c r="B49" s="2657"/>
      <c r="C49" s="2657"/>
      <c r="D49" s="2657"/>
      <c r="E49" s="2657"/>
      <c r="F49" s="2657"/>
      <c r="G49" s="2657"/>
      <c r="H49" s="2657"/>
      <c r="I49" s="2657"/>
    </row>
    <row r="50" spans="2:9" ht="65.099999999999994" customHeight="1">
      <c r="B50" s="3131" t="s">
        <v>10002</v>
      </c>
      <c r="C50" s="3131"/>
      <c r="D50" s="3131"/>
      <c r="E50" s="3131"/>
      <c r="F50" s="3131"/>
      <c r="G50" s="3131"/>
      <c r="H50" s="3131"/>
      <c r="I50" s="3131"/>
    </row>
    <row r="51" spans="2:9" s="387" customFormat="1" ht="12">
      <c r="B51" s="3132" t="s">
        <v>7282</v>
      </c>
      <c r="C51" s="3132"/>
      <c r="D51" s="3132"/>
      <c r="E51" s="3132"/>
      <c r="F51" s="3132"/>
      <c r="G51" s="3132"/>
      <c r="H51" s="3132"/>
      <c r="I51" s="3132"/>
    </row>
  </sheetData>
  <sheetProtection autoFilter="0"/>
  <mergeCells count="18">
    <mergeCell ref="B7:I7"/>
    <mergeCell ref="B8:I8"/>
    <mergeCell ref="B9:I9"/>
    <mergeCell ref="B10:I10"/>
    <mergeCell ref="C1:I1"/>
    <mergeCell ref="B3:I3"/>
    <mergeCell ref="B5:I5"/>
    <mergeCell ref="B50:I50"/>
    <mergeCell ref="B51:I51"/>
    <mergeCell ref="B12:I12"/>
    <mergeCell ref="B40:I40"/>
    <mergeCell ref="B41:I41"/>
    <mergeCell ref="B42:I42"/>
    <mergeCell ref="B44:I44"/>
    <mergeCell ref="H22:I38"/>
    <mergeCell ref="B45:I45"/>
    <mergeCell ref="B47:I47"/>
    <mergeCell ref="B48:I48"/>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89" orientation="landscape" r:id="rId1"/>
  <headerFooter alignWithMargins="0"/>
  <rowBreaks count="1" manualBreakCount="1">
    <brk id="38" max="16383" man="1"/>
  </rowBreaks>
  <ignoredErrors>
    <ignoredError sqref="B14:B25 D14:D38 F14:F37 B27:B38" numberStoredAsText="1"/>
  </ignoredErrors>
</worksheet>
</file>

<file path=xl/worksheets/sheet18.xml><?xml version="1.0" encoding="utf-8"?>
<worksheet xmlns="http://schemas.openxmlformats.org/spreadsheetml/2006/main" xmlns:r="http://schemas.openxmlformats.org/officeDocument/2006/relationships">
  <sheetPr>
    <outlinePr summaryBelow="0"/>
  </sheetPr>
  <dimension ref="B1:J124"/>
  <sheetViews>
    <sheetView zoomScaleNormal="100" workbookViewId="0">
      <pane ySplit="9" topLeftCell="A10" activePane="bottomLeft" state="frozen"/>
      <selection pane="bottomLeft" activeCell="B1" sqref="B1:C1"/>
    </sheetView>
  </sheetViews>
  <sheetFormatPr defaultRowHeight="12.75" outlineLevelRow="1"/>
  <cols>
    <col min="1" max="1" width="3.7109375" style="292" customWidth="1"/>
    <col min="2" max="2" width="8.28515625" style="292" customWidth="1"/>
    <col min="3" max="3" width="17.28515625" style="1011" bestFit="1" customWidth="1"/>
    <col min="4" max="4" width="3.85546875" style="292" bestFit="1" customWidth="1"/>
    <col min="5" max="5" width="4.42578125" style="292" bestFit="1" customWidth="1"/>
    <col min="6" max="6" width="7.5703125" style="292" customWidth="1"/>
    <col min="7" max="7" width="6.7109375" style="292" bestFit="1" customWidth="1"/>
    <col min="8" max="8" width="40.7109375" style="1413" customWidth="1"/>
    <col min="9" max="10" width="22.7109375" style="1413" customWidth="1"/>
    <col min="11" max="16384" width="9.140625" style="292"/>
  </cols>
  <sheetData>
    <row r="1" spans="2:10" s="288" customFormat="1" ht="12.95" customHeight="1">
      <c r="B1" s="3129" t="s">
        <v>2706</v>
      </c>
      <c r="C1" s="3129"/>
      <c r="D1" s="3195" t="s">
        <v>8269</v>
      </c>
      <c r="E1" s="3195"/>
      <c r="F1" s="3195"/>
      <c r="G1" s="3195"/>
      <c r="H1" s="3195"/>
      <c r="I1" s="3195"/>
      <c r="J1" s="3195"/>
    </row>
    <row r="2" spans="2:10" s="288" customFormat="1" ht="5.0999999999999996" customHeight="1">
      <c r="B2" s="735"/>
      <c r="C2" s="1013"/>
      <c r="D2" s="1013"/>
      <c r="E2" s="1013"/>
      <c r="H2" s="1412"/>
      <c r="I2" s="1412"/>
      <c r="J2" s="1412"/>
    </row>
    <row r="3" spans="2:10" s="288" customFormat="1" ht="12.95" customHeight="1">
      <c r="B3" s="3075" t="s">
        <v>3222</v>
      </c>
      <c r="C3" s="3075"/>
      <c r="D3" s="3075"/>
      <c r="E3" s="3075"/>
      <c r="F3" s="3075"/>
      <c r="G3" s="3075"/>
      <c r="H3" s="3075"/>
      <c r="I3" s="3075"/>
      <c r="J3" s="3075"/>
    </row>
    <row r="4" spans="2:10" s="641" customFormat="1" ht="11.25">
      <c r="B4" s="3130" t="s">
        <v>5965</v>
      </c>
      <c r="C4" s="3130"/>
      <c r="D4" s="3130"/>
      <c r="E4" s="3130"/>
      <c r="F4" s="3130"/>
      <c r="G4" s="3130"/>
      <c r="H4" s="3130"/>
      <c r="I4" s="3130"/>
      <c r="J4" s="3130"/>
    </row>
    <row r="5" spans="2:10" s="288" customFormat="1" ht="5.0999999999999996" customHeight="1">
      <c r="B5" s="995"/>
      <c r="C5" s="995"/>
      <c r="D5" s="995"/>
      <c r="E5" s="995"/>
      <c r="F5" s="995"/>
      <c r="G5" s="995"/>
      <c r="H5" s="995"/>
      <c r="I5" s="995"/>
      <c r="J5" s="995"/>
    </row>
    <row r="6" spans="2:10" s="288" customFormat="1" ht="26.1" customHeight="1">
      <c r="B6" s="2960" t="s">
        <v>3275</v>
      </c>
      <c r="C6" s="2960"/>
      <c r="D6" s="2960"/>
      <c r="E6" s="2960"/>
      <c r="F6" s="2960"/>
      <c r="G6" s="2960"/>
      <c r="H6" s="2960"/>
      <c r="I6" s="2960"/>
      <c r="J6" s="2960"/>
    </row>
    <row r="7" spans="2:10" ht="5.0999999999999996" customHeight="1" outlineLevel="1" thickBot="1"/>
    <row r="8" spans="2:10" ht="12.75" customHeight="1" outlineLevel="1">
      <c r="C8" s="3165" t="s">
        <v>2147</v>
      </c>
      <c r="D8" s="3167" t="s">
        <v>1051</v>
      </c>
      <c r="E8" s="3182" t="s">
        <v>2708</v>
      </c>
      <c r="F8" s="3167" t="s">
        <v>3227</v>
      </c>
      <c r="G8" s="3167" t="s">
        <v>3226</v>
      </c>
      <c r="H8" s="3122" t="s">
        <v>5163</v>
      </c>
      <c r="I8" s="3121"/>
      <c r="J8" s="3117"/>
    </row>
    <row r="9" spans="2:10" ht="13.5" outlineLevel="1" thickBot="1">
      <c r="B9" s="1013"/>
      <c r="C9" s="3166"/>
      <c r="D9" s="3168"/>
      <c r="E9" s="3183"/>
      <c r="F9" s="3168"/>
      <c r="G9" s="3168"/>
      <c r="H9" s="1014" t="s">
        <v>3224</v>
      </c>
      <c r="I9" s="1417" t="s">
        <v>3223</v>
      </c>
      <c r="J9" s="1418" t="s">
        <v>3225</v>
      </c>
    </row>
    <row r="10" spans="2:10" ht="47.25" customHeight="1" outlineLevel="1">
      <c r="B10" s="288"/>
      <c r="C10" s="1047" t="s">
        <v>963</v>
      </c>
      <c r="D10" s="589">
        <v>1</v>
      </c>
      <c r="E10" s="1406" t="s">
        <v>692</v>
      </c>
      <c r="F10" s="589">
        <v>5</v>
      </c>
      <c r="G10" s="1407" t="s">
        <v>137</v>
      </c>
      <c r="H10" s="1414" t="s">
        <v>3228</v>
      </c>
      <c r="I10" s="1408" t="s">
        <v>3229</v>
      </c>
      <c r="J10" s="1409" t="s">
        <v>3230</v>
      </c>
    </row>
    <row r="11" spans="2:10" ht="47.25" customHeight="1" outlineLevel="1" thickBot="1">
      <c r="B11" s="288"/>
      <c r="C11" s="1012" t="s">
        <v>1864</v>
      </c>
      <c r="D11" s="109">
        <v>2</v>
      </c>
      <c r="E11" s="110" t="s">
        <v>697</v>
      </c>
      <c r="F11" s="109">
        <v>4</v>
      </c>
      <c r="G11" s="109" t="s">
        <v>2053</v>
      </c>
      <c r="H11" s="2379" t="s">
        <v>7593</v>
      </c>
      <c r="I11" s="111" t="s">
        <v>5428</v>
      </c>
      <c r="J11" s="112" t="s">
        <v>5429</v>
      </c>
    </row>
    <row r="12" spans="2:10" ht="25.5" customHeight="1" outlineLevel="1">
      <c r="C12" s="3197" t="s">
        <v>5966</v>
      </c>
      <c r="D12" s="3197"/>
      <c r="E12" s="3197"/>
      <c r="F12" s="3197"/>
      <c r="G12" s="3197"/>
      <c r="H12" s="3197"/>
      <c r="I12" s="3197"/>
      <c r="J12" s="3197"/>
    </row>
    <row r="13" spans="2:10" ht="5.0999999999999996" customHeight="1">
      <c r="C13" s="1410"/>
      <c r="D13" s="1410"/>
      <c r="E13" s="1410"/>
      <c r="F13" s="1410"/>
      <c r="G13" s="1410"/>
      <c r="H13" s="1410"/>
      <c r="I13" s="1410"/>
      <c r="J13" s="1410"/>
    </row>
    <row r="14" spans="2:10">
      <c r="B14" s="3196" t="s">
        <v>3231</v>
      </c>
      <c r="C14" s="3196"/>
      <c r="D14" s="3196"/>
      <c r="E14" s="3196"/>
      <c r="F14" s="3196"/>
      <c r="G14" s="3196"/>
      <c r="H14" s="3196"/>
      <c r="I14" s="3196"/>
      <c r="J14" s="3196"/>
    </row>
    <row r="15" spans="2:10" ht="5.0999999999999996" customHeight="1" outlineLevel="1" thickBot="1"/>
    <row r="16" spans="2:10" ht="12.75" customHeight="1" outlineLevel="1">
      <c r="C16" s="3165" t="s">
        <v>2147</v>
      </c>
      <c r="D16" s="3167" t="s">
        <v>1051</v>
      </c>
      <c r="E16" s="3163" t="s">
        <v>2708</v>
      </c>
      <c r="F16" s="3163" t="s">
        <v>3227</v>
      </c>
      <c r="G16" s="3163" t="s">
        <v>3226</v>
      </c>
      <c r="H16" s="3122" t="s">
        <v>5163</v>
      </c>
      <c r="I16" s="3121"/>
      <c r="J16" s="3117"/>
    </row>
    <row r="17" spans="2:10" ht="13.5" outlineLevel="1" thickBot="1">
      <c r="C17" s="3166"/>
      <c r="D17" s="3168"/>
      <c r="E17" s="3164"/>
      <c r="F17" s="3164"/>
      <c r="G17" s="3164"/>
      <c r="H17" s="1014" t="s">
        <v>3232</v>
      </c>
      <c r="I17" s="1417" t="s">
        <v>3233</v>
      </c>
      <c r="J17" s="1418" t="s">
        <v>3234</v>
      </c>
    </row>
    <row r="18" spans="2:10" ht="48" customHeight="1" outlineLevel="1">
      <c r="B18" s="288"/>
      <c r="C18" s="2062" t="s">
        <v>2371</v>
      </c>
      <c r="D18" s="925">
        <v>1</v>
      </c>
      <c r="E18" s="1760" t="s">
        <v>692</v>
      </c>
      <c r="F18" s="925">
        <v>5</v>
      </c>
      <c r="G18" s="1760" t="s">
        <v>3235</v>
      </c>
      <c r="H18" s="2063" t="s">
        <v>6013</v>
      </c>
      <c r="I18" s="1757" t="s">
        <v>6014</v>
      </c>
      <c r="J18" s="1285" t="s">
        <v>6015</v>
      </c>
    </row>
    <row r="19" spans="2:10" ht="48" customHeight="1" outlineLevel="1">
      <c r="B19" s="288"/>
      <c r="C19" s="1912" t="s">
        <v>2056</v>
      </c>
      <c r="D19" s="113" t="s">
        <v>729</v>
      </c>
      <c r="E19" s="114" t="s">
        <v>692</v>
      </c>
      <c r="F19" s="113" t="s">
        <v>2158</v>
      </c>
      <c r="G19" s="114" t="s">
        <v>3235</v>
      </c>
      <c r="H19" s="2064" t="s">
        <v>5350</v>
      </c>
      <c r="I19" s="1420" t="s">
        <v>5430</v>
      </c>
      <c r="J19" s="151" t="s">
        <v>5431</v>
      </c>
    </row>
    <row r="20" spans="2:10" ht="36" outlineLevel="1">
      <c r="B20" s="288"/>
      <c r="C20" s="3169" t="s">
        <v>2186</v>
      </c>
      <c r="D20" s="3150" t="s">
        <v>729</v>
      </c>
      <c r="E20" s="3152" t="s">
        <v>692</v>
      </c>
      <c r="F20" s="3150" t="s">
        <v>756</v>
      </c>
      <c r="G20" s="3152" t="s">
        <v>3235</v>
      </c>
      <c r="H20" s="2065" t="s">
        <v>3236</v>
      </c>
      <c r="I20" s="1416" t="s">
        <v>5432</v>
      </c>
      <c r="J20" s="1272" t="s">
        <v>5433</v>
      </c>
    </row>
    <row r="21" spans="2:10" ht="39" customHeight="1" outlineLevel="1">
      <c r="B21" s="288"/>
      <c r="C21" s="3170"/>
      <c r="D21" s="3151"/>
      <c r="E21" s="3153"/>
      <c r="F21" s="3151"/>
      <c r="G21" s="3153"/>
      <c r="H21" s="3147" t="s">
        <v>5424</v>
      </c>
      <c r="I21" s="3148"/>
      <c r="J21" s="3149"/>
    </row>
    <row r="22" spans="2:10" ht="48" customHeight="1" outlineLevel="1">
      <c r="B22" s="288"/>
      <c r="C22" s="3154" t="s">
        <v>2359</v>
      </c>
      <c r="D22" s="3154" t="s">
        <v>2135</v>
      </c>
      <c r="E22" s="3154" t="s">
        <v>692</v>
      </c>
      <c r="F22" s="3154" t="s">
        <v>2136</v>
      </c>
      <c r="G22" s="3154" t="s">
        <v>3235</v>
      </c>
      <c r="H22" s="2064" t="s">
        <v>3237</v>
      </c>
      <c r="I22" s="1420" t="s">
        <v>3238</v>
      </c>
      <c r="J22" s="151" t="s">
        <v>3239</v>
      </c>
    </row>
    <row r="23" spans="2:10" ht="26.1" customHeight="1" outlineLevel="1">
      <c r="B23" s="288"/>
      <c r="C23" s="3155"/>
      <c r="D23" s="3155"/>
      <c r="E23" s="3155"/>
      <c r="F23" s="3155"/>
      <c r="G23" s="3155"/>
      <c r="H23" s="3156" t="s">
        <v>9757</v>
      </c>
      <c r="I23" s="3157"/>
      <c r="J23" s="3158"/>
    </row>
    <row r="24" spans="2:10" ht="51.95" customHeight="1" outlineLevel="1">
      <c r="B24" s="288"/>
      <c r="C24" s="3169" t="s">
        <v>866</v>
      </c>
      <c r="D24" s="3150" t="s">
        <v>2135</v>
      </c>
      <c r="E24" s="3152" t="s">
        <v>692</v>
      </c>
      <c r="F24" s="3150" t="s">
        <v>2137</v>
      </c>
      <c r="G24" s="3152">
        <v>2</v>
      </c>
      <c r="H24" s="2065" t="s">
        <v>3240</v>
      </c>
      <c r="I24" s="1416" t="s">
        <v>3241</v>
      </c>
      <c r="J24" s="1272" t="s">
        <v>3242</v>
      </c>
    </row>
    <row r="25" spans="2:10" ht="90.95" customHeight="1" outlineLevel="1">
      <c r="B25" s="288"/>
      <c r="C25" s="3170"/>
      <c r="D25" s="3151"/>
      <c r="E25" s="3153"/>
      <c r="F25" s="3151"/>
      <c r="G25" s="3153"/>
      <c r="H25" s="3144" t="s">
        <v>10038</v>
      </c>
      <c r="I25" s="3145"/>
      <c r="J25" s="3146"/>
    </row>
    <row r="26" spans="2:10" ht="48" customHeight="1" outlineLevel="1">
      <c r="B26" s="288"/>
      <c r="C26" s="1912" t="s">
        <v>1306</v>
      </c>
      <c r="D26" s="113" t="s">
        <v>844</v>
      </c>
      <c r="E26" s="114" t="s">
        <v>692</v>
      </c>
      <c r="F26" s="113" t="s">
        <v>678</v>
      </c>
      <c r="G26" s="114" t="s">
        <v>137</v>
      </c>
      <c r="H26" s="2064" t="s">
        <v>3313</v>
      </c>
      <c r="I26" s="1420" t="s">
        <v>3230</v>
      </c>
      <c r="J26" s="151" t="s">
        <v>3243</v>
      </c>
    </row>
    <row r="27" spans="2:10" ht="117" customHeight="1" outlineLevel="1">
      <c r="B27" s="288"/>
      <c r="C27" s="2794" t="s">
        <v>2390</v>
      </c>
      <c r="D27" s="592" t="s">
        <v>844</v>
      </c>
      <c r="E27" s="921" t="s">
        <v>692</v>
      </c>
      <c r="F27" s="592" t="s">
        <v>1905</v>
      </c>
      <c r="G27" s="921" t="s">
        <v>137</v>
      </c>
      <c r="H27" s="2065" t="s">
        <v>6181</v>
      </c>
      <c r="I27" s="1416" t="s">
        <v>3244</v>
      </c>
      <c r="J27" s="1272" t="s">
        <v>3245</v>
      </c>
    </row>
    <row r="28" spans="2:10" ht="48" customHeight="1" outlineLevel="1">
      <c r="B28" s="288"/>
      <c r="C28" s="2800" t="s">
        <v>2378</v>
      </c>
      <c r="D28" s="2798" t="s">
        <v>844</v>
      </c>
      <c r="E28" s="2797" t="s">
        <v>692</v>
      </c>
      <c r="F28" s="2798" t="s">
        <v>1458</v>
      </c>
      <c r="G28" s="2797" t="s">
        <v>3235</v>
      </c>
      <c r="H28" s="2064" t="s">
        <v>3337</v>
      </c>
      <c r="I28" s="1420" t="s">
        <v>3338</v>
      </c>
      <c r="J28" s="151" t="s">
        <v>3339</v>
      </c>
    </row>
    <row r="29" spans="2:10" ht="48" customHeight="1" outlineLevel="1">
      <c r="B29" s="288"/>
      <c r="C29" s="591" t="s">
        <v>2559</v>
      </c>
      <c r="D29" s="592" t="s">
        <v>755</v>
      </c>
      <c r="E29" s="921" t="s">
        <v>692</v>
      </c>
      <c r="F29" s="592" t="s">
        <v>2010</v>
      </c>
      <c r="G29" s="921" t="s">
        <v>137</v>
      </c>
      <c r="H29" s="2065" t="s">
        <v>5881</v>
      </c>
      <c r="I29" s="1416" t="s">
        <v>5882</v>
      </c>
      <c r="J29" s="1272" t="s">
        <v>5883</v>
      </c>
    </row>
    <row r="30" spans="2:10" ht="39" customHeight="1" outlineLevel="1">
      <c r="B30" s="288"/>
      <c r="C30" s="3094" t="s">
        <v>682</v>
      </c>
      <c r="D30" s="3154" t="s">
        <v>755</v>
      </c>
      <c r="E30" s="3173" t="s">
        <v>692</v>
      </c>
      <c r="F30" s="3154" t="s">
        <v>1393</v>
      </c>
      <c r="G30" s="3173" t="s">
        <v>137</v>
      </c>
      <c r="H30" s="2064" t="s">
        <v>10039</v>
      </c>
      <c r="I30" s="1420" t="s">
        <v>3246</v>
      </c>
      <c r="J30" s="151" t="s">
        <v>3247</v>
      </c>
    </row>
    <row r="31" spans="2:10" ht="78" customHeight="1" outlineLevel="1">
      <c r="B31" s="288"/>
      <c r="C31" s="3186"/>
      <c r="D31" s="3155"/>
      <c r="E31" s="3174"/>
      <c r="F31" s="3155"/>
      <c r="G31" s="3174"/>
      <c r="H31" s="3156" t="s">
        <v>6235</v>
      </c>
      <c r="I31" s="3157"/>
      <c r="J31" s="3158"/>
    </row>
    <row r="32" spans="2:10" ht="65.099999999999994" customHeight="1" outlineLevel="1">
      <c r="B32" s="288"/>
      <c r="C32" s="3184" t="s">
        <v>2184</v>
      </c>
      <c r="D32" s="3150" t="s">
        <v>755</v>
      </c>
      <c r="E32" s="3152" t="s">
        <v>692</v>
      </c>
      <c r="F32" s="3150" t="s">
        <v>1640</v>
      </c>
      <c r="G32" s="3152" t="s">
        <v>3235</v>
      </c>
      <c r="H32" s="2388" t="s">
        <v>6182</v>
      </c>
      <c r="I32" s="1916" t="s">
        <v>3248</v>
      </c>
      <c r="J32" s="1917" t="s">
        <v>3249</v>
      </c>
    </row>
    <row r="33" spans="2:10" ht="78" customHeight="1" outlineLevel="1">
      <c r="B33" s="288"/>
      <c r="C33" s="3185"/>
      <c r="D33" s="3151"/>
      <c r="E33" s="3153"/>
      <c r="F33" s="3151"/>
      <c r="G33" s="3153"/>
      <c r="H33" s="3189" t="s">
        <v>10040</v>
      </c>
      <c r="I33" s="3190"/>
      <c r="J33" s="3191"/>
    </row>
    <row r="34" spans="2:10" ht="48" outlineLevel="1">
      <c r="B34" s="288"/>
      <c r="C34" s="1912" t="s">
        <v>2382</v>
      </c>
      <c r="D34" s="113" t="s">
        <v>755</v>
      </c>
      <c r="E34" s="114" t="s">
        <v>692</v>
      </c>
      <c r="F34" s="113" t="s">
        <v>1640</v>
      </c>
      <c r="G34" s="114" t="s">
        <v>137</v>
      </c>
      <c r="H34" s="2064" t="s">
        <v>3250</v>
      </c>
      <c r="I34" s="1420" t="s">
        <v>3251</v>
      </c>
      <c r="J34" s="151" t="s">
        <v>3252</v>
      </c>
    </row>
    <row r="35" spans="2:10" ht="48" customHeight="1" outlineLevel="1">
      <c r="B35" s="288"/>
      <c r="C35" s="1913" t="s">
        <v>2557</v>
      </c>
      <c r="D35" s="592" t="s">
        <v>755</v>
      </c>
      <c r="E35" s="921" t="s">
        <v>692</v>
      </c>
      <c r="F35" s="592" t="s">
        <v>1640</v>
      </c>
      <c r="G35" s="921" t="s">
        <v>137</v>
      </c>
      <c r="H35" s="2065" t="s">
        <v>3314</v>
      </c>
      <c r="I35" s="1416" t="s">
        <v>3253</v>
      </c>
      <c r="J35" s="1272" t="s">
        <v>3254</v>
      </c>
    </row>
    <row r="36" spans="2:10" ht="48" customHeight="1" outlineLevel="1">
      <c r="B36" s="288"/>
      <c r="C36" s="2798" t="s">
        <v>2381</v>
      </c>
      <c r="D36" s="113" t="s">
        <v>755</v>
      </c>
      <c r="E36" s="114" t="s">
        <v>692</v>
      </c>
      <c r="F36" s="113" t="s">
        <v>1640</v>
      </c>
      <c r="G36" s="114" t="s">
        <v>3235</v>
      </c>
      <c r="H36" s="2064" t="s">
        <v>5488</v>
      </c>
      <c r="I36" s="1420" t="s">
        <v>3255</v>
      </c>
      <c r="J36" s="151" t="s">
        <v>3256</v>
      </c>
    </row>
    <row r="37" spans="2:10" ht="78" customHeight="1" outlineLevel="1">
      <c r="B37" s="288"/>
      <c r="C37" s="3169" t="s">
        <v>2370</v>
      </c>
      <c r="D37" s="3150" t="s">
        <v>756</v>
      </c>
      <c r="E37" s="3152" t="s">
        <v>692</v>
      </c>
      <c r="F37" s="3150" t="s">
        <v>2350</v>
      </c>
      <c r="G37" s="3152" t="s">
        <v>137</v>
      </c>
      <c r="H37" s="2065" t="s">
        <v>5162</v>
      </c>
      <c r="I37" s="1416" t="s">
        <v>3257</v>
      </c>
      <c r="J37" s="1272" t="s">
        <v>3258</v>
      </c>
    </row>
    <row r="38" spans="2:10" ht="26.1" customHeight="1" outlineLevel="1">
      <c r="B38" s="288"/>
      <c r="C38" s="3170"/>
      <c r="D38" s="3151"/>
      <c r="E38" s="3153"/>
      <c r="F38" s="3151"/>
      <c r="G38" s="3153"/>
      <c r="H38" s="3147" t="s">
        <v>6125</v>
      </c>
      <c r="I38" s="3148"/>
      <c r="J38" s="3149"/>
    </row>
    <row r="39" spans="2:10" ht="51.95" customHeight="1" outlineLevel="1">
      <c r="B39" s="288"/>
      <c r="C39" s="3187" t="s">
        <v>100</v>
      </c>
      <c r="D39" s="3179" t="s">
        <v>756</v>
      </c>
      <c r="E39" s="3177" t="s">
        <v>692</v>
      </c>
      <c r="F39" s="3179" t="s">
        <v>2350</v>
      </c>
      <c r="G39" s="3177" t="s">
        <v>137</v>
      </c>
      <c r="H39" s="2064" t="s">
        <v>3373</v>
      </c>
      <c r="I39" s="1420" t="s">
        <v>3377</v>
      </c>
      <c r="J39" s="151" t="s">
        <v>3378</v>
      </c>
    </row>
    <row r="40" spans="2:10" ht="12.95" customHeight="1" outlineLevel="1" thickBot="1">
      <c r="B40" s="288"/>
      <c r="C40" s="3188"/>
      <c r="D40" s="3180"/>
      <c r="E40" s="3178"/>
      <c r="F40" s="3180"/>
      <c r="G40" s="3178"/>
      <c r="H40" s="3192" t="s">
        <v>7251</v>
      </c>
      <c r="I40" s="3193"/>
      <c r="J40" s="3194"/>
    </row>
    <row r="41" spans="2:10" ht="5.0999999999999996" customHeight="1"/>
    <row r="42" spans="2:10">
      <c r="B42" s="3181" t="s">
        <v>3262</v>
      </c>
      <c r="C42" s="3181"/>
      <c r="D42" s="3181"/>
      <c r="E42" s="3181"/>
      <c r="F42" s="3181"/>
      <c r="G42" s="3181"/>
      <c r="H42" s="3181"/>
      <c r="I42" s="3181"/>
      <c r="J42" s="3181"/>
    </row>
    <row r="43" spans="2:10" ht="5.0999999999999996" customHeight="1" outlineLevel="1" thickBot="1"/>
    <row r="44" spans="2:10" ht="12.75" customHeight="1" outlineLevel="1">
      <c r="C44" s="3165" t="s">
        <v>2147</v>
      </c>
      <c r="D44" s="3167" t="s">
        <v>1051</v>
      </c>
      <c r="E44" s="3182" t="s">
        <v>2708</v>
      </c>
      <c r="F44" s="3167" t="s">
        <v>3227</v>
      </c>
      <c r="G44" s="3167" t="s">
        <v>3226</v>
      </c>
      <c r="H44" s="3122" t="s">
        <v>5163</v>
      </c>
      <c r="I44" s="3121"/>
      <c r="J44" s="3117"/>
    </row>
    <row r="45" spans="2:10" ht="26.25" outlineLevel="1" thickBot="1">
      <c r="C45" s="3166"/>
      <c r="D45" s="3168"/>
      <c r="E45" s="3183"/>
      <c r="F45" s="3168"/>
      <c r="G45" s="3168"/>
      <c r="H45" s="1014" t="s">
        <v>3259</v>
      </c>
      <c r="I45" s="1417" t="s">
        <v>3260</v>
      </c>
      <c r="J45" s="1418" t="s">
        <v>3261</v>
      </c>
    </row>
    <row r="46" spans="2:10" ht="48" customHeight="1" outlineLevel="1">
      <c r="B46" s="288"/>
      <c r="C46" s="1755" t="s">
        <v>1150</v>
      </c>
      <c r="D46" s="925" t="s">
        <v>729</v>
      </c>
      <c r="E46" s="1760" t="s">
        <v>692</v>
      </c>
      <c r="F46" s="925" t="s">
        <v>756</v>
      </c>
      <c r="G46" s="1760" t="s">
        <v>3235</v>
      </c>
      <c r="H46" s="2063" t="s">
        <v>5351</v>
      </c>
      <c r="I46" s="1757" t="s">
        <v>5434</v>
      </c>
      <c r="J46" s="1285" t="s">
        <v>5435</v>
      </c>
    </row>
    <row r="47" spans="2:10" ht="90.95" customHeight="1" outlineLevel="1">
      <c r="B47" s="288"/>
      <c r="C47" s="1912" t="s">
        <v>680</v>
      </c>
      <c r="D47" s="113" t="s">
        <v>729</v>
      </c>
      <c r="E47" s="114" t="s">
        <v>692</v>
      </c>
      <c r="F47" s="113" t="s">
        <v>2158</v>
      </c>
      <c r="G47" s="114" t="s">
        <v>137</v>
      </c>
      <c r="H47" s="2064" t="s">
        <v>8744</v>
      </c>
      <c r="I47" s="1420" t="s">
        <v>3263</v>
      </c>
      <c r="J47" s="151" t="s">
        <v>8736</v>
      </c>
    </row>
    <row r="48" spans="2:10" ht="90.95" customHeight="1" outlineLevel="1">
      <c r="B48" s="288"/>
      <c r="C48" s="592" t="s">
        <v>102</v>
      </c>
      <c r="D48" s="592" t="s">
        <v>729</v>
      </c>
      <c r="E48" s="921" t="s">
        <v>692</v>
      </c>
      <c r="F48" s="592" t="s">
        <v>756</v>
      </c>
      <c r="G48" s="921" t="s">
        <v>137</v>
      </c>
      <c r="H48" s="2065" t="s">
        <v>8743</v>
      </c>
      <c r="I48" s="1416" t="s">
        <v>5436</v>
      </c>
      <c r="J48" s="1272" t="s">
        <v>5437</v>
      </c>
    </row>
    <row r="49" spans="2:10" ht="39" customHeight="1" outlineLevel="1">
      <c r="B49" s="288"/>
      <c r="C49" s="3171" t="s">
        <v>2187</v>
      </c>
      <c r="D49" s="3154" t="s">
        <v>729</v>
      </c>
      <c r="E49" s="3173" t="s">
        <v>692</v>
      </c>
      <c r="F49" s="3154" t="s">
        <v>756</v>
      </c>
      <c r="G49" s="3173" t="s">
        <v>3235</v>
      </c>
      <c r="H49" s="2064" t="s">
        <v>3264</v>
      </c>
      <c r="I49" s="1420" t="s">
        <v>5432</v>
      </c>
      <c r="J49" s="151" t="s">
        <v>5438</v>
      </c>
    </row>
    <row r="50" spans="2:10" ht="39" customHeight="1" outlineLevel="1">
      <c r="B50" s="288"/>
      <c r="C50" s="3172"/>
      <c r="D50" s="3155"/>
      <c r="E50" s="3174"/>
      <c r="F50" s="3155"/>
      <c r="G50" s="3174"/>
      <c r="H50" s="3156" t="s">
        <v>5425</v>
      </c>
      <c r="I50" s="3157"/>
      <c r="J50" s="3158"/>
    </row>
    <row r="51" spans="2:10" ht="48" customHeight="1" outlineLevel="1">
      <c r="B51" s="288"/>
      <c r="C51" s="3169" t="s">
        <v>2838</v>
      </c>
      <c r="D51" s="3150" t="s">
        <v>729</v>
      </c>
      <c r="E51" s="3152" t="s">
        <v>697</v>
      </c>
      <c r="F51" s="3150">
        <v>8</v>
      </c>
      <c r="G51" s="3152" t="s">
        <v>137</v>
      </c>
      <c r="H51" s="2065" t="s">
        <v>3265</v>
      </c>
      <c r="I51" s="1416" t="s">
        <v>3266</v>
      </c>
      <c r="J51" s="1272" t="s">
        <v>3267</v>
      </c>
    </row>
    <row r="52" spans="2:10" ht="26.1" customHeight="1" outlineLevel="1">
      <c r="B52" s="288"/>
      <c r="C52" s="3170"/>
      <c r="D52" s="3151"/>
      <c r="E52" s="3153"/>
      <c r="F52" s="3151"/>
      <c r="G52" s="3153"/>
      <c r="H52" s="3147" t="s">
        <v>7252</v>
      </c>
      <c r="I52" s="3148"/>
      <c r="J52" s="3149"/>
    </row>
    <row r="53" spans="2:10" ht="48" customHeight="1" outlineLevel="1">
      <c r="B53" s="288"/>
      <c r="C53" s="1912" t="s">
        <v>2553</v>
      </c>
      <c r="D53" s="113" t="s">
        <v>2135</v>
      </c>
      <c r="E53" s="114" t="s">
        <v>692</v>
      </c>
      <c r="F53" s="113" t="s">
        <v>2137</v>
      </c>
      <c r="G53" s="114" t="s">
        <v>137</v>
      </c>
      <c r="H53" s="2064" t="s">
        <v>3268</v>
      </c>
      <c r="I53" s="1420" t="s">
        <v>3269</v>
      </c>
      <c r="J53" s="151" t="s">
        <v>3270</v>
      </c>
    </row>
    <row r="54" spans="2:10" ht="104.1" customHeight="1" outlineLevel="1">
      <c r="B54" s="288"/>
      <c r="C54" s="1913" t="s">
        <v>2361</v>
      </c>
      <c r="D54" s="592" t="s">
        <v>2135</v>
      </c>
      <c r="E54" s="921" t="s">
        <v>692</v>
      </c>
      <c r="F54" s="592" t="s">
        <v>1888</v>
      </c>
      <c r="G54" s="921" t="s">
        <v>137</v>
      </c>
      <c r="H54" s="2065" t="s">
        <v>3271</v>
      </c>
      <c r="I54" s="1416" t="s">
        <v>3272</v>
      </c>
      <c r="J54" s="1272" t="s">
        <v>5387</v>
      </c>
    </row>
    <row r="55" spans="2:10" ht="48" customHeight="1" outlineLevel="1">
      <c r="B55" s="288"/>
      <c r="C55" s="164" t="s">
        <v>2383</v>
      </c>
      <c r="D55" s="113" t="s">
        <v>2135</v>
      </c>
      <c r="E55" s="114" t="s">
        <v>697</v>
      </c>
      <c r="F55" s="113" t="s">
        <v>2137</v>
      </c>
      <c r="G55" s="114" t="s">
        <v>137</v>
      </c>
      <c r="H55" s="2064" t="s">
        <v>3273</v>
      </c>
      <c r="I55" s="1420" t="s">
        <v>3274</v>
      </c>
      <c r="J55" s="151" t="s">
        <v>3267</v>
      </c>
    </row>
    <row r="56" spans="2:10" ht="48" customHeight="1" outlineLevel="1">
      <c r="B56" s="288"/>
      <c r="C56" s="1913" t="s">
        <v>1152</v>
      </c>
      <c r="D56" s="592" t="s">
        <v>2135</v>
      </c>
      <c r="E56" s="921" t="s">
        <v>692</v>
      </c>
      <c r="F56" s="592" t="s">
        <v>2137</v>
      </c>
      <c r="G56" s="921" t="s">
        <v>3235</v>
      </c>
      <c r="H56" s="2065" t="s">
        <v>3334</v>
      </c>
      <c r="I56" s="1416" t="s">
        <v>3335</v>
      </c>
      <c r="J56" s="1272" t="s">
        <v>3336</v>
      </c>
    </row>
    <row r="57" spans="2:10" ht="65.099999999999994" customHeight="1" outlineLevel="1">
      <c r="B57" s="288"/>
      <c r="C57" s="1912" t="s">
        <v>2275</v>
      </c>
      <c r="D57" s="113" t="s">
        <v>844</v>
      </c>
      <c r="E57" s="114" t="s">
        <v>692</v>
      </c>
      <c r="F57" s="113" t="s">
        <v>1458</v>
      </c>
      <c r="G57" s="114" t="s">
        <v>3235</v>
      </c>
      <c r="H57" s="2064" t="s">
        <v>3276</v>
      </c>
      <c r="I57" s="1420" t="s">
        <v>6128</v>
      </c>
      <c r="J57" s="151" t="s">
        <v>3277</v>
      </c>
    </row>
    <row r="58" spans="2:10" ht="48" customHeight="1" outlineLevel="1">
      <c r="B58" s="288"/>
      <c r="C58" s="592" t="s">
        <v>867</v>
      </c>
      <c r="D58" s="592" t="s">
        <v>844</v>
      </c>
      <c r="E58" s="921" t="s">
        <v>692</v>
      </c>
      <c r="F58" s="592" t="s">
        <v>1458</v>
      </c>
      <c r="G58" s="921" t="s">
        <v>137</v>
      </c>
      <c r="H58" s="2065" t="s">
        <v>6234</v>
      </c>
      <c r="I58" s="1416" t="s">
        <v>3230</v>
      </c>
      <c r="J58" s="1272" t="s">
        <v>3243</v>
      </c>
    </row>
    <row r="59" spans="2:10" ht="48" customHeight="1" outlineLevel="1">
      <c r="B59" s="288"/>
      <c r="C59" s="1912" t="s">
        <v>2375</v>
      </c>
      <c r="D59" s="113" t="s">
        <v>844</v>
      </c>
      <c r="E59" s="114" t="s">
        <v>692</v>
      </c>
      <c r="F59" s="113" t="s">
        <v>1458</v>
      </c>
      <c r="G59" s="114" t="s">
        <v>3235</v>
      </c>
      <c r="H59" s="2064" t="s">
        <v>3340</v>
      </c>
      <c r="I59" s="1420" t="s">
        <v>3341</v>
      </c>
      <c r="J59" s="151" t="s">
        <v>3342</v>
      </c>
    </row>
    <row r="60" spans="2:10" ht="65.099999999999994" customHeight="1" outlineLevel="1">
      <c r="B60" s="288"/>
      <c r="C60" s="3169" t="s">
        <v>2360</v>
      </c>
      <c r="D60" s="3150" t="s">
        <v>844</v>
      </c>
      <c r="E60" s="3152" t="s">
        <v>692</v>
      </c>
      <c r="F60" s="3150">
        <v>15</v>
      </c>
      <c r="G60" s="3152" t="s">
        <v>137</v>
      </c>
      <c r="H60" s="2065" t="s">
        <v>3278</v>
      </c>
      <c r="I60" s="1416" t="s">
        <v>5967</v>
      </c>
      <c r="J60" s="1272" t="s">
        <v>5968</v>
      </c>
    </row>
    <row r="61" spans="2:10" ht="39" customHeight="1" outlineLevel="1">
      <c r="B61" s="288"/>
      <c r="C61" s="3170"/>
      <c r="D61" s="3151"/>
      <c r="E61" s="3153"/>
      <c r="F61" s="3151"/>
      <c r="G61" s="3153"/>
      <c r="H61" s="3147" t="s">
        <v>5403</v>
      </c>
      <c r="I61" s="3148"/>
      <c r="J61" s="3149"/>
    </row>
    <row r="62" spans="2:10" ht="65.099999999999994" customHeight="1" outlineLevel="1">
      <c r="B62" s="288"/>
      <c r="C62" s="2777" t="s">
        <v>2362</v>
      </c>
      <c r="D62" s="113" t="s">
        <v>755</v>
      </c>
      <c r="E62" s="114" t="s">
        <v>692</v>
      </c>
      <c r="F62" s="113" t="s">
        <v>2010</v>
      </c>
      <c r="G62" s="114" t="s">
        <v>3235</v>
      </c>
      <c r="H62" s="2064" t="s">
        <v>3279</v>
      </c>
      <c r="I62" s="1420" t="s">
        <v>3280</v>
      </c>
      <c r="J62" s="151" t="s">
        <v>5885</v>
      </c>
    </row>
    <row r="63" spans="2:10" ht="48.75" customHeight="1" outlineLevel="1">
      <c r="B63" s="288"/>
      <c r="C63" s="2778" t="s">
        <v>2374</v>
      </c>
      <c r="D63" s="1914" t="s">
        <v>755</v>
      </c>
      <c r="E63" s="2066" t="s">
        <v>692</v>
      </c>
      <c r="F63" s="1914" t="s">
        <v>1640</v>
      </c>
      <c r="G63" s="2066" t="s">
        <v>3235</v>
      </c>
      <c r="H63" s="2065" t="s">
        <v>5400</v>
      </c>
      <c r="I63" s="1416" t="s">
        <v>5439</v>
      </c>
      <c r="J63" s="1272" t="s">
        <v>5440</v>
      </c>
    </row>
    <row r="64" spans="2:10" ht="48" customHeight="1" outlineLevel="1">
      <c r="B64" s="288"/>
      <c r="C64" s="164" t="s">
        <v>2386</v>
      </c>
      <c r="D64" s="113" t="s">
        <v>755</v>
      </c>
      <c r="E64" s="114" t="s">
        <v>697</v>
      </c>
      <c r="F64" s="113" t="s">
        <v>1458</v>
      </c>
      <c r="G64" s="114" t="s">
        <v>2053</v>
      </c>
      <c r="H64" s="2064" t="s">
        <v>3281</v>
      </c>
      <c r="I64" s="1420" t="s">
        <v>3282</v>
      </c>
      <c r="J64" s="151" t="s">
        <v>3283</v>
      </c>
    </row>
    <row r="65" spans="2:10" ht="47.25" customHeight="1" outlineLevel="1">
      <c r="B65" s="288"/>
      <c r="C65" s="3169" t="s">
        <v>2664</v>
      </c>
      <c r="D65" s="3150" t="s">
        <v>756</v>
      </c>
      <c r="E65" s="3152" t="s">
        <v>692</v>
      </c>
      <c r="F65" s="3150" t="s">
        <v>2350</v>
      </c>
      <c r="G65" s="3152" t="s">
        <v>137</v>
      </c>
      <c r="H65" s="2065" t="s">
        <v>3374</v>
      </c>
      <c r="I65" s="1416" t="s">
        <v>3375</v>
      </c>
      <c r="J65" s="1272" t="s">
        <v>3376</v>
      </c>
    </row>
    <row r="66" spans="2:10" ht="12.95" customHeight="1" outlineLevel="1" thickBot="1">
      <c r="B66" s="288"/>
      <c r="C66" s="3176"/>
      <c r="D66" s="3175"/>
      <c r="E66" s="3162"/>
      <c r="F66" s="3175"/>
      <c r="G66" s="3162"/>
      <c r="H66" s="3159" t="s">
        <v>7253</v>
      </c>
      <c r="I66" s="3160"/>
      <c r="J66" s="3161"/>
    </row>
    <row r="67" spans="2:10" ht="5.0999999999999996" customHeight="1"/>
    <row r="68" spans="2:10">
      <c r="B68" s="3205" t="s">
        <v>3284</v>
      </c>
      <c r="C68" s="3205"/>
      <c r="D68" s="3205"/>
      <c r="E68" s="3205"/>
      <c r="F68" s="3205"/>
      <c r="G68" s="3205"/>
      <c r="H68" s="3205"/>
      <c r="I68" s="3205"/>
      <c r="J68" s="3205"/>
    </row>
    <row r="69" spans="2:10" ht="5.0999999999999996" customHeight="1" outlineLevel="1" thickBot="1"/>
    <row r="70" spans="2:10" ht="12.75" customHeight="1" outlineLevel="1">
      <c r="C70" s="3165" t="s">
        <v>2147</v>
      </c>
      <c r="D70" s="3167" t="s">
        <v>1051</v>
      </c>
      <c r="E70" s="3182" t="s">
        <v>2708</v>
      </c>
      <c r="F70" s="3167" t="s">
        <v>3227</v>
      </c>
      <c r="G70" s="3167" t="s">
        <v>3226</v>
      </c>
      <c r="H70" s="3122" t="s">
        <v>5163</v>
      </c>
      <c r="I70" s="3121"/>
      <c r="J70" s="3117"/>
    </row>
    <row r="71" spans="2:10" ht="26.25" outlineLevel="1" thickBot="1">
      <c r="C71" s="3166"/>
      <c r="D71" s="3168"/>
      <c r="E71" s="3183"/>
      <c r="F71" s="3168"/>
      <c r="G71" s="3168"/>
      <c r="H71" s="1014" t="s">
        <v>3285</v>
      </c>
      <c r="I71" s="1417" t="s">
        <v>3286</v>
      </c>
      <c r="J71" s="1418" t="s">
        <v>3287</v>
      </c>
    </row>
    <row r="72" spans="2:10" ht="48" customHeight="1" outlineLevel="1">
      <c r="B72" s="288"/>
      <c r="C72" s="925" t="s">
        <v>2560</v>
      </c>
      <c r="D72" s="925" t="s">
        <v>729</v>
      </c>
      <c r="E72" s="1760" t="s">
        <v>692</v>
      </c>
      <c r="F72" s="925" t="s">
        <v>756</v>
      </c>
      <c r="G72" s="1760" t="s">
        <v>3235</v>
      </c>
      <c r="H72" s="2063" t="s">
        <v>3288</v>
      </c>
      <c r="I72" s="1757" t="s">
        <v>3289</v>
      </c>
      <c r="J72" s="1285" t="s">
        <v>3290</v>
      </c>
    </row>
    <row r="73" spans="2:10" ht="48" customHeight="1" outlineLevel="1">
      <c r="B73" s="288"/>
      <c r="C73" s="2779" t="s">
        <v>2380</v>
      </c>
      <c r="D73" s="113" t="s">
        <v>729</v>
      </c>
      <c r="E73" s="114" t="s">
        <v>692</v>
      </c>
      <c r="F73" s="113" t="s">
        <v>2158</v>
      </c>
      <c r="G73" s="114" t="s">
        <v>3235</v>
      </c>
      <c r="H73" s="2064" t="s">
        <v>5349</v>
      </c>
      <c r="I73" s="1420" t="s">
        <v>5443</v>
      </c>
      <c r="J73" s="151" t="s">
        <v>5442</v>
      </c>
    </row>
    <row r="74" spans="2:10" ht="48" customHeight="1" outlineLevel="1">
      <c r="B74" s="288"/>
      <c r="C74" s="1913" t="s">
        <v>1147</v>
      </c>
      <c r="D74" s="592" t="s">
        <v>729</v>
      </c>
      <c r="E74" s="921" t="s">
        <v>692</v>
      </c>
      <c r="F74" s="592" t="s">
        <v>756</v>
      </c>
      <c r="G74" s="921" t="s">
        <v>3235</v>
      </c>
      <c r="H74" s="2065" t="s">
        <v>3291</v>
      </c>
      <c r="I74" s="1416" t="s">
        <v>3292</v>
      </c>
      <c r="J74" s="1272" t="s">
        <v>3293</v>
      </c>
    </row>
    <row r="75" spans="2:10" ht="48" customHeight="1" outlineLevel="1">
      <c r="B75" s="288"/>
      <c r="C75" s="164" t="s">
        <v>1305</v>
      </c>
      <c r="D75" s="113" t="s">
        <v>729</v>
      </c>
      <c r="E75" s="114" t="s">
        <v>697</v>
      </c>
      <c r="F75" s="113" t="s">
        <v>2135</v>
      </c>
      <c r="G75" s="114" t="s">
        <v>137</v>
      </c>
      <c r="H75" s="2064" t="s">
        <v>3294</v>
      </c>
      <c r="I75" s="1420" t="s">
        <v>3295</v>
      </c>
      <c r="J75" s="151" t="s">
        <v>3296</v>
      </c>
    </row>
    <row r="76" spans="2:10" ht="48" outlineLevel="1">
      <c r="B76" s="288"/>
      <c r="C76" s="1913" t="s">
        <v>1308</v>
      </c>
      <c r="D76" s="592" t="s">
        <v>2135</v>
      </c>
      <c r="E76" s="921" t="s">
        <v>692</v>
      </c>
      <c r="F76" s="592" t="s">
        <v>2136</v>
      </c>
      <c r="G76" s="921" t="s">
        <v>137</v>
      </c>
      <c r="H76" s="2065" t="s">
        <v>5886</v>
      </c>
      <c r="I76" s="1416" t="s">
        <v>3297</v>
      </c>
      <c r="J76" s="1272" t="s">
        <v>3298</v>
      </c>
    </row>
    <row r="77" spans="2:10" ht="65.099999999999994" customHeight="1" outlineLevel="1">
      <c r="B77" s="288"/>
      <c r="C77" s="3171" t="s">
        <v>2389</v>
      </c>
      <c r="D77" s="3154" t="s">
        <v>2135</v>
      </c>
      <c r="E77" s="3173" t="s">
        <v>692</v>
      </c>
      <c r="F77" s="3154" t="s">
        <v>2137</v>
      </c>
      <c r="G77" s="3173" t="s">
        <v>137</v>
      </c>
      <c r="H77" s="2064" t="s">
        <v>6203</v>
      </c>
      <c r="I77" s="1420" t="s">
        <v>3300</v>
      </c>
      <c r="J77" s="151" t="s">
        <v>3301</v>
      </c>
    </row>
    <row r="78" spans="2:10" ht="65.099999999999994" customHeight="1" outlineLevel="1">
      <c r="B78" s="288"/>
      <c r="C78" s="3172"/>
      <c r="D78" s="3155"/>
      <c r="E78" s="3174"/>
      <c r="F78" s="3155"/>
      <c r="G78" s="3174"/>
      <c r="H78" s="3156" t="s">
        <v>10041</v>
      </c>
      <c r="I78" s="3157"/>
      <c r="J78" s="3158"/>
    </row>
    <row r="79" spans="2:10" ht="39" customHeight="1" outlineLevel="1">
      <c r="B79" s="288"/>
      <c r="C79" s="3169" t="s">
        <v>2237</v>
      </c>
      <c r="D79" s="3150">
        <v>3</v>
      </c>
      <c r="E79" s="3152" t="s">
        <v>692</v>
      </c>
      <c r="F79" s="3150">
        <v>12</v>
      </c>
      <c r="G79" s="3152" t="s">
        <v>3235</v>
      </c>
      <c r="H79" s="2065" t="s">
        <v>3299</v>
      </c>
      <c r="I79" s="1416" t="s">
        <v>5432</v>
      </c>
      <c r="J79" s="1272" t="s">
        <v>5441</v>
      </c>
    </row>
    <row r="80" spans="2:10" ht="39" customHeight="1" outlineLevel="1">
      <c r="B80" s="288"/>
      <c r="C80" s="3170"/>
      <c r="D80" s="3151"/>
      <c r="E80" s="3153"/>
      <c r="F80" s="3151"/>
      <c r="G80" s="3153"/>
      <c r="H80" s="3147" t="s">
        <v>5426</v>
      </c>
      <c r="I80" s="3148"/>
      <c r="J80" s="3149"/>
    </row>
    <row r="81" spans="2:10" ht="51.95" customHeight="1" outlineLevel="1">
      <c r="B81" s="288"/>
      <c r="C81" s="2798" t="s">
        <v>2369</v>
      </c>
      <c r="D81" s="113" t="s">
        <v>844</v>
      </c>
      <c r="E81" s="114" t="s">
        <v>692</v>
      </c>
      <c r="F81" s="113" t="s">
        <v>678</v>
      </c>
      <c r="G81" s="114" t="s">
        <v>137</v>
      </c>
      <c r="H81" s="2064" t="s">
        <v>5887</v>
      </c>
      <c r="I81" s="1420" t="s">
        <v>3302</v>
      </c>
      <c r="J81" s="151" t="s">
        <v>3303</v>
      </c>
    </row>
    <row r="82" spans="2:10" ht="65.099999999999994" customHeight="1" outlineLevel="1">
      <c r="B82" s="288"/>
      <c r="C82" s="1913" t="s">
        <v>3304</v>
      </c>
      <c r="D82" s="592" t="s">
        <v>844</v>
      </c>
      <c r="E82" s="921" t="s">
        <v>692</v>
      </c>
      <c r="F82" s="592" t="s">
        <v>678</v>
      </c>
      <c r="G82" s="921" t="s">
        <v>3235</v>
      </c>
      <c r="H82" s="2065" t="s">
        <v>8745</v>
      </c>
      <c r="I82" s="1416" t="s">
        <v>8734</v>
      </c>
      <c r="J82" s="1272" t="s">
        <v>3305</v>
      </c>
    </row>
    <row r="83" spans="2:10" ht="48" customHeight="1" outlineLevel="1">
      <c r="B83" s="288"/>
      <c r="C83" s="1912" t="s">
        <v>874</v>
      </c>
      <c r="D83" s="113" t="s">
        <v>844</v>
      </c>
      <c r="E83" s="114" t="s">
        <v>692</v>
      </c>
      <c r="F83" s="113" t="s">
        <v>1393</v>
      </c>
      <c r="G83" s="114" t="s">
        <v>137</v>
      </c>
      <c r="H83" s="2064" t="s">
        <v>3306</v>
      </c>
      <c r="I83" s="1420" t="s">
        <v>3307</v>
      </c>
      <c r="J83" s="151" t="s">
        <v>3308</v>
      </c>
    </row>
    <row r="84" spans="2:10" ht="39" customHeight="1" outlineLevel="1">
      <c r="B84" s="288"/>
      <c r="C84" s="3169" t="s">
        <v>2391</v>
      </c>
      <c r="D84" s="3150" t="s">
        <v>844</v>
      </c>
      <c r="E84" s="3152" t="s">
        <v>692</v>
      </c>
      <c r="F84" s="3150" t="s">
        <v>1458</v>
      </c>
      <c r="G84" s="3152">
        <v>2</v>
      </c>
      <c r="H84" s="2065" t="s">
        <v>3309</v>
      </c>
      <c r="I84" s="1416" t="s">
        <v>3310</v>
      </c>
      <c r="J84" s="1272" t="s">
        <v>3311</v>
      </c>
    </row>
    <row r="85" spans="2:10" ht="39" customHeight="1" outlineLevel="1">
      <c r="B85" s="288"/>
      <c r="C85" s="3170"/>
      <c r="D85" s="3151"/>
      <c r="E85" s="3153"/>
      <c r="F85" s="3151"/>
      <c r="G85" s="3153"/>
      <c r="H85" s="3144" t="s">
        <v>5489</v>
      </c>
      <c r="I85" s="3145"/>
      <c r="J85" s="3146"/>
    </row>
    <row r="86" spans="2:10" ht="48" customHeight="1" outlineLevel="1">
      <c r="B86" s="288"/>
      <c r="C86" s="1912" t="s">
        <v>2452</v>
      </c>
      <c r="D86" s="113" t="s">
        <v>755</v>
      </c>
      <c r="E86" s="114" t="s">
        <v>692</v>
      </c>
      <c r="F86" s="113" t="s">
        <v>1640</v>
      </c>
      <c r="G86" s="114" t="s">
        <v>137</v>
      </c>
      <c r="H86" s="2064" t="s">
        <v>3312</v>
      </c>
      <c r="I86" s="1420" t="s">
        <v>3315</v>
      </c>
      <c r="J86" s="151" t="s">
        <v>3316</v>
      </c>
    </row>
    <row r="87" spans="2:10" ht="117" customHeight="1" outlineLevel="1">
      <c r="B87" s="288"/>
      <c r="C87" s="591" t="s">
        <v>1214</v>
      </c>
      <c r="D87" s="592" t="s">
        <v>755</v>
      </c>
      <c r="E87" s="921" t="s">
        <v>692</v>
      </c>
      <c r="F87" s="592" t="s">
        <v>1393</v>
      </c>
      <c r="G87" s="921" t="s">
        <v>137</v>
      </c>
      <c r="H87" s="2065" t="s">
        <v>5888</v>
      </c>
      <c r="I87" s="1416" t="s">
        <v>3317</v>
      </c>
      <c r="J87" s="1272" t="s">
        <v>3303</v>
      </c>
    </row>
    <row r="88" spans="2:10" ht="48" customHeight="1" outlineLevel="1">
      <c r="B88" s="288"/>
      <c r="C88" s="2935" t="s">
        <v>2376</v>
      </c>
      <c r="D88" s="113" t="s">
        <v>755</v>
      </c>
      <c r="E88" s="114" t="s">
        <v>692</v>
      </c>
      <c r="F88" s="113" t="s">
        <v>1640</v>
      </c>
      <c r="G88" s="114" t="s">
        <v>3235</v>
      </c>
      <c r="H88" s="2064" t="s">
        <v>3345</v>
      </c>
      <c r="I88" s="1420" t="s">
        <v>3346</v>
      </c>
      <c r="J88" s="151" t="s">
        <v>3347</v>
      </c>
    </row>
    <row r="89" spans="2:10" ht="26.1" customHeight="1" outlineLevel="1">
      <c r="B89" s="288"/>
      <c r="C89" s="3154" t="s">
        <v>655</v>
      </c>
      <c r="D89" s="3154">
        <v>4</v>
      </c>
      <c r="E89" s="3154" t="s">
        <v>10019</v>
      </c>
      <c r="F89" s="3154">
        <v>16</v>
      </c>
      <c r="G89" s="3154" t="s">
        <v>3235</v>
      </c>
      <c r="H89" s="2064" t="s">
        <v>10020</v>
      </c>
      <c r="I89" s="1420" t="s">
        <v>10021</v>
      </c>
      <c r="J89" s="151" t="s">
        <v>10022</v>
      </c>
    </row>
    <row r="90" spans="2:10" ht="78" customHeight="1" outlineLevel="1">
      <c r="B90" s="288"/>
      <c r="C90" s="3155"/>
      <c r="D90" s="3155"/>
      <c r="E90" s="3155"/>
      <c r="F90" s="3155"/>
      <c r="G90" s="3155"/>
      <c r="H90" s="3156" t="s">
        <v>10028</v>
      </c>
      <c r="I90" s="3157"/>
      <c r="J90" s="3158"/>
    </row>
    <row r="91" spans="2:10" ht="48" outlineLevel="1">
      <c r="B91" s="288"/>
      <c r="C91" s="1913" t="s">
        <v>2388</v>
      </c>
      <c r="D91" s="592" t="s">
        <v>755</v>
      </c>
      <c r="E91" s="921" t="s">
        <v>697</v>
      </c>
      <c r="F91" s="592" t="s">
        <v>1640</v>
      </c>
      <c r="G91" s="921" t="s">
        <v>137</v>
      </c>
      <c r="H91" s="2065" t="s">
        <v>3318</v>
      </c>
      <c r="I91" s="1416" t="s">
        <v>3319</v>
      </c>
      <c r="J91" s="1272" t="s">
        <v>3320</v>
      </c>
    </row>
    <row r="92" spans="2:10" ht="48" customHeight="1" outlineLevel="1">
      <c r="B92" s="288"/>
      <c r="C92" s="2798" t="s">
        <v>2555</v>
      </c>
      <c r="D92" s="113" t="s">
        <v>756</v>
      </c>
      <c r="E92" s="114" t="s">
        <v>692</v>
      </c>
      <c r="F92" s="113" t="s">
        <v>561</v>
      </c>
      <c r="G92" s="114" t="s">
        <v>137</v>
      </c>
      <c r="H92" s="2064" t="s">
        <v>3321</v>
      </c>
      <c r="I92" s="1420" t="s">
        <v>3322</v>
      </c>
      <c r="J92" s="151" t="s">
        <v>3323</v>
      </c>
    </row>
    <row r="93" spans="2:10" ht="47.25" customHeight="1" outlineLevel="1">
      <c r="B93" s="288"/>
      <c r="C93" s="3169" t="s">
        <v>2667</v>
      </c>
      <c r="D93" s="3150" t="s">
        <v>756</v>
      </c>
      <c r="E93" s="3152" t="s">
        <v>692</v>
      </c>
      <c r="F93" s="3150" t="s">
        <v>2350</v>
      </c>
      <c r="G93" s="3152" t="s">
        <v>137</v>
      </c>
      <c r="H93" s="2065" t="s">
        <v>3379</v>
      </c>
      <c r="I93" s="1416" t="s">
        <v>3380</v>
      </c>
      <c r="J93" s="1272" t="s">
        <v>3381</v>
      </c>
    </row>
    <row r="94" spans="2:10" ht="12.95" customHeight="1" outlineLevel="1" thickBot="1">
      <c r="B94" s="288"/>
      <c r="C94" s="3176"/>
      <c r="D94" s="3175"/>
      <c r="E94" s="3162"/>
      <c r="F94" s="3175"/>
      <c r="G94" s="3162"/>
      <c r="H94" s="3159" t="s">
        <v>7254</v>
      </c>
      <c r="I94" s="3160"/>
      <c r="J94" s="3161"/>
    </row>
    <row r="95" spans="2:10" ht="5.0999999999999996" customHeight="1"/>
    <row r="96" spans="2:10">
      <c r="B96" s="2978" t="s">
        <v>3324</v>
      </c>
      <c r="C96" s="2978"/>
      <c r="D96" s="2978"/>
      <c r="E96" s="2978"/>
      <c r="F96" s="2978"/>
      <c r="G96" s="2978"/>
      <c r="H96" s="2978"/>
      <c r="I96" s="2978"/>
      <c r="J96" s="2978"/>
    </row>
    <row r="97" spans="2:10" ht="5.0999999999999996" customHeight="1" outlineLevel="1" thickBot="1"/>
    <row r="98" spans="2:10" ht="12.75" customHeight="1" outlineLevel="1">
      <c r="C98" s="3165" t="s">
        <v>2147</v>
      </c>
      <c r="D98" s="3167" t="s">
        <v>1051</v>
      </c>
      <c r="E98" s="3163" t="s">
        <v>2708</v>
      </c>
      <c r="F98" s="3163" t="s">
        <v>3227</v>
      </c>
      <c r="G98" s="3163" t="s">
        <v>3226</v>
      </c>
      <c r="H98" s="3122" t="s">
        <v>5163</v>
      </c>
      <c r="I98" s="3121"/>
      <c r="J98" s="3117"/>
    </row>
    <row r="99" spans="2:10" ht="26.25" outlineLevel="1" thickBot="1">
      <c r="C99" s="3166"/>
      <c r="D99" s="3168"/>
      <c r="E99" s="3164"/>
      <c r="F99" s="3164"/>
      <c r="G99" s="3164"/>
      <c r="H99" s="1014" t="s">
        <v>3327</v>
      </c>
      <c r="I99" s="1417" t="s">
        <v>3325</v>
      </c>
      <c r="J99" s="1418" t="s">
        <v>3326</v>
      </c>
    </row>
    <row r="100" spans="2:10" ht="48" customHeight="1" outlineLevel="1">
      <c r="B100" s="288"/>
      <c r="C100" s="1755" t="s">
        <v>2379</v>
      </c>
      <c r="D100" s="925" t="s">
        <v>729</v>
      </c>
      <c r="E100" s="1411" t="s">
        <v>692</v>
      </c>
      <c r="F100" s="1411" t="s">
        <v>2158</v>
      </c>
      <c r="G100" s="1411" t="s">
        <v>3235</v>
      </c>
      <c r="H100" s="1756" t="s">
        <v>5348</v>
      </c>
      <c r="I100" s="1757" t="s">
        <v>5445</v>
      </c>
      <c r="J100" s="1285" t="s">
        <v>5444</v>
      </c>
    </row>
    <row r="101" spans="2:10" ht="48" outlineLevel="1">
      <c r="B101" s="288"/>
      <c r="C101" s="2795" t="s">
        <v>3328</v>
      </c>
      <c r="D101" s="2798" t="s">
        <v>729</v>
      </c>
      <c r="E101" s="255" t="s">
        <v>697</v>
      </c>
      <c r="F101" s="255" t="s">
        <v>2135</v>
      </c>
      <c r="G101" s="255" t="s">
        <v>137</v>
      </c>
      <c r="H101" s="1419" t="s">
        <v>5164</v>
      </c>
      <c r="I101" s="1420" t="s">
        <v>3329</v>
      </c>
      <c r="J101" s="151" t="s">
        <v>3330</v>
      </c>
    </row>
    <row r="102" spans="2:10" ht="65.099999999999994" customHeight="1" outlineLevel="1">
      <c r="B102" s="288"/>
      <c r="C102" s="592" t="s">
        <v>2384</v>
      </c>
      <c r="D102" s="592" t="s">
        <v>2135</v>
      </c>
      <c r="E102" s="593" t="s">
        <v>697</v>
      </c>
      <c r="F102" s="593" t="s">
        <v>755</v>
      </c>
      <c r="G102" s="593" t="s">
        <v>2053</v>
      </c>
      <c r="H102" s="1415" t="s">
        <v>9989</v>
      </c>
      <c r="I102" s="1416" t="s">
        <v>5165</v>
      </c>
      <c r="J102" s="1272" t="s">
        <v>3332</v>
      </c>
    </row>
    <row r="103" spans="2:10" ht="65.099999999999994" customHeight="1" outlineLevel="1">
      <c r="B103" s="288"/>
      <c r="C103" s="2800" t="s">
        <v>2373</v>
      </c>
      <c r="D103" s="2798" t="s">
        <v>2135</v>
      </c>
      <c r="E103" s="255" t="s">
        <v>692</v>
      </c>
      <c r="F103" s="255" t="s">
        <v>2136</v>
      </c>
      <c r="G103" s="255" t="s">
        <v>137</v>
      </c>
      <c r="H103" s="1419" t="s">
        <v>3333</v>
      </c>
      <c r="I103" s="1420" t="s">
        <v>3343</v>
      </c>
      <c r="J103" s="151" t="s">
        <v>3344</v>
      </c>
    </row>
    <row r="104" spans="2:10" ht="48" customHeight="1" outlineLevel="1">
      <c r="B104" s="288"/>
      <c r="C104" s="2794" t="s">
        <v>2377</v>
      </c>
      <c r="D104" s="592" t="s">
        <v>2135</v>
      </c>
      <c r="E104" s="593" t="s">
        <v>692</v>
      </c>
      <c r="F104" s="593" t="s">
        <v>1888</v>
      </c>
      <c r="G104" s="593" t="s">
        <v>3235</v>
      </c>
      <c r="H104" s="1415" t="s">
        <v>3348</v>
      </c>
      <c r="I104" s="1416" t="s">
        <v>3349</v>
      </c>
      <c r="J104" s="1272" t="s">
        <v>3350</v>
      </c>
    </row>
    <row r="105" spans="2:10" ht="48" customHeight="1" outlineLevel="1">
      <c r="B105" s="288"/>
      <c r="C105" s="2795" t="s">
        <v>2554</v>
      </c>
      <c r="D105" s="2798" t="s">
        <v>2135</v>
      </c>
      <c r="E105" s="255" t="s">
        <v>692</v>
      </c>
      <c r="F105" s="255" t="s">
        <v>2136</v>
      </c>
      <c r="G105" s="255" t="s">
        <v>137</v>
      </c>
      <c r="H105" s="1419" t="s">
        <v>3351</v>
      </c>
      <c r="I105" s="1420" t="s">
        <v>3352</v>
      </c>
      <c r="J105" s="151" t="s">
        <v>3353</v>
      </c>
    </row>
    <row r="106" spans="2:10" ht="48" customHeight="1" outlineLevel="1">
      <c r="B106" s="288"/>
      <c r="C106" s="592" t="s">
        <v>2372</v>
      </c>
      <c r="D106" s="592" t="s">
        <v>2135</v>
      </c>
      <c r="E106" s="593" t="s">
        <v>692</v>
      </c>
      <c r="F106" s="593" t="s">
        <v>2137</v>
      </c>
      <c r="G106" s="593" t="s">
        <v>3235</v>
      </c>
      <c r="H106" s="1415" t="s">
        <v>3354</v>
      </c>
      <c r="I106" s="1416" t="s">
        <v>3355</v>
      </c>
      <c r="J106" s="1272" t="s">
        <v>3356</v>
      </c>
    </row>
    <row r="107" spans="2:10" ht="39" customHeight="1" outlineLevel="1">
      <c r="B107" s="288"/>
      <c r="C107" s="3171" t="s">
        <v>2185</v>
      </c>
      <c r="D107" s="3154">
        <v>2</v>
      </c>
      <c r="E107" s="3200" t="s">
        <v>692</v>
      </c>
      <c r="F107" s="3200">
        <v>7</v>
      </c>
      <c r="G107" s="3200" t="s">
        <v>3235</v>
      </c>
      <c r="H107" s="1419" t="s">
        <v>3362</v>
      </c>
      <c r="I107" s="1420" t="s">
        <v>5432</v>
      </c>
      <c r="J107" s="151" t="s">
        <v>5446</v>
      </c>
    </row>
    <row r="108" spans="2:10" ht="39" customHeight="1" outlineLevel="1">
      <c r="B108" s="288"/>
      <c r="C108" s="3172"/>
      <c r="D108" s="3155"/>
      <c r="E108" s="3201"/>
      <c r="F108" s="3201"/>
      <c r="G108" s="3201"/>
      <c r="H108" s="3156" t="s">
        <v>5427</v>
      </c>
      <c r="I108" s="3157"/>
      <c r="J108" s="3158"/>
    </row>
    <row r="109" spans="2:10" ht="51.95" customHeight="1" outlineLevel="1">
      <c r="B109" s="288"/>
      <c r="C109" s="3169" t="s">
        <v>1201</v>
      </c>
      <c r="D109" s="3150" t="s">
        <v>844</v>
      </c>
      <c r="E109" s="3202" t="s">
        <v>692</v>
      </c>
      <c r="F109" s="3202" t="s">
        <v>1458</v>
      </c>
      <c r="G109" s="3202" t="s">
        <v>3235</v>
      </c>
      <c r="H109" s="1415" t="s">
        <v>3357</v>
      </c>
      <c r="I109" s="1416" t="s">
        <v>3358</v>
      </c>
      <c r="J109" s="1272" t="s">
        <v>3359</v>
      </c>
    </row>
    <row r="110" spans="2:10" ht="51.95" customHeight="1" outlineLevel="1">
      <c r="B110" s="288"/>
      <c r="C110" s="3170"/>
      <c r="D110" s="3151"/>
      <c r="E110" s="3203"/>
      <c r="F110" s="3203"/>
      <c r="G110" s="3203"/>
      <c r="H110" s="3144" t="s">
        <v>5490</v>
      </c>
      <c r="I110" s="3145"/>
      <c r="J110" s="3146"/>
    </row>
    <row r="111" spans="2:10" ht="48" customHeight="1" outlineLevel="1">
      <c r="B111" s="288"/>
      <c r="C111" s="2935" t="s">
        <v>3360</v>
      </c>
      <c r="D111" s="2798" t="s">
        <v>844</v>
      </c>
      <c r="E111" s="255" t="s">
        <v>692</v>
      </c>
      <c r="F111" s="255" t="s">
        <v>678</v>
      </c>
      <c r="G111" s="255" t="s">
        <v>137</v>
      </c>
      <c r="H111" s="1419" t="s">
        <v>5884</v>
      </c>
      <c r="I111" s="1420" t="s">
        <v>3229</v>
      </c>
      <c r="J111" s="151" t="s">
        <v>3361</v>
      </c>
    </row>
    <row r="112" spans="2:10" ht="39" customHeight="1" outlineLevel="1">
      <c r="B112" s="288"/>
      <c r="C112" s="3184" t="s">
        <v>2274</v>
      </c>
      <c r="D112" s="3150" t="s">
        <v>844</v>
      </c>
      <c r="E112" s="3202" t="s">
        <v>692</v>
      </c>
      <c r="F112" s="3202" t="s">
        <v>1905</v>
      </c>
      <c r="G112" s="3202" t="s">
        <v>3235</v>
      </c>
      <c r="H112" s="1415" t="s">
        <v>5405</v>
      </c>
      <c r="I112" s="1416" t="s">
        <v>3363</v>
      </c>
      <c r="J112" s="1272" t="s">
        <v>3364</v>
      </c>
    </row>
    <row r="113" spans="2:10" ht="65.099999999999994" customHeight="1" outlineLevel="1">
      <c r="B113" s="288"/>
      <c r="C113" s="3185"/>
      <c r="D113" s="3151"/>
      <c r="E113" s="3203"/>
      <c r="F113" s="3203"/>
      <c r="G113" s="3203"/>
      <c r="H113" s="3147" t="s">
        <v>8737</v>
      </c>
      <c r="I113" s="3148"/>
      <c r="J113" s="3149"/>
    </row>
    <row r="114" spans="2:10" ht="78" customHeight="1" outlineLevel="1">
      <c r="B114" s="288"/>
      <c r="C114" s="2793" t="s">
        <v>2556</v>
      </c>
      <c r="D114" s="2798" t="s">
        <v>755</v>
      </c>
      <c r="E114" s="255" t="s">
        <v>692</v>
      </c>
      <c r="F114" s="255" t="s">
        <v>2010</v>
      </c>
      <c r="G114" s="255" t="s">
        <v>137</v>
      </c>
      <c r="H114" s="1419" t="s">
        <v>3365</v>
      </c>
      <c r="I114" s="1420" t="s">
        <v>5447</v>
      </c>
      <c r="J114" s="151" t="s">
        <v>5448</v>
      </c>
    </row>
    <row r="115" spans="2:10" ht="48" outlineLevel="1">
      <c r="B115" s="288"/>
      <c r="C115" s="592" t="s">
        <v>681</v>
      </c>
      <c r="D115" s="592" t="s">
        <v>755</v>
      </c>
      <c r="E115" s="593" t="s">
        <v>692</v>
      </c>
      <c r="F115" s="593" t="s">
        <v>2010</v>
      </c>
      <c r="G115" s="593" t="s">
        <v>3235</v>
      </c>
      <c r="H115" s="1415" t="s">
        <v>5399</v>
      </c>
      <c r="I115" s="1416" t="s">
        <v>3366</v>
      </c>
      <c r="J115" s="1272" t="s">
        <v>3367</v>
      </c>
    </row>
    <row r="116" spans="2:10" ht="65.099999999999994" customHeight="1" outlineLevel="1">
      <c r="B116" s="288"/>
      <c r="C116" s="3154" t="s">
        <v>2387</v>
      </c>
      <c r="D116" s="3154" t="s">
        <v>756</v>
      </c>
      <c r="E116" s="3154" t="s">
        <v>697</v>
      </c>
      <c r="F116" s="3154" t="s">
        <v>2350</v>
      </c>
      <c r="G116" s="3154" t="s">
        <v>137</v>
      </c>
      <c r="H116" s="1419" t="s">
        <v>6060</v>
      </c>
      <c r="I116" s="1420" t="s">
        <v>3368</v>
      </c>
      <c r="J116" s="151" t="s">
        <v>10042</v>
      </c>
    </row>
    <row r="117" spans="2:10" ht="39" customHeight="1" outlineLevel="1">
      <c r="B117" s="288"/>
      <c r="C117" s="3155"/>
      <c r="D117" s="3155"/>
      <c r="E117" s="3155"/>
      <c r="F117" s="3155"/>
      <c r="G117" s="3155"/>
      <c r="H117" s="3156" t="s">
        <v>7815</v>
      </c>
      <c r="I117" s="3157"/>
      <c r="J117" s="3158"/>
    </row>
    <row r="118" spans="2:10" ht="65.099999999999994" customHeight="1" outlineLevel="1">
      <c r="B118" s="288"/>
      <c r="C118" s="2794" t="s">
        <v>3369</v>
      </c>
      <c r="D118" s="592" t="s">
        <v>756</v>
      </c>
      <c r="E118" s="593" t="s">
        <v>697</v>
      </c>
      <c r="F118" s="593" t="s">
        <v>1393</v>
      </c>
      <c r="G118" s="593" t="s">
        <v>2053</v>
      </c>
      <c r="H118" s="1415" t="s">
        <v>3370</v>
      </c>
      <c r="I118" s="1416" t="s">
        <v>3282</v>
      </c>
      <c r="J118" s="1272" t="s">
        <v>3371</v>
      </c>
    </row>
    <row r="119" spans="2:10" ht="48.75" customHeight="1" outlineLevel="1">
      <c r="B119" s="288"/>
      <c r="C119" s="3154" t="s">
        <v>3372</v>
      </c>
      <c r="D119" s="3154" t="s">
        <v>756</v>
      </c>
      <c r="E119" s="3154" t="s">
        <v>692</v>
      </c>
      <c r="F119" s="3154" t="s">
        <v>2350</v>
      </c>
      <c r="G119" s="3154" t="s">
        <v>137</v>
      </c>
      <c r="H119" s="1419" t="s">
        <v>3382</v>
      </c>
      <c r="I119" s="1420" t="s">
        <v>3383</v>
      </c>
      <c r="J119" s="151" t="s">
        <v>3384</v>
      </c>
    </row>
    <row r="120" spans="2:10" ht="12.95" customHeight="1" outlineLevel="1">
      <c r="B120" s="288"/>
      <c r="C120" s="3155"/>
      <c r="D120" s="3155"/>
      <c r="E120" s="3155"/>
      <c r="F120" s="3155"/>
      <c r="G120" s="3155"/>
      <c r="H120" s="3156" t="s">
        <v>7255</v>
      </c>
      <c r="I120" s="3157"/>
      <c r="J120" s="3158"/>
    </row>
    <row r="121" spans="2:10" ht="78" customHeight="1" outlineLevel="1">
      <c r="B121" s="288"/>
      <c r="C121" s="3150" t="s">
        <v>1668</v>
      </c>
      <c r="D121" s="3150" t="s">
        <v>756</v>
      </c>
      <c r="E121" s="3150" t="s">
        <v>692</v>
      </c>
      <c r="F121" s="3150" t="s">
        <v>2350</v>
      </c>
      <c r="G121" s="3150" t="s">
        <v>3235</v>
      </c>
      <c r="H121" s="1415" t="s">
        <v>8735</v>
      </c>
      <c r="I121" s="1416" t="s">
        <v>3385</v>
      </c>
      <c r="J121" s="1272" t="s">
        <v>3386</v>
      </c>
    </row>
    <row r="122" spans="2:10" ht="78" customHeight="1" outlineLevel="1">
      <c r="B122" s="288"/>
      <c r="C122" s="3151"/>
      <c r="D122" s="3151"/>
      <c r="E122" s="3151"/>
      <c r="F122" s="3151"/>
      <c r="G122" s="3151"/>
      <c r="H122" s="3144" t="s">
        <v>7319</v>
      </c>
      <c r="I122" s="3145"/>
      <c r="J122" s="3146"/>
    </row>
    <row r="123" spans="2:10" ht="48" customHeight="1" outlineLevel="1" thickBot="1">
      <c r="B123" s="288"/>
      <c r="C123" s="2799" t="s">
        <v>624</v>
      </c>
      <c r="D123" s="2799">
        <v>5</v>
      </c>
      <c r="E123" s="102" t="s">
        <v>692</v>
      </c>
      <c r="F123" s="102" t="s">
        <v>1000</v>
      </c>
      <c r="G123" s="102" t="s">
        <v>137</v>
      </c>
      <c r="H123" s="3204" t="s">
        <v>3387</v>
      </c>
      <c r="I123" s="3193"/>
      <c r="J123" s="3194"/>
    </row>
    <row r="124" spans="2:10" ht="127.5" customHeight="1">
      <c r="C124" s="3198" t="s">
        <v>7256</v>
      </c>
      <c r="D124" s="3199"/>
      <c r="E124" s="3199"/>
      <c r="F124" s="3199"/>
      <c r="G124" s="3199"/>
      <c r="H124" s="3199"/>
      <c r="I124" s="3199"/>
      <c r="J124" s="3199"/>
    </row>
  </sheetData>
  <sheetProtection autoFilter="0"/>
  <mergeCells count="174">
    <mergeCell ref="H78:J78"/>
    <mergeCell ref="B68:J68"/>
    <mergeCell ref="C70:C71"/>
    <mergeCell ref="G51:G52"/>
    <mergeCell ref="H52:J52"/>
    <mergeCell ref="H66:J66"/>
    <mergeCell ref="G65:G66"/>
    <mergeCell ref="F65:F66"/>
    <mergeCell ref="E65:E66"/>
    <mergeCell ref="D65:D66"/>
    <mergeCell ref="C65:C66"/>
    <mergeCell ref="F70:F71"/>
    <mergeCell ref="G70:G71"/>
    <mergeCell ref="H70:J70"/>
    <mergeCell ref="C60:C61"/>
    <mergeCell ref="C51:C52"/>
    <mergeCell ref="D51:D52"/>
    <mergeCell ref="E51:E52"/>
    <mergeCell ref="F51:F52"/>
    <mergeCell ref="D70:D71"/>
    <mergeCell ref="E70:E71"/>
    <mergeCell ref="H61:J61"/>
    <mergeCell ref="D60:D61"/>
    <mergeCell ref="E60:E61"/>
    <mergeCell ref="C121:C122"/>
    <mergeCell ref="D121:D122"/>
    <mergeCell ref="H120:J120"/>
    <mergeCell ref="G119:G120"/>
    <mergeCell ref="F119:F120"/>
    <mergeCell ref="E119:E120"/>
    <mergeCell ref="D119:D120"/>
    <mergeCell ref="C119:C120"/>
    <mergeCell ref="E121:E122"/>
    <mergeCell ref="F121:F122"/>
    <mergeCell ref="G121:G122"/>
    <mergeCell ref="H122:J122"/>
    <mergeCell ref="G24:G25"/>
    <mergeCell ref="B3:J3"/>
    <mergeCell ref="C124:J124"/>
    <mergeCell ref="C107:C108"/>
    <mergeCell ref="D107:D108"/>
    <mergeCell ref="E107:E108"/>
    <mergeCell ref="F107:F108"/>
    <mergeCell ref="G107:G108"/>
    <mergeCell ref="C112:C113"/>
    <mergeCell ref="D112:D113"/>
    <mergeCell ref="E112:E113"/>
    <mergeCell ref="F112:F113"/>
    <mergeCell ref="G112:G113"/>
    <mergeCell ref="C109:C110"/>
    <mergeCell ref="D109:D110"/>
    <mergeCell ref="E109:E110"/>
    <mergeCell ref="F109:F110"/>
    <mergeCell ref="G109:G110"/>
    <mergeCell ref="H108:J108"/>
    <mergeCell ref="H110:J110"/>
    <mergeCell ref="H123:J123"/>
    <mergeCell ref="H113:J113"/>
    <mergeCell ref="E116:E117"/>
    <mergeCell ref="F116:F117"/>
    <mergeCell ref="D39:D40"/>
    <mergeCell ref="C39:C40"/>
    <mergeCell ref="H33:J33"/>
    <mergeCell ref="G32:G33"/>
    <mergeCell ref="H40:J40"/>
    <mergeCell ref="B1:C1"/>
    <mergeCell ref="B6:J6"/>
    <mergeCell ref="B4:J4"/>
    <mergeCell ref="C8:C9"/>
    <mergeCell ref="D8:D9"/>
    <mergeCell ref="E8:E9"/>
    <mergeCell ref="F8:F9"/>
    <mergeCell ref="G8:G9"/>
    <mergeCell ref="H8:J8"/>
    <mergeCell ref="H25:J25"/>
    <mergeCell ref="D1:J1"/>
    <mergeCell ref="B14:J14"/>
    <mergeCell ref="G16:G17"/>
    <mergeCell ref="H23:J23"/>
    <mergeCell ref="C22:C23"/>
    <mergeCell ref="C12:J12"/>
    <mergeCell ref="H21:J21"/>
    <mergeCell ref="G22:G23"/>
    <mergeCell ref="H16:J16"/>
    <mergeCell ref="E49:E50"/>
    <mergeCell ref="D16:D17"/>
    <mergeCell ref="E16:E17"/>
    <mergeCell ref="F16:F17"/>
    <mergeCell ref="E24:E25"/>
    <mergeCell ref="F24:F25"/>
    <mergeCell ref="C20:C21"/>
    <mergeCell ref="C30:C31"/>
    <mergeCell ref="D30:D31"/>
    <mergeCell ref="E30:E31"/>
    <mergeCell ref="D20:D21"/>
    <mergeCell ref="F37:F38"/>
    <mergeCell ref="E37:E38"/>
    <mergeCell ref="D37:D38"/>
    <mergeCell ref="C16:C17"/>
    <mergeCell ref="C24:C25"/>
    <mergeCell ref="F49:F50"/>
    <mergeCell ref="C37:C38"/>
    <mergeCell ref="D24:D25"/>
    <mergeCell ref="E22:E23"/>
    <mergeCell ref="F22:F23"/>
    <mergeCell ref="D49:D50"/>
    <mergeCell ref="C49:C50"/>
    <mergeCell ref="E39:E40"/>
    <mergeCell ref="H50:J50"/>
    <mergeCell ref="G20:G21"/>
    <mergeCell ref="F20:F21"/>
    <mergeCell ref="E20:E21"/>
    <mergeCell ref="F30:F31"/>
    <mergeCell ref="G30:G31"/>
    <mergeCell ref="G49:G50"/>
    <mergeCell ref="F32:F33"/>
    <mergeCell ref="E32:E33"/>
    <mergeCell ref="G39:G40"/>
    <mergeCell ref="F39:F40"/>
    <mergeCell ref="B42:J42"/>
    <mergeCell ref="C44:C45"/>
    <mergeCell ref="D44:D45"/>
    <mergeCell ref="E44:E45"/>
    <mergeCell ref="F44:F45"/>
    <mergeCell ref="H31:J31"/>
    <mergeCell ref="G44:G45"/>
    <mergeCell ref="H44:J44"/>
    <mergeCell ref="H38:J38"/>
    <mergeCell ref="G37:G38"/>
    <mergeCell ref="D32:D33"/>
    <mergeCell ref="C32:C33"/>
    <mergeCell ref="D22:D23"/>
    <mergeCell ref="F60:F61"/>
    <mergeCell ref="G79:G80"/>
    <mergeCell ref="C77:C78"/>
    <mergeCell ref="D77:D78"/>
    <mergeCell ref="E77:E78"/>
    <mergeCell ref="F77:F78"/>
    <mergeCell ref="G77:G78"/>
    <mergeCell ref="F93:F94"/>
    <mergeCell ref="E93:E94"/>
    <mergeCell ref="D93:D94"/>
    <mergeCell ref="C93:C94"/>
    <mergeCell ref="G60:G61"/>
    <mergeCell ref="C84:C85"/>
    <mergeCell ref="C89:C90"/>
    <mergeCell ref="D89:D90"/>
    <mergeCell ref="E89:E90"/>
    <mergeCell ref="F89:F90"/>
    <mergeCell ref="G89:G90"/>
    <mergeCell ref="H85:J85"/>
    <mergeCell ref="H80:J80"/>
    <mergeCell ref="D84:D85"/>
    <mergeCell ref="E84:E85"/>
    <mergeCell ref="F84:F85"/>
    <mergeCell ref="B96:J96"/>
    <mergeCell ref="H98:J98"/>
    <mergeCell ref="G116:G117"/>
    <mergeCell ref="H117:J117"/>
    <mergeCell ref="E79:E80"/>
    <mergeCell ref="F79:F80"/>
    <mergeCell ref="C116:C117"/>
    <mergeCell ref="D116:D117"/>
    <mergeCell ref="G84:G85"/>
    <mergeCell ref="H94:J94"/>
    <mergeCell ref="G93:G94"/>
    <mergeCell ref="G98:G99"/>
    <mergeCell ref="C98:C99"/>
    <mergeCell ref="D98:D99"/>
    <mergeCell ref="E98:E99"/>
    <mergeCell ref="F98:F99"/>
    <mergeCell ref="C79:C80"/>
    <mergeCell ref="D79:D80"/>
    <mergeCell ref="H90:J90"/>
  </mergeCells>
  <phoneticPr fontId="9" type="noConversion"/>
  <hyperlinks>
    <hyperlink ref="B1" location="Index!A1" display="Назад"/>
    <hyperlink ref="C30:C31" location="'2.5'!A1" display="Берсерк"/>
    <hyperlink ref="C62" location="'2.4'!A1" display="Клон"/>
    <hyperlink ref="H33:J33" location="'2.6'!A1" display="'2.6'!A1"/>
    <hyperlink ref="C32:C33" location="'2.6'!A1" display="Огненный щит"/>
    <hyperlink ref="C63" location="'2.7'!A1" display="Молитва"/>
    <hyperlink ref="C73" location="'2.7'!A1" display="Медлительность"/>
    <hyperlink ref="C112:C113" location="'2.9'!A1" display="Гипноз"/>
    <hyperlink ref="C114" location="'2.10'!A1" display="Цепная молния"/>
  </hyperlinks>
  <printOptions horizontalCentered="1"/>
  <pageMargins left="0.23622047244094491" right="0.23622047244094491" top="0.74803149606299213" bottom="0.74803149606299213" header="0.31496062992125984" footer="0.31496062992125984"/>
  <pageSetup paperSize="9" scale="97" orientation="landscape" r:id="rId1"/>
  <headerFooter alignWithMargins="0"/>
  <rowBreaks count="8" manualBreakCount="8">
    <brk id="21" max="9" man="1"/>
    <brk id="28" max="9" man="1"/>
    <brk id="36" max="9" man="1"/>
    <brk id="48" max="9" man="1"/>
    <brk id="58" max="9" man="1"/>
    <brk id="88" max="9" man="1"/>
    <brk id="111" max="9" man="1"/>
    <brk id="130" max="9" man="1"/>
  </rowBreaks>
  <ignoredErrors>
    <ignoredError sqref="D39 F39 F24 D24 F26:F30 D26:D30 D19:D20 F19:F20 F34:F37 D34:D37 D32 F32 B121:G121 B46:J46 B95:J100 B123:C123 B122:G122 I122:J122 E123:G123 B57:J59 B56:G56 I56:J56 B80:J80 B79:G79 I79:J79 B49:J50 B47:G47 I47 B52:J53 B51:G51 I51:J51 B55:J55 B54:G54 I54 B65:J74 B60:G60 I60:J60 B61:G61 I61:J61 B62:G62 I62:J62 B63:G63 I63:J63 B64:G64 I64:J64 B77:J77 B75:G75 I75:J75 B76:G76 I76:J76 B78:G78 I78:J78 B83:J83 B81:G81 I81:J81 B86:J86 B84:G84 I84:J84 B85:G85 I85:J85 B88:J88 B87:G87 I87:J87 B92:J93 B91:G91 I91:J91 B104:J109 B101:G101 I101:J101 B102:G102 J102 B103:G103 I103:J103 B111:J111 B110:G110 I110:J110 B119:J119 B112:G112 I112:J112 B113:G113 I113:J113 B114:G114 I114:J114 B115:G115 I115:J115 B116:G116 I116 B117:G117 I117:J117 B118:G118 I118:J118 I121:J121 I123:J123 B82:G82 J82 B48:G48 I48:J48 D22 F22" numberStoredAsText="1"/>
  </ignoredErrors>
  <drawing r:id="rId2"/>
</worksheet>
</file>

<file path=xl/worksheets/sheet19.xml><?xml version="1.0" encoding="utf-8"?>
<worksheet xmlns="http://schemas.openxmlformats.org/spreadsheetml/2006/main" xmlns:r="http://schemas.openxmlformats.org/officeDocument/2006/relationships">
  <dimension ref="B1:R228"/>
  <sheetViews>
    <sheetView zoomScaleNormal="100" workbookViewId="0">
      <pane ySplit="4" topLeftCell="A5" activePane="bottomLeft" state="frozen"/>
      <selection pane="bottomLeft" activeCell="B1" sqref="B1"/>
    </sheetView>
  </sheetViews>
  <sheetFormatPr defaultRowHeight="12.75"/>
  <cols>
    <col min="1" max="1" width="3.7109375" style="292" customWidth="1"/>
    <col min="2" max="2" width="13.42578125" style="292" customWidth="1"/>
    <col min="3" max="3" width="24.7109375" style="2389" bestFit="1" customWidth="1"/>
    <col min="4" max="4" width="21.7109375" style="292" bestFit="1" customWidth="1"/>
    <col min="5" max="5" width="9.140625" style="292" bestFit="1" customWidth="1"/>
    <col min="6" max="6" width="22.140625" style="292" bestFit="1" customWidth="1"/>
    <col min="7" max="7" width="14" style="292" bestFit="1" customWidth="1"/>
    <col min="8" max="8" width="17.7109375" style="1413" bestFit="1" customWidth="1"/>
    <col min="9" max="9" width="18.7109375" style="292" bestFit="1" customWidth="1"/>
    <col min="10" max="10" width="6" style="292" bestFit="1" customWidth="1"/>
    <col min="11" max="11" width="2" style="292" bestFit="1" customWidth="1"/>
    <col min="12" max="12" width="15.140625" style="292" bestFit="1" customWidth="1"/>
    <col min="13" max="13" width="3" style="292" bestFit="1" customWidth="1"/>
    <col min="14" max="14" width="6.7109375" style="292" bestFit="1" customWidth="1"/>
    <col min="15" max="16384" width="9.140625" style="292"/>
  </cols>
  <sheetData>
    <row r="1" spans="2:10" s="288" customFormat="1" ht="12.95" customHeight="1">
      <c r="B1" s="2375" t="s">
        <v>2706</v>
      </c>
      <c r="C1" s="3195" t="s">
        <v>8269</v>
      </c>
      <c r="D1" s="3195"/>
      <c r="E1" s="3195"/>
      <c r="F1" s="3195"/>
      <c r="G1" s="3195"/>
      <c r="H1" s="3195"/>
      <c r="I1" s="3195"/>
    </row>
    <row r="2" spans="2:10" s="288" customFormat="1" ht="5.0999999999999996" customHeight="1">
      <c r="B2" s="735"/>
      <c r="C2" s="2391"/>
      <c r="D2" s="2391"/>
      <c r="E2" s="2391"/>
      <c r="H2" s="1412"/>
    </row>
    <row r="3" spans="2:10" s="288" customFormat="1" ht="12.95" customHeight="1">
      <c r="B3" s="3075" t="s">
        <v>7653</v>
      </c>
      <c r="C3" s="3075"/>
      <c r="D3" s="3075"/>
      <c r="E3" s="3075"/>
      <c r="F3" s="3075"/>
      <c r="G3" s="3075"/>
      <c r="H3" s="3075"/>
      <c r="I3" s="3075"/>
    </row>
    <row r="4" spans="2:10" s="288" customFormat="1" ht="5.0999999999999996" customHeight="1">
      <c r="B4" s="2393"/>
      <c r="C4" s="2393"/>
      <c r="D4" s="2393"/>
      <c r="E4" s="2393"/>
      <c r="F4" s="2393"/>
      <c r="G4" s="2393"/>
      <c r="H4" s="2393"/>
    </row>
    <row r="5" spans="2:10" s="288" customFormat="1" ht="65.099999999999994" customHeight="1">
      <c r="B5" s="2960" t="s">
        <v>10043</v>
      </c>
      <c r="C5" s="3220"/>
      <c r="D5" s="3220"/>
      <c r="E5" s="3220"/>
      <c r="F5" s="3220"/>
      <c r="G5" s="3220"/>
      <c r="H5" s="3220"/>
      <c r="I5" s="3220"/>
    </row>
    <row r="6" spans="2:10" s="288" customFormat="1" ht="5.0999999999999996" customHeight="1">
      <c r="B6" s="2424"/>
      <c r="C6" s="2424"/>
      <c r="D6" s="2424"/>
      <c r="E6" s="2424"/>
      <c r="F6" s="2424"/>
      <c r="G6" s="2424"/>
      <c r="H6" s="2424"/>
    </row>
    <row r="7" spans="2:10" s="288" customFormat="1" ht="12.95" customHeight="1" thickBot="1">
      <c r="B7" s="3215" t="s">
        <v>7780</v>
      </c>
      <c r="C7" s="3216"/>
      <c r="D7" s="3216"/>
      <c r="E7" s="3216"/>
      <c r="F7" s="3216"/>
      <c r="G7" s="3217"/>
      <c r="H7" s="3218" t="s">
        <v>7781</v>
      </c>
      <c r="I7" s="3219"/>
      <c r="J7" s="2430"/>
    </row>
    <row r="8" spans="2:10" ht="26.1" customHeight="1">
      <c r="B8" s="2433" t="s">
        <v>7659</v>
      </c>
      <c r="C8" s="2426" t="s">
        <v>963</v>
      </c>
      <c r="D8" s="3211" t="s">
        <v>7657</v>
      </c>
      <c r="E8" s="3213">
        <v>1</v>
      </c>
      <c r="F8" s="3211" t="str">
        <f>IF(C9="Магия огня","Выберите уровень развития Магии огня:",IF(C9="Любая","Выберите уровень наиболее развитой магии:",IF(C9="Магия воды","Выберите уровень развития Магии воды:",IF(C9="Магия воздуха","Выберите уровень развития Магии воздуха:",IF(C9="Магия земли","Выберите уровень развития Магии земли:"," ")))))</f>
        <v>Выберите уровень наиболее развитой магии:</v>
      </c>
      <c r="G8" s="3239" t="s">
        <v>1463</v>
      </c>
      <c r="H8" s="2433" t="s">
        <v>7651</v>
      </c>
      <c r="I8" s="2429" t="s">
        <v>182</v>
      </c>
    </row>
    <row r="9" spans="2:10" ht="13.5" thickBot="1">
      <c r="B9" s="2449" t="s">
        <v>7658</v>
      </c>
      <c r="C9" s="2450" t="str">
        <f>VLOOKUP(C8,F22:G91,2,FALSE)</f>
        <v>Любая</v>
      </c>
      <c r="D9" s="3212"/>
      <c r="E9" s="3214"/>
      <c r="F9" s="3212"/>
      <c r="G9" s="3240"/>
      <c r="H9" s="3221" t="s">
        <v>7652</v>
      </c>
      <c r="I9" s="3223" t="str">
        <f>VLOOKUP(I8,B22:C176,2,FALSE)</f>
        <v>Баллиста</v>
      </c>
    </row>
    <row r="10" spans="2:10" ht="12.95" customHeight="1" thickTop="1">
      <c r="B10" s="3225" t="s">
        <v>7839</v>
      </c>
      <c r="C10" s="3226"/>
      <c r="D10" s="3226"/>
      <c r="E10" s="3226"/>
      <c r="F10" s="3226"/>
      <c r="G10" s="3227"/>
      <c r="H10" s="3222"/>
      <c r="I10" s="3224"/>
    </row>
    <row r="11" spans="2:10" ht="51.95" customHeight="1" thickBot="1">
      <c r="B11" s="2448" t="s">
        <v>7840</v>
      </c>
      <c r="C11" s="2432" t="s">
        <v>1463</v>
      </c>
      <c r="D11" s="2425" t="str">
        <f>IF(C8="Жертва","Введите здоровье существа-жертвы:"," ")</f>
        <v xml:space="preserve"> </v>
      </c>
      <c r="E11" s="2427"/>
      <c r="F11" s="2447" t="str">
        <f>IF(AND(I9=C8,OR(I8="Адель",I8="Септиенна",I8="Аламар",I8="Жеддит",I8="Астрал",I8="Аш",I8="Интеус",I8="Ксирон",I8="Кси",I8="Дарксторн",I8="Мерист",I8="Лабета",I8="Аделаида",I8="Алагар",I8="Уланд",I8="Аислин",I8="Деемер",I8="Лоинс",I8="Ксарфакс",I8="Тант",I8="Корониус",I8="Катберт",I8="Олема",I8="Мирланда",I8="Зубин",I8="Кира",I8="Терек",I8="Брисса",I8="Солмир")),"Введите уровень существа-цели заклинания:",IF(C8="Жертва","Введите количество существ в отряде-жертве:","Тут могут потребоваться дополнительные данные"))</f>
        <v>Тут могут потребоваться дополнительные данные</v>
      </c>
      <c r="G11" s="2428"/>
      <c r="H11" s="2434" t="s">
        <v>7656</v>
      </c>
      <c r="I11" s="2431">
        <v>1</v>
      </c>
    </row>
    <row r="12" spans="2:10" ht="5.0999999999999996" customHeight="1">
      <c r="B12" s="2368"/>
      <c r="C12" s="1051"/>
    </row>
    <row r="13" spans="2:10" ht="12.95" customHeight="1" thickBot="1">
      <c r="B13" s="3241" t="s">
        <v>7782</v>
      </c>
      <c r="C13" s="3241"/>
      <c r="D13" s="3241"/>
      <c r="E13" s="3241"/>
      <c r="F13" s="3241"/>
      <c r="G13" s="3241"/>
      <c r="H13" s="3241"/>
      <c r="I13" s="3241"/>
    </row>
    <row r="14" spans="2:10" ht="12.75" customHeight="1">
      <c r="B14" s="3233" t="str">
        <f>IF(F11="Введите уровень существа-цели заклинания:",IF(OR(G11&lt;1,G11&gt;7),"ВВЕДИТЕ УРОВЕНЬ СУЩЕСТВА-ЦЕЛИ ЗАКЛИНАНИЯ В ФИОЛЕТОВОЕ ПОЛЕ!",IF(G8="Продвинутая",VLOOKUP(C8,F22:Q91,11,FALSE),IF(G8="Экспертная",VLOOKUP(C8,F22:Q91,12,FALSE),VLOOKUP(C8,F22:Q91,10,FALSE)))),IF(G8="Продвинутая",VLOOKUP(C8,F22:Q91,11,FALSE),IF(G8="Экспертная",VLOOKUP(C8,F22:Q91,12,FALSE),VLOOKUP(C8,F22:Q91,10,FALSE))))</f>
        <v>Мгновенно наносит урон цели:</v>
      </c>
      <c r="C14" s="3234"/>
      <c r="D14" s="3234"/>
      <c r="E14" s="3230">
        <f>IF(B14="ВВЕДИТЕ УРОВЕНЬ СУЩЕСТВА-ЦЕЛИ ЗАКЛИНАНИЯ В ФИОЛЕТОВОЕ ПОЛЕ!"," ",IF(G8="Продвинутая",VLOOKUP(C8,F22:P1053,4,FALSE),IF(G8="Экспертная",VLOOKUP(C8,F22:P1053,5,FALSE),VLOOKUP(C8,F22:P1053,3,FALSE))))</f>
        <v>20</v>
      </c>
      <c r="F14" s="3207" t="s">
        <v>7663</v>
      </c>
      <c r="G14" s="3208"/>
      <c r="H14" s="3209">
        <f>VLOOKUP(C8,F22:O91,6,FALSE)</f>
        <v>1</v>
      </c>
      <c r="I14" s="3210"/>
    </row>
    <row r="15" spans="2:10" ht="12.75" customHeight="1">
      <c r="B15" s="3235"/>
      <c r="C15" s="3236"/>
      <c r="D15" s="3236"/>
      <c r="E15" s="3231"/>
      <c r="F15" s="3244" t="s">
        <v>7662</v>
      </c>
      <c r="G15" s="3245"/>
      <c r="H15" s="3246" t="str">
        <f>VLOOKUP(C8,F22:O91,7,FALSE)</f>
        <v>Ударное</v>
      </c>
      <c r="I15" s="3247"/>
    </row>
    <row r="16" spans="2:10" ht="12.75" customHeight="1">
      <c r="B16" s="3235"/>
      <c r="C16" s="3236"/>
      <c r="D16" s="3236"/>
      <c r="E16" s="3231"/>
      <c r="F16" s="3244" t="str">
        <f>IF(OR(H15="Ударное",H15="Восстановление",H15="Рассеивание",C8="Вызов корабля",C8="Затопить корабль",C8="Телепорт",C8="Воскрешение",C8="Городской портал",C8="Дверь измерений")," ","Длительность заклинания:")</f>
        <v xml:space="preserve"> </v>
      </c>
      <c r="G16" s="3245"/>
      <c r="H16" s="3246" t="str">
        <f>IF(F16=" "," ",VLOOKUP(C8,F22:O91,9,FALSE))</f>
        <v xml:space="preserve"> </v>
      </c>
      <c r="I16" s="3247"/>
    </row>
    <row r="17" spans="2:18" ht="12.75" customHeight="1">
      <c r="B17" s="3235"/>
      <c r="C17" s="3236"/>
      <c r="D17" s="3236"/>
      <c r="E17" s="3231"/>
      <c r="F17" s="3244" t="s">
        <v>7665</v>
      </c>
      <c r="G17" s="3245"/>
      <c r="H17" s="3248">
        <f>IF(C8="Гром титана",0,IF(G8="Нет",VLOOKUP(C8,F22:O91,8,FALSE),IF(C8="Телепорт",IF(G8="Базовая",12,IF(G8="Продвинутая",6,IF('2.2'!G8="Экспертная",3,15))),VLOOKUP(C8,F22:O91,8,FALSE)-H14)))</f>
        <v>5</v>
      </c>
      <c r="I17" s="3249"/>
    </row>
    <row r="18" spans="2:18" ht="12.75" customHeight="1">
      <c r="B18" s="3235"/>
      <c r="C18" s="3236"/>
      <c r="D18" s="3236"/>
      <c r="E18" s="3231"/>
      <c r="F18" s="3242" t="s">
        <v>1322</v>
      </c>
      <c r="G18" s="3242"/>
      <c r="H18" s="3242"/>
      <c r="I18" s="3243"/>
    </row>
    <row r="19" spans="2:18" ht="104.1" customHeight="1" thickBot="1">
      <c r="B19" s="3237"/>
      <c r="C19" s="3238"/>
      <c r="D19" s="3238"/>
      <c r="E19" s="3232"/>
      <c r="F19" s="3228" t="str">
        <f>VLOOKUP(C8,F22:S91,13,FALSE)</f>
        <v xml:space="preserve"> </v>
      </c>
      <c r="G19" s="3228"/>
      <c r="H19" s="3228"/>
      <c r="I19" s="3229"/>
    </row>
    <row r="20" spans="2:18" ht="25.5" customHeight="1">
      <c r="B20" s="3206" t="s">
        <v>9758</v>
      </c>
      <c r="C20" s="3206"/>
      <c r="D20" s="3206"/>
      <c r="E20" s="3206"/>
      <c r="F20" s="3206"/>
      <c r="G20" s="3206"/>
      <c r="H20" s="3206"/>
      <c r="I20" s="3206"/>
    </row>
    <row r="21" spans="2:18" ht="13.5" hidden="1" thickBot="1">
      <c r="B21" s="292" t="s">
        <v>7825</v>
      </c>
      <c r="C21" s="2420" t="s">
        <v>7652</v>
      </c>
      <c r="F21" s="292" t="s">
        <v>7828</v>
      </c>
      <c r="G21" s="292" t="s">
        <v>7658</v>
      </c>
      <c r="H21" s="1413" t="s">
        <v>7829</v>
      </c>
      <c r="I21" s="292" t="s">
        <v>7830</v>
      </c>
      <c r="J21" s="292" t="s">
        <v>7831</v>
      </c>
      <c r="K21" s="292" t="s">
        <v>7832</v>
      </c>
      <c r="L21" s="292" t="s">
        <v>7833</v>
      </c>
      <c r="M21" s="292" t="s">
        <v>3059</v>
      </c>
      <c r="N21" s="292" t="s">
        <v>7834</v>
      </c>
      <c r="O21" s="292" t="s">
        <v>7835</v>
      </c>
      <c r="P21" s="292" t="s">
        <v>7836</v>
      </c>
      <c r="Q21" s="292" t="s">
        <v>7837</v>
      </c>
      <c r="R21" s="292" t="s">
        <v>7838</v>
      </c>
    </row>
    <row r="22" spans="2:18" hidden="1">
      <c r="B22" s="1449" t="s">
        <v>1153</v>
      </c>
      <c r="C22" s="507" t="s">
        <v>867</v>
      </c>
      <c r="D22" s="292" t="s">
        <v>7826</v>
      </c>
      <c r="E22" s="292" t="s">
        <v>7827</v>
      </c>
      <c r="F22" s="2443" t="s">
        <v>963</v>
      </c>
      <c r="G22" s="1599" t="s">
        <v>7660</v>
      </c>
      <c r="H22" s="2444">
        <f>IF(I8="Циель",ROUNDUP((E8*10+10)*1.5,0),E8*10+10)*D111</f>
        <v>20</v>
      </c>
      <c r="I22" s="1599">
        <f>IF(I8="Циель",ROUNDUP((E8*10+20)*1.5,0),E8*10+20)*D111</f>
        <v>30</v>
      </c>
      <c r="J22" s="1599">
        <f>IF(I8="Циель",ROUNDUP((E8*10+30)*1.5,0),E8*10+30)*D111</f>
        <v>40</v>
      </c>
      <c r="K22" s="1599">
        <v>1</v>
      </c>
      <c r="L22" s="1599" t="s">
        <v>7672</v>
      </c>
      <c r="M22" s="1599">
        <v>5</v>
      </c>
      <c r="N22" s="1599" t="s">
        <v>137</v>
      </c>
      <c r="O22" s="1599" t="s">
        <v>7661</v>
      </c>
      <c r="P22" s="1599" t="s">
        <v>7667</v>
      </c>
      <c r="Q22" s="1599" t="s">
        <v>7661</v>
      </c>
      <c r="R22" s="1600" t="s">
        <v>7666</v>
      </c>
    </row>
    <row r="23" spans="2:18" hidden="1">
      <c r="B23" s="1447" t="s">
        <v>1148</v>
      </c>
      <c r="C23" s="511" t="s">
        <v>1150</v>
      </c>
      <c r="D23" s="292">
        <v>1</v>
      </c>
      <c r="E23" s="292">
        <v>1</v>
      </c>
      <c r="F23" s="2421" t="s">
        <v>1864</v>
      </c>
      <c r="G23" s="1601" t="s">
        <v>7660</v>
      </c>
      <c r="H23" s="2437">
        <f>IF(E8&lt;3,3,E8)</f>
        <v>3</v>
      </c>
      <c r="I23" s="1601">
        <f>IF(E8*2&lt;3,3,E8*2)</f>
        <v>3</v>
      </c>
      <c r="J23" s="1601">
        <f>IF(E8*3&lt;3,3,E8*3)</f>
        <v>3</v>
      </c>
      <c r="K23" s="1601">
        <v>2</v>
      </c>
      <c r="L23" s="1601" t="s">
        <v>7671</v>
      </c>
      <c r="M23" s="1601">
        <v>4</v>
      </c>
      <c r="N23" s="1601" t="s">
        <v>2053</v>
      </c>
      <c r="O23" s="1601" t="s">
        <v>7664</v>
      </c>
      <c r="P23" s="1601" t="s">
        <v>7668</v>
      </c>
      <c r="Q23" s="1601" t="s">
        <v>7669</v>
      </c>
      <c r="R23" s="1602" t="s">
        <v>7670</v>
      </c>
    </row>
    <row r="24" spans="2:18" hidden="1">
      <c r="B24" s="1447" t="s">
        <v>1355</v>
      </c>
      <c r="C24" s="511" t="s">
        <v>2832</v>
      </c>
      <c r="D24" s="292">
        <v>2</v>
      </c>
      <c r="E24" s="292">
        <v>2</v>
      </c>
      <c r="F24" s="2423" t="s">
        <v>2371</v>
      </c>
      <c r="G24" s="1601" t="s">
        <v>97</v>
      </c>
      <c r="H24" s="2437">
        <f>IF(OR(I8="Аш",I8="Интеус"),IF(OR(G11=1,G11=2),6,IF(OR(G11=3,G11=4),5,IF(OR(G11=5,G11=6),4,3))),3)</f>
        <v>3</v>
      </c>
      <c r="I24" s="1601">
        <f>IF(OR(I8="Аш",I8="Интеус"),IF(OR(G11=1,G11=2),9,IF(OR(G11=3,G11=4),8,IF(OR(G11=5,G11=6),7,6))),6)</f>
        <v>6</v>
      </c>
      <c r="J24" s="1601">
        <f>IF(OR(I8="Аш",I8="Интеус"),IF(OR(G11=1,G11=2),9,IF(OR(G11=3,G11=4),8,IF(OR(G11=5,G11=6),7,6))),6)</f>
        <v>6</v>
      </c>
      <c r="K24" s="1601">
        <v>1</v>
      </c>
      <c r="L24" s="1601" t="s">
        <v>1150</v>
      </c>
      <c r="M24" s="1601">
        <v>5</v>
      </c>
      <c r="N24" s="1601">
        <f>E8</f>
        <v>1</v>
      </c>
      <c r="O24" s="1601" t="s">
        <v>7673</v>
      </c>
      <c r="P24" s="1601" t="s">
        <v>7673</v>
      </c>
      <c r="Q24" s="1601" t="s">
        <v>7674</v>
      </c>
      <c r="R24" s="1602" t="s">
        <v>7666</v>
      </c>
    </row>
    <row r="25" spans="2:18" hidden="1">
      <c r="B25" s="1452" t="s">
        <v>1251</v>
      </c>
      <c r="C25" s="511" t="s">
        <v>97</v>
      </c>
      <c r="D25" s="292">
        <v>3</v>
      </c>
      <c r="E25" s="292">
        <v>3</v>
      </c>
      <c r="F25" s="2421" t="s">
        <v>2056</v>
      </c>
      <c r="G25" s="1601" t="s">
        <v>97</v>
      </c>
      <c r="H25" s="2437" t="s">
        <v>7666</v>
      </c>
      <c r="I25" s="1601" t="s">
        <v>7666</v>
      </c>
      <c r="J25" s="1601" t="s">
        <v>7666</v>
      </c>
      <c r="K25" s="1601">
        <v>1</v>
      </c>
      <c r="L25" s="1601" t="s">
        <v>2056</v>
      </c>
      <c r="M25" s="1601">
        <v>6</v>
      </c>
      <c r="N25" s="1601">
        <f>E8</f>
        <v>1</v>
      </c>
      <c r="O25" s="1601" t="s">
        <v>7676</v>
      </c>
      <c r="P25" s="1601" t="s">
        <v>7675</v>
      </c>
      <c r="Q25" s="1601" t="s">
        <v>7677</v>
      </c>
      <c r="R25" s="1602" t="s">
        <v>7678</v>
      </c>
    </row>
    <row r="26" spans="2:18" hidden="1">
      <c r="B26" s="1447" t="s">
        <v>1504</v>
      </c>
      <c r="C26" s="511" t="s">
        <v>2071</v>
      </c>
      <c r="D26" s="292">
        <v>4</v>
      </c>
      <c r="E26" s="292">
        <v>4</v>
      </c>
      <c r="F26" s="2423" t="s">
        <v>2186</v>
      </c>
      <c r="G26" s="1601" t="s">
        <v>97</v>
      </c>
      <c r="H26" s="2438" t="s">
        <v>2973</v>
      </c>
      <c r="I26" s="2439" t="s">
        <v>2976</v>
      </c>
      <c r="J26" s="2439" t="s">
        <v>2976</v>
      </c>
      <c r="K26" s="1601">
        <v>1</v>
      </c>
      <c r="L26" s="1601" t="s">
        <v>1150</v>
      </c>
      <c r="M26" s="1601">
        <v>5</v>
      </c>
      <c r="N26" s="1601">
        <f>E8</f>
        <v>1</v>
      </c>
      <c r="O26" s="1601" t="s">
        <v>7679</v>
      </c>
      <c r="P26" s="1601" t="s">
        <v>7679</v>
      </c>
      <c r="Q26" s="1601" t="s">
        <v>7680</v>
      </c>
      <c r="R26" s="1602" t="s">
        <v>7681</v>
      </c>
    </row>
    <row r="27" spans="2:18" hidden="1">
      <c r="B27" s="1447" t="s">
        <v>1696</v>
      </c>
      <c r="C27" s="511" t="s">
        <v>1142</v>
      </c>
      <c r="D27" s="292">
        <v>5</v>
      </c>
      <c r="E27" s="292">
        <v>5</v>
      </c>
      <c r="F27" s="2421" t="s">
        <v>2359</v>
      </c>
      <c r="G27" s="1601" t="s">
        <v>97</v>
      </c>
      <c r="H27" s="2438" t="s">
        <v>2976</v>
      </c>
      <c r="I27" s="2439" t="s">
        <v>7683</v>
      </c>
      <c r="J27" s="1601" t="s">
        <v>7666</v>
      </c>
      <c r="K27" s="1601">
        <v>2</v>
      </c>
      <c r="L27" s="1601" t="s">
        <v>2056</v>
      </c>
      <c r="M27" s="1601">
        <v>10</v>
      </c>
      <c r="N27" s="1601">
        <f>E8</f>
        <v>1</v>
      </c>
      <c r="O27" s="1601" t="s">
        <v>7682</v>
      </c>
      <c r="P27" s="1601" t="s">
        <v>7682</v>
      </c>
      <c r="Q27" s="1601" t="s">
        <v>7684</v>
      </c>
      <c r="R27" s="1602" t="s">
        <v>9759</v>
      </c>
    </row>
    <row r="28" spans="2:18" hidden="1">
      <c r="B28" s="1447" t="s">
        <v>9760</v>
      </c>
      <c r="C28" s="511" t="s">
        <v>2568</v>
      </c>
      <c r="D28" s="292">
        <v>6</v>
      </c>
      <c r="E28" s="292">
        <v>6</v>
      </c>
      <c r="F28" s="2423" t="s">
        <v>866</v>
      </c>
      <c r="G28" s="1601" t="s">
        <v>97</v>
      </c>
      <c r="H28" s="2437">
        <f>IF(I8="Луна",2*(E8*10+10),E8*10+10)*D111</f>
        <v>20</v>
      </c>
      <c r="I28" s="1601">
        <f>IF(I8="Луна",2*(E8*10+20),E8*10+20)*D111</f>
        <v>30</v>
      </c>
      <c r="J28" s="1601">
        <f>IF(I8="Луна",2*(E8*10+50),E8*10+50)*D111</f>
        <v>60</v>
      </c>
      <c r="K28" s="1601">
        <v>2</v>
      </c>
      <c r="L28" s="1601" t="s">
        <v>7685</v>
      </c>
      <c r="M28" s="1601">
        <v>8</v>
      </c>
      <c r="N28" s="1601" t="s">
        <v>7686</v>
      </c>
      <c r="O28" s="1601" t="s">
        <v>7687</v>
      </c>
      <c r="P28" s="1601" t="s">
        <v>7688</v>
      </c>
      <c r="Q28" s="1601" t="s">
        <v>7688</v>
      </c>
      <c r="R28" s="1602" t="s">
        <v>10044</v>
      </c>
    </row>
    <row r="29" spans="2:18" hidden="1">
      <c r="B29" s="1447" t="s">
        <v>1341</v>
      </c>
      <c r="C29" s="511" t="s">
        <v>2452</v>
      </c>
      <c r="D29" s="292">
        <v>7</v>
      </c>
      <c r="E29" s="292">
        <v>7</v>
      </c>
      <c r="F29" s="2421" t="s">
        <v>1306</v>
      </c>
      <c r="G29" s="1601" t="s">
        <v>97</v>
      </c>
      <c r="H29" s="2437">
        <f>IF(I8="Ксарфакс",ROUNDUP((E8*10+15)*(1+(I11/G11)*0.03),0),E8*10+15)*D111</f>
        <v>25</v>
      </c>
      <c r="I29" s="1601">
        <f>IF(I8="Ксарфакс",ROUNDUP((E8*10+30)*(1+(I11/G11)*0.03),0),E8*10+30)*D111</f>
        <v>40</v>
      </c>
      <c r="J29" s="1601">
        <f>IF(I8="Ксарфакс",ROUNDUP((E8*10+60)*(1+(I11/G11)*0.03),0),E8*10+60)*D111</f>
        <v>70</v>
      </c>
      <c r="K29" s="1601">
        <v>3</v>
      </c>
      <c r="L29" s="1601" t="s">
        <v>7672</v>
      </c>
      <c r="M29" s="1601">
        <v>15</v>
      </c>
      <c r="N29" s="1601" t="s">
        <v>137</v>
      </c>
      <c r="O29" s="1601" t="s">
        <v>7689</v>
      </c>
      <c r="P29" s="1601" t="s">
        <v>7689</v>
      </c>
      <c r="Q29" s="1601" t="s">
        <v>7689</v>
      </c>
      <c r="R29" s="1602" t="s">
        <v>9761</v>
      </c>
    </row>
    <row r="30" spans="2:18" hidden="1">
      <c r="B30" s="1447" t="s">
        <v>1699</v>
      </c>
      <c r="C30" s="511" t="s">
        <v>869</v>
      </c>
      <c r="D30" s="292">
        <v>8</v>
      </c>
      <c r="E30" s="292">
        <v>8</v>
      </c>
      <c r="F30" s="2423" t="s">
        <v>2390</v>
      </c>
      <c r="G30" s="1601" t="s">
        <v>97</v>
      </c>
      <c r="H30" s="2437">
        <f>(E8*10+25)*D111</f>
        <v>35</v>
      </c>
      <c r="I30" s="1601">
        <f>(E8*10+50)*D111</f>
        <v>60</v>
      </c>
      <c r="J30" s="1601">
        <f>(E8*10+100)*D111</f>
        <v>110</v>
      </c>
      <c r="K30" s="1601">
        <v>3</v>
      </c>
      <c r="L30" s="1601" t="s">
        <v>7685</v>
      </c>
      <c r="M30" s="1601">
        <v>18</v>
      </c>
      <c r="N30" s="1601" t="s">
        <v>7690</v>
      </c>
      <c r="O30" s="1601" t="s">
        <v>7691</v>
      </c>
      <c r="P30" s="1601" t="s">
        <v>7693</v>
      </c>
      <c r="Q30" s="1601" t="s">
        <v>7694</v>
      </c>
      <c r="R30" s="1602" t="s">
        <v>7692</v>
      </c>
    </row>
    <row r="31" spans="2:18" hidden="1">
      <c r="B31" s="1447" t="s">
        <v>1503</v>
      </c>
      <c r="C31" s="511" t="s">
        <v>2553</v>
      </c>
      <c r="D31" s="292">
        <v>9</v>
      </c>
      <c r="E31" s="292">
        <v>9</v>
      </c>
      <c r="F31" s="2421" t="s">
        <v>2378</v>
      </c>
      <c r="G31" s="1601" t="s">
        <v>97</v>
      </c>
      <c r="H31" s="2437">
        <v>1</v>
      </c>
      <c r="I31" s="1601">
        <v>2</v>
      </c>
      <c r="J31" s="1601">
        <v>2</v>
      </c>
      <c r="K31" s="1601">
        <v>3</v>
      </c>
      <c r="L31" s="1601" t="s">
        <v>2056</v>
      </c>
      <c r="M31" s="1601">
        <v>12</v>
      </c>
      <c r="N31" s="1601">
        <f>E8</f>
        <v>1</v>
      </c>
      <c r="O31" s="1601" t="s">
        <v>7695</v>
      </c>
      <c r="P31" s="1601" t="s">
        <v>7695</v>
      </c>
      <c r="Q31" s="1601" t="s">
        <v>7696</v>
      </c>
      <c r="R31" s="1602" t="s">
        <v>7697</v>
      </c>
    </row>
    <row r="32" spans="2:18" hidden="1">
      <c r="B32" s="1447" t="s">
        <v>1360</v>
      </c>
      <c r="C32" s="511" t="s">
        <v>1214</v>
      </c>
      <c r="D32" s="292">
        <v>10</v>
      </c>
      <c r="E32" s="292">
        <v>10</v>
      </c>
      <c r="F32" s="2423" t="s">
        <v>2559</v>
      </c>
      <c r="G32" s="1601" t="s">
        <v>97</v>
      </c>
      <c r="H32" s="2437">
        <f>(E8*50+30)*D111</f>
        <v>80</v>
      </c>
      <c r="I32" s="1601">
        <f>(E8*50+60)*D111</f>
        <v>110</v>
      </c>
      <c r="J32" s="1601">
        <f>(E8*50+120)*D111</f>
        <v>170</v>
      </c>
      <c r="K32" s="1601">
        <v>4</v>
      </c>
      <c r="L32" s="1601" t="s">
        <v>7672</v>
      </c>
      <c r="M32" s="1601">
        <v>24</v>
      </c>
      <c r="N32" s="1601" t="s">
        <v>137</v>
      </c>
      <c r="O32" s="1601" t="s">
        <v>7698</v>
      </c>
      <c r="P32" s="1601" t="s">
        <v>7698</v>
      </c>
      <c r="Q32" s="1601" t="s">
        <v>7698</v>
      </c>
      <c r="R32" s="1602" t="s">
        <v>7666</v>
      </c>
    </row>
    <row r="33" spans="2:18" hidden="1">
      <c r="B33" s="1447" t="s">
        <v>164</v>
      </c>
      <c r="C33" s="511" t="s">
        <v>2247</v>
      </c>
      <c r="D33" s="292">
        <v>11</v>
      </c>
      <c r="E33" s="292">
        <v>11</v>
      </c>
      <c r="F33" s="2445" t="s">
        <v>682</v>
      </c>
      <c r="G33" s="1601" t="s">
        <v>97</v>
      </c>
      <c r="H33" s="2437" t="s">
        <v>7666</v>
      </c>
      <c r="I33" s="1601" t="s">
        <v>7666</v>
      </c>
      <c r="J33" s="1601" t="s">
        <v>7666</v>
      </c>
      <c r="K33" s="1601">
        <v>4</v>
      </c>
      <c r="L33" s="1601" t="s">
        <v>2056</v>
      </c>
      <c r="M33" s="1601">
        <v>20</v>
      </c>
      <c r="N33" s="1601" t="s">
        <v>7699</v>
      </c>
      <c r="O33" s="1601" t="s">
        <v>10039</v>
      </c>
      <c r="P33" s="1601" t="s">
        <v>7701</v>
      </c>
      <c r="Q33" s="1601" t="s">
        <v>7702</v>
      </c>
      <c r="R33" s="1602" t="s">
        <v>7700</v>
      </c>
    </row>
    <row r="34" spans="2:18" hidden="1">
      <c r="B34" s="1447" t="s">
        <v>2045</v>
      </c>
      <c r="C34" s="511" t="s">
        <v>1142</v>
      </c>
      <c r="D34" s="292">
        <v>12</v>
      </c>
      <c r="E34" s="292">
        <v>12</v>
      </c>
      <c r="F34" s="2445" t="s">
        <v>2184</v>
      </c>
      <c r="G34" s="1601" t="s">
        <v>97</v>
      </c>
      <c r="H34" s="2438" t="s">
        <v>2971</v>
      </c>
      <c r="I34" s="2439" t="s">
        <v>2975</v>
      </c>
      <c r="J34" s="2439" t="s">
        <v>2973</v>
      </c>
      <c r="K34" s="1601">
        <v>4</v>
      </c>
      <c r="L34" s="1601" t="s">
        <v>1150</v>
      </c>
      <c r="M34" s="1601">
        <v>16</v>
      </c>
      <c r="N34" s="1601">
        <f>E8</f>
        <v>1</v>
      </c>
      <c r="O34" s="1601" t="s">
        <v>7703</v>
      </c>
      <c r="P34" s="1601" t="s">
        <v>7703</v>
      </c>
      <c r="Q34" s="1601" t="s">
        <v>7703</v>
      </c>
      <c r="R34" s="1602" t="s">
        <v>10045</v>
      </c>
    </row>
    <row r="35" spans="2:18" hidden="1">
      <c r="B35" s="1447" t="s">
        <v>1351</v>
      </c>
      <c r="C35" s="511" t="s">
        <v>386</v>
      </c>
      <c r="D35" s="292">
        <v>13</v>
      </c>
      <c r="E35" s="292">
        <v>13</v>
      </c>
      <c r="F35" s="2421" t="s">
        <v>2382</v>
      </c>
      <c r="G35" s="1601" t="s">
        <v>97</v>
      </c>
      <c r="H35" s="2437" t="s">
        <v>7666</v>
      </c>
      <c r="I35" s="2439" t="s">
        <v>2976</v>
      </c>
      <c r="J35" s="2439" t="s">
        <v>7706</v>
      </c>
      <c r="K35" s="1601">
        <v>4</v>
      </c>
      <c r="L35" s="1601" t="s">
        <v>1150</v>
      </c>
      <c r="M35" s="1601">
        <v>16</v>
      </c>
      <c r="N35" s="1601" t="s">
        <v>7699</v>
      </c>
      <c r="O35" s="1601" t="s">
        <v>7704</v>
      </c>
      <c r="P35" s="1601" t="s">
        <v>7705</v>
      </c>
      <c r="Q35" s="1601" t="s">
        <v>7705</v>
      </c>
      <c r="R35" s="1602" t="s">
        <v>7666</v>
      </c>
    </row>
    <row r="36" spans="2:18" hidden="1">
      <c r="B36" s="1447" t="s">
        <v>1816</v>
      </c>
      <c r="C36" s="511" t="s">
        <v>2274</v>
      </c>
      <c r="D36" s="292">
        <v>14</v>
      </c>
      <c r="E36" s="292">
        <v>14</v>
      </c>
      <c r="F36" s="2423" t="s">
        <v>2557</v>
      </c>
      <c r="G36" s="1601" t="s">
        <v>97</v>
      </c>
      <c r="H36" s="2437">
        <f>IF(I8="Ксирон",ROUNDUP((E8*10+20)*(1+(I11/G11)*0.03),0),E8*10+20)*D111</f>
        <v>30</v>
      </c>
      <c r="I36" s="1601">
        <f>IF(I8="Ксирон",ROUNDUP((E8*10+40)*(1+(I11/G11)*0.03),0),E8*10+40)*D111</f>
        <v>50</v>
      </c>
      <c r="J36" s="1601">
        <f>IF(I8="Ксирон",ROUNDUP((E8*10+80)*(1+(I11/G11)*0.03),0),E8*10+80)*D111</f>
        <v>90</v>
      </c>
      <c r="K36" s="1601">
        <v>4</v>
      </c>
      <c r="L36" s="1601" t="s">
        <v>7672</v>
      </c>
      <c r="M36" s="1601">
        <v>16</v>
      </c>
      <c r="N36" s="1601" t="s">
        <v>137</v>
      </c>
      <c r="O36" s="1601" t="s">
        <v>7707</v>
      </c>
      <c r="P36" s="1601" t="s">
        <v>7707</v>
      </c>
      <c r="Q36" s="1601" t="s">
        <v>7707</v>
      </c>
      <c r="R36" s="1602" t="s">
        <v>9762</v>
      </c>
    </row>
    <row r="37" spans="2:18" hidden="1">
      <c r="B37" s="1447" t="s">
        <v>1702</v>
      </c>
      <c r="C37" s="511" t="s">
        <v>2371</v>
      </c>
      <c r="D37" s="292">
        <v>15</v>
      </c>
      <c r="E37" s="292">
        <v>15</v>
      </c>
      <c r="F37" s="2421" t="s">
        <v>2381</v>
      </c>
      <c r="G37" s="1601" t="s">
        <v>97</v>
      </c>
      <c r="H37" s="2437">
        <f>IF(I8="Корониус",IF(G11=1,12,IF(G11=2,11,IF(G11=3,10,IF(G11=4,9,8)))),8)</f>
        <v>8</v>
      </c>
      <c r="I37" s="1601">
        <f>IF(I8="Корониус",IF(G11=1,12,IF(G11=2,11,IF(G11=3,10,IF(G11=4,9,8)))),8)</f>
        <v>8</v>
      </c>
      <c r="J37" s="1601">
        <f>IF(I8="Корониус",IF(G11=1,12,IF(G11=2,11,IF(G11=3,10,IF(G11=4,9,8)))),8)</f>
        <v>8</v>
      </c>
      <c r="K37" s="1601">
        <v>4</v>
      </c>
      <c r="L37" s="1601" t="s">
        <v>1150</v>
      </c>
      <c r="M37" s="1601">
        <v>16</v>
      </c>
      <c r="N37" s="1601">
        <f>E8</f>
        <v>1</v>
      </c>
      <c r="O37" s="1601" t="s">
        <v>7822</v>
      </c>
      <c r="P37" s="1601" t="s">
        <v>7823</v>
      </c>
      <c r="Q37" s="1601" t="s">
        <v>7824</v>
      </c>
      <c r="R37" s="1602" t="s">
        <v>7666</v>
      </c>
    </row>
    <row r="38" spans="2:18" hidden="1">
      <c r="B38" s="1447" t="s">
        <v>2742</v>
      </c>
      <c r="C38" s="511" t="s">
        <v>2373</v>
      </c>
      <c r="D38" s="292">
        <v>16</v>
      </c>
      <c r="E38" s="292">
        <v>16</v>
      </c>
      <c r="F38" s="2423" t="s">
        <v>2370</v>
      </c>
      <c r="G38" s="1601" t="s">
        <v>97</v>
      </c>
      <c r="H38" s="2437">
        <f>(E8+E11+3)*G11</f>
        <v>0</v>
      </c>
      <c r="I38" s="1601">
        <f>(E8+E11+6)*G11</f>
        <v>0</v>
      </c>
      <c r="J38" s="1601">
        <f>(E8+E11+10)*G11</f>
        <v>0</v>
      </c>
      <c r="K38" s="1601">
        <v>5</v>
      </c>
      <c r="L38" s="1601" t="s">
        <v>5630</v>
      </c>
      <c r="M38" s="1601">
        <v>25</v>
      </c>
      <c r="N38" s="1601" t="s">
        <v>137</v>
      </c>
      <c r="O38" s="1601" t="str">
        <f>IF(H38=0,"ВВЕДИТЕ ДОПОЛНИТЕЛЬНЫЕ ДАННЫЕ В ФИОЛЕТОВЫЕ ПОЛЯ!","Уничтожает первый указанный целевой отряд дружественных существ и воскрешает второй указанный на количество здоровья равное:")</f>
        <v>ВВЕДИТЕ ДОПОЛНИТЕЛЬНЫЕ ДАННЫЕ В ФИОЛЕТОВЫЕ ПОЛЯ!</v>
      </c>
      <c r="P38" s="1601" t="str">
        <f>IF(I38=0,"ВВЕДИТЕ ДОПОЛНИТЕЛЬНЫЕ ДАННЫЕ В ФИОЛЕТОВЫЕ ПОЛЯ!","Уничтожает первый указанный целевой отряд дружественных существ и воскрешает второй указанный на количество здоровья равное:")</f>
        <v>ВВЕДИТЕ ДОПОЛНИТЕЛЬНЫЕ ДАННЫЕ В ФИОЛЕТОВЫЕ ПОЛЯ!</v>
      </c>
      <c r="Q38" s="1601" t="str">
        <f>IF(J38=0,"ВВЕДИТЕ ДОПОЛНИТЕЛЬНЫЕ ДАННЫЕ В ФИОЛЕТОВЫЕ ПОЛЯ!","Уничтожает первый указанный целевой отряд дружественных существ и воскрешает второй указанный на количество здоровья равное:")</f>
        <v>ВВЕДИТЕ ДОПОЛНИТЕЛЬНЫЕ ДАННЫЕ В ФИОЛЕТОВЫЕ ПОЛЯ!</v>
      </c>
      <c r="R38" s="1602" t="s">
        <v>7708</v>
      </c>
    </row>
    <row r="39" spans="2:18" hidden="1">
      <c r="B39" s="1452" t="s">
        <v>1568</v>
      </c>
      <c r="C39" s="511" t="s">
        <v>60</v>
      </c>
      <c r="D39" s="292">
        <v>17</v>
      </c>
      <c r="E39" s="292">
        <v>17</v>
      </c>
      <c r="F39" s="2421" t="s">
        <v>100</v>
      </c>
      <c r="G39" s="1601" t="s">
        <v>97</v>
      </c>
      <c r="H39" s="2437">
        <f>E8*2</f>
        <v>2</v>
      </c>
      <c r="I39" s="1601">
        <f>E8*3</f>
        <v>3</v>
      </c>
      <c r="J39" s="1601">
        <f>E8*4</f>
        <v>4</v>
      </c>
      <c r="K39" s="1601">
        <v>5</v>
      </c>
      <c r="L39" s="1601" t="s">
        <v>7685</v>
      </c>
      <c r="M39" s="1601">
        <v>25</v>
      </c>
      <c r="N39" s="1601" t="s">
        <v>7690</v>
      </c>
      <c r="O39" s="1601" t="s">
        <v>7709</v>
      </c>
      <c r="P39" s="1601" t="s">
        <v>7709</v>
      </c>
      <c r="Q39" s="1601" t="s">
        <v>7709</v>
      </c>
      <c r="R39" s="1602" t="s">
        <v>7710</v>
      </c>
    </row>
    <row r="40" spans="2:18" hidden="1">
      <c r="B40" s="1447" t="s">
        <v>2738</v>
      </c>
      <c r="C40" s="511" t="s">
        <v>2379</v>
      </c>
      <c r="D40" s="292">
        <v>18</v>
      </c>
      <c r="E40" s="292">
        <v>18</v>
      </c>
      <c r="F40" s="2423" t="s">
        <v>1150</v>
      </c>
      <c r="G40" s="1601" t="s">
        <v>99</v>
      </c>
      <c r="H40" s="2440" t="str">
        <f>IF(AND(I8="Адель",AND(G11&gt;0,G11&lt;8)),ROUNDDOWN(I11/G11,0)*3%," ")</f>
        <v xml:space="preserve"> </v>
      </c>
      <c r="I40" s="2440" t="str">
        <f>IF(AND(I8="Адель",AND(G11&gt;0,G11&lt;8)),ROUNDDOWN(I11/G11,0)*3%," ")</f>
        <v xml:space="preserve"> </v>
      </c>
      <c r="J40" s="2440" t="str">
        <f>IF(AND(I8="Адель",AND(G11&gt;0,G11&lt;8)),ROUNDDOWN(I11/G11,0)*3%," ")</f>
        <v xml:space="preserve"> </v>
      </c>
      <c r="K40" s="1601">
        <v>1</v>
      </c>
      <c r="L40" s="1601" t="s">
        <v>1150</v>
      </c>
      <c r="M40" s="1601">
        <v>5</v>
      </c>
      <c r="N40" s="1601">
        <f>E8</f>
        <v>1</v>
      </c>
      <c r="O40" s="1601" t="str">
        <f>IF(I8="Адель",IF(AND(G11&gt;0,G11&lt;8),"Урон цели становится равен максимальному и увеличивается (в долях) на:","ВВЕДЁН НЕКОРРЕКТНЫЙ УРОВЕНЬ СУЩЕСТВ!"),"Урон цели становится равен максимальному.")</f>
        <v>Урон цели становится равен максимальному.</v>
      </c>
      <c r="P40" s="1601" t="str">
        <f>IF(I8="Адель",IF(AND(G11&gt;0,G11&lt;8),"Урон цели становится равен максимальному+1 и увеличивается (в долях) на:","ВВЕДЁН НЕКОРРЕКТНЫЙ УРОВЕНЬ СУЩЕСТВ!"),"Урон цели становится равен максимальному+1.")</f>
        <v>Урон цели становится равен максимальному+1.</v>
      </c>
      <c r="Q40" s="1601" t="str">
        <f>IF(I8="Адель",IF(AND(G11&gt;0,G11&lt;8),"Урон всех дружественных существ становится равен максимальному+1 и увеличивается (в долях) на:","ВВЕДЁН НЕКОРРЕКТНЫЙ УРОВЕНЬ СУЩЕСТВ!"),"Урон всех дружественных существ становится равен максимальному+1.")</f>
        <v>Урон всех дружественных существ становится равен максимальному+1.</v>
      </c>
      <c r="R40" s="1602" t="str">
        <f>IF(I8="Адель","Снимает Проклятие при наложении. Специализация Адели: Урон существа, на которого наложено благословление, повышается на 3% за каждый уровень героя, кратный уровню этого существа.","Снимает Проклятие при наложении.")</f>
        <v>Снимает Проклятие при наложении.</v>
      </c>
    </row>
    <row r="41" spans="2:18" hidden="1">
      <c r="B41" s="1447" t="s">
        <v>397</v>
      </c>
      <c r="C41" s="511" t="s">
        <v>847</v>
      </c>
      <c r="D41" s="292">
        <v>19</v>
      </c>
      <c r="E41" s="292">
        <v>19</v>
      </c>
      <c r="F41" s="2421" t="s">
        <v>680</v>
      </c>
      <c r="G41" s="1601" t="s">
        <v>99</v>
      </c>
      <c r="H41" s="2437">
        <f>IF(I8="Уланд",ROUNDUP((E8*5+10)*(1+(I11/G11)*0.03),0),E8*5+10)</f>
        <v>15</v>
      </c>
      <c r="I41" s="1601">
        <f>IF(I8="Уланд",ROUNDUP((E8*5+20)*(1+(I11/G11)*0.03),0),E8*5+20)</f>
        <v>25</v>
      </c>
      <c r="J41" s="1601">
        <f>IF(I8="Уланд",ROUNDUP((E8*5+30)*(1+(I11/G11)*0.03),0),E8*5+30)</f>
        <v>35</v>
      </c>
      <c r="K41" s="1601">
        <v>1</v>
      </c>
      <c r="L41" s="1601" t="s">
        <v>5630</v>
      </c>
      <c r="M41" s="1601">
        <v>6</v>
      </c>
      <c r="N41" s="1601" t="s">
        <v>137</v>
      </c>
      <c r="O41" s="1601" t="s">
        <v>7711</v>
      </c>
      <c r="P41" s="1601" t="s">
        <v>7711</v>
      </c>
      <c r="Q41" s="1601" t="s">
        <v>7711</v>
      </c>
      <c r="R41" s="1602" t="str">
        <f>IF(G8="Экспертная","Существа восстанавливают здоровье без воскрешения погибших в отряде. Лечение снимает Яд, Окаменение и прочие магические эффекты существ. Экспертное Лечение не снимает Гипноз с дружественного существа.","Существа восстанавливают здоровье без воскрешения погибших в отряде. Лечение снимает Яд, Окаменение и прочие магические эффекты существ.")</f>
        <v>Существа восстанавливают здоровье без воскрешения погибших в отряде. Лечение снимает Яд, Окаменение и прочие магические эффекты существ.</v>
      </c>
    </row>
    <row r="42" spans="2:18" hidden="1">
      <c r="B42" s="1447" t="s">
        <v>167</v>
      </c>
      <c r="C42" s="511" t="s">
        <v>2016</v>
      </c>
      <c r="D42" s="292">
        <v>20</v>
      </c>
      <c r="E42" s="292">
        <v>20</v>
      </c>
      <c r="F42" s="2423" t="s">
        <v>102</v>
      </c>
      <c r="G42" s="1601" t="s">
        <v>99</v>
      </c>
      <c r="H42" s="2437" t="s">
        <v>7666</v>
      </c>
      <c r="I42" s="1601" t="s">
        <v>7666</v>
      </c>
      <c r="J42" s="1601" t="s">
        <v>7666</v>
      </c>
      <c r="K42" s="1601">
        <v>1</v>
      </c>
      <c r="L42" s="1601" t="s">
        <v>7712</v>
      </c>
      <c r="M42" s="1601">
        <v>5</v>
      </c>
      <c r="N42" s="1601" t="s">
        <v>137</v>
      </c>
      <c r="O42" s="1601" t="s">
        <v>7713</v>
      </c>
      <c r="P42" s="1601" t="s">
        <v>7714</v>
      </c>
      <c r="Q42" s="1601" t="s">
        <v>7715</v>
      </c>
      <c r="R42" s="1602" t="s">
        <v>8746</v>
      </c>
    </row>
    <row r="43" spans="2:18" hidden="1">
      <c r="B43" s="1447" t="s">
        <v>2643</v>
      </c>
      <c r="C43" s="511" t="s">
        <v>2828</v>
      </c>
      <c r="D43" s="292">
        <v>21</v>
      </c>
      <c r="E43" s="292">
        <v>21</v>
      </c>
      <c r="F43" s="2421" t="s">
        <v>2187</v>
      </c>
      <c r="G43" s="1601" t="s">
        <v>99</v>
      </c>
      <c r="H43" s="2438" t="s">
        <v>2973</v>
      </c>
      <c r="I43" s="2439" t="s">
        <v>2976</v>
      </c>
      <c r="J43" s="2439" t="s">
        <v>2976</v>
      </c>
      <c r="K43" s="1601">
        <v>1</v>
      </c>
      <c r="L43" s="1601" t="s">
        <v>1150</v>
      </c>
      <c r="M43" s="1601">
        <v>5</v>
      </c>
      <c r="N43" s="1601">
        <f>E8</f>
        <v>1</v>
      </c>
      <c r="O43" s="1601" t="s">
        <v>7716</v>
      </c>
      <c r="P43" s="1601" t="s">
        <v>7716</v>
      </c>
      <c r="Q43" s="1601" t="s">
        <v>7717</v>
      </c>
      <c r="R43" s="1602" t="s">
        <v>7718</v>
      </c>
    </row>
    <row r="44" spans="2:18" hidden="1">
      <c r="B44" s="1447" t="s">
        <v>476</v>
      </c>
      <c r="C44" s="511" t="s">
        <v>60</v>
      </c>
      <c r="D44" s="292">
        <v>22</v>
      </c>
      <c r="E44" s="292">
        <v>22</v>
      </c>
      <c r="F44" s="2423" t="s">
        <v>2838</v>
      </c>
      <c r="G44" s="1601" t="s">
        <v>99</v>
      </c>
      <c r="H44" s="2438" t="s">
        <v>2976</v>
      </c>
      <c r="I44" s="2439" t="s">
        <v>7683</v>
      </c>
      <c r="J44" s="2439" t="s">
        <v>7706</v>
      </c>
      <c r="K44" s="1601">
        <v>1</v>
      </c>
      <c r="L44" s="1601" t="s">
        <v>7671</v>
      </c>
      <c r="M44" s="1601">
        <v>8</v>
      </c>
      <c r="N44" s="1601" t="s">
        <v>137</v>
      </c>
      <c r="O44" s="1601" t="s">
        <v>7719</v>
      </c>
      <c r="P44" s="1601" t="s">
        <v>7720</v>
      </c>
      <c r="Q44" s="1601" t="s">
        <v>7720</v>
      </c>
      <c r="R44" s="1602" t="s">
        <v>7252</v>
      </c>
    </row>
    <row r="45" spans="2:18" hidden="1">
      <c r="B45" s="1447" t="s">
        <v>348</v>
      </c>
      <c r="C45" s="511" t="s">
        <v>392</v>
      </c>
      <c r="D45" s="292">
        <v>23</v>
      </c>
      <c r="E45" s="292">
        <v>23</v>
      </c>
      <c r="F45" s="2421" t="s">
        <v>2553</v>
      </c>
      <c r="G45" s="1601" t="s">
        <v>99</v>
      </c>
      <c r="H45" s="2437">
        <f>IF(I8="Алагар",ROUNDUP((E8*20+10)*(1+(I11/G11)*0.03),0),E8*20+10)*D111</f>
        <v>30</v>
      </c>
      <c r="I45" s="1601">
        <f>IF(I8="Алагар",ROUNDUP((E8*20+20)*(1+(I11/G11)*0.03),0),E8*20+20)*D111</f>
        <v>40</v>
      </c>
      <c r="J45" s="1601">
        <f>IF(I8="Алагар",ROUNDUP((E8*20+50)*(1+(I11/G11)*0.03),0),E8*20+50)*D111</f>
        <v>70</v>
      </c>
      <c r="K45" s="1601">
        <v>2</v>
      </c>
      <c r="L45" s="1601" t="s">
        <v>7672</v>
      </c>
      <c r="M45" s="1601">
        <v>8</v>
      </c>
      <c r="N45" s="1601" t="s">
        <v>137</v>
      </c>
      <c r="O45" s="1601" t="s">
        <v>7661</v>
      </c>
      <c r="P45" s="1601" t="s">
        <v>7667</v>
      </c>
      <c r="Q45" s="1601" t="s">
        <v>7661</v>
      </c>
      <c r="R45" s="1602" t="s">
        <v>7666</v>
      </c>
    </row>
    <row r="46" spans="2:18" hidden="1">
      <c r="B46" s="1447" t="s">
        <v>1346</v>
      </c>
      <c r="C46" s="511" t="s">
        <v>2333</v>
      </c>
      <c r="D46" s="292">
        <v>24</v>
      </c>
      <c r="E46" s="292">
        <v>24</v>
      </c>
      <c r="F46" s="2423" t="s">
        <v>2361</v>
      </c>
      <c r="G46" s="1601" t="s">
        <v>99</v>
      </c>
      <c r="H46" s="2437" t="s">
        <v>7666</v>
      </c>
      <c r="I46" s="1601" t="s">
        <v>7666</v>
      </c>
      <c r="J46" s="1601" t="s">
        <v>7666</v>
      </c>
      <c r="K46" s="1601">
        <v>2</v>
      </c>
      <c r="L46" s="1601" t="s">
        <v>7712</v>
      </c>
      <c r="M46" s="1601">
        <v>7</v>
      </c>
      <c r="N46" s="1601" t="s">
        <v>137</v>
      </c>
      <c r="O46" s="1601" t="s">
        <v>7721</v>
      </c>
      <c r="P46" s="1601" t="s">
        <v>7722</v>
      </c>
      <c r="Q46" s="1601" t="s">
        <v>7723</v>
      </c>
      <c r="R46" s="1602" t="s">
        <v>7666</v>
      </c>
    </row>
    <row r="47" spans="2:18" hidden="1">
      <c r="B47" s="1447" t="s">
        <v>162</v>
      </c>
      <c r="C47" s="511" t="s">
        <v>450</v>
      </c>
      <c r="D47" s="292">
        <v>25</v>
      </c>
      <c r="E47" s="292">
        <v>25</v>
      </c>
      <c r="F47" s="2421" t="s">
        <v>2383</v>
      </c>
      <c r="G47" s="1601" t="s">
        <v>99</v>
      </c>
      <c r="H47" s="2438" t="s">
        <v>2976</v>
      </c>
      <c r="I47" s="2439" t="s">
        <v>7683</v>
      </c>
      <c r="J47" s="2439" t="s">
        <v>7706</v>
      </c>
      <c r="K47" s="1601">
        <v>2</v>
      </c>
      <c r="L47" s="1601" t="s">
        <v>7671</v>
      </c>
      <c r="M47" s="1601">
        <v>8</v>
      </c>
      <c r="N47" s="1601" t="s">
        <v>137</v>
      </c>
      <c r="O47" s="1601" t="s">
        <v>7724</v>
      </c>
      <c r="P47" s="1601" t="s">
        <v>7724</v>
      </c>
      <c r="Q47" s="1601" t="s">
        <v>7724</v>
      </c>
      <c r="R47" s="1602"/>
    </row>
    <row r="48" spans="2:18" hidden="1">
      <c r="B48" s="1447" t="s">
        <v>347</v>
      </c>
      <c r="C48" s="511" t="s">
        <v>71</v>
      </c>
      <c r="D48" s="292">
        <v>26</v>
      </c>
      <c r="E48" s="292">
        <v>26</v>
      </c>
      <c r="F48" s="2423" t="s">
        <v>1152</v>
      </c>
      <c r="G48" s="1601" t="s">
        <v>99</v>
      </c>
      <c r="H48" s="2437">
        <f>IF(I9="Слабость",IF(OR(G11=1,G11=2),6,IF(OR(G11=3,G11=4),5,IF(OR(G11=5,G11=6),4,3))),3)</f>
        <v>3</v>
      </c>
      <c r="I48" s="1601">
        <f>IF(I9="Слабость",IF(OR(G11=1,G11=2),9,IF(OR(G11=3,G11=4),8,IF(OR(G11=5,G11=6),7,6))),6)</f>
        <v>6</v>
      </c>
      <c r="J48" s="1601">
        <f>IF(I9="Слабость",IF(OR(G11=1,G11=2),9,IF(OR(G11=3,G11=4),8,IF(OR(G11=5,G11=6),7,6))),6)</f>
        <v>6</v>
      </c>
      <c r="K48" s="1601">
        <v>2</v>
      </c>
      <c r="L48" s="1601" t="s">
        <v>2056</v>
      </c>
      <c r="M48" s="1601">
        <v>8</v>
      </c>
      <c r="N48" s="1601">
        <f>E8</f>
        <v>1</v>
      </c>
      <c r="O48" s="1601" t="s">
        <v>7725</v>
      </c>
      <c r="P48" s="1601" t="s">
        <v>7725</v>
      </c>
      <c r="Q48" s="1601" t="s">
        <v>7726</v>
      </c>
      <c r="R48" s="1602" t="s">
        <v>7666</v>
      </c>
    </row>
    <row r="49" spans="2:18" hidden="1">
      <c r="B49" s="1447" t="s">
        <v>1849</v>
      </c>
      <c r="C49" s="511" t="s">
        <v>2460</v>
      </c>
      <c r="D49" s="292">
        <v>27</v>
      </c>
      <c r="E49" s="292">
        <v>27</v>
      </c>
      <c r="F49" s="2421" t="s">
        <v>2275</v>
      </c>
      <c r="G49" s="1601" t="s">
        <v>99</v>
      </c>
      <c r="H49" s="2438" t="s">
        <v>2976</v>
      </c>
      <c r="I49" s="1601" t="s">
        <v>7666</v>
      </c>
      <c r="J49" s="1601" t="s">
        <v>7666</v>
      </c>
      <c r="K49" s="1601">
        <v>3</v>
      </c>
      <c r="L49" s="1601" t="s">
        <v>2056</v>
      </c>
      <c r="M49" s="1601">
        <v>12</v>
      </c>
      <c r="N49" s="1601">
        <f>E8</f>
        <v>1</v>
      </c>
      <c r="O49" s="1601" t="s">
        <v>7727</v>
      </c>
      <c r="P49" s="1601" t="s">
        <v>7728</v>
      </c>
      <c r="Q49" s="1601" t="s">
        <v>7729</v>
      </c>
      <c r="R49" s="1602" t="s">
        <v>7666</v>
      </c>
    </row>
    <row r="50" spans="2:18" hidden="1">
      <c r="B50" s="1447" t="s">
        <v>933</v>
      </c>
      <c r="C50" s="511" t="s">
        <v>906</v>
      </c>
      <c r="D50" s="292">
        <v>28</v>
      </c>
      <c r="E50" s="292">
        <v>28</v>
      </c>
      <c r="F50" s="2423" t="s">
        <v>867</v>
      </c>
      <c r="G50" s="1601" t="s">
        <v>99</v>
      </c>
      <c r="H50" s="2437">
        <f>IF(I8="Аделаида",ROUNDUP((E8*10+15)*(1+(I11/G11)*0.03),0),E8*10+15)*D111</f>
        <v>25</v>
      </c>
      <c r="I50" s="1601">
        <f>IF(I8="Аделаида",ROUNDUP((E8*10+30)*(1+(I11/G11)*0.03),0),E8*10+30)*D111</f>
        <v>40</v>
      </c>
      <c r="J50" s="1601">
        <f>IF(I8="Аделаида",ROUNDUP((E8*10+60)*(1+(I11/G11)*0.03),0),E8*10+60)*D111</f>
        <v>70</v>
      </c>
      <c r="K50" s="1601">
        <v>3</v>
      </c>
      <c r="L50" s="1601" t="s">
        <v>7672</v>
      </c>
      <c r="M50" s="1601">
        <v>12</v>
      </c>
      <c r="N50" s="1601" t="s">
        <v>137</v>
      </c>
      <c r="O50" s="1601" t="s">
        <v>7730</v>
      </c>
      <c r="P50" s="1601" t="s">
        <v>7730</v>
      </c>
      <c r="Q50" s="1601" t="s">
        <v>7730</v>
      </c>
      <c r="R50" s="1602" t="s">
        <v>7731</v>
      </c>
    </row>
    <row r="51" spans="2:18" hidden="1">
      <c r="B51" s="1447" t="s">
        <v>1365</v>
      </c>
      <c r="C51" s="511" t="s">
        <v>873</v>
      </c>
      <c r="D51" s="292">
        <v>29</v>
      </c>
      <c r="E51" s="292">
        <v>29</v>
      </c>
      <c r="F51" s="2421" t="s">
        <v>2375</v>
      </c>
      <c r="G51" s="1601" t="s">
        <v>99</v>
      </c>
      <c r="H51" s="2437">
        <v>1</v>
      </c>
      <c r="I51" s="1601">
        <v>2</v>
      </c>
      <c r="J51" s="1601">
        <v>2</v>
      </c>
      <c r="K51" s="1601">
        <v>3</v>
      </c>
      <c r="L51" s="1601" t="s">
        <v>1150</v>
      </c>
      <c r="M51" s="1601">
        <v>12</v>
      </c>
      <c r="N51" s="1601">
        <f>E8</f>
        <v>1</v>
      </c>
      <c r="O51" s="1601" t="s">
        <v>7732</v>
      </c>
      <c r="P51" s="1601" t="s">
        <v>7732</v>
      </c>
      <c r="Q51" s="1601" t="s">
        <v>7733</v>
      </c>
      <c r="R51" s="1602" t="s">
        <v>7734</v>
      </c>
    </row>
    <row r="52" spans="2:18" hidden="1">
      <c r="B52" s="1447" t="s">
        <v>166</v>
      </c>
      <c r="C52" s="511" t="s">
        <v>386</v>
      </c>
      <c r="D52" s="292">
        <v>30</v>
      </c>
      <c r="E52" s="292">
        <v>30</v>
      </c>
      <c r="F52" s="2423" t="s">
        <v>2360</v>
      </c>
      <c r="G52" s="1601" t="s">
        <v>99</v>
      </c>
      <c r="H52" s="2437" t="s">
        <v>7666</v>
      </c>
      <c r="I52" s="1601" t="s">
        <v>7666</v>
      </c>
      <c r="J52" s="1601" t="s">
        <v>7666</v>
      </c>
      <c r="K52" s="1601">
        <v>3</v>
      </c>
      <c r="L52" s="1601" t="s">
        <v>7735</v>
      </c>
      <c r="M52" s="1601">
        <v>15</v>
      </c>
      <c r="N52" s="1601" t="s">
        <v>137</v>
      </c>
      <c r="O52" s="1601" t="s">
        <v>7736</v>
      </c>
      <c r="P52" s="1601" t="s">
        <v>7737</v>
      </c>
      <c r="Q52" s="1601" t="s">
        <v>7738</v>
      </c>
      <c r="R52" s="1602" t="s">
        <v>5403</v>
      </c>
    </row>
    <row r="53" spans="2:18" hidden="1">
      <c r="B53" s="1447" t="s">
        <v>474</v>
      </c>
      <c r="C53" s="511" t="s">
        <v>1275</v>
      </c>
      <c r="D53" s="292">
        <v>31</v>
      </c>
      <c r="E53" s="292">
        <v>31</v>
      </c>
      <c r="F53" s="2445" t="s">
        <v>2362</v>
      </c>
      <c r="G53" s="1601" t="s">
        <v>99</v>
      </c>
      <c r="H53" s="2438" t="s">
        <v>7739</v>
      </c>
      <c r="I53" s="2439" t="s">
        <v>7740</v>
      </c>
      <c r="J53" s="2439" t="s">
        <v>7741</v>
      </c>
      <c r="K53" s="1601">
        <v>4</v>
      </c>
      <c r="L53" s="1601" t="s">
        <v>7685</v>
      </c>
      <c r="M53" s="1601">
        <v>24</v>
      </c>
      <c r="N53" s="1601">
        <f>E8</f>
        <v>1</v>
      </c>
      <c r="O53" s="1601" t="s">
        <v>7743</v>
      </c>
      <c r="P53" s="1601" t="s">
        <v>7743</v>
      </c>
      <c r="Q53" s="1601" t="s">
        <v>7743</v>
      </c>
      <c r="R53" s="1602" t="s">
        <v>7742</v>
      </c>
    </row>
    <row r="54" spans="2:18" hidden="1">
      <c r="B54" s="1447" t="s">
        <v>470</v>
      </c>
      <c r="C54" s="511" t="s">
        <v>430</v>
      </c>
      <c r="D54" s="292">
        <v>32</v>
      </c>
      <c r="E54" s="292">
        <v>32</v>
      </c>
      <c r="F54" s="2423" t="s">
        <v>2374</v>
      </c>
      <c r="G54" s="1601" t="s">
        <v>99</v>
      </c>
      <c r="H54" s="2437">
        <f>IF(I9="Молитва",IF(OR(G11=1,G11=2),5,IF(OR(G11=3,G11=4),4,IF(OR(G11=5,G11=6),3,2))),2)</f>
        <v>2</v>
      </c>
      <c r="I54" s="1601">
        <f>IF(I9="Молитва",IF(OR(G11=1,G11=2),7,IF(OR(G11=3,G11=4),6,IF(OR(G11=5,G11=6),53,4))),4)</f>
        <v>4</v>
      </c>
      <c r="J54" s="1601">
        <f>IF(I9="Молитва",IF(OR(G11=1,G11=2),7,IF(OR(G11=3,G11=4),6,IF(OR(G11=5,G11=6),53,4))),4)</f>
        <v>4</v>
      </c>
      <c r="K54" s="1601">
        <v>4</v>
      </c>
      <c r="L54" s="1601" t="s">
        <v>1150</v>
      </c>
      <c r="M54" s="1601">
        <v>16</v>
      </c>
      <c r="N54" s="1601">
        <f>E8</f>
        <v>1</v>
      </c>
      <c r="O54" s="1601" t="s">
        <v>7744</v>
      </c>
      <c r="P54" s="1601" t="s">
        <v>7744</v>
      </c>
      <c r="Q54" s="1601" t="s">
        <v>9763</v>
      </c>
      <c r="R54" s="1602" t="s">
        <v>7745</v>
      </c>
    </row>
    <row r="55" spans="2:18" hidden="1">
      <c r="B55" s="1447" t="s">
        <v>1748</v>
      </c>
      <c r="C55" s="511" t="s">
        <v>2568</v>
      </c>
      <c r="D55" s="292">
        <v>33</v>
      </c>
      <c r="E55" s="292">
        <v>33</v>
      </c>
      <c r="F55" s="2421" t="s">
        <v>2386</v>
      </c>
      <c r="G55" s="1601" t="s">
        <v>99</v>
      </c>
      <c r="H55" s="2438" t="s">
        <v>2974</v>
      </c>
      <c r="I55" s="2439" t="s">
        <v>2971</v>
      </c>
      <c r="J55" s="2439" t="s">
        <v>7666</v>
      </c>
      <c r="K55" s="1601">
        <v>4</v>
      </c>
      <c r="L55" s="1601" t="s">
        <v>7671</v>
      </c>
      <c r="M55" s="1601">
        <v>12</v>
      </c>
      <c r="N55" s="1601" t="s">
        <v>2053</v>
      </c>
      <c r="O55" s="1601" t="s">
        <v>7746</v>
      </c>
      <c r="P55" s="1601" t="s">
        <v>7746</v>
      </c>
      <c r="Q55" s="1601" t="s">
        <v>7747</v>
      </c>
      <c r="R55" s="1602" t="s">
        <v>7666</v>
      </c>
    </row>
    <row r="56" spans="2:18" hidden="1">
      <c r="B56" s="1447" t="s">
        <v>1938</v>
      </c>
      <c r="C56" s="511" t="s">
        <v>75</v>
      </c>
      <c r="D56" s="292">
        <v>34</v>
      </c>
      <c r="E56" s="292">
        <v>34</v>
      </c>
      <c r="F56" s="2423" t="s">
        <v>2664</v>
      </c>
      <c r="G56" s="1601" t="s">
        <v>99</v>
      </c>
      <c r="H56" s="2437">
        <f>E8*2</f>
        <v>2</v>
      </c>
      <c r="I56" s="1601">
        <f>E8*3</f>
        <v>3</v>
      </c>
      <c r="J56" s="1601">
        <f>E8*4</f>
        <v>4</v>
      </c>
      <c r="K56" s="1601">
        <v>5</v>
      </c>
      <c r="L56" s="1601" t="s">
        <v>7685</v>
      </c>
      <c r="M56" s="1601">
        <v>25</v>
      </c>
      <c r="N56" s="1601" t="s">
        <v>7690</v>
      </c>
      <c r="O56" s="1601" t="s">
        <v>7748</v>
      </c>
      <c r="P56" s="1601" t="s">
        <v>7748</v>
      </c>
      <c r="Q56" s="1601" t="s">
        <v>7748</v>
      </c>
      <c r="R56" s="1602" t="s">
        <v>7710</v>
      </c>
    </row>
    <row r="57" spans="2:18" hidden="1">
      <c r="B57" s="1447" t="s">
        <v>1357</v>
      </c>
      <c r="C57" s="511" t="s">
        <v>1441</v>
      </c>
      <c r="D57" s="292">
        <v>35</v>
      </c>
      <c r="E57" s="292">
        <v>35</v>
      </c>
      <c r="F57" s="2423" t="s">
        <v>2560</v>
      </c>
      <c r="G57" s="1601" t="s">
        <v>865</v>
      </c>
      <c r="H57" s="2438" t="s">
        <v>2972</v>
      </c>
      <c r="I57" s="2439" t="s">
        <v>2973</v>
      </c>
      <c r="J57" s="2439" t="s">
        <v>2973</v>
      </c>
      <c r="K57" s="1601">
        <v>1</v>
      </c>
      <c r="L57" s="1601" t="s">
        <v>1150</v>
      </c>
      <c r="M57" s="1601">
        <v>5</v>
      </c>
      <c r="N57" s="1601">
        <f>E8</f>
        <v>1</v>
      </c>
      <c r="O57" s="1601" t="s">
        <v>7749</v>
      </c>
      <c r="P57" s="1601" t="s">
        <v>7749</v>
      </c>
      <c r="Q57" s="1601" t="s">
        <v>7750</v>
      </c>
      <c r="R57" s="1602" t="s">
        <v>7666</v>
      </c>
    </row>
    <row r="58" spans="2:18" hidden="1">
      <c r="B58" s="1447" t="s">
        <v>467</v>
      </c>
      <c r="C58" s="511" t="s">
        <v>386</v>
      </c>
      <c r="D58" s="292">
        <v>36</v>
      </c>
      <c r="E58" s="292">
        <v>36</v>
      </c>
      <c r="F58" s="2421" t="s">
        <v>2380</v>
      </c>
      <c r="G58" s="1601" t="s">
        <v>865</v>
      </c>
      <c r="H58" s="2438" t="s">
        <v>2975</v>
      </c>
      <c r="I58" s="2439" t="s">
        <v>2976</v>
      </c>
      <c r="J58" s="2439" t="s">
        <v>2976</v>
      </c>
      <c r="K58" s="1601">
        <v>1</v>
      </c>
      <c r="L58" s="1601" t="s">
        <v>2056</v>
      </c>
      <c r="M58" s="1601">
        <v>6</v>
      </c>
      <c r="N58" s="1601">
        <f>E8</f>
        <v>1</v>
      </c>
      <c r="O58" s="1601" t="s">
        <v>7751</v>
      </c>
      <c r="P58" s="1601" t="s">
        <v>7751</v>
      </c>
      <c r="Q58" s="1601" t="s">
        <v>7752</v>
      </c>
      <c r="R58" s="1602" t="s">
        <v>7753</v>
      </c>
    </row>
    <row r="59" spans="2:18" hidden="1">
      <c r="B59" s="1447" t="s">
        <v>1356</v>
      </c>
      <c r="C59" s="511" t="s">
        <v>2568</v>
      </c>
      <c r="D59" s="292">
        <v>37</v>
      </c>
      <c r="E59" s="292">
        <v>37</v>
      </c>
      <c r="F59" s="2423" t="s">
        <v>1147</v>
      </c>
      <c r="G59" s="1601" t="s">
        <v>865</v>
      </c>
      <c r="H59" s="2437">
        <f>IF(OR(I44="Кси",I44="Дакрсторн",I8="Мерист",I8="Лабета"),IF(OR(G11=1,G11=2),6,IF(OR(G11=3,G11=4),5,IF(OR(G11=5,G11=6),4,3))),3)</f>
        <v>3</v>
      </c>
      <c r="I59" s="1601">
        <f>IF(OR(I44="Кси",I44="Дакрсторн",I8="Мерист",I8="Лабета"),IF(OR(G11=1,G11=2),9,IF(OR(G11=3,G11=4),8,IF(OR(G11=5,G11=6),7,6))),6)</f>
        <v>6</v>
      </c>
      <c r="J59" s="1601">
        <f>IF(OR(I44="Кси",I44="Дакрсторн",I8="Мерист",I8="Лабета"),IF(OR(G11=1,G11=2),9,IF(OR(G11=3,G11=4),8,IF(OR(G11=5,G11=6),7,6))),6)</f>
        <v>6</v>
      </c>
      <c r="K59" s="1601">
        <v>1</v>
      </c>
      <c r="L59" s="1601" t="s">
        <v>1150</v>
      </c>
      <c r="M59" s="1601">
        <v>5</v>
      </c>
      <c r="N59" s="1601">
        <f>E8</f>
        <v>1</v>
      </c>
      <c r="O59" s="1601" t="s">
        <v>7754</v>
      </c>
      <c r="P59" s="1601" t="s">
        <v>7754</v>
      </c>
      <c r="Q59" s="1601" t="s">
        <v>7755</v>
      </c>
      <c r="R59" s="1602" t="s">
        <v>7666</v>
      </c>
    </row>
    <row r="60" spans="2:18" hidden="1">
      <c r="B60" s="1447" t="s">
        <v>1680</v>
      </c>
      <c r="C60" s="511" t="s">
        <v>2377</v>
      </c>
      <c r="D60" s="292">
        <v>38</v>
      </c>
      <c r="E60" s="292">
        <v>38</v>
      </c>
      <c r="F60" s="2421" t="s">
        <v>1305</v>
      </c>
      <c r="G60" s="1601" t="s">
        <v>865</v>
      </c>
      <c r="H60" s="2437" t="s">
        <v>7666</v>
      </c>
      <c r="I60" s="1601" t="s">
        <v>7666</v>
      </c>
      <c r="J60" s="1601" t="s">
        <v>7666</v>
      </c>
      <c r="K60" s="1601">
        <v>1</v>
      </c>
      <c r="L60" s="1601" t="s">
        <v>7671</v>
      </c>
      <c r="M60" s="1601">
        <v>2</v>
      </c>
      <c r="N60" s="1601" t="s">
        <v>7789</v>
      </c>
      <c r="O60" s="1601" t="s">
        <v>7756</v>
      </c>
      <c r="P60" s="1601" t="s">
        <v>7757</v>
      </c>
      <c r="Q60" s="1601" t="s">
        <v>7758</v>
      </c>
      <c r="R60" s="1602" t="s">
        <v>7666</v>
      </c>
    </row>
    <row r="61" spans="2:18" hidden="1">
      <c r="B61" s="1447" t="s">
        <v>325</v>
      </c>
      <c r="C61" s="511" t="s">
        <v>1147</v>
      </c>
      <c r="D61" s="292">
        <v>39</v>
      </c>
      <c r="E61" s="292">
        <v>39</v>
      </c>
      <c r="F61" s="2423" t="s">
        <v>1308</v>
      </c>
      <c r="G61" s="1601" t="s">
        <v>865</v>
      </c>
      <c r="H61" s="2441">
        <f>IF(I8="Септиенна",IF(AND(G11&gt;0,G11&lt;8),ROUNDUP((E8*5+10)*(1+(I11/G11)*0.03),0)," "),E8*5+10)*D111</f>
        <v>15</v>
      </c>
      <c r="I61" s="2442">
        <f>IF(I8="Септиенна",IF(AND(G11&gt;0,G11&lt;8),ROUNDUP((E8*5+20)*(1+(I11/G11)*0.03),0)," "),E8*5+20)*D111</f>
        <v>25</v>
      </c>
      <c r="J61" s="1601">
        <f>IF(I8="Септиенна",IF(AND(G11&gt;0,G11&lt;8),ROUNDUP((E8*5+30)*(1+(I11/G11)*0.03),0)," "),E8*5+30)*D111</f>
        <v>35</v>
      </c>
      <c r="K61" s="1601">
        <v>2</v>
      </c>
      <c r="L61" s="1601" t="s">
        <v>7672</v>
      </c>
      <c r="M61" s="1601">
        <v>10</v>
      </c>
      <c r="N61" s="1601" t="s">
        <v>137</v>
      </c>
      <c r="O61" s="1601" t="str">
        <f>IF(I8="Септиенна",IF(AND(G11&gt;0,G11&lt;8),"Мгновенно наносит урон всем существам на поле боя, кроме нежити, големов, горгулий, элементалей и боевых машин:","ВВЕДЁН НЕКОРРЕКТНЫЙ УРОВЕНЬ СУЩЕСТВА-ЦЕЛИ ЗАКЛИНАНИЯ!"),"Мгновенно наносит урон всем существам на поле боя, кроме нежити, големов, горгулий, элементалей и боевых машин:")</f>
        <v>Мгновенно наносит урон всем существам на поле боя, кроме нежити, големов, горгулий, элементалей и боевых машин:</v>
      </c>
      <c r="P61" s="1601" t="str">
        <f>IF(I8="Септиенна",IF(AND(G11&gt;0,G11&lt;8),"Мгновенно наносит урон всем существам на поле боя, кроме нежити, големов, горгулий, элементалей и боевых машин:","ВВЕДЁН НЕКОРРЕКТНЫЙ УРОВЕНЬ СУЩЕСТВА-ЦЕЛИ ЗАКЛИНАНИЯ!"),"Мгновенно наносит урон всем существам на поле боя, кроме нежити, големов, горгулий, элементалей и боевых машин:")</f>
        <v>Мгновенно наносит урон всем существам на поле боя, кроме нежити, големов, горгулий, элементалей и боевых машин:</v>
      </c>
      <c r="Q61" s="1601" t="str">
        <f>IF(I8="Септиенна",IF(AND(G11&gt;0,G11&lt;8),"Мгновенно наносит урон всем существам на поле боя, кроме нежити, големов, горгулий, элементалей и боевых машин:","ВВЕДЁН НЕКОРРЕКТНЫЙ УРОВЕНЬ СУЩЕСТВА-ЦЕЛИ ЗАКЛИНАНИЯ!"),"Мгновенно наносит урон всем существам на поле боя, кроме нежити, големов, горгулий, элементалей и боевых машин:")</f>
        <v>Мгновенно наносит урон всем существам на поле боя, кроме нежити, големов, горгулий, элементалей и боевых машин:</v>
      </c>
      <c r="R61" s="1602" t="str">
        <f>IF(I8="Септиенна","Специализация Септиенны: Урон Волны смерти повышается на 3% за каждый уровень героя, кратный уровню целевого существа. расчёт производится для каждого существа, на которого подействовала Волна смерти."," ")</f>
        <v xml:space="preserve"> </v>
      </c>
    </row>
    <row r="62" spans="2:18" hidden="1">
      <c r="B62" s="1447" t="s">
        <v>1354</v>
      </c>
      <c r="C62" s="511" t="s">
        <v>1274</v>
      </c>
      <c r="D62" s="292">
        <v>40</v>
      </c>
      <c r="E62" s="292">
        <v>40</v>
      </c>
      <c r="F62" s="2421" t="s">
        <v>2389</v>
      </c>
      <c r="G62" s="1601" t="s">
        <v>865</v>
      </c>
      <c r="H62" s="2437" t="s">
        <v>7666</v>
      </c>
      <c r="I62" s="1601" t="s">
        <v>7666</v>
      </c>
      <c r="J62" s="1601" t="s">
        <v>7666</v>
      </c>
      <c r="K62" s="1601">
        <v>2</v>
      </c>
      <c r="L62" s="1601" t="s">
        <v>7685</v>
      </c>
      <c r="M62" s="1601">
        <v>8</v>
      </c>
      <c r="N62" s="1601" t="s">
        <v>7690</v>
      </c>
      <c r="O62" s="1601" t="s">
        <v>7759</v>
      </c>
      <c r="P62" s="1601" t="s">
        <v>7760</v>
      </c>
      <c r="Q62" s="1601" t="s">
        <v>7761</v>
      </c>
      <c r="R62" s="1602" t="s">
        <v>10046</v>
      </c>
    </row>
    <row r="63" spans="2:18" hidden="1">
      <c r="B63" s="1447" t="s">
        <v>323</v>
      </c>
      <c r="C63" s="511" t="s">
        <v>2452</v>
      </c>
      <c r="D63" s="292">
        <v>41</v>
      </c>
      <c r="E63" s="292">
        <v>41</v>
      </c>
      <c r="F63" s="2423" t="s">
        <v>2237</v>
      </c>
      <c r="G63" s="1601" t="s">
        <v>865</v>
      </c>
      <c r="H63" s="2438" t="s">
        <v>2973</v>
      </c>
      <c r="I63" s="2439" t="s">
        <v>2976</v>
      </c>
      <c r="J63" s="2439" t="s">
        <v>2976</v>
      </c>
      <c r="K63" s="1601">
        <v>3</v>
      </c>
      <c r="L63" s="1601" t="s">
        <v>1150</v>
      </c>
      <c r="M63" s="1601">
        <v>12</v>
      </c>
      <c r="N63" s="1601">
        <f>E8</f>
        <v>1</v>
      </c>
      <c r="O63" s="1601" t="s">
        <v>7762</v>
      </c>
      <c r="P63" s="1601" t="s">
        <v>7762</v>
      </c>
      <c r="Q63" s="1601" t="s">
        <v>7763</v>
      </c>
      <c r="R63" s="1602" t="s">
        <v>7764</v>
      </c>
    </row>
    <row r="64" spans="2:18" hidden="1">
      <c r="B64" s="1447" t="s">
        <v>1935</v>
      </c>
      <c r="C64" s="511" t="s">
        <v>1441</v>
      </c>
      <c r="D64" s="292">
        <v>42</v>
      </c>
      <c r="E64" s="292">
        <v>42</v>
      </c>
      <c r="F64" s="2421" t="s">
        <v>2369</v>
      </c>
      <c r="G64" s="1601" t="s">
        <v>865</v>
      </c>
      <c r="H64" s="2437">
        <f>IF(I8="Тант",ROUNDUP((E8*50+30)*(1+(I11/G11)*0.03),0),E8*50+30)</f>
        <v>80</v>
      </c>
      <c r="I64" s="1601">
        <f>IF(I8="Тант",ROUNDUP((E8*50+60)*(1+(I11/G11)*0.03),0),E8*50+60)</f>
        <v>110</v>
      </c>
      <c r="J64" s="1601">
        <f>IF(I8="Тант",ROUNDUP((E8*50+160)*(1+(I11/G11)*0.03),0),E8*50+160)</f>
        <v>210</v>
      </c>
      <c r="K64" s="1601">
        <v>3</v>
      </c>
      <c r="L64" s="1601" t="s">
        <v>5630</v>
      </c>
      <c r="M64" s="1601">
        <v>15</v>
      </c>
      <c r="N64" s="1601" t="s">
        <v>137</v>
      </c>
      <c r="O64" s="1601" t="s">
        <v>7765</v>
      </c>
      <c r="P64" s="1601" t="s">
        <v>7765</v>
      </c>
      <c r="Q64" s="1601" t="s">
        <v>7765</v>
      </c>
      <c r="R64" s="1602" t="s">
        <v>7766</v>
      </c>
    </row>
    <row r="65" spans="2:18" hidden="1">
      <c r="B65" s="1447" t="s">
        <v>1747</v>
      </c>
      <c r="C65" s="511" t="s">
        <v>2568</v>
      </c>
      <c r="D65" s="292">
        <v>43</v>
      </c>
      <c r="E65" s="292">
        <v>43</v>
      </c>
      <c r="F65" s="2423" t="s">
        <v>3304</v>
      </c>
      <c r="G65" s="1601" t="s">
        <v>865</v>
      </c>
      <c r="H65" s="2438" t="s">
        <v>7767</v>
      </c>
      <c r="I65" s="2439" t="s">
        <v>70</v>
      </c>
      <c r="J65" s="2439" t="s">
        <v>7739</v>
      </c>
      <c r="K65" s="1601">
        <v>3</v>
      </c>
      <c r="L65" s="1601" t="s">
        <v>1150</v>
      </c>
      <c r="M65" s="1601">
        <v>15</v>
      </c>
      <c r="N65" s="1601">
        <f>E8</f>
        <v>1</v>
      </c>
      <c r="O65" s="1601" t="s">
        <v>7768</v>
      </c>
      <c r="P65" s="1601" t="s">
        <v>7768</v>
      </c>
      <c r="Q65" s="1601" t="s">
        <v>7768</v>
      </c>
      <c r="R65" s="1602" t="s">
        <v>8747</v>
      </c>
    </row>
    <row r="66" spans="2:18" hidden="1">
      <c r="B66" s="1452" t="s">
        <v>1749</v>
      </c>
      <c r="C66" s="511" t="s">
        <v>1649</v>
      </c>
      <c r="D66" s="292">
        <v>44</v>
      </c>
      <c r="E66" s="292">
        <v>44</v>
      </c>
      <c r="F66" s="2421" t="s">
        <v>874</v>
      </c>
      <c r="G66" s="1601" t="s">
        <v>865</v>
      </c>
      <c r="H66" s="2437">
        <v>2</v>
      </c>
      <c r="I66" s="1601">
        <v>3</v>
      </c>
      <c r="J66" s="1601">
        <v>4</v>
      </c>
      <c r="K66" s="1601">
        <v>3</v>
      </c>
      <c r="L66" s="1601" t="s">
        <v>7672</v>
      </c>
      <c r="M66" s="1601">
        <v>20</v>
      </c>
      <c r="N66" s="1601" t="s">
        <v>137</v>
      </c>
      <c r="O66" s="1601" t="s">
        <v>7769</v>
      </c>
      <c r="P66" s="1601" t="s">
        <v>7769</v>
      </c>
      <c r="Q66" s="1601" t="s">
        <v>7769</v>
      </c>
      <c r="R66" s="1602" t="s">
        <v>7770</v>
      </c>
    </row>
    <row r="67" spans="2:18" hidden="1">
      <c r="B67" s="1447" t="s">
        <v>1500</v>
      </c>
      <c r="C67" s="511" t="s">
        <v>392</v>
      </c>
      <c r="D67" s="292">
        <v>45</v>
      </c>
      <c r="E67" s="292">
        <v>45</v>
      </c>
      <c r="F67" s="2423" t="s">
        <v>2391</v>
      </c>
      <c r="G67" s="1601" t="s">
        <v>865</v>
      </c>
      <c r="H67" s="2437" t="s">
        <v>7666</v>
      </c>
      <c r="I67" s="1601" t="s">
        <v>7666</v>
      </c>
      <c r="J67" s="1601" t="s">
        <v>7666</v>
      </c>
      <c r="K67" s="1601">
        <v>3</v>
      </c>
      <c r="L67" s="1601" t="s">
        <v>7685</v>
      </c>
      <c r="M67" s="1601">
        <v>12</v>
      </c>
      <c r="N67" s="1601">
        <v>2</v>
      </c>
      <c r="O67" s="1601" t="s">
        <v>7771</v>
      </c>
      <c r="P67" s="1601" t="s">
        <v>7772</v>
      </c>
      <c r="Q67" s="1601" t="s">
        <v>7772</v>
      </c>
      <c r="R67" s="1602" t="s">
        <v>7773</v>
      </c>
    </row>
    <row r="68" spans="2:18" hidden="1">
      <c r="B68" s="1452" t="s">
        <v>7655</v>
      </c>
      <c r="C68" s="511" t="s">
        <v>1202</v>
      </c>
      <c r="D68" s="292">
        <v>46</v>
      </c>
      <c r="E68" s="292">
        <v>46</v>
      </c>
      <c r="F68" s="2421" t="s">
        <v>2452</v>
      </c>
      <c r="G68" s="1601" t="s">
        <v>865</v>
      </c>
      <c r="H68" s="2437">
        <f>IF(I9="Метеоритный дождь",ROUNDUP((E8*25+25)*(1+(I11/G11)*0.03),0),E8*25+25)*D111</f>
        <v>50</v>
      </c>
      <c r="I68" s="1601">
        <f>IF(I9="Метеоритный дождь",ROUNDUP((E8*25+50)*(1+(I11/G11)*0.03),0),E8*25+50)*D111</f>
        <v>75</v>
      </c>
      <c r="J68" s="1601">
        <f>IF(I9="Метеоритный дождь",ROUNDUP((E8*25+100)*(1+(I11/G11)*0.03),0),E8*25+100)*D111</f>
        <v>125</v>
      </c>
      <c r="K68" s="1601">
        <v>4</v>
      </c>
      <c r="L68" s="1601" t="s">
        <v>7672</v>
      </c>
      <c r="M68" s="1601">
        <v>16</v>
      </c>
      <c r="N68" s="1601" t="s">
        <v>137</v>
      </c>
      <c r="O68" s="1601" t="s">
        <v>7689</v>
      </c>
      <c r="P68" s="1601" t="s">
        <v>7689</v>
      </c>
      <c r="Q68" s="1601" t="s">
        <v>7689</v>
      </c>
      <c r="R68" s="1602" t="s">
        <v>9761</v>
      </c>
    </row>
    <row r="69" spans="2:18" hidden="1">
      <c r="B69" s="1447" t="s">
        <v>7654</v>
      </c>
      <c r="C69" s="511" t="s">
        <v>1019</v>
      </c>
      <c r="D69" s="292">
        <v>47</v>
      </c>
      <c r="E69" s="292">
        <v>47</v>
      </c>
      <c r="F69" s="2423" t="s">
        <v>1214</v>
      </c>
      <c r="G69" s="1601" t="s">
        <v>865</v>
      </c>
      <c r="H69" s="2437">
        <f>IF(OR(I8="Аламар",I8="Жеддит"),IF(AND(G11&gt;0,G11&lt;8),ROUNDUP((E8*50+40)*(1+(I11/G11)*0.03),0)," "),E8*50+40)</f>
        <v>90</v>
      </c>
      <c r="I69" s="1601">
        <f>IF(OR(I8="Аламар",I8="Жеддит"),IF(AND(G11&gt;0,G11&lt;8),ROUNDUP((E8*50+80)*(1+(I11/G11)*0.03),0)," "),E8*50+80)</f>
        <v>130</v>
      </c>
      <c r="J69" s="1601">
        <f>IF(OR(I8="Аламар",I8="Жеддит"),IF(AND(G11&gt;0,G11&lt;8),ROUNDUP((E8*50+160)*(1+(I11/G11)*0.03),0)," "),E8*50+160)</f>
        <v>210</v>
      </c>
      <c r="K69" s="1601">
        <v>4</v>
      </c>
      <c r="L69" s="1601" t="s">
        <v>5630</v>
      </c>
      <c r="M69" s="1601">
        <v>20</v>
      </c>
      <c r="N69" s="1601" t="s">
        <v>137</v>
      </c>
      <c r="O69" s="1601" t="str">
        <f>IF(OR(I8="Аламар",I8="Жеддит"),IF(AND(G11&gt;0,G11&lt;8),"Воскрешает и излечивает цель (только живые). Воскрешённые не сохраняются в армии после боя. Если герой победил, а в его армии остались только воскрешённые, то 1 самое слабое существо из них останется. Воскрешение восстанавливает здоровье на:","ВВЕДЁН НЕКОРРЕКТНЫЙ УРОВЕНЬ СУЩЕСТВА-ЦЕЛИ ЗАКЛИНАНИЯ!"),"Воскрешает и излечивает цель (только живые). Воскрешённые не сохраняются в армии после боя. Если герой победил, а в его армии остались только воскрешённые, то 1 самое слабое существо из них останется. Воскрешение восстанавливает здоровье на:")</f>
        <v>Воскрешает и излечивает цель (только живые). Воскрешённые не сохраняются в армии после боя. Если герой победил, а в его армии остались только воскрешённые, то 1 самое слабое существо из них останется. Воскрешение восстанавливает здоровье на:</v>
      </c>
      <c r="P69" s="1601" t="str">
        <f>IF(OR(I8="Аламар",I8="Жеддит"),IF(AND(G11&gt;0,G11&lt;8),"Воскрешает и излечивает цель (только живые). Воскрешённые сохраняются в армии после боя. Воскрешение восстанавливает здоровье на:","ВВЕДЁН НЕКОРРЕКТНЫЙ УРОВЕНЬ СУЩЕСТВА-ЦЕЛИ ЗАКЛИНАНИЯ!"),"Воскрешает и излечивает цель (только живые). Воскрешённые сохраняются в армии после боя. Воскрешение восстанавливает здоровье на:")</f>
        <v>Воскрешает и излечивает цель (только живые). Воскрешённые сохраняются в армии после боя. Воскрешение восстанавливает здоровье на:</v>
      </c>
      <c r="Q69" s="1601" t="str">
        <f>IF(OR(I8="Аламар",I8="Жеддит"),IF(AND(G11&gt;0,G11&lt;8),"Воскрешает и излечивает цель (только живые). Воскрешённые сохраняются в армии после боя. Воскрешение восстанавливает здоровье на:","ВВЕДЁН НЕКОРРЕКТНЫЙ УРОВЕНЬ СУЩЕСТВА-ЦЕЛИ ЗАКЛИНАНИЯ!"),"Воскрешает и излечивает цель (только живые). Воскрешённые сохраняются в армии после боя. Воскрешение восстанавливает здоровье на:")</f>
        <v>Воскрешает и излечивает цель (только живые). Воскрешённые сохраняются в армии после боя. Воскрешение восстанавливает здоровье на:</v>
      </c>
      <c r="R69" s="1602" t="s">
        <v>7766</v>
      </c>
    </row>
    <row r="70" spans="2:18" hidden="1">
      <c r="B70" s="1447" t="s">
        <v>1490</v>
      </c>
      <c r="C70" s="511" t="s">
        <v>2568</v>
      </c>
      <c r="D70" s="292">
        <v>48</v>
      </c>
      <c r="E70" s="292">
        <v>48</v>
      </c>
      <c r="F70" s="2421" t="s">
        <v>2376</v>
      </c>
      <c r="G70" s="1601" t="s">
        <v>865</v>
      </c>
      <c r="H70" s="2437">
        <v>1</v>
      </c>
      <c r="I70" s="1601">
        <v>2</v>
      </c>
      <c r="J70" s="1601">
        <v>2</v>
      </c>
      <c r="K70" s="1601">
        <v>4</v>
      </c>
      <c r="L70" s="1601" t="s">
        <v>2056</v>
      </c>
      <c r="M70" s="1601">
        <v>16</v>
      </c>
      <c r="N70" s="1601">
        <f>E8</f>
        <v>1</v>
      </c>
      <c r="O70" s="1601" t="s">
        <v>7774</v>
      </c>
      <c r="P70" s="1601" t="s">
        <v>7774</v>
      </c>
      <c r="Q70" s="1601" t="s">
        <v>7775</v>
      </c>
      <c r="R70" s="1602" t="s">
        <v>7776</v>
      </c>
    </row>
    <row r="71" spans="2:18" hidden="1">
      <c r="B71" s="1447" t="s">
        <v>468</v>
      </c>
      <c r="C71" s="511" t="s">
        <v>429</v>
      </c>
      <c r="D71" s="292">
        <v>49</v>
      </c>
      <c r="E71" s="292">
        <v>49</v>
      </c>
      <c r="F71" s="2423" t="s">
        <v>2388</v>
      </c>
      <c r="G71" s="1601" t="s">
        <v>865</v>
      </c>
      <c r="H71" s="2437" t="s">
        <v>7666</v>
      </c>
      <c r="I71" s="1601" t="s">
        <v>7666</v>
      </c>
      <c r="J71" s="1601" t="s">
        <v>7666</v>
      </c>
      <c r="K71" s="1601">
        <v>4</v>
      </c>
      <c r="L71" s="1601" t="s">
        <v>7671</v>
      </c>
      <c r="M71" s="1601">
        <v>16</v>
      </c>
      <c r="N71" s="1601" t="s">
        <v>137</v>
      </c>
      <c r="O71" s="1601" t="s">
        <v>3318</v>
      </c>
      <c r="P71" s="1601" t="s">
        <v>7777</v>
      </c>
      <c r="Q71" s="1601" t="s">
        <v>7778</v>
      </c>
      <c r="R71" s="1602" t="s">
        <v>7666</v>
      </c>
    </row>
    <row r="72" spans="2:18" hidden="1">
      <c r="B72" s="1447" t="s">
        <v>1362</v>
      </c>
      <c r="C72" s="511" t="s">
        <v>869</v>
      </c>
      <c r="D72" s="292">
        <v>50</v>
      </c>
      <c r="E72" s="292">
        <v>50</v>
      </c>
      <c r="F72" s="2421" t="s">
        <v>2555</v>
      </c>
      <c r="G72" s="1601" t="s">
        <v>865</v>
      </c>
      <c r="H72" s="2437">
        <f>(E8*75+100)*D111</f>
        <v>175</v>
      </c>
      <c r="I72" s="1601">
        <f>(E8*75+200)*D111</f>
        <v>275</v>
      </c>
      <c r="J72" s="1601">
        <f>(E8*75+300)*D111</f>
        <v>375</v>
      </c>
      <c r="K72" s="1601">
        <v>5</v>
      </c>
      <c r="L72" s="1601" t="s">
        <v>7672</v>
      </c>
      <c r="M72" s="1601">
        <v>30</v>
      </c>
      <c r="N72" s="1601" t="s">
        <v>137</v>
      </c>
      <c r="O72" s="1601" t="s">
        <v>7661</v>
      </c>
      <c r="P72" s="1601" t="s">
        <v>7667</v>
      </c>
      <c r="Q72" s="1601" t="s">
        <v>7661</v>
      </c>
      <c r="R72" s="1602" t="s">
        <v>7666</v>
      </c>
    </row>
    <row r="73" spans="2:18" hidden="1">
      <c r="B73" s="1447" t="s">
        <v>1364</v>
      </c>
      <c r="C73" s="511" t="s">
        <v>1214</v>
      </c>
      <c r="D73" s="292">
        <v>51</v>
      </c>
      <c r="E73" s="292">
        <v>51</v>
      </c>
      <c r="F73" s="2423" t="s">
        <v>2667</v>
      </c>
      <c r="G73" s="1601" t="s">
        <v>865</v>
      </c>
      <c r="H73" s="2437">
        <f>E8*2</f>
        <v>2</v>
      </c>
      <c r="I73" s="1601">
        <f>E8*3</f>
        <v>3</v>
      </c>
      <c r="J73" s="1601">
        <f>E8*4</f>
        <v>4</v>
      </c>
      <c r="K73" s="1601">
        <v>5</v>
      </c>
      <c r="L73" s="1601" t="s">
        <v>7685</v>
      </c>
      <c r="M73" s="1601">
        <v>25</v>
      </c>
      <c r="N73" s="1601" t="s">
        <v>7690</v>
      </c>
      <c r="O73" s="1601" t="s">
        <v>7779</v>
      </c>
      <c r="P73" s="1601" t="s">
        <v>7779</v>
      </c>
      <c r="Q73" s="1601" t="s">
        <v>7779</v>
      </c>
      <c r="R73" s="1602" t="s">
        <v>7710</v>
      </c>
    </row>
    <row r="74" spans="2:18" hidden="1">
      <c r="B74" s="1447" t="s">
        <v>2591</v>
      </c>
      <c r="C74" s="511" t="s">
        <v>2597</v>
      </c>
      <c r="D74" s="292">
        <v>52</v>
      </c>
      <c r="E74" s="292">
        <v>52</v>
      </c>
      <c r="F74" s="2423" t="s">
        <v>2379</v>
      </c>
      <c r="G74" s="1601" t="s">
        <v>98</v>
      </c>
      <c r="H74" s="2437">
        <f>IF(I9="Ускорение",IF(OR(G11=1,G11=2),6,IF(OR(G11=3,G11=4),5,IF(OR(G11=5,G11=6),4,3))),3)</f>
        <v>3</v>
      </c>
      <c r="I74" s="1601">
        <f>IF(I9="Ускорение",IF(OR(G11=1,G11=2),8,IF(OR(G11=3,G11=4),7,IF(OR(G11=5,G11=6),6,5))),5)</f>
        <v>5</v>
      </c>
      <c r="J74" s="1601">
        <f>IF(I9="Ускорение",IF(OR(G11=1,G11=2),8,IF(OR(G11=3,G11=4),7,IF(OR(G11=5,G11=6),6,5))),5)</f>
        <v>5</v>
      </c>
      <c r="K74" s="1601">
        <v>1</v>
      </c>
      <c r="L74" s="1601" t="s">
        <v>1150</v>
      </c>
      <c r="M74" s="1601">
        <v>6</v>
      </c>
      <c r="N74" s="1601">
        <f>E8</f>
        <v>1</v>
      </c>
      <c r="O74" s="1601" t="s">
        <v>7783</v>
      </c>
      <c r="P74" s="1601" t="s">
        <v>7783</v>
      </c>
      <c r="Q74" s="1601" t="s">
        <v>7784</v>
      </c>
      <c r="R74" s="1602" t="s">
        <v>7785</v>
      </c>
    </row>
    <row r="75" spans="2:18" hidden="1">
      <c r="B75" s="1447" t="s">
        <v>1703</v>
      </c>
      <c r="C75" s="511" t="s">
        <v>1275</v>
      </c>
      <c r="D75" s="292">
        <v>53</v>
      </c>
      <c r="E75" s="292">
        <v>53</v>
      </c>
      <c r="F75" s="2421" t="s">
        <v>3328</v>
      </c>
      <c r="G75" s="1601" t="s">
        <v>98</v>
      </c>
      <c r="H75" s="2437" t="s">
        <v>7666</v>
      </c>
      <c r="I75" s="1601" t="s">
        <v>7666</v>
      </c>
      <c r="J75" s="1601" t="s">
        <v>7666</v>
      </c>
      <c r="K75" s="1601">
        <v>1</v>
      </c>
      <c r="L75" s="1601" t="s">
        <v>7671</v>
      </c>
      <c r="M75" s="1601">
        <v>2</v>
      </c>
      <c r="N75" s="1601" t="s">
        <v>7789</v>
      </c>
      <c r="O75" s="1601" t="s">
        <v>7786</v>
      </c>
      <c r="P75" s="1601" t="s">
        <v>7787</v>
      </c>
      <c r="Q75" s="1601" t="s">
        <v>7788</v>
      </c>
      <c r="R75" s="1602" t="s">
        <v>7666</v>
      </c>
    </row>
    <row r="76" spans="2:18" hidden="1">
      <c r="B76" s="1447" t="s">
        <v>1937</v>
      </c>
      <c r="C76" s="511" t="s">
        <v>2372</v>
      </c>
      <c r="D76" s="292">
        <v>54</v>
      </c>
      <c r="E76" s="292">
        <v>54</v>
      </c>
      <c r="F76" s="2423" t="s">
        <v>2384</v>
      </c>
      <c r="G76" s="1601" t="s">
        <v>98</v>
      </c>
      <c r="H76" s="2437" t="s">
        <v>7666</v>
      </c>
      <c r="I76" s="1601" t="s">
        <v>7666</v>
      </c>
      <c r="J76" s="1601" t="s">
        <v>7666</v>
      </c>
      <c r="K76" s="1601">
        <v>2</v>
      </c>
      <c r="L76" s="1601" t="s">
        <v>7671</v>
      </c>
      <c r="M76" s="1601">
        <v>4</v>
      </c>
      <c r="N76" s="1601" t="s">
        <v>2053</v>
      </c>
      <c r="O76" s="1601" t="s">
        <v>3331</v>
      </c>
      <c r="P76" s="1601" t="s">
        <v>7790</v>
      </c>
      <c r="Q76" s="1601" t="s">
        <v>7791</v>
      </c>
      <c r="R76" s="1602" t="s">
        <v>7666</v>
      </c>
    </row>
    <row r="77" spans="2:18" hidden="1">
      <c r="B77" s="1447" t="s">
        <v>1493</v>
      </c>
      <c r="C77" s="511" t="s">
        <v>2159</v>
      </c>
      <c r="D77" s="292">
        <v>55</v>
      </c>
      <c r="E77" s="292">
        <v>55</v>
      </c>
      <c r="F77" s="2421" t="s">
        <v>2373</v>
      </c>
      <c r="G77" s="1601" t="s">
        <v>98</v>
      </c>
      <c r="H77" s="2437">
        <f>IF(I8="Аэнаин",5,3)</f>
        <v>3</v>
      </c>
      <c r="I77" s="1601">
        <f>IF(I8="Аэнаин",6,4)</f>
        <v>4</v>
      </c>
      <c r="J77" s="1601">
        <f>IF(I8="Аэнаин",7,5)</f>
        <v>5</v>
      </c>
      <c r="K77" s="1601">
        <v>2</v>
      </c>
      <c r="L77" s="1601" t="s">
        <v>2056</v>
      </c>
      <c r="M77" s="1601">
        <v>10</v>
      </c>
      <c r="N77" s="1601" t="s">
        <v>7690</v>
      </c>
      <c r="O77" s="1601" t="s">
        <v>7792</v>
      </c>
      <c r="P77" s="1601" t="s">
        <v>7792</v>
      </c>
      <c r="Q77" s="1601" t="s">
        <v>7792</v>
      </c>
      <c r="R77" s="1602" t="s">
        <v>7793</v>
      </c>
    </row>
    <row r="78" spans="2:18" hidden="1">
      <c r="B78" s="1447" t="s">
        <v>1691</v>
      </c>
      <c r="C78" s="511" t="s">
        <v>496</v>
      </c>
      <c r="D78" s="292">
        <v>56</v>
      </c>
      <c r="E78" s="292">
        <v>56</v>
      </c>
      <c r="F78" s="2423" t="s">
        <v>2377</v>
      </c>
      <c r="G78" s="1601" t="s">
        <v>98</v>
      </c>
      <c r="H78" s="2437">
        <f>IF(I9="Удача",3,1)</f>
        <v>1</v>
      </c>
      <c r="I78" s="1601">
        <f>IF(I9="Удача",3,2)</f>
        <v>2</v>
      </c>
      <c r="J78" s="1601">
        <f>IF(I9="Удача",3,2)</f>
        <v>2</v>
      </c>
      <c r="K78" s="1601">
        <v>2</v>
      </c>
      <c r="L78" s="1601" t="s">
        <v>1150</v>
      </c>
      <c r="M78" s="1601">
        <v>7</v>
      </c>
      <c r="N78" s="1601">
        <f>E8</f>
        <v>1</v>
      </c>
      <c r="O78" s="1601" t="s">
        <v>7794</v>
      </c>
      <c r="P78" s="1601" t="s">
        <v>7794</v>
      </c>
      <c r="Q78" s="1601" t="s">
        <v>7796</v>
      </c>
      <c r="R78" s="1602" t="s">
        <v>7795</v>
      </c>
    </row>
    <row r="79" spans="2:18" hidden="1">
      <c r="B79" s="1447" t="s">
        <v>2050</v>
      </c>
      <c r="C79" s="511" t="s">
        <v>2836</v>
      </c>
      <c r="D79" s="292">
        <v>57</v>
      </c>
      <c r="E79" s="292">
        <v>57</v>
      </c>
      <c r="F79" s="2421" t="s">
        <v>2554</v>
      </c>
      <c r="G79" s="1601" t="s">
        <v>98</v>
      </c>
      <c r="H79" s="2437">
        <f>(E8*25+10)*D111</f>
        <v>35</v>
      </c>
      <c r="I79" s="1601">
        <f>(E8*25+20)*D111</f>
        <v>45</v>
      </c>
      <c r="J79" s="1601">
        <f>(E8*25+50)*D111</f>
        <v>75</v>
      </c>
      <c r="K79" s="1601">
        <v>2</v>
      </c>
      <c r="L79" s="1601" t="s">
        <v>7672</v>
      </c>
      <c r="M79" s="1601">
        <v>10</v>
      </c>
      <c r="N79" s="1601" t="s">
        <v>137</v>
      </c>
      <c r="O79" s="1601" t="s">
        <v>7661</v>
      </c>
      <c r="P79" s="1601" t="s">
        <v>7667</v>
      </c>
      <c r="Q79" s="1601" t="s">
        <v>7661</v>
      </c>
      <c r="R79" s="1602" t="s">
        <v>7666</v>
      </c>
    </row>
    <row r="80" spans="2:18" hidden="1">
      <c r="B80" s="1447" t="s">
        <v>2741</v>
      </c>
      <c r="C80" s="511" t="s">
        <v>2371</v>
      </c>
      <c r="D80" s="292">
        <v>58</v>
      </c>
      <c r="E80" s="292">
        <v>58</v>
      </c>
      <c r="F80" s="2423" t="s">
        <v>2372</v>
      </c>
      <c r="G80" s="1601" t="s">
        <v>98</v>
      </c>
      <c r="H80" s="2437">
        <f>IF(I9="Точность",IF(OR(G11=1,G11=2),6,IF(OR(G11=3,G11=4),5,IF(OR(G11=5,G11=6),4,3))),3)</f>
        <v>3</v>
      </c>
      <c r="I80" s="1601">
        <f>IF(I9="Точность",IF(OR(G11=1,G11=2),9,IF(OR(G11=3,G11=4),8,IF(OR(G11=5,G11=6),7,6))),6)</f>
        <v>6</v>
      </c>
      <c r="J80" s="1601">
        <f>IF(I9="Точность",IF(OR(G11=1,G11=2),9,IF(OR(G11=3,G11=4),8,IF(OR(G11=5,G11=6),7,6))),6)</f>
        <v>6</v>
      </c>
      <c r="K80" s="1601">
        <v>2</v>
      </c>
      <c r="L80" s="1601" t="s">
        <v>1150</v>
      </c>
      <c r="M80" s="1601">
        <v>8</v>
      </c>
      <c r="N80" s="1601">
        <f>E8</f>
        <v>1</v>
      </c>
      <c r="O80" s="1601" t="s">
        <v>7797</v>
      </c>
      <c r="P80" s="1601" t="s">
        <v>7797</v>
      </c>
      <c r="Q80" s="1601" t="s">
        <v>7798</v>
      </c>
      <c r="R80" s="1602" t="s">
        <v>7666</v>
      </c>
    </row>
    <row r="81" spans="2:18" hidden="1">
      <c r="B81" s="1447" t="s">
        <v>868</v>
      </c>
      <c r="C81" s="511" t="s">
        <v>870</v>
      </c>
      <c r="D81" s="292">
        <v>59</v>
      </c>
      <c r="E81" s="292">
        <v>59</v>
      </c>
      <c r="F81" s="2421" t="s">
        <v>2185</v>
      </c>
      <c r="G81" s="1601" t="s">
        <v>98</v>
      </c>
      <c r="H81" s="2438" t="s">
        <v>2973</v>
      </c>
      <c r="I81" s="2439" t="s">
        <v>2976</v>
      </c>
      <c r="J81" s="2439" t="s">
        <v>2976</v>
      </c>
      <c r="K81" s="1601">
        <v>2</v>
      </c>
      <c r="L81" s="1601" t="s">
        <v>1150</v>
      </c>
      <c r="M81" s="1601">
        <v>7</v>
      </c>
      <c r="N81" s="1601">
        <f>E8</f>
        <v>1</v>
      </c>
      <c r="O81" s="1601" t="s">
        <v>7799</v>
      </c>
      <c r="P81" s="1601" t="s">
        <v>7799</v>
      </c>
      <c r="Q81" s="1601" t="s">
        <v>7800</v>
      </c>
      <c r="R81" s="1602" t="s">
        <v>7801</v>
      </c>
    </row>
    <row r="82" spans="2:18" hidden="1">
      <c r="B82" s="1447" t="s">
        <v>326</v>
      </c>
      <c r="C82" s="511" t="s">
        <v>465</v>
      </c>
      <c r="D82" s="292">
        <v>60</v>
      </c>
      <c r="E82" s="292">
        <v>60</v>
      </c>
      <c r="F82" s="2423" t="s">
        <v>1201</v>
      </c>
      <c r="G82" s="1601" t="s">
        <v>98</v>
      </c>
      <c r="H82" s="2438" t="s">
        <v>2975</v>
      </c>
      <c r="I82" s="2439" t="s">
        <v>2976</v>
      </c>
      <c r="J82" s="2439" t="s">
        <v>2976</v>
      </c>
      <c r="K82" s="1601">
        <v>3</v>
      </c>
      <c r="L82" s="1601" t="s">
        <v>1150</v>
      </c>
      <c r="M82" s="1601">
        <v>12</v>
      </c>
      <c r="N82" s="1601">
        <f>E8</f>
        <v>1</v>
      </c>
      <c r="O82" s="1601" t="s">
        <v>7802</v>
      </c>
      <c r="P82" s="1601" t="s">
        <v>7802</v>
      </c>
      <c r="Q82" s="1601" t="s">
        <v>7803</v>
      </c>
      <c r="R82" s="1602" t="s">
        <v>7804</v>
      </c>
    </row>
    <row r="83" spans="2:18" hidden="1">
      <c r="B83" s="1447" t="s">
        <v>1815</v>
      </c>
      <c r="C83" s="511" t="s">
        <v>2830</v>
      </c>
      <c r="D83" s="292">
        <v>61</v>
      </c>
      <c r="E83" s="292">
        <v>61</v>
      </c>
      <c r="F83" s="2421" t="s">
        <v>3360</v>
      </c>
      <c r="G83" s="1601" t="s">
        <v>98</v>
      </c>
      <c r="H83" s="2437">
        <f>(E8*10+10)*D111</f>
        <v>20</v>
      </c>
      <c r="I83" s="1601">
        <f>(E8*10+20)*D111</f>
        <v>30</v>
      </c>
      <c r="J83" s="1601">
        <f>(E8*10+50)*D111</f>
        <v>60</v>
      </c>
      <c r="K83" s="1601">
        <v>3</v>
      </c>
      <c r="L83" s="1601" t="s">
        <v>7672</v>
      </c>
      <c r="M83" s="1601">
        <v>15</v>
      </c>
      <c r="N83" s="1601" t="s">
        <v>137</v>
      </c>
      <c r="O83" s="1601" t="s">
        <v>7805</v>
      </c>
      <c r="P83" s="1601" t="s">
        <v>7805</v>
      </c>
      <c r="Q83" s="1601" t="s">
        <v>7805</v>
      </c>
      <c r="R83" s="1602" t="s">
        <v>7666</v>
      </c>
    </row>
    <row r="84" spans="2:18" hidden="1">
      <c r="B84" s="1447" t="s">
        <v>1855</v>
      </c>
      <c r="C84" s="511" t="s">
        <v>2333</v>
      </c>
      <c r="D84" s="292">
        <v>62</v>
      </c>
      <c r="E84" s="292">
        <v>62</v>
      </c>
      <c r="F84" s="2423" t="s">
        <v>2274</v>
      </c>
      <c r="G84" s="1601" t="s">
        <v>98</v>
      </c>
      <c r="H84" s="2437">
        <f>IF(I8="Астрал",ROUNDUP((E8*25+10)*(1+(I11/G11)*0.03),0),E8*25+10)</f>
        <v>35</v>
      </c>
      <c r="I84" s="1601">
        <f>IF(I8="Астрал",ROUNDUP((E8*25+20)*(1+(I11/G11)*0.03),0),E8*25+20)</f>
        <v>45</v>
      </c>
      <c r="J84" s="1601">
        <f>IF(I8="Астрал",ROUNDUP((E8*25+50)*(1+(I11/G11)*0.03),0),E8*25+50)</f>
        <v>75</v>
      </c>
      <c r="K84" s="1601">
        <v>3</v>
      </c>
      <c r="L84" s="1601" t="s">
        <v>2056</v>
      </c>
      <c r="M84" s="1601">
        <v>18</v>
      </c>
      <c r="N84" s="1601">
        <f>E8</f>
        <v>1</v>
      </c>
      <c r="O84" s="1601" t="s">
        <v>7806</v>
      </c>
      <c r="P84" s="1601" t="s">
        <v>7806</v>
      </c>
      <c r="Q84" s="1601" t="s">
        <v>7806</v>
      </c>
      <c r="R84" s="1602" t="s">
        <v>8738</v>
      </c>
    </row>
    <row r="85" spans="2:18" hidden="1">
      <c r="B85" s="1447" t="s">
        <v>217</v>
      </c>
      <c r="C85" s="511" t="s">
        <v>2568</v>
      </c>
      <c r="D85" s="292">
        <v>63</v>
      </c>
      <c r="E85" s="292">
        <v>63</v>
      </c>
      <c r="F85" s="2421" t="s">
        <v>2556</v>
      </c>
      <c r="G85" s="1601" t="s">
        <v>98</v>
      </c>
      <c r="H85" s="2437">
        <f>IF(I8="Солмир",ROUNDUP((E8*40+25)*(1+(I11/G11)*0.03),0),E8*40+25)*D111</f>
        <v>65</v>
      </c>
      <c r="I85" s="1601">
        <f>IF(I8="Солмир",ROUNDUP((E8*40+50)*(1+(I11/G11)*0.03),0),E8*40+50)*D111</f>
        <v>90</v>
      </c>
      <c r="J85" s="1601">
        <f>IF(I8="Солмир",ROUNDUP((E8*40+100)*(1+(I11/G11)*0.03),0),E8*40+100)*D111</f>
        <v>140</v>
      </c>
      <c r="K85" s="1601">
        <v>4</v>
      </c>
      <c r="L85" s="1601" t="s">
        <v>7672</v>
      </c>
      <c r="M85" s="1601">
        <v>24</v>
      </c>
      <c r="N85" s="1601" t="s">
        <v>137</v>
      </c>
      <c r="O85" s="1601" t="s">
        <v>7807</v>
      </c>
      <c r="P85" s="1601" t="s">
        <v>7808</v>
      </c>
      <c r="Q85" s="1601" t="s">
        <v>7808</v>
      </c>
      <c r="R85" s="1602" t="s">
        <v>7809</v>
      </c>
    </row>
    <row r="86" spans="2:18" hidden="1">
      <c r="B86" s="1447" t="s">
        <v>1701</v>
      </c>
      <c r="C86" s="511" t="s">
        <v>2572</v>
      </c>
      <c r="D86" s="292">
        <v>64</v>
      </c>
      <c r="E86" s="292">
        <v>64</v>
      </c>
      <c r="F86" s="2423" t="s">
        <v>681</v>
      </c>
      <c r="G86" s="1601" t="s">
        <v>98</v>
      </c>
      <c r="H86" s="2437">
        <v>2</v>
      </c>
      <c r="I86" s="1601">
        <v>3</v>
      </c>
      <c r="J86" s="1601">
        <v>3</v>
      </c>
      <c r="K86" s="1601">
        <v>4</v>
      </c>
      <c r="L86" s="1601" t="s">
        <v>1150</v>
      </c>
      <c r="M86" s="1601">
        <v>24</v>
      </c>
      <c r="N86" s="1601">
        <f>E8</f>
        <v>1</v>
      </c>
      <c r="O86" s="1601" t="s">
        <v>7810</v>
      </c>
      <c r="P86" s="1601" t="s">
        <v>7810</v>
      </c>
      <c r="Q86" s="1601" t="s">
        <v>7812</v>
      </c>
      <c r="R86" s="1602" t="s">
        <v>7811</v>
      </c>
    </row>
    <row r="87" spans="2:18" hidden="1">
      <c r="B87" s="1447" t="s">
        <v>1693</v>
      </c>
      <c r="C87" s="511" t="s">
        <v>2596</v>
      </c>
      <c r="D87" s="292">
        <v>65</v>
      </c>
      <c r="E87" s="292">
        <v>65</v>
      </c>
      <c r="F87" s="2421" t="s">
        <v>2387</v>
      </c>
      <c r="G87" s="1601" t="s">
        <v>98</v>
      </c>
      <c r="H87" s="2437">
        <f>IF(G8="Нет",1,2)</f>
        <v>1</v>
      </c>
      <c r="I87" s="1601">
        <v>3</v>
      </c>
      <c r="J87" s="1601">
        <v>4</v>
      </c>
      <c r="K87" s="1601">
        <v>5</v>
      </c>
      <c r="L87" s="1601" t="s">
        <v>7671</v>
      </c>
      <c r="M87" s="1601">
        <v>25</v>
      </c>
      <c r="N87" s="1601" t="s">
        <v>137</v>
      </c>
      <c r="O87" s="1601" t="s">
        <v>7813</v>
      </c>
      <c r="P87" s="1601" t="s">
        <v>7813</v>
      </c>
      <c r="Q87" s="1601" t="s">
        <v>7814</v>
      </c>
      <c r="R87" s="1602" t="s">
        <v>7815</v>
      </c>
    </row>
    <row r="88" spans="2:18" hidden="1">
      <c r="B88" s="1447" t="s">
        <v>2735</v>
      </c>
      <c r="C88" s="511" t="s">
        <v>2837</v>
      </c>
      <c r="D88" s="292">
        <v>66</v>
      </c>
      <c r="E88" s="292">
        <v>66</v>
      </c>
      <c r="F88" s="2423" t="s">
        <v>3369</v>
      </c>
      <c r="G88" s="1601" t="s">
        <v>98</v>
      </c>
      <c r="H88" s="2438" t="s">
        <v>2974</v>
      </c>
      <c r="I88" s="2439" t="s">
        <v>2971</v>
      </c>
      <c r="J88" s="2439" t="s">
        <v>7666</v>
      </c>
      <c r="K88" s="1601">
        <v>5</v>
      </c>
      <c r="L88" s="1601" t="s">
        <v>7671</v>
      </c>
      <c r="M88" s="1601">
        <v>20</v>
      </c>
      <c r="N88" s="1601" t="s">
        <v>2053</v>
      </c>
      <c r="O88" s="1601" t="s">
        <v>7816</v>
      </c>
      <c r="P88" s="1601" t="s">
        <v>7816</v>
      </c>
      <c r="Q88" s="1601" t="s">
        <v>7817</v>
      </c>
      <c r="R88" s="1602" t="s">
        <v>7666</v>
      </c>
    </row>
    <row r="89" spans="2:18" hidden="1">
      <c r="B89" s="1447" t="s">
        <v>1151</v>
      </c>
      <c r="C89" s="511" t="s">
        <v>1152</v>
      </c>
      <c r="D89" s="292">
        <v>67</v>
      </c>
      <c r="E89" s="292">
        <v>67</v>
      </c>
      <c r="F89" s="2421" t="s">
        <v>3372</v>
      </c>
      <c r="G89" s="1601" t="s">
        <v>98</v>
      </c>
      <c r="H89" s="2437">
        <f>E8*2</f>
        <v>2</v>
      </c>
      <c r="I89" s="1601">
        <f>E8*3</f>
        <v>3</v>
      </c>
      <c r="J89" s="1601">
        <f>E8*4</f>
        <v>4</v>
      </c>
      <c r="K89" s="1601">
        <v>5</v>
      </c>
      <c r="L89" s="1601" t="s">
        <v>7685</v>
      </c>
      <c r="M89" s="1601">
        <v>25</v>
      </c>
      <c r="N89" s="1601" t="s">
        <v>7690</v>
      </c>
      <c r="O89" s="1601" t="s">
        <v>7818</v>
      </c>
      <c r="P89" s="1601" t="s">
        <v>7818</v>
      </c>
      <c r="Q89" s="1601" t="s">
        <v>7818</v>
      </c>
      <c r="R89" s="1602" t="s">
        <v>7710</v>
      </c>
    </row>
    <row r="90" spans="2:18" hidden="1">
      <c r="B90" s="1452" t="s">
        <v>1253</v>
      </c>
      <c r="C90" s="511" t="s">
        <v>76</v>
      </c>
      <c r="D90" s="292">
        <v>68</v>
      </c>
      <c r="E90" s="292">
        <v>68</v>
      </c>
      <c r="F90" s="2423" t="s">
        <v>1668</v>
      </c>
      <c r="G90" s="1601" t="s">
        <v>98</v>
      </c>
      <c r="H90" s="2438" t="s">
        <v>2971</v>
      </c>
      <c r="I90" s="2439" t="s">
        <v>2973</v>
      </c>
      <c r="J90" s="2439" t="s">
        <v>2974</v>
      </c>
      <c r="K90" s="1601">
        <v>5</v>
      </c>
      <c r="L90" s="1601" t="s">
        <v>1150</v>
      </c>
      <c r="M90" s="1601">
        <v>25</v>
      </c>
      <c r="N90" s="1601">
        <f>E8</f>
        <v>1</v>
      </c>
      <c r="O90" s="1601" t="s">
        <v>7819</v>
      </c>
      <c r="P90" s="1601" t="s">
        <v>7819</v>
      </c>
      <c r="Q90" s="1601" t="s">
        <v>7819</v>
      </c>
      <c r="R90" s="1602" t="s">
        <v>7820</v>
      </c>
    </row>
    <row r="91" spans="2:18" ht="13.5" hidden="1" thickBot="1">
      <c r="B91" s="1452" t="s">
        <v>1565</v>
      </c>
      <c r="C91" s="511" t="s">
        <v>744</v>
      </c>
      <c r="D91" s="292">
        <v>69</v>
      </c>
      <c r="E91" s="292">
        <v>69</v>
      </c>
      <c r="F91" s="2422" t="s">
        <v>624</v>
      </c>
      <c r="G91" s="1604" t="s">
        <v>98</v>
      </c>
      <c r="H91" s="2446">
        <f>600*D111</f>
        <v>600</v>
      </c>
      <c r="I91" s="1604">
        <f>600*D111</f>
        <v>600</v>
      </c>
      <c r="J91" s="1604">
        <f>600*D111</f>
        <v>600</v>
      </c>
      <c r="K91" s="1604">
        <v>5</v>
      </c>
      <c r="L91" s="1604" t="s">
        <v>7672</v>
      </c>
      <c r="M91" s="1604">
        <v>0</v>
      </c>
      <c r="N91" s="1604" t="s">
        <v>137</v>
      </c>
      <c r="O91" s="1604" t="s">
        <v>7661</v>
      </c>
      <c r="P91" s="1604" t="s">
        <v>7667</v>
      </c>
      <c r="Q91" s="1604" t="s">
        <v>7661</v>
      </c>
      <c r="R91" s="1605" t="s">
        <v>7821</v>
      </c>
    </row>
    <row r="92" spans="2:18" hidden="1">
      <c r="B92" s="1447" t="s">
        <v>1683</v>
      </c>
      <c r="C92" s="511" t="s">
        <v>2379</v>
      </c>
      <c r="D92" s="292">
        <v>70</v>
      </c>
      <c r="E92" s="292">
        <v>70</v>
      </c>
    </row>
    <row r="93" spans="2:18" hidden="1">
      <c r="B93" s="1447" t="s">
        <v>1495</v>
      </c>
      <c r="C93" s="511" t="s">
        <v>1441</v>
      </c>
      <c r="D93" s="292">
        <v>71</v>
      </c>
      <c r="E93" s="292">
        <v>71</v>
      </c>
    </row>
    <row r="94" spans="2:18" hidden="1">
      <c r="B94" s="1447" t="s">
        <v>1856</v>
      </c>
      <c r="C94" s="511" t="s">
        <v>2568</v>
      </c>
      <c r="D94" s="292">
        <v>72</v>
      </c>
      <c r="E94" s="292">
        <v>72</v>
      </c>
      <c r="H94" s="2413"/>
      <c r="I94" s="431"/>
      <c r="J94" s="431"/>
    </row>
    <row r="95" spans="2:18" hidden="1">
      <c r="B95" s="1447" t="s">
        <v>1494</v>
      </c>
      <c r="C95" s="511" t="s">
        <v>631</v>
      </c>
      <c r="D95" s="292">
        <v>73</v>
      </c>
      <c r="E95" s="292">
        <v>73</v>
      </c>
      <c r="H95" s="2413"/>
      <c r="I95" s="1030"/>
      <c r="J95" s="431"/>
    </row>
    <row r="96" spans="2:18" hidden="1">
      <c r="B96" s="1447" t="s">
        <v>165</v>
      </c>
      <c r="C96" s="511" t="s">
        <v>302</v>
      </c>
      <c r="D96" s="292">
        <v>74</v>
      </c>
      <c r="E96" s="292">
        <v>74</v>
      </c>
      <c r="H96" s="2413"/>
      <c r="I96" s="431"/>
      <c r="J96" s="431"/>
    </row>
    <row r="97" spans="2:10" hidden="1">
      <c r="B97" s="1452" t="s">
        <v>1296</v>
      </c>
      <c r="C97" s="511" t="s">
        <v>76</v>
      </c>
      <c r="D97" s="292">
        <v>88</v>
      </c>
      <c r="E97" s="292">
        <v>75</v>
      </c>
      <c r="H97" s="2413"/>
      <c r="I97" s="1030"/>
      <c r="J97" s="431"/>
    </row>
    <row r="98" spans="2:10" hidden="1">
      <c r="B98" s="1447" t="s">
        <v>1496</v>
      </c>
      <c r="C98" s="511" t="s">
        <v>2381</v>
      </c>
      <c r="D98" s="292">
        <v>100</v>
      </c>
      <c r="E98" s="292">
        <v>76</v>
      </c>
      <c r="H98" s="2413"/>
      <c r="I98" s="431"/>
      <c r="J98" s="431"/>
    </row>
    <row r="99" spans="2:10" hidden="1">
      <c r="B99" s="1447" t="s">
        <v>471</v>
      </c>
      <c r="C99" s="511" t="s">
        <v>60</v>
      </c>
      <c r="D99" s="292">
        <v>108</v>
      </c>
      <c r="E99" s="292">
        <v>77</v>
      </c>
      <c r="H99" s="2413"/>
      <c r="I99" s="431"/>
      <c r="J99" s="431"/>
    </row>
    <row r="100" spans="2:10" hidden="1">
      <c r="B100" s="1447" t="s">
        <v>182</v>
      </c>
      <c r="C100" s="511" t="s">
        <v>386</v>
      </c>
      <c r="E100" s="292">
        <v>78</v>
      </c>
    </row>
    <row r="101" spans="2:10" hidden="1">
      <c r="B101" s="1447" t="s">
        <v>472</v>
      </c>
      <c r="C101" s="511" t="s">
        <v>75</v>
      </c>
      <c r="D101" s="292" t="s">
        <v>1463</v>
      </c>
      <c r="E101" s="292">
        <v>79</v>
      </c>
    </row>
    <row r="102" spans="2:10" hidden="1">
      <c r="B102" s="1447" t="s">
        <v>1845</v>
      </c>
      <c r="C102" s="511" t="s">
        <v>1306</v>
      </c>
      <c r="D102" s="292" t="s">
        <v>3715</v>
      </c>
      <c r="E102" s="292">
        <v>80</v>
      </c>
    </row>
    <row r="103" spans="2:10" hidden="1">
      <c r="B103" s="1452" t="s">
        <v>1569</v>
      </c>
      <c r="C103" s="511" t="s">
        <v>630</v>
      </c>
      <c r="D103" s="292" t="s">
        <v>3716</v>
      </c>
      <c r="E103" s="292">
        <v>81</v>
      </c>
    </row>
    <row r="104" spans="2:10" hidden="1">
      <c r="B104" s="1447" t="s">
        <v>1345</v>
      </c>
      <c r="C104" s="511" t="s">
        <v>1147</v>
      </c>
      <c r="D104" s="292" t="s">
        <v>3717</v>
      </c>
      <c r="E104" s="292">
        <v>82</v>
      </c>
    </row>
    <row r="105" spans="2:10" hidden="1">
      <c r="B105" s="1447" t="s">
        <v>1698</v>
      </c>
      <c r="C105" s="511" t="s">
        <v>2557</v>
      </c>
      <c r="E105" s="292">
        <v>83</v>
      </c>
    </row>
    <row r="106" spans="2:10" hidden="1">
      <c r="B106" s="1447" t="s">
        <v>2740</v>
      </c>
      <c r="C106" s="511" t="s">
        <v>1147</v>
      </c>
      <c r="D106" s="292" t="s">
        <v>1463</v>
      </c>
      <c r="E106" s="292">
        <v>84</v>
      </c>
    </row>
    <row r="107" spans="2:10" hidden="1">
      <c r="B107" s="1447" t="s">
        <v>2051</v>
      </c>
      <c r="C107" s="511" t="s">
        <v>2837</v>
      </c>
      <c r="D107" s="292" t="s">
        <v>1008</v>
      </c>
      <c r="E107" s="292">
        <v>85</v>
      </c>
    </row>
    <row r="108" spans="2:10" hidden="1">
      <c r="B108" s="1447" t="s">
        <v>215</v>
      </c>
      <c r="C108" s="511" t="s">
        <v>2374</v>
      </c>
      <c r="D108" s="292" t="s">
        <v>1010</v>
      </c>
      <c r="E108" s="292">
        <v>86</v>
      </c>
    </row>
    <row r="109" spans="2:10" hidden="1">
      <c r="B109" s="1452" t="s">
        <v>72</v>
      </c>
      <c r="C109" s="511" t="s">
        <v>1307</v>
      </c>
      <c r="D109" s="292" t="s">
        <v>1012</v>
      </c>
      <c r="E109" s="292">
        <v>87</v>
      </c>
    </row>
    <row r="110" spans="2:10" hidden="1">
      <c r="B110" s="1447" t="s">
        <v>1348</v>
      </c>
      <c r="C110" s="511" t="s">
        <v>768</v>
      </c>
      <c r="E110" s="292">
        <v>88</v>
      </c>
    </row>
    <row r="111" spans="2:10" hidden="1">
      <c r="B111" s="1447" t="s">
        <v>2736</v>
      </c>
      <c r="C111" s="511" t="s">
        <v>866</v>
      </c>
      <c r="D111" s="292">
        <f>IF(I9="Волшебство",1+(IF(C11="Нет",0,IF(C11="Базовое",0.05,IF(C11="Продвинутое",0.1,0.15))))*(1+0.05*I11),1+(IF(C11="Нет",0,IF(C11="Базовое",0.05,IF(C11="Продвинутое",0.1,0.15)))))</f>
        <v>1</v>
      </c>
      <c r="E111" s="292">
        <v>89</v>
      </c>
    </row>
    <row r="112" spans="2:10" hidden="1">
      <c r="B112" s="1447" t="s">
        <v>1363</v>
      </c>
      <c r="C112" s="511" t="s">
        <v>1275</v>
      </c>
      <c r="E112" s="292">
        <v>90</v>
      </c>
    </row>
    <row r="113" spans="2:8" hidden="1">
      <c r="B113" s="1447" t="s">
        <v>1501</v>
      </c>
      <c r="C113" s="511" t="s">
        <v>873</v>
      </c>
      <c r="E113" s="292">
        <v>91</v>
      </c>
    </row>
    <row r="114" spans="2:8" hidden="1">
      <c r="B114" s="1447" t="s">
        <v>1690</v>
      </c>
      <c r="C114" s="511" t="s">
        <v>2248</v>
      </c>
      <c r="E114" s="292">
        <v>92</v>
      </c>
    </row>
    <row r="115" spans="2:8" hidden="1">
      <c r="B115" s="1447" t="s">
        <v>1502</v>
      </c>
      <c r="C115" s="511" t="s">
        <v>2377</v>
      </c>
      <c r="E115" s="292">
        <v>93</v>
      </c>
    </row>
    <row r="116" spans="2:8" hidden="1">
      <c r="B116" s="1447" t="s">
        <v>1485</v>
      </c>
      <c r="C116" s="511" t="s">
        <v>5</v>
      </c>
      <c r="E116" s="292">
        <v>94</v>
      </c>
    </row>
    <row r="117" spans="2:8" hidden="1">
      <c r="B117" s="1447" t="s">
        <v>349</v>
      </c>
      <c r="C117" s="511" t="s">
        <v>1147</v>
      </c>
      <c r="E117" s="292">
        <v>95</v>
      </c>
    </row>
    <row r="118" spans="2:8" hidden="1">
      <c r="B118" s="1447" t="s">
        <v>168</v>
      </c>
      <c r="C118" s="511" t="s">
        <v>1152</v>
      </c>
      <c r="E118" s="292">
        <v>96</v>
      </c>
    </row>
    <row r="119" spans="2:8" hidden="1">
      <c r="B119" s="1447" t="s">
        <v>1852</v>
      </c>
      <c r="C119" s="511" t="s">
        <v>1302</v>
      </c>
      <c r="E119" s="292">
        <v>97</v>
      </c>
    </row>
    <row r="120" spans="2:8" hidden="1">
      <c r="B120" s="1447" t="s">
        <v>2732</v>
      </c>
      <c r="C120" s="511" t="s">
        <v>2834</v>
      </c>
      <c r="E120" s="292">
        <v>98</v>
      </c>
    </row>
    <row r="121" spans="2:8" hidden="1">
      <c r="B121" s="1452" t="s">
        <v>1566</v>
      </c>
      <c r="C121" s="511" t="s">
        <v>1323</v>
      </c>
      <c r="E121" s="292">
        <v>99</v>
      </c>
    </row>
    <row r="122" spans="2:8" hidden="1">
      <c r="B122" s="1452" t="s">
        <v>1567</v>
      </c>
      <c r="C122" s="511" t="s">
        <v>1323</v>
      </c>
      <c r="H122" s="292"/>
    </row>
    <row r="123" spans="2:8" hidden="1">
      <c r="B123" s="1447" t="s">
        <v>1347</v>
      </c>
      <c r="C123" s="511" t="s">
        <v>2568</v>
      </c>
      <c r="H123" s="292"/>
    </row>
    <row r="124" spans="2:8" hidden="1">
      <c r="B124" s="1447" t="s">
        <v>999</v>
      </c>
      <c r="C124" s="511" t="s">
        <v>5</v>
      </c>
      <c r="H124" s="292"/>
    </row>
    <row r="125" spans="2:8" hidden="1">
      <c r="B125" s="1447" t="s">
        <v>1343</v>
      </c>
      <c r="C125" s="511" t="s">
        <v>873</v>
      </c>
      <c r="H125" s="292"/>
    </row>
    <row r="126" spans="2:8" hidden="1">
      <c r="B126" s="1447" t="s">
        <v>1695</v>
      </c>
      <c r="C126" s="511" t="s">
        <v>1541</v>
      </c>
      <c r="H126" s="292"/>
    </row>
    <row r="127" spans="2:8" hidden="1">
      <c r="B127" s="1447" t="s">
        <v>1692</v>
      </c>
      <c r="C127" s="511" t="s">
        <v>2568</v>
      </c>
      <c r="H127" s="292"/>
    </row>
    <row r="128" spans="2:8" hidden="1">
      <c r="B128" s="1447" t="s">
        <v>1700</v>
      </c>
      <c r="C128" s="511" t="s">
        <v>1152</v>
      </c>
      <c r="H128" s="292"/>
    </row>
    <row r="129" spans="2:8" hidden="1">
      <c r="B129" s="1447" t="s">
        <v>1939</v>
      </c>
      <c r="C129" s="511" t="s">
        <v>873</v>
      </c>
      <c r="H129" s="292"/>
    </row>
    <row r="130" spans="2:8" hidden="1">
      <c r="B130" s="1447" t="s">
        <v>2151</v>
      </c>
      <c r="C130" s="511" t="s">
        <v>136</v>
      </c>
      <c r="H130" s="292"/>
    </row>
    <row r="131" spans="2:8" hidden="1">
      <c r="B131" s="1447" t="s">
        <v>2047</v>
      </c>
      <c r="C131" s="511" t="s">
        <v>2834</v>
      </c>
      <c r="H131" s="292"/>
    </row>
    <row r="132" spans="2:8" hidden="1">
      <c r="B132" s="1447" t="s">
        <v>1505</v>
      </c>
      <c r="C132" s="511" t="s">
        <v>2829</v>
      </c>
      <c r="H132" s="292"/>
    </row>
    <row r="133" spans="2:8" hidden="1">
      <c r="B133" s="1447" t="s">
        <v>1694</v>
      </c>
      <c r="C133" s="511" t="s">
        <v>386</v>
      </c>
      <c r="H133" s="292"/>
    </row>
    <row r="134" spans="2:8" hidden="1">
      <c r="B134" s="1447" t="s">
        <v>1688</v>
      </c>
      <c r="C134" s="511" t="s">
        <v>2831</v>
      </c>
      <c r="H134" s="292"/>
    </row>
    <row r="135" spans="2:8" hidden="1">
      <c r="B135" s="1447" t="s">
        <v>1814</v>
      </c>
      <c r="C135" s="511" t="s">
        <v>2571</v>
      </c>
      <c r="H135" s="292"/>
    </row>
    <row r="136" spans="2:8" hidden="1">
      <c r="B136" s="1447" t="s">
        <v>1673</v>
      </c>
      <c r="C136" s="511" t="s">
        <v>2249</v>
      </c>
      <c r="H136" s="292"/>
    </row>
    <row r="137" spans="2:8" hidden="1">
      <c r="B137" s="1447" t="s">
        <v>389</v>
      </c>
      <c r="C137" s="511" t="s">
        <v>392</v>
      </c>
      <c r="H137" s="292"/>
    </row>
    <row r="138" spans="2:8" hidden="1">
      <c r="B138" s="1447" t="s">
        <v>346</v>
      </c>
      <c r="C138" s="511" t="s">
        <v>869</v>
      </c>
      <c r="H138" s="292"/>
    </row>
    <row r="139" spans="2:8" hidden="1">
      <c r="B139" s="1447" t="s">
        <v>1342</v>
      </c>
      <c r="C139" s="511" t="s">
        <v>1275</v>
      </c>
      <c r="H139" s="292"/>
    </row>
    <row r="140" spans="2:8" hidden="1">
      <c r="B140" s="1447" t="s">
        <v>871</v>
      </c>
      <c r="C140" s="511" t="s">
        <v>873</v>
      </c>
      <c r="H140" s="292"/>
    </row>
    <row r="141" spans="2:8" hidden="1">
      <c r="B141" s="1447" t="s">
        <v>1940</v>
      </c>
      <c r="C141" s="511" t="s">
        <v>1767</v>
      </c>
      <c r="H141" s="292"/>
    </row>
    <row r="142" spans="2:8" hidden="1">
      <c r="B142" s="1447" t="s">
        <v>934</v>
      </c>
      <c r="C142" s="511" t="s">
        <v>1308</v>
      </c>
      <c r="H142" s="292"/>
    </row>
    <row r="143" spans="2:8" hidden="1">
      <c r="B143" s="1447" t="s">
        <v>324</v>
      </c>
      <c r="C143" s="511" t="s">
        <v>1766</v>
      </c>
      <c r="H143" s="292"/>
    </row>
    <row r="144" spans="2:8" hidden="1">
      <c r="B144" s="1447" t="s">
        <v>1819</v>
      </c>
      <c r="C144" s="511" t="s">
        <v>873</v>
      </c>
      <c r="H144" s="292"/>
    </row>
    <row r="145" spans="2:8" hidden="1">
      <c r="B145" s="1447" t="s">
        <v>7</v>
      </c>
      <c r="C145" s="511" t="s">
        <v>71</v>
      </c>
      <c r="H145" s="292"/>
    </row>
    <row r="146" spans="2:8" hidden="1">
      <c r="B146" s="1447" t="s">
        <v>1358</v>
      </c>
      <c r="C146" s="511" t="s">
        <v>278</v>
      </c>
      <c r="H146" s="292"/>
    </row>
    <row r="147" spans="2:8" hidden="1">
      <c r="B147" s="1447" t="s">
        <v>1682</v>
      </c>
      <c r="C147" s="511" t="s">
        <v>2556</v>
      </c>
      <c r="H147" s="292"/>
    </row>
    <row r="148" spans="2:8" hidden="1">
      <c r="B148" s="1447" t="s">
        <v>74</v>
      </c>
      <c r="C148" s="511" t="s">
        <v>76</v>
      </c>
      <c r="H148" s="292"/>
    </row>
    <row r="149" spans="2:8" hidden="1">
      <c r="B149" s="1447" t="s">
        <v>350</v>
      </c>
      <c r="C149" s="511" t="s">
        <v>1275</v>
      </c>
      <c r="H149" s="292"/>
    </row>
    <row r="150" spans="2:8" hidden="1">
      <c r="B150" s="1447" t="s">
        <v>1846</v>
      </c>
      <c r="C150" s="511" t="s">
        <v>2488</v>
      </c>
      <c r="H150" s="292"/>
    </row>
    <row r="151" spans="2:8" hidden="1">
      <c r="B151" s="1447" t="s">
        <v>1249</v>
      </c>
      <c r="C151" s="511" t="s">
        <v>1648</v>
      </c>
      <c r="H151" s="292"/>
    </row>
    <row r="152" spans="2:8" hidden="1">
      <c r="B152" s="1447" t="s">
        <v>163</v>
      </c>
      <c r="C152" s="511" t="s">
        <v>5</v>
      </c>
      <c r="H152" s="292"/>
    </row>
    <row r="153" spans="2:8" hidden="1">
      <c r="B153" s="1447" t="s">
        <v>1854</v>
      </c>
      <c r="C153" s="511" t="s">
        <v>1307</v>
      </c>
      <c r="H153" s="292"/>
    </row>
    <row r="154" spans="2:8" hidden="1">
      <c r="B154" s="1447" t="s">
        <v>1507</v>
      </c>
      <c r="C154" s="511" t="s">
        <v>2830</v>
      </c>
      <c r="H154" s="292"/>
    </row>
    <row r="155" spans="2:8" hidden="1">
      <c r="B155" s="1447" t="s">
        <v>1344</v>
      </c>
      <c r="C155" s="511" t="s">
        <v>2369</v>
      </c>
      <c r="H155" s="292"/>
    </row>
    <row r="156" spans="2:8" hidden="1">
      <c r="B156" s="1447" t="s">
        <v>1681</v>
      </c>
      <c r="C156" s="511" t="s">
        <v>104</v>
      </c>
      <c r="H156" s="292"/>
    </row>
    <row r="157" spans="2:8" hidden="1">
      <c r="B157" s="1447" t="s">
        <v>1936</v>
      </c>
      <c r="C157" s="511" t="s">
        <v>2379</v>
      </c>
      <c r="H157" s="292"/>
    </row>
    <row r="158" spans="2:8" hidden="1">
      <c r="B158" s="1447" t="s">
        <v>2046</v>
      </c>
      <c r="C158" s="511" t="s">
        <v>873</v>
      </c>
      <c r="H158" s="292"/>
    </row>
    <row r="159" spans="2:8" hidden="1">
      <c r="B159" s="1447" t="s">
        <v>473</v>
      </c>
      <c r="C159" s="511" t="s">
        <v>276</v>
      </c>
      <c r="H159" s="292"/>
    </row>
    <row r="160" spans="2:8" hidden="1">
      <c r="B160" s="1447" t="s">
        <v>1492</v>
      </c>
      <c r="C160" s="511" t="s">
        <v>720</v>
      </c>
      <c r="H160" s="292"/>
    </row>
    <row r="161" spans="2:8" hidden="1">
      <c r="B161" s="1447" t="s">
        <v>1812</v>
      </c>
      <c r="C161" s="511" t="s">
        <v>386</v>
      </c>
      <c r="H161" s="292"/>
    </row>
    <row r="162" spans="2:8" hidden="1">
      <c r="B162" s="1447" t="s">
        <v>2049</v>
      </c>
      <c r="C162" s="511" t="s">
        <v>2835</v>
      </c>
      <c r="H162" s="292"/>
    </row>
    <row r="163" spans="2:8" hidden="1">
      <c r="B163" s="1447" t="s">
        <v>387</v>
      </c>
      <c r="C163" s="511" t="s">
        <v>277</v>
      </c>
      <c r="H163" s="292"/>
    </row>
    <row r="164" spans="2:8" hidden="1">
      <c r="B164" s="1447" t="s">
        <v>1498</v>
      </c>
      <c r="C164" s="511" t="s">
        <v>680</v>
      </c>
      <c r="H164" s="292"/>
    </row>
    <row r="165" spans="2:8" hidden="1">
      <c r="B165" s="1447" t="s">
        <v>1489</v>
      </c>
      <c r="C165" s="511" t="s">
        <v>1826</v>
      </c>
      <c r="H165" s="292"/>
    </row>
    <row r="166" spans="2:8" hidden="1">
      <c r="B166" s="1447" t="s">
        <v>1813</v>
      </c>
      <c r="C166" s="511" t="s">
        <v>59</v>
      </c>
      <c r="H166" s="292"/>
    </row>
    <row r="167" spans="2:8" hidden="1">
      <c r="B167" s="1447" t="s">
        <v>1685</v>
      </c>
      <c r="C167" s="511" t="s">
        <v>159</v>
      </c>
      <c r="H167" s="292"/>
    </row>
    <row r="168" spans="2:8" hidden="1">
      <c r="B168" s="1447" t="s">
        <v>2734</v>
      </c>
      <c r="C168" s="511" t="s">
        <v>2836</v>
      </c>
      <c r="H168" s="292"/>
    </row>
    <row r="169" spans="2:8" hidden="1">
      <c r="B169" s="1447" t="s">
        <v>1818</v>
      </c>
      <c r="C169" s="511" t="s">
        <v>869</v>
      </c>
      <c r="H169" s="292"/>
    </row>
    <row r="170" spans="2:8" hidden="1">
      <c r="B170" s="1447" t="s">
        <v>1219</v>
      </c>
      <c r="C170" s="511" t="s">
        <v>963</v>
      </c>
      <c r="H170" s="292"/>
    </row>
    <row r="171" spans="2:8" hidden="1">
      <c r="B171" s="1447" t="s">
        <v>1853</v>
      </c>
      <c r="C171" s="511" t="s">
        <v>1713</v>
      </c>
      <c r="H171" s="292"/>
    </row>
    <row r="172" spans="2:8" hidden="1">
      <c r="B172" s="1447" t="s">
        <v>1359</v>
      </c>
      <c r="C172" s="511" t="s">
        <v>1714</v>
      </c>
      <c r="H172" s="292"/>
    </row>
    <row r="173" spans="2:8" hidden="1">
      <c r="B173" s="1447" t="s">
        <v>469</v>
      </c>
      <c r="C173" s="511" t="s">
        <v>2833</v>
      </c>
    </row>
    <row r="174" spans="2:8" hidden="1">
      <c r="B174" s="1447" t="s">
        <v>275</v>
      </c>
      <c r="C174" s="511" t="s">
        <v>6</v>
      </c>
    </row>
    <row r="175" spans="2:8" hidden="1">
      <c r="B175" s="1447" t="s">
        <v>1499</v>
      </c>
      <c r="C175" s="511" t="s">
        <v>1142</v>
      </c>
    </row>
    <row r="176" spans="2:8" ht="13.5" hidden="1" thickBot="1">
      <c r="B176" s="2436" t="s">
        <v>2733</v>
      </c>
      <c r="C176" s="1111" t="s">
        <v>2835</v>
      </c>
    </row>
    <row r="177" spans="3:3">
      <c r="C177" s="292"/>
    </row>
    <row r="178" spans="3:3">
      <c r="C178" s="292"/>
    </row>
    <row r="179" spans="3:3">
      <c r="C179" s="292"/>
    </row>
    <row r="180" spans="3:3">
      <c r="C180" s="292"/>
    </row>
    <row r="181" spans="3:3">
      <c r="C181" s="292"/>
    </row>
    <row r="182" spans="3:3">
      <c r="C182" s="292"/>
    </row>
    <row r="183" spans="3:3">
      <c r="C183" s="292"/>
    </row>
    <row r="184" spans="3:3">
      <c r="C184" s="292"/>
    </row>
    <row r="185" spans="3:3">
      <c r="C185" s="292"/>
    </row>
    <row r="186" spans="3:3">
      <c r="C186" s="292"/>
    </row>
    <row r="187" spans="3:3">
      <c r="C187" s="292"/>
    </row>
    <row r="188" spans="3:3">
      <c r="C188" s="292"/>
    </row>
    <row r="189" spans="3:3">
      <c r="C189" s="292"/>
    </row>
    <row r="190" spans="3:3">
      <c r="C190" s="292"/>
    </row>
    <row r="191" spans="3:3">
      <c r="C191" s="292"/>
    </row>
    <row r="192" spans="3:3">
      <c r="C192" s="292"/>
    </row>
    <row r="193" spans="3:3">
      <c r="C193" s="292"/>
    </row>
    <row r="194" spans="3:3">
      <c r="C194" s="292"/>
    </row>
    <row r="195" spans="3:3">
      <c r="C195" s="292"/>
    </row>
    <row r="196" spans="3:3">
      <c r="C196" s="292"/>
    </row>
    <row r="197" spans="3:3">
      <c r="C197" s="292"/>
    </row>
    <row r="198" spans="3:3">
      <c r="C198" s="292"/>
    </row>
    <row r="199" spans="3:3">
      <c r="C199" s="292"/>
    </row>
    <row r="200" spans="3:3">
      <c r="C200" s="292"/>
    </row>
    <row r="201" spans="3:3">
      <c r="C201" s="292"/>
    </row>
    <row r="202" spans="3:3">
      <c r="C202" s="292"/>
    </row>
    <row r="203" spans="3:3">
      <c r="C203" s="292"/>
    </row>
    <row r="204" spans="3:3">
      <c r="C204" s="292"/>
    </row>
    <row r="205" spans="3:3">
      <c r="C205" s="292"/>
    </row>
    <row r="206" spans="3:3">
      <c r="C206" s="292"/>
    </row>
    <row r="207" spans="3:3">
      <c r="C207" s="292"/>
    </row>
    <row r="208" spans="3:3">
      <c r="C208" s="292"/>
    </row>
    <row r="209" spans="3:3">
      <c r="C209" s="292"/>
    </row>
    <row r="210" spans="3:3">
      <c r="C210" s="292"/>
    </row>
    <row r="211" spans="3:3">
      <c r="C211" s="292"/>
    </row>
    <row r="212" spans="3:3">
      <c r="C212" s="292"/>
    </row>
    <row r="213" spans="3:3">
      <c r="C213" s="292"/>
    </row>
    <row r="214" spans="3:3">
      <c r="C214" s="292"/>
    </row>
    <row r="215" spans="3:3">
      <c r="C215" s="292"/>
    </row>
    <row r="216" spans="3:3">
      <c r="C216" s="292"/>
    </row>
    <row r="217" spans="3:3">
      <c r="C217" s="292"/>
    </row>
    <row r="218" spans="3:3">
      <c r="C218" s="292"/>
    </row>
    <row r="219" spans="3:3">
      <c r="C219" s="292"/>
    </row>
    <row r="220" spans="3:3">
      <c r="C220" s="292"/>
    </row>
    <row r="221" spans="3:3">
      <c r="C221" s="292"/>
    </row>
    <row r="222" spans="3:3">
      <c r="C222" s="292"/>
    </row>
    <row r="223" spans="3:3">
      <c r="C223" s="292"/>
    </row>
    <row r="224" spans="3:3">
      <c r="C224" s="292"/>
    </row>
    <row r="225" spans="3:3">
      <c r="C225" s="292"/>
    </row>
    <row r="226" spans="3:3">
      <c r="C226" s="292"/>
    </row>
    <row r="227" spans="3:3">
      <c r="C227" s="292"/>
    </row>
    <row r="228" spans="3:3">
      <c r="C228" s="292"/>
    </row>
  </sheetData>
  <sheetProtection autoFilter="0"/>
  <mergeCells count="26">
    <mergeCell ref="F8:F9"/>
    <mergeCell ref="G8:G9"/>
    <mergeCell ref="B13:I13"/>
    <mergeCell ref="F18:I18"/>
    <mergeCell ref="F15:G15"/>
    <mergeCell ref="H15:I15"/>
    <mergeCell ref="F16:G16"/>
    <mergeCell ref="F17:G17"/>
    <mergeCell ref="H16:I16"/>
    <mergeCell ref="H17:I17"/>
    <mergeCell ref="B20:I20"/>
    <mergeCell ref="C1:I1"/>
    <mergeCell ref="B3:I3"/>
    <mergeCell ref="F14:G14"/>
    <mergeCell ref="H14:I14"/>
    <mergeCell ref="D8:D9"/>
    <mergeCell ref="E8:E9"/>
    <mergeCell ref="B7:G7"/>
    <mergeCell ref="H7:I7"/>
    <mergeCell ref="B5:I5"/>
    <mergeCell ref="H9:H10"/>
    <mergeCell ref="I9:I10"/>
    <mergeCell ref="B10:G10"/>
    <mergeCell ref="F19:I19"/>
    <mergeCell ref="E14:E19"/>
    <mergeCell ref="B14:D19"/>
  </mergeCells>
  <dataValidations count="6">
    <dataValidation type="list" allowBlank="1" showInputMessage="1" showErrorMessage="1" sqref="I11">
      <formula1>$D$23:$D$99</formula1>
    </dataValidation>
    <dataValidation type="list" allowBlank="1" showInputMessage="1" showErrorMessage="1" sqref="I8">
      <formula1>$B$22:$B$176</formula1>
    </dataValidation>
    <dataValidation type="list" allowBlank="1" showInputMessage="1" showErrorMessage="1" sqref="G8">
      <formula1>$D$101:$D$104</formula1>
    </dataValidation>
    <dataValidation type="list" allowBlank="1" showInputMessage="1" showErrorMessage="1" sqref="E8:E9">
      <formula1>$E$23:$E$121</formula1>
    </dataValidation>
    <dataValidation type="list" allowBlank="1" showInputMessage="1" showErrorMessage="1" sqref="C8">
      <formula1>$F$22:$F$91</formula1>
    </dataValidation>
    <dataValidation type="list" allowBlank="1" showInputMessage="1" showErrorMessage="1" sqref="C11">
      <formula1>$D$106:$D$109</formula1>
    </dataValidation>
  </dataValidations>
  <hyperlinks>
    <hyperlink ref="B1" location="Index!A1" display="Назад"/>
  </hyperlinks>
  <printOptions horizontalCentered="1"/>
  <pageMargins left="0.23622047244094491" right="0.23622047244094491" top="0.74803149606299213" bottom="0.74803149606299213" header="0.31496062992125984" footer="0.31496062992125984"/>
  <pageSetup paperSize="9" scale="97" orientation="landscape" r:id="rId1"/>
  <headerFooter alignWithMargins="0"/>
  <rowBreaks count="1" manualBreakCount="1">
    <brk id="20" max="8" man="1"/>
  </rowBreaks>
</worksheet>
</file>

<file path=xl/worksheets/sheet20.xml><?xml version="1.0" encoding="utf-8"?>
<worksheet xmlns="http://schemas.openxmlformats.org/spreadsheetml/2006/main" xmlns:r="http://schemas.openxmlformats.org/officeDocument/2006/relationships">
  <sheetPr>
    <outlinePr summaryBelow="0"/>
  </sheetPr>
  <dimension ref="B1:M151"/>
  <sheetViews>
    <sheetView zoomScaleNormal="100" workbookViewId="0">
      <pane ySplit="9" topLeftCell="A10" activePane="bottomLeft" state="frozen"/>
      <selection pane="bottomLeft" activeCell="B1" sqref="B1"/>
    </sheetView>
  </sheetViews>
  <sheetFormatPr defaultRowHeight="12.95" customHeight="1" outlineLevelRow="1"/>
  <cols>
    <col min="1" max="1" width="3.7109375" style="292" customWidth="1"/>
    <col min="2" max="2" width="25.7109375" style="292" bestFit="1" customWidth="1"/>
    <col min="3" max="3" width="3.85546875" style="292" bestFit="1" customWidth="1"/>
    <col min="4" max="6" width="7.7109375" style="292" customWidth="1"/>
    <col min="7" max="7" width="10.140625" style="292" bestFit="1" customWidth="1"/>
    <col min="8" max="8" width="12.7109375" style="292" bestFit="1" customWidth="1"/>
    <col min="9" max="9" width="9.28515625" style="292" bestFit="1" customWidth="1"/>
    <col min="10" max="10" width="10.42578125" style="292" bestFit="1" customWidth="1"/>
    <col min="11" max="11" width="9.85546875" style="292" bestFit="1" customWidth="1"/>
    <col min="12" max="12" width="13.28515625" style="292" bestFit="1" customWidth="1"/>
    <col min="13" max="13" width="9.28515625" style="292" bestFit="1" customWidth="1"/>
    <col min="14" max="16384" width="9.140625" style="292"/>
  </cols>
  <sheetData>
    <row r="1" spans="2:13" ht="12.95" customHeight="1">
      <c r="B1" s="313" t="s">
        <v>2706</v>
      </c>
      <c r="C1" s="2973" t="s">
        <v>8269</v>
      </c>
      <c r="D1" s="2973"/>
      <c r="E1" s="2973"/>
      <c r="F1" s="2973"/>
      <c r="G1" s="2973"/>
      <c r="H1" s="2973"/>
      <c r="I1" s="2973"/>
      <c r="J1" s="2973"/>
      <c r="K1" s="2973"/>
      <c r="L1" s="2973"/>
      <c r="M1" s="2973"/>
    </row>
    <row r="2" spans="2:13" ht="5.0999999999999996" customHeight="1"/>
    <row r="3" spans="2:13" ht="12.95" customHeight="1">
      <c r="B3" s="2978" t="s">
        <v>5155</v>
      </c>
      <c r="C3" s="2978"/>
      <c r="D3" s="2978"/>
      <c r="E3" s="2978"/>
      <c r="F3" s="2978"/>
      <c r="G3" s="2978"/>
      <c r="H3" s="2978"/>
      <c r="I3" s="2978"/>
      <c r="J3" s="2978"/>
      <c r="K3" s="2978"/>
      <c r="L3" s="2978"/>
      <c r="M3" s="2978"/>
    </row>
    <row r="4" spans="2:13" ht="5.0999999999999996" customHeight="1">
      <c r="B4" s="1006"/>
      <c r="C4" s="1006"/>
      <c r="D4" s="1006"/>
      <c r="E4" s="1006"/>
      <c r="F4" s="1006"/>
      <c r="G4" s="1006"/>
      <c r="H4" s="1006"/>
      <c r="I4" s="1006"/>
      <c r="J4" s="1006"/>
      <c r="K4" s="1006"/>
      <c r="L4" s="1006"/>
      <c r="M4" s="1006"/>
    </row>
    <row r="5" spans="2:13" ht="39" customHeight="1">
      <c r="B5" s="3250" t="s">
        <v>10047</v>
      </c>
      <c r="C5" s="3250"/>
      <c r="D5" s="3250"/>
      <c r="E5" s="3250"/>
      <c r="F5" s="3250"/>
      <c r="G5" s="3250"/>
      <c r="H5" s="3250"/>
      <c r="I5" s="3250"/>
      <c r="J5" s="3250"/>
      <c r="K5" s="3250"/>
      <c r="L5" s="3250"/>
      <c r="M5" s="3250"/>
    </row>
    <row r="6" spans="2:13" ht="39" customHeight="1">
      <c r="B6" s="3250" t="s">
        <v>8872</v>
      </c>
      <c r="C6" s="3250"/>
      <c r="D6" s="3250"/>
      <c r="E6" s="3250"/>
      <c r="F6" s="3250"/>
      <c r="G6" s="3250"/>
      <c r="H6" s="3250"/>
      <c r="I6" s="3250"/>
      <c r="J6" s="3250"/>
      <c r="K6" s="3250"/>
      <c r="L6" s="3250"/>
      <c r="M6" s="3250"/>
    </row>
    <row r="7" spans="2:13" ht="5.0999999999999996" customHeight="1" thickBot="1">
      <c r="B7" s="1001"/>
      <c r="C7" s="1001"/>
      <c r="D7" s="1001"/>
      <c r="E7" s="1001"/>
      <c r="F7" s="1001"/>
      <c r="G7" s="1001"/>
      <c r="H7" s="1001"/>
      <c r="I7" s="1001"/>
      <c r="J7" s="1001"/>
      <c r="K7" s="1001"/>
      <c r="L7" s="1001"/>
      <c r="M7" s="1001"/>
    </row>
    <row r="8" spans="2:13" ht="12.95" customHeight="1" thickBot="1">
      <c r="B8" s="1000" t="s">
        <v>2147</v>
      </c>
      <c r="C8" s="172" t="s">
        <v>1051</v>
      </c>
      <c r="D8" s="1002" t="s">
        <v>2156</v>
      </c>
      <c r="E8" s="1003" t="s">
        <v>893</v>
      </c>
      <c r="F8" s="1003" t="s">
        <v>2141</v>
      </c>
      <c r="G8" s="1003" t="s">
        <v>2557</v>
      </c>
      <c r="H8" s="1003" t="s">
        <v>625</v>
      </c>
      <c r="I8" s="1003" t="s">
        <v>626</v>
      </c>
      <c r="J8" s="1003" t="s">
        <v>627</v>
      </c>
      <c r="K8" s="1003" t="s">
        <v>628</v>
      </c>
      <c r="L8" s="1140" t="s">
        <v>2259</v>
      </c>
      <c r="M8" s="172" t="s">
        <v>3388</v>
      </c>
    </row>
    <row r="9" spans="2:13" s="387" customFormat="1" ht="12" outlineLevel="1" thickBot="1">
      <c r="B9" s="1381"/>
      <c r="C9" s="267"/>
      <c r="D9" s="3251"/>
      <c r="E9" s="3078"/>
      <c r="F9" s="3078"/>
      <c r="G9" s="3078"/>
      <c r="H9" s="3078"/>
      <c r="I9" s="3078"/>
      <c r="J9" s="3078"/>
      <c r="K9" s="3078"/>
      <c r="L9" s="3078"/>
      <c r="M9" s="3079"/>
    </row>
    <row r="10" spans="2:13" ht="12.95" customHeight="1" outlineLevel="1">
      <c r="B10" s="612" t="s">
        <v>963</v>
      </c>
      <c r="C10" s="589">
        <v>1</v>
      </c>
      <c r="D10" s="1128">
        <v>30</v>
      </c>
      <c r="E10" s="1048">
        <v>30</v>
      </c>
      <c r="F10" s="1048">
        <v>30</v>
      </c>
      <c r="G10" s="1048">
        <v>30</v>
      </c>
      <c r="H10" s="1048">
        <v>30</v>
      </c>
      <c r="I10" s="1048">
        <v>30</v>
      </c>
      <c r="J10" s="1048">
        <v>30</v>
      </c>
      <c r="K10" s="1048">
        <v>30</v>
      </c>
      <c r="L10" s="1372">
        <v>30</v>
      </c>
      <c r="M10" s="1382">
        <f>AVERAGE(D10:L10)</f>
        <v>30</v>
      </c>
    </row>
    <row r="11" spans="2:13" ht="12.95" customHeight="1" outlineLevel="1">
      <c r="B11" s="1141" t="s">
        <v>2554</v>
      </c>
      <c r="C11" s="113">
        <v>2</v>
      </c>
      <c r="D11" s="1395">
        <v>4</v>
      </c>
      <c r="E11" s="1396">
        <v>4</v>
      </c>
      <c r="F11" s="1397">
        <v>50</v>
      </c>
      <c r="G11" s="998">
        <v>20</v>
      </c>
      <c r="H11" s="998">
        <v>6</v>
      </c>
      <c r="I11" s="1397">
        <v>50</v>
      </c>
      <c r="J11" s="1397">
        <v>50</v>
      </c>
      <c r="K11" s="1396">
        <v>4</v>
      </c>
      <c r="L11" s="1398">
        <v>25</v>
      </c>
      <c r="M11" s="1399">
        <f t="shared" ref="M11:M74" si="0">AVERAGE(D11:L11)</f>
        <v>23.666666666666668</v>
      </c>
    </row>
    <row r="12" spans="2:13" ht="12.95" customHeight="1" outlineLevel="1">
      <c r="B12" s="1134" t="s">
        <v>2553</v>
      </c>
      <c r="C12" s="592">
        <v>2</v>
      </c>
      <c r="D12" s="1376">
        <v>50</v>
      </c>
      <c r="E12" s="1374">
        <v>50</v>
      </c>
      <c r="F12" s="1050">
        <v>6</v>
      </c>
      <c r="G12" s="1387">
        <v>0</v>
      </c>
      <c r="H12" s="1050">
        <v>6</v>
      </c>
      <c r="I12" s="1050">
        <v>6</v>
      </c>
      <c r="J12" s="1050">
        <v>4</v>
      </c>
      <c r="K12" s="1374">
        <v>50</v>
      </c>
      <c r="L12" s="1375">
        <v>25</v>
      </c>
      <c r="M12" s="1383">
        <f>AVERAGE(D12:L12)</f>
        <v>21.888888888888889</v>
      </c>
    </row>
    <row r="13" spans="2:13" ht="12.95" customHeight="1" outlineLevel="1">
      <c r="B13" s="1141" t="s">
        <v>1306</v>
      </c>
      <c r="C13" s="113">
        <v>3</v>
      </c>
      <c r="D13" s="997">
        <v>8</v>
      </c>
      <c r="E13" s="998">
        <v>8</v>
      </c>
      <c r="F13" s="998">
        <v>8</v>
      </c>
      <c r="G13" s="1397">
        <v>50</v>
      </c>
      <c r="H13" s="998">
        <v>12</v>
      </c>
      <c r="I13" s="998">
        <v>16</v>
      </c>
      <c r="J13" s="998">
        <v>12</v>
      </c>
      <c r="K13" s="1396">
        <v>2</v>
      </c>
      <c r="L13" s="1398">
        <v>12</v>
      </c>
      <c r="M13" s="1399">
        <f t="shared" si="0"/>
        <v>14.222222222222221</v>
      </c>
    </row>
    <row r="14" spans="2:13" ht="12.95" customHeight="1" outlineLevel="1">
      <c r="B14" s="1134" t="s">
        <v>867</v>
      </c>
      <c r="C14" s="592">
        <v>3</v>
      </c>
      <c r="D14" s="1130">
        <v>16</v>
      </c>
      <c r="E14" s="1050">
        <v>16</v>
      </c>
      <c r="F14" s="1050">
        <v>16</v>
      </c>
      <c r="G14" s="1387">
        <v>0</v>
      </c>
      <c r="H14" s="1050">
        <v>12</v>
      </c>
      <c r="I14" s="1050">
        <v>12</v>
      </c>
      <c r="J14" s="1050">
        <v>12</v>
      </c>
      <c r="K14" s="1050">
        <v>4</v>
      </c>
      <c r="L14" s="1375">
        <v>12</v>
      </c>
      <c r="M14" s="1383">
        <f t="shared" si="0"/>
        <v>11.111111111111111</v>
      </c>
    </row>
    <row r="15" spans="2:13" ht="12.95" customHeight="1" outlineLevel="1">
      <c r="B15" s="1141" t="s">
        <v>2387</v>
      </c>
      <c r="C15" s="113">
        <v>5</v>
      </c>
      <c r="D15" s="997" t="s">
        <v>137</v>
      </c>
      <c r="E15" s="1397">
        <v>20</v>
      </c>
      <c r="F15" s="998">
        <v>14</v>
      </c>
      <c r="G15" s="998">
        <v>16</v>
      </c>
      <c r="H15" s="998">
        <v>16</v>
      </c>
      <c r="I15" s="998">
        <v>16</v>
      </c>
      <c r="J15" s="998" t="s">
        <v>137</v>
      </c>
      <c r="K15" s="998" t="s">
        <v>137</v>
      </c>
      <c r="L15" s="1400">
        <v>13</v>
      </c>
      <c r="M15" s="1399">
        <v>10.56</v>
      </c>
    </row>
    <row r="16" spans="2:13" ht="12.95" customHeight="1" outlineLevel="1">
      <c r="B16" s="1134" t="s">
        <v>2555</v>
      </c>
      <c r="C16" s="592">
        <v>5</v>
      </c>
      <c r="D16" s="1130" t="s">
        <v>137</v>
      </c>
      <c r="E16" s="1050">
        <v>16</v>
      </c>
      <c r="F16" s="1050">
        <v>14</v>
      </c>
      <c r="G16" s="1050">
        <v>16</v>
      </c>
      <c r="H16" s="1374">
        <v>20</v>
      </c>
      <c r="I16" s="1386">
        <v>12</v>
      </c>
      <c r="J16" s="1050" t="s">
        <v>137</v>
      </c>
      <c r="K16" s="1050" t="s">
        <v>137</v>
      </c>
      <c r="L16" s="1375">
        <v>13</v>
      </c>
      <c r="M16" s="1383">
        <v>10.11</v>
      </c>
    </row>
    <row r="17" spans="2:13" ht="12.95" customHeight="1" outlineLevel="1">
      <c r="B17" s="1141" t="s">
        <v>102</v>
      </c>
      <c r="C17" s="113">
        <v>1</v>
      </c>
      <c r="D17" s="997">
        <v>10</v>
      </c>
      <c r="E17" s="998">
        <v>10</v>
      </c>
      <c r="F17" s="998">
        <v>10</v>
      </c>
      <c r="G17" s="998">
        <v>10</v>
      </c>
      <c r="H17" s="998">
        <v>10</v>
      </c>
      <c r="I17" s="998">
        <v>10</v>
      </c>
      <c r="J17" s="998">
        <v>10</v>
      </c>
      <c r="K17" s="998">
        <v>10</v>
      </c>
      <c r="L17" s="1398">
        <v>10</v>
      </c>
      <c r="M17" s="1399">
        <f t="shared" si="0"/>
        <v>10</v>
      </c>
    </row>
    <row r="18" spans="2:13" ht="12.95" customHeight="1" outlineLevel="1">
      <c r="B18" s="1134" t="s">
        <v>3369</v>
      </c>
      <c r="C18" s="592">
        <v>5</v>
      </c>
      <c r="D18" s="1130" t="s">
        <v>137</v>
      </c>
      <c r="E18" s="1374">
        <v>16</v>
      </c>
      <c r="F18" s="1374">
        <v>16</v>
      </c>
      <c r="G18" s="1374">
        <v>16</v>
      </c>
      <c r="H18" s="1374">
        <v>16</v>
      </c>
      <c r="I18" s="1386">
        <v>12</v>
      </c>
      <c r="J18" s="1050" t="s">
        <v>137</v>
      </c>
      <c r="K18" s="1050" t="s">
        <v>137</v>
      </c>
      <c r="L18" s="1375">
        <v>13</v>
      </c>
      <c r="M18" s="1383">
        <v>9.89</v>
      </c>
    </row>
    <row r="19" spans="2:13" ht="12.95" customHeight="1" outlineLevel="1">
      <c r="B19" s="1141" t="s">
        <v>874</v>
      </c>
      <c r="C19" s="113">
        <v>3</v>
      </c>
      <c r="D19" s="1395">
        <v>4</v>
      </c>
      <c r="E19" s="998">
        <v>8</v>
      </c>
      <c r="F19" s="1396">
        <v>4</v>
      </c>
      <c r="G19" s="998">
        <v>6</v>
      </c>
      <c r="H19" s="1396">
        <v>4</v>
      </c>
      <c r="I19" s="1396">
        <v>4</v>
      </c>
      <c r="J19" s="1396">
        <v>4</v>
      </c>
      <c r="K19" s="1397">
        <v>50</v>
      </c>
      <c r="L19" s="1400">
        <v>4</v>
      </c>
      <c r="M19" s="1399">
        <f t="shared" si="0"/>
        <v>9.7777777777777786</v>
      </c>
    </row>
    <row r="20" spans="2:13" ht="12.95" customHeight="1" outlineLevel="1">
      <c r="B20" s="1134" t="s">
        <v>2667</v>
      </c>
      <c r="C20" s="592">
        <v>5</v>
      </c>
      <c r="D20" s="1130" t="s">
        <v>137</v>
      </c>
      <c r="E20" s="1374">
        <v>16</v>
      </c>
      <c r="F20" s="1050">
        <v>14</v>
      </c>
      <c r="G20" s="1374">
        <v>16</v>
      </c>
      <c r="H20" s="1374">
        <v>16</v>
      </c>
      <c r="I20" s="1386">
        <v>12</v>
      </c>
      <c r="J20" s="1050" t="s">
        <v>137</v>
      </c>
      <c r="K20" s="1050" t="s">
        <v>137</v>
      </c>
      <c r="L20" s="1388">
        <v>12</v>
      </c>
      <c r="M20" s="1383">
        <v>9.56</v>
      </c>
    </row>
    <row r="21" spans="2:13" ht="12.95" customHeight="1" outlineLevel="1">
      <c r="B21" s="1141" t="s">
        <v>3304</v>
      </c>
      <c r="C21" s="113">
        <v>3</v>
      </c>
      <c r="D21" s="1401">
        <v>12</v>
      </c>
      <c r="E21" s="998">
        <v>8</v>
      </c>
      <c r="F21" s="998">
        <v>8</v>
      </c>
      <c r="G21" s="1396">
        <v>4</v>
      </c>
      <c r="H21" s="998">
        <v>8</v>
      </c>
      <c r="I21" s="998">
        <v>8</v>
      </c>
      <c r="J21" s="1397">
        <v>12</v>
      </c>
      <c r="K21" s="998">
        <v>10</v>
      </c>
      <c r="L21" s="1402">
        <v>12</v>
      </c>
      <c r="M21" s="1399">
        <f t="shared" si="0"/>
        <v>9.1111111111111107</v>
      </c>
    </row>
    <row r="22" spans="2:13" ht="12.95" customHeight="1" outlineLevel="1">
      <c r="B22" s="1134" t="s">
        <v>2360</v>
      </c>
      <c r="C22" s="592">
        <v>3</v>
      </c>
      <c r="D22" s="1130">
        <v>8</v>
      </c>
      <c r="E22" s="1050">
        <v>8</v>
      </c>
      <c r="F22" s="1050">
        <v>8</v>
      </c>
      <c r="G22" s="1050">
        <v>8</v>
      </c>
      <c r="H22" s="1050">
        <v>8</v>
      </c>
      <c r="I22" s="1050">
        <v>8</v>
      </c>
      <c r="J22" s="1050">
        <v>8</v>
      </c>
      <c r="K22" s="1374">
        <v>10</v>
      </c>
      <c r="L22" s="1375">
        <v>8</v>
      </c>
      <c r="M22" s="1383">
        <f t="shared" si="0"/>
        <v>8.2222222222222214</v>
      </c>
    </row>
    <row r="23" spans="2:13" ht="12.95" customHeight="1" outlineLevel="1">
      <c r="B23" s="1141" t="s">
        <v>2556</v>
      </c>
      <c r="C23" s="113">
        <v>4</v>
      </c>
      <c r="D23" s="997">
        <v>10</v>
      </c>
      <c r="E23" s="998">
        <v>10</v>
      </c>
      <c r="F23" s="998">
        <v>10</v>
      </c>
      <c r="G23" s="998">
        <v>10</v>
      </c>
      <c r="H23" s="998">
        <v>10</v>
      </c>
      <c r="I23" s="998">
        <v>10</v>
      </c>
      <c r="J23" s="998" t="s">
        <v>137</v>
      </c>
      <c r="K23" s="998" t="s">
        <v>137</v>
      </c>
      <c r="L23" s="1398">
        <v>10</v>
      </c>
      <c r="M23" s="1399">
        <v>7.78</v>
      </c>
    </row>
    <row r="24" spans="2:13" ht="12.95" customHeight="1" outlineLevel="1">
      <c r="B24" s="1134" t="s">
        <v>2452</v>
      </c>
      <c r="C24" s="592">
        <v>4</v>
      </c>
      <c r="D24" s="1130">
        <v>10</v>
      </c>
      <c r="E24" s="1050">
        <v>10</v>
      </c>
      <c r="F24" s="1050">
        <v>10</v>
      </c>
      <c r="G24" s="1050">
        <v>10</v>
      </c>
      <c r="H24" s="1050">
        <v>10</v>
      </c>
      <c r="I24" s="1050">
        <v>10</v>
      </c>
      <c r="J24" s="1050" t="s">
        <v>137</v>
      </c>
      <c r="K24" s="1050" t="s">
        <v>137</v>
      </c>
      <c r="L24" s="1375">
        <v>10</v>
      </c>
      <c r="M24" s="1383">
        <v>7.78</v>
      </c>
    </row>
    <row r="25" spans="2:13" ht="12.95" customHeight="1" outlineLevel="1">
      <c r="B25" s="1141" t="s">
        <v>2388</v>
      </c>
      <c r="C25" s="113">
        <v>4</v>
      </c>
      <c r="D25" s="997">
        <v>10</v>
      </c>
      <c r="E25" s="998">
        <v>10</v>
      </c>
      <c r="F25" s="998">
        <v>10</v>
      </c>
      <c r="G25" s="998">
        <v>10</v>
      </c>
      <c r="H25" s="998">
        <v>10</v>
      </c>
      <c r="I25" s="998">
        <v>10</v>
      </c>
      <c r="J25" s="998" t="s">
        <v>137</v>
      </c>
      <c r="K25" s="998" t="s">
        <v>137</v>
      </c>
      <c r="L25" s="1398">
        <v>10</v>
      </c>
      <c r="M25" s="1399">
        <v>7.78</v>
      </c>
    </row>
    <row r="26" spans="2:13" ht="12.95" customHeight="1" outlineLevel="1">
      <c r="B26" s="1134" t="s">
        <v>2386</v>
      </c>
      <c r="C26" s="592">
        <v>4</v>
      </c>
      <c r="D26" s="1130">
        <v>10</v>
      </c>
      <c r="E26" s="1050">
        <v>10</v>
      </c>
      <c r="F26" s="1050">
        <v>10</v>
      </c>
      <c r="G26" s="1050">
        <v>10</v>
      </c>
      <c r="H26" s="1050">
        <v>10</v>
      </c>
      <c r="I26" s="1050">
        <v>10</v>
      </c>
      <c r="J26" s="1050" t="s">
        <v>137</v>
      </c>
      <c r="K26" s="1050" t="s">
        <v>137</v>
      </c>
      <c r="L26" s="1375">
        <v>10</v>
      </c>
      <c r="M26" s="1383">
        <v>7.78</v>
      </c>
    </row>
    <row r="27" spans="2:13" ht="12.95" customHeight="1" outlineLevel="1">
      <c r="B27" s="1141" t="s">
        <v>2379</v>
      </c>
      <c r="C27" s="113">
        <v>1</v>
      </c>
      <c r="D27" s="997">
        <v>5</v>
      </c>
      <c r="E27" s="1397">
        <v>10</v>
      </c>
      <c r="F27" s="998">
        <v>5</v>
      </c>
      <c r="G27" s="998">
        <v>5</v>
      </c>
      <c r="H27" s="998">
        <v>5</v>
      </c>
      <c r="I27" s="1397">
        <v>10</v>
      </c>
      <c r="J27" s="998">
        <v>5</v>
      </c>
      <c r="K27" s="1397">
        <v>10</v>
      </c>
      <c r="L27" s="1402">
        <v>10</v>
      </c>
      <c r="M27" s="1399">
        <f t="shared" si="0"/>
        <v>7.2222222222222223</v>
      </c>
    </row>
    <row r="28" spans="2:13" ht="12.95" customHeight="1" outlineLevel="1">
      <c r="B28" s="1134" t="s">
        <v>2380</v>
      </c>
      <c r="C28" s="592">
        <v>1</v>
      </c>
      <c r="D28" s="1130">
        <v>5</v>
      </c>
      <c r="E28" s="1374">
        <v>10</v>
      </c>
      <c r="F28" s="1374">
        <v>10</v>
      </c>
      <c r="G28" s="1374">
        <v>10</v>
      </c>
      <c r="H28" s="1050">
        <v>5</v>
      </c>
      <c r="I28" s="1050">
        <v>5</v>
      </c>
      <c r="J28" s="1050">
        <v>5</v>
      </c>
      <c r="K28" s="1050">
        <v>5</v>
      </c>
      <c r="L28" s="1377">
        <v>10</v>
      </c>
      <c r="M28" s="1383">
        <f t="shared" si="0"/>
        <v>7.2222222222222223</v>
      </c>
    </row>
    <row r="29" spans="2:13" ht="12.95" customHeight="1" outlineLevel="1">
      <c r="B29" s="1141" t="s">
        <v>1214</v>
      </c>
      <c r="C29" s="113">
        <v>4</v>
      </c>
      <c r="D29" s="1401">
        <v>10</v>
      </c>
      <c r="E29" s="1397">
        <v>10</v>
      </c>
      <c r="F29" s="1397">
        <v>10</v>
      </c>
      <c r="G29" s="1397">
        <v>10</v>
      </c>
      <c r="H29" s="1397">
        <v>10</v>
      </c>
      <c r="I29" s="1397">
        <v>10</v>
      </c>
      <c r="J29" s="998" t="s">
        <v>137</v>
      </c>
      <c r="K29" s="998" t="s">
        <v>137</v>
      </c>
      <c r="L29" s="1398">
        <v>5</v>
      </c>
      <c r="M29" s="1399">
        <v>7.22</v>
      </c>
    </row>
    <row r="30" spans="2:13" ht="12.95" customHeight="1" outlineLevel="1">
      <c r="B30" s="1134" t="s">
        <v>2390</v>
      </c>
      <c r="C30" s="592">
        <v>3</v>
      </c>
      <c r="D30" s="1130">
        <v>8</v>
      </c>
      <c r="E30" s="1050">
        <v>8</v>
      </c>
      <c r="F30" s="1050">
        <v>8</v>
      </c>
      <c r="G30" s="1050">
        <v>6</v>
      </c>
      <c r="H30" s="1050">
        <v>8</v>
      </c>
      <c r="I30" s="1374">
        <v>12</v>
      </c>
      <c r="J30" s="1050">
        <v>8</v>
      </c>
      <c r="K30" s="1386">
        <v>2</v>
      </c>
      <c r="L30" s="1375">
        <v>4</v>
      </c>
      <c r="M30" s="1383">
        <f t="shared" si="0"/>
        <v>7.1111111111111107</v>
      </c>
    </row>
    <row r="31" spans="2:13" ht="12.95" customHeight="1" outlineLevel="1">
      <c r="B31" s="1141" t="s">
        <v>1147</v>
      </c>
      <c r="C31" s="113">
        <v>1</v>
      </c>
      <c r="D31" s="997">
        <v>5</v>
      </c>
      <c r="E31" s="998">
        <v>5</v>
      </c>
      <c r="F31" s="1397">
        <v>10</v>
      </c>
      <c r="G31" s="998">
        <v>5</v>
      </c>
      <c r="H31" s="1397">
        <v>10</v>
      </c>
      <c r="I31" s="998">
        <v>5</v>
      </c>
      <c r="J31" s="1397">
        <v>10</v>
      </c>
      <c r="K31" s="998">
        <v>5</v>
      </c>
      <c r="L31" s="1398">
        <v>5</v>
      </c>
      <c r="M31" s="1399">
        <f t="shared" si="0"/>
        <v>6.666666666666667</v>
      </c>
    </row>
    <row r="32" spans="2:13" ht="12.95" customHeight="1" outlineLevel="1">
      <c r="B32" s="1134" t="s">
        <v>2373</v>
      </c>
      <c r="C32" s="592">
        <v>2</v>
      </c>
      <c r="D32" s="1130">
        <v>6</v>
      </c>
      <c r="E32" s="1386">
        <v>4</v>
      </c>
      <c r="F32" s="1050">
        <v>6</v>
      </c>
      <c r="G32" s="1374">
        <v>12</v>
      </c>
      <c r="H32" s="1386">
        <v>4</v>
      </c>
      <c r="I32" s="1050">
        <v>6</v>
      </c>
      <c r="J32" s="1050">
        <v>6</v>
      </c>
      <c r="K32" s="1050">
        <v>6</v>
      </c>
      <c r="L32" s="1375">
        <v>8</v>
      </c>
      <c r="M32" s="1383">
        <f t="shared" si="0"/>
        <v>6.4444444444444446</v>
      </c>
    </row>
    <row r="33" spans="2:13" ht="12.95" customHeight="1" outlineLevel="1">
      <c r="B33" s="1920" t="s">
        <v>680</v>
      </c>
      <c r="C33" s="113">
        <v>1</v>
      </c>
      <c r="D33" s="1401">
        <v>10</v>
      </c>
      <c r="E33" s="1397">
        <v>10</v>
      </c>
      <c r="F33" s="1925">
        <v>5</v>
      </c>
      <c r="G33" s="1925">
        <v>5</v>
      </c>
      <c r="H33" s="1403">
        <v>0</v>
      </c>
      <c r="I33" s="1925">
        <v>5</v>
      </c>
      <c r="J33" s="1925">
        <v>5</v>
      </c>
      <c r="K33" s="1397">
        <v>10</v>
      </c>
      <c r="L33" s="1398">
        <v>5</v>
      </c>
      <c r="M33" s="2067">
        <f t="shared" si="0"/>
        <v>6.1111111111111107</v>
      </c>
    </row>
    <row r="34" spans="2:13" ht="12.95" customHeight="1" outlineLevel="1">
      <c r="B34" s="1134" t="s">
        <v>1668</v>
      </c>
      <c r="C34" s="592">
        <v>5</v>
      </c>
      <c r="D34" s="1130" t="s">
        <v>137</v>
      </c>
      <c r="E34" s="1374">
        <v>16</v>
      </c>
      <c r="F34" s="1050">
        <v>14</v>
      </c>
      <c r="G34" s="1387">
        <v>0</v>
      </c>
      <c r="H34" s="1387">
        <v>0</v>
      </c>
      <c r="I34" s="1050">
        <v>12</v>
      </c>
      <c r="J34" s="1050" t="s">
        <v>137</v>
      </c>
      <c r="K34" s="1050" t="s">
        <v>137</v>
      </c>
      <c r="L34" s="1375">
        <v>13</v>
      </c>
      <c r="M34" s="1383">
        <v>6.11</v>
      </c>
    </row>
    <row r="35" spans="2:13" ht="12.95" customHeight="1" outlineLevel="1">
      <c r="B35" s="1141" t="s">
        <v>2664</v>
      </c>
      <c r="C35" s="113">
        <v>5</v>
      </c>
      <c r="D35" s="997" t="s">
        <v>137</v>
      </c>
      <c r="E35" s="1397">
        <v>16</v>
      </c>
      <c r="F35" s="998">
        <v>14</v>
      </c>
      <c r="G35" s="1403">
        <v>0</v>
      </c>
      <c r="H35" s="1403">
        <v>0</v>
      </c>
      <c r="I35" s="998">
        <v>12</v>
      </c>
      <c r="J35" s="998" t="s">
        <v>137</v>
      </c>
      <c r="K35" s="998" t="s">
        <v>137</v>
      </c>
      <c r="L35" s="1398">
        <v>12</v>
      </c>
      <c r="M35" s="1399">
        <v>6</v>
      </c>
    </row>
    <row r="36" spans="2:13" ht="12.95" customHeight="1" outlineLevel="1">
      <c r="B36" s="1134" t="s">
        <v>2560</v>
      </c>
      <c r="C36" s="592">
        <v>1</v>
      </c>
      <c r="D36" s="1376">
        <v>10</v>
      </c>
      <c r="E36" s="1386">
        <v>3</v>
      </c>
      <c r="F36" s="1050">
        <v>5</v>
      </c>
      <c r="G36" s="1386">
        <v>3</v>
      </c>
      <c r="H36" s="1374">
        <v>10</v>
      </c>
      <c r="I36" s="1050">
        <v>5</v>
      </c>
      <c r="J36" s="1050">
        <v>5</v>
      </c>
      <c r="K36" s="1050">
        <v>5</v>
      </c>
      <c r="L36" s="1375">
        <v>5</v>
      </c>
      <c r="M36" s="1383">
        <f t="shared" si="0"/>
        <v>5.666666666666667</v>
      </c>
    </row>
    <row r="37" spans="2:13" ht="12.95" customHeight="1" outlineLevel="1">
      <c r="B37" s="1141" t="s">
        <v>2359</v>
      </c>
      <c r="C37" s="113">
        <v>2</v>
      </c>
      <c r="D37" s="997">
        <v>4</v>
      </c>
      <c r="E37" s="998">
        <v>6</v>
      </c>
      <c r="F37" s="1396">
        <v>2</v>
      </c>
      <c r="G37" s="1397">
        <v>12</v>
      </c>
      <c r="H37" s="998">
        <v>4</v>
      </c>
      <c r="I37" s="998">
        <v>4</v>
      </c>
      <c r="J37" s="998">
        <v>4</v>
      </c>
      <c r="K37" s="998">
        <v>6</v>
      </c>
      <c r="L37" s="1398">
        <v>8</v>
      </c>
      <c r="M37" s="1399">
        <f t="shared" si="0"/>
        <v>5.5555555555555554</v>
      </c>
    </row>
    <row r="38" spans="2:13" ht="12.95" customHeight="1" outlineLevel="1">
      <c r="B38" s="1134" t="s">
        <v>1308</v>
      </c>
      <c r="C38" s="592">
        <v>2</v>
      </c>
      <c r="D38" s="1390">
        <v>0</v>
      </c>
      <c r="E38" s="1387">
        <v>0</v>
      </c>
      <c r="F38" s="1387">
        <v>0</v>
      </c>
      <c r="G38" s="1387">
        <v>0</v>
      </c>
      <c r="H38" s="1374">
        <v>50</v>
      </c>
      <c r="I38" s="1387">
        <v>0</v>
      </c>
      <c r="J38" s="1387">
        <v>0</v>
      </c>
      <c r="K38" s="1387">
        <v>0</v>
      </c>
      <c r="L38" s="1389">
        <v>0</v>
      </c>
      <c r="M38" s="1383">
        <f t="shared" si="0"/>
        <v>5.5555555555555554</v>
      </c>
    </row>
    <row r="39" spans="2:13" ht="12.95" customHeight="1" outlineLevel="1">
      <c r="B39" s="1141" t="s">
        <v>2391</v>
      </c>
      <c r="C39" s="113">
        <v>3</v>
      </c>
      <c r="D39" s="997">
        <v>4</v>
      </c>
      <c r="E39" s="998">
        <v>4</v>
      </c>
      <c r="F39" s="1397">
        <v>8</v>
      </c>
      <c r="G39" s="1396">
        <v>2</v>
      </c>
      <c r="H39" s="1397">
        <v>8</v>
      </c>
      <c r="I39" s="1397">
        <v>8</v>
      </c>
      <c r="J39" s="998">
        <v>4</v>
      </c>
      <c r="K39" s="998">
        <v>4</v>
      </c>
      <c r="L39" s="1402">
        <v>8</v>
      </c>
      <c r="M39" s="1399">
        <f t="shared" si="0"/>
        <v>5.5555555555555554</v>
      </c>
    </row>
    <row r="40" spans="2:13" ht="12.95" customHeight="1" outlineLevel="1">
      <c r="B40" s="1134" t="s">
        <v>2274</v>
      </c>
      <c r="C40" s="592">
        <v>3</v>
      </c>
      <c r="D40" s="1130">
        <v>4</v>
      </c>
      <c r="E40" s="1050">
        <v>4</v>
      </c>
      <c r="F40" s="1050">
        <v>8</v>
      </c>
      <c r="G40" s="1050">
        <v>6</v>
      </c>
      <c r="H40" s="1387">
        <v>0</v>
      </c>
      <c r="I40" s="1050">
        <v>8</v>
      </c>
      <c r="J40" s="1050">
        <v>4</v>
      </c>
      <c r="K40" s="1050">
        <v>4</v>
      </c>
      <c r="L40" s="1377">
        <v>12</v>
      </c>
      <c r="M40" s="1383">
        <f t="shared" si="0"/>
        <v>5.5555555555555554</v>
      </c>
    </row>
    <row r="41" spans="2:13" ht="12.95" customHeight="1" outlineLevel="1">
      <c r="B41" s="1141" t="s">
        <v>866</v>
      </c>
      <c r="C41" s="113">
        <v>2</v>
      </c>
      <c r="D41" s="997">
        <v>4</v>
      </c>
      <c r="E41" s="998">
        <v>4</v>
      </c>
      <c r="F41" s="998">
        <v>4</v>
      </c>
      <c r="G41" s="1397">
        <v>12</v>
      </c>
      <c r="H41" s="998">
        <v>4</v>
      </c>
      <c r="I41" s="998">
        <v>4</v>
      </c>
      <c r="J41" s="998">
        <v>4</v>
      </c>
      <c r="K41" s="998">
        <v>4</v>
      </c>
      <c r="L41" s="1398">
        <v>8</v>
      </c>
      <c r="M41" s="1399">
        <f t="shared" si="0"/>
        <v>5.333333333333333</v>
      </c>
    </row>
    <row r="42" spans="2:13" ht="12.95" customHeight="1" outlineLevel="1">
      <c r="B42" s="1134" t="s">
        <v>2275</v>
      </c>
      <c r="C42" s="592">
        <v>3</v>
      </c>
      <c r="D42" s="1376">
        <v>8</v>
      </c>
      <c r="E42" s="1374">
        <v>8</v>
      </c>
      <c r="F42" s="1050">
        <v>4</v>
      </c>
      <c r="G42" s="1050">
        <v>4</v>
      </c>
      <c r="H42" s="1050">
        <v>4</v>
      </c>
      <c r="I42" s="1050">
        <v>4</v>
      </c>
      <c r="J42" s="1050">
        <v>4</v>
      </c>
      <c r="K42" s="1050">
        <v>4</v>
      </c>
      <c r="L42" s="1377">
        <v>8</v>
      </c>
      <c r="M42" s="1383">
        <f t="shared" si="0"/>
        <v>5.333333333333333</v>
      </c>
    </row>
    <row r="43" spans="2:13" ht="12.95" customHeight="1" outlineLevel="1">
      <c r="B43" s="1141" t="s">
        <v>2370</v>
      </c>
      <c r="C43" s="113">
        <v>5</v>
      </c>
      <c r="D43" s="997" t="s">
        <v>137</v>
      </c>
      <c r="E43" s="1403">
        <v>0</v>
      </c>
      <c r="F43" s="1403">
        <v>0</v>
      </c>
      <c r="G43" s="1397">
        <v>20</v>
      </c>
      <c r="H43" s="998">
        <v>16</v>
      </c>
      <c r="I43" s="998">
        <v>12</v>
      </c>
      <c r="J43" s="998" t="s">
        <v>137</v>
      </c>
      <c r="K43" s="998" t="s">
        <v>137</v>
      </c>
      <c r="L43" s="1404">
        <v>0</v>
      </c>
      <c r="M43" s="1399">
        <v>5.33</v>
      </c>
    </row>
    <row r="44" spans="2:13" ht="12.95" customHeight="1" outlineLevel="1">
      <c r="B44" s="1134" t="s">
        <v>1201</v>
      </c>
      <c r="C44" s="592">
        <v>3</v>
      </c>
      <c r="D44" s="1130">
        <v>4</v>
      </c>
      <c r="E44" s="1374">
        <v>8</v>
      </c>
      <c r="F44" s="1374">
        <v>8</v>
      </c>
      <c r="G44" s="1386">
        <v>2</v>
      </c>
      <c r="H44" s="1050">
        <v>4</v>
      </c>
      <c r="I44" s="1050">
        <v>4</v>
      </c>
      <c r="J44" s="1374">
        <v>8</v>
      </c>
      <c r="K44" s="1050">
        <v>4</v>
      </c>
      <c r="L44" s="1375">
        <v>4</v>
      </c>
      <c r="M44" s="1383">
        <f t="shared" si="0"/>
        <v>5.1111111111111107</v>
      </c>
    </row>
    <row r="45" spans="2:13" ht="12.95" customHeight="1" outlineLevel="1">
      <c r="B45" s="1141" t="s">
        <v>2362</v>
      </c>
      <c r="C45" s="113">
        <v>4</v>
      </c>
      <c r="D45" s="997">
        <v>5</v>
      </c>
      <c r="E45" s="998">
        <v>5</v>
      </c>
      <c r="F45" s="998">
        <v>10</v>
      </c>
      <c r="G45" s="998">
        <v>5</v>
      </c>
      <c r="H45" s="998">
        <v>5</v>
      </c>
      <c r="I45" s="998">
        <v>5</v>
      </c>
      <c r="J45" s="998" t="s">
        <v>137</v>
      </c>
      <c r="K45" s="998" t="s">
        <v>137</v>
      </c>
      <c r="L45" s="1398">
        <v>10</v>
      </c>
      <c r="M45" s="1399">
        <v>5</v>
      </c>
    </row>
    <row r="46" spans="2:13" ht="12.95" customHeight="1" outlineLevel="1">
      <c r="B46" s="1134" t="s">
        <v>2557</v>
      </c>
      <c r="C46" s="592">
        <v>4</v>
      </c>
      <c r="D46" s="1130">
        <v>5</v>
      </c>
      <c r="E46" s="1050">
        <v>5</v>
      </c>
      <c r="F46" s="1050">
        <v>5</v>
      </c>
      <c r="G46" s="1374">
        <v>10</v>
      </c>
      <c r="H46" s="1050">
        <v>5</v>
      </c>
      <c r="I46" s="1050">
        <v>5</v>
      </c>
      <c r="J46" s="1050" t="s">
        <v>137</v>
      </c>
      <c r="K46" s="1050" t="s">
        <v>137</v>
      </c>
      <c r="L46" s="1377">
        <v>10</v>
      </c>
      <c r="M46" s="1383">
        <v>5</v>
      </c>
    </row>
    <row r="47" spans="2:13" ht="12.95" customHeight="1" outlineLevel="1">
      <c r="B47" s="1141" t="s">
        <v>3360</v>
      </c>
      <c r="C47" s="113">
        <v>3</v>
      </c>
      <c r="D47" s="1401">
        <v>12</v>
      </c>
      <c r="E47" s="998">
        <v>8</v>
      </c>
      <c r="F47" s="998">
        <v>8</v>
      </c>
      <c r="G47" s="998">
        <v>2</v>
      </c>
      <c r="H47" s="1403">
        <v>0</v>
      </c>
      <c r="I47" s="998">
        <v>4</v>
      </c>
      <c r="J47" s="998">
        <v>4</v>
      </c>
      <c r="K47" s="998">
        <v>2</v>
      </c>
      <c r="L47" s="1398">
        <v>4</v>
      </c>
      <c r="M47" s="1399">
        <f t="shared" si="0"/>
        <v>4.8888888888888893</v>
      </c>
    </row>
    <row r="48" spans="2:13" ht="12.95" customHeight="1" outlineLevel="1">
      <c r="B48" s="1134" t="s">
        <v>2372</v>
      </c>
      <c r="C48" s="592">
        <v>2</v>
      </c>
      <c r="D48" s="1130">
        <v>6</v>
      </c>
      <c r="E48" s="1050">
        <v>6</v>
      </c>
      <c r="F48" s="1050">
        <v>4</v>
      </c>
      <c r="G48" s="1374">
        <v>8</v>
      </c>
      <c r="H48" s="1386">
        <v>2</v>
      </c>
      <c r="I48" s="1050">
        <v>6</v>
      </c>
      <c r="J48" s="1050">
        <v>4</v>
      </c>
      <c r="K48" s="1050">
        <v>4</v>
      </c>
      <c r="L48" s="1388">
        <v>2</v>
      </c>
      <c r="M48" s="1383">
        <f t="shared" si="0"/>
        <v>4.666666666666667</v>
      </c>
    </row>
    <row r="49" spans="2:13" ht="12.95" customHeight="1" outlineLevel="1">
      <c r="B49" s="1141" t="s">
        <v>2389</v>
      </c>
      <c r="C49" s="113">
        <v>2</v>
      </c>
      <c r="D49" s="997">
        <v>4</v>
      </c>
      <c r="E49" s="998">
        <v>4</v>
      </c>
      <c r="F49" s="1397">
        <v>6</v>
      </c>
      <c r="G49" s="998">
        <v>4</v>
      </c>
      <c r="H49" s="998">
        <v>4</v>
      </c>
      <c r="I49" s="998">
        <v>4</v>
      </c>
      <c r="J49" s="1397">
        <v>6</v>
      </c>
      <c r="K49" s="1397">
        <v>6</v>
      </c>
      <c r="L49" s="1398">
        <v>4</v>
      </c>
      <c r="M49" s="1399">
        <f t="shared" si="0"/>
        <v>4.666666666666667</v>
      </c>
    </row>
    <row r="50" spans="2:13" ht="12.95" customHeight="1" outlineLevel="1">
      <c r="B50" s="1134" t="s">
        <v>3372</v>
      </c>
      <c r="C50" s="592">
        <v>5</v>
      </c>
      <c r="D50" s="1130" t="s">
        <v>137</v>
      </c>
      <c r="E50" s="1387">
        <v>0</v>
      </c>
      <c r="F50" s="1050">
        <v>14</v>
      </c>
      <c r="G50" s="1387">
        <v>0</v>
      </c>
      <c r="H50" s="1374">
        <v>16</v>
      </c>
      <c r="I50" s="1387">
        <v>0</v>
      </c>
      <c r="J50" s="1050" t="s">
        <v>137</v>
      </c>
      <c r="K50" s="1050" t="s">
        <v>137</v>
      </c>
      <c r="L50" s="1375">
        <v>12</v>
      </c>
      <c r="M50" s="1383">
        <v>4.67</v>
      </c>
    </row>
    <row r="51" spans="2:13" ht="12.95" customHeight="1" outlineLevel="1">
      <c r="B51" s="1141" t="s">
        <v>2371</v>
      </c>
      <c r="C51" s="113">
        <v>1</v>
      </c>
      <c r="D51" s="1405">
        <v>0</v>
      </c>
      <c r="E51" s="1403">
        <v>0</v>
      </c>
      <c r="F51" s="1403">
        <v>0</v>
      </c>
      <c r="G51" s="1397">
        <v>10</v>
      </c>
      <c r="H51" s="998">
        <v>5</v>
      </c>
      <c r="I51" s="998">
        <v>5</v>
      </c>
      <c r="J51" s="1397">
        <v>10</v>
      </c>
      <c r="K51" s="998">
        <v>5</v>
      </c>
      <c r="L51" s="1398">
        <v>5</v>
      </c>
      <c r="M51" s="1399">
        <f t="shared" si="0"/>
        <v>4.4444444444444446</v>
      </c>
    </row>
    <row r="52" spans="2:13" ht="12.95" customHeight="1" outlineLevel="1">
      <c r="B52" s="1134" t="s">
        <v>2375</v>
      </c>
      <c r="C52" s="592">
        <v>3</v>
      </c>
      <c r="D52" s="1130">
        <v>4</v>
      </c>
      <c r="E52" s="1050">
        <v>4</v>
      </c>
      <c r="F52" s="1050">
        <v>4</v>
      </c>
      <c r="G52" s="1386">
        <v>2</v>
      </c>
      <c r="H52" s="1050">
        <v>4</v>
      </c>
      <c r="I52" s="1050">
        <v>4</v>
      </c>
      <c r="J52" s="1374">
        <v>12</v>
      </c>
      <c r="K52" s="1386">
        <v>2</v>
      </c>
      <c r="L52" s="1375">
        <v>4</v>
      </c>
      <c r="M52" s="1383">
        <f t="shared" si="0"/>
        <v>4.4444444444444446</v>
      </c>
    </row>
    <row r="53" spans="2:13" ht="12.95" customHeight="1" outlineLevel="1">
      <c r="B53" s="1141" t="s">
        <v>2378</v>
      </c>
      <c r="C53" s="113">
        <v>3</v>
      </c>
      <c r="D53" s="997">
        <v>4</v>
      </c>
      <c r="E53" s="998">
        <v>4</v>
      </c>
      <c r="F53" s="998">
        <v>4</v>
      </c>
      <c r="G53" s="998">
        <v>6</v>
      </c>
      <c r="H53" s="1397">
        <v>8</v>
      </c>
      <c r="I53" s="998">
        <v>4</v>
      </c>
      <c r="J53" s="998">
        <v>4</v>
      </c>
      <c r="K53" s="1396">
        <v>2</v>
      </c>
      <c r="L53" s="1398">
        <v>4</v>
      </c>
      <c r="M53" s="1399">
        <f t="shared" si="0"/>
        <v>4.4444444444444446</v>
      </c>
    </row>
    <row r="54" spans="2:13" ht="12.95" customHeight="1" outlineLevel="1">
      <c r="B54" s="1134" t="s">
        <v>682</v>
      </c>
      <c r="C54" s="592">
        <v>4</v>
      </c>
      <c r="D54" s="1130">
        <v>5</v>
      </c>
      <c r="E54" s="1050">
        <v>5</v>
      </c>
      <c r="F54" s="1050">
        <v>5</v>
      </c>
      <c r="G54" s="1050">
        <v>5</v>
      </c>
      <c r="H54" s="1374">
        <v>10</v>
      </c>
      <c r="I54" s="1050">
        <v>5</v>
      </c>
      <c r="J54" s="1050" t="s">
        <v>137</v>
      </c>
      <c r="K54" s="1050" t="s">
        <v>137</v>
      </c>
      <c r="L54" s="1375">
        <v>5</v>
      </c>
      <c r="M54" s="1383">
        <v>4.4400000000000004</v>
      </c>
    </row>
    <row r="55" spans="2:13" ht="12.95" customHeight="1" outlineLevel="1">
      <c r="B55" s="1141" t="s">
        <v>681</v>
      </c>
      <c r="C55" s="113">
        <v>4</v>
      </c>
      <c r="D55" s="997">
        <v>5</v>
      </c>
      <c r="E55" s="1397">
        <v>10</v>
      </c>
      <c r="F55" s="998">
        <v>5</v>
      </c>
      <c r="G55" s="998">
        <v>5</v>
      </c>
      <c r="H55" s="998">
        <v>5</v>
      </c>
      <c r="I55" s="998">
        <v>5</v>
      </c>
      <c r="J55" s="998" t="s">
        <v>137</v>
      </c>
      <c r="K55" s="998" t="s">
        <v>137</v>
      </c>
      <c r="L55" s="1398">
        <v>5</v>
      </c>
      <c r="M55" s="1399">
        <v>4.4400000000000004</v>
      </c>
    </row>
    <row r="56" spans="2:13" ht="12.95" customHeight="1" outlineLevel="1">
      <c r="B56" s="1134" t="s">
        <v>100</v>
      </c>
      <c r="C56" s="592">
        <v>5</v>
      </c>
      <c r="D56" s="1130" t="s">
        <v>137</v>
      </c>
      <c r="E56" s="1387">
        <v>0</v>
      </c>
      <c r="F56" s="1387">
        <v>0</v>
      </c>
      <c r="G56" s="1374">
        <v>16</v>
      </c>
      <c r="H56" s="1387">
        <v>0</v>
      </c>
      <c r="I56" s="1050">
        <v>12</v>
      </c>
      <c r="J56" s="1050" t="s">
        <v>137</v>
      </c>
      <c r="K56" s="1050" t="s">
        <v>137</v>
      </c>
      <c r="L56" s="1375">
        <v>12</v>
      </c>
      <c r="M56" s="1383">
        <v>4.4400000000000004</v>
      </c>
    </row>
    <row r="57" spans="2:13" ht="12.95" customHeight="1" outlineLevel="1">
      <c r="B57" s="1141" t="s">
        <v>2361</v>
      </c>
      <c r="C57" s="113">
        <v>2</v>
      </c>
      <c r="D57" s="997">
        <v>4</v>
      </c>
      <c r="E57" s="998">
        <v>4</v>
      </c>
      <c r="F57" s="1397">
        <v>6</v>
      </c>
      <c r="G57" s="998">
        <v>4</v>
      </c>
      <c r="H57" s="998">
        <v>4</v>
      </c>
      <c r="I57" s="998">
        <v>4</v>
      </c>
      <c r="J57" s="998">
        <v>4</v>
      </c>
      <c r="K57" s="998">
        <v>4</v>
      </c>
      <c r="L57" s="1398">
        <v>4</v>
      </c>
      <c r="M57" s="1399">
        <f t="shared" si="0"/>
        <v>4.2222222222222223</v>
      </c>
    </row>
    <row r="58" spans="2:13" ht="12.95" customHeight="1" outlineLevel="1">
      <c r="B58" s="1134" t="s">
        <v>2383</v>
      </c>
      <c r="C58" s="592">
        <v>2</v>
      </c>
      <c r="D58" s="1130">
        <v>6</v>
      </c>
      <c r="E58" s="1050">
        <v>4</v>
      </c>
      <c r="F58" s="1050">
        <v>4</v>
      </c>
      <c r="G58" s="1050">
        <v>4</v>
      </c>
      <c r="H58" s="1050">
        <v>4</v>
      </c>
      <c r="I58" s="1050">
        <v>4</v>
      </c>
      <c r="J58" s="1050">
        <v>4</v>
      </c>
      <c r="K58" s="1050">
        <v>4</v>
      </c>
      <c r="L58" s="1375">
        <v>4</v>
      </c>
      <c r="M58" s="1383">
        <f t="shared" si="0"/>
        <v>4.2222222222222223</v>
      </c>
    </row>
    <row r="59" spans="2:13" ht="12.95" customHeight="1" outlineLevel="1">
      <c r="B59" s="1141" t="s">
        <v>1150</v>
      </c>
      <c r="C59" s="113">
        <v>1</v>
      </c>
      <c r="D59" s="1401">
        <v>10</v>
      </c>
      <c r="E59" s="998">
        <v>5</v>
      </c>
      <c r="F59" s="998">
        <v>5</v>
      </c>
      <c r="G59" s="1403">
        <v>0</v>
      </c>
      <c r="H59" s="1403">
        <v>0</v>
      </c>
      <c r="I59" s="998">
        <v>3</v>
      </c>
      <c r="J59" s="998">
        <v>3</v>
      </c>
      <c r="K59" s="998">
        <v>5</v>
      </c>
      <c r="L59" s="1398">
        <v>5</v>
      </c>
      <c r="M59" s="1399">
        <f t="shared" si="0"/>
        <v>4</v>
      </c>
    </row>
    <row r="60" spans="2:13" ht="12.95" customHeight="1" outlineLevel="1">
      <c r="B60" s="1134" t="s">
        <v>2838</v>
      </c>
      <c r="C60" s="592">
        <v>1</v>
      </c>
      <c r="D60" s="1130">
        <v>3</v>
      </c>
      <c r="E60" s="1374">
        <v>5</v>
      </c>
      <c r="F60" s="1374">
        <v>5</v>
      </c>
      <c r="G60" s="1374">
        <v>5</v>
      </c>
      <c r="H60" s="1050">
        <v>3</v>
      </c>
      <c r="I60" s="1374">
        <v>5</v>
      </c>
      <c r="J60" s="1374">
        <v>5</v>
      </c>
      <c r="K60" s="1050">
        <v>3</v>
      </c>
      <c r="L60" s="1375">
        <v>3</v>
      </c>
      <c r="M60" s="1383">
        <f t="shared" si="0"/>
        <v>4.1111111111111107</v>
      </c>
    </row>
    <row r="61" spans="2:13" ht="12.95" customHeight="1" outlineLevel="1">
      <c r="B61" s="1141" t="s">
        <v>2184</v>
      </c>
      <c r="C61" s="113">
        <v>4</v>
      </c>
      <c r="D61" s="997">
        <v>5</v>
      </c>
      <c r="E61" s="997">
        <v>5</v>
      </c>
      <c r="F61" s="998">
        <v>5</v>
      </c>
      <c r="G61" s="997">
        <v>5</v>
      </c>
      <c r="H61" s="997">
        <v>5</v>
      </c>
      <c r="I61" s="997">
        <v>5</v>
      </c>
      <c r="J61" s="998" t="s">
        <v>137</v>
      </c>
      <c r="K61" s="998" t="s">
        <v>137</v>
      </c>
      <c r="L61" s="997">
        <v>5</v>
      </c>
      <c r="M61" s="1399">
        <v>3.89</v>
      </c>
    </row>
    <row r="62" spans="2:13" ht="12.95" customHeight="1" outlineLevel="1">
      <c r="B62" s="1134" t="s">
        <v>2382</v>
      </c>
      <c r="C62" s="592">
        <v>4</v>
      </c>
      <c r="D62" s="1130">
        <v>5</v>
      </c>
      <c r="E62" s="1130">
        <v>5</v>
      </c>
      <c r="F62" s="1050">
        <v>5</v>
      </c>
      <c r="G62" s="1130">
        <v>5</v>
      </c>
      <c r="H62" s="1130">
        <v>5</v>
      </c>
      <c r="I62" s="1130">
        <v>5</v>
      </c>
      <c r="J62" s="1050" t="s">
        <v>137</v>
      </c>
      <c r="K62" s="1050" t="s">
        <v>137</v>
      </c>
      <c r="L62" s="1130">
        <v>5</v>
      </c>
      <c r="M62" s="1383">
        <v>3.89</v>
      </c>
    </row>
    <row r="63" spans="2:13" ht="12.95" customHeight="1" outlineLevel="1">
      <c r="B63" s="1141" t="s">
        <v>2381</v>
      </c>
      <c r="C63" s="113">
        <v>4</v>
      </c>
      <c r="D63" s="997">
        <v>5</v>
      </c>
      <c r="E63" s="997">
        <v>5</v>
      </c>
      <c r="F63" s="998">
        <v>5</v>
      </c>
      <c r="G63" s="997">
        <v>5</v>
      </c>
      <c r="H63" s="997">
        <v>5</v>
      </c>
      <c r="I63" s="997">
        <v>5</v>
      </c>
      <c r="J63" s="998" t="s">
        <v>137</v>
      </c>
      <c r="K63" s="998" t="s">
        <v>137</v>
      </c>
      <c r="L63" s="997">
        <v>5</v>
      </c>
      <c r="M63" s="1399">
        <v>3.89</v>
      </c>
    </row>
    <row r="64" spans="2:13" ht="12.95" customHeight="1" outlineLevel="1">
      <c r="B64" s="1134" t="s">
        <v>2376</v>
      </c>
      <c r="C64" s="592">
        <v>4</v>
      </c>
      <c r="D64" s="1130">
        <v>5</v>
      </c>
      <c r="E64" s="1130">
        <v>5</v>
      </c>
      <c r="F64" s="1050">
        <v>5</v>
      </c>
      <c r="G64" s="1130">
        <v>5</v>
      </c>
      <c r="H64" s="1130">
        <v>5</v>
      </c>
      <c r="I64" s="1130">
        <v>5</v>
      </c>
      <c r="J64" s="1050" t="s">
        <v>137</v>
      </c>
      <c r="K64" s="1050" t="s">
        <v>137</v>
      </c>
      <c r="L64" s="1130">
        <v>5</v>
      </c>
      <c r="M64" s="1383">
        <v>3.89</v>
      </c>
    </row>
    <row r="65" spans="2:13" ht="12.95" customHeight="1" outlineLevel="1">
      <c r="B65" s="1141" t="s">
        <v>1152</v>
      </c>
      <c r="C65" s="113">
        <v>2</v>
      </c>
      <c r="D65" s="1395">
        <v>2</v>
      </c>
      <c r="E65" s="1396">
        <v>2</v>
      </c>
      <c r="F65" s="1396">
        <v>2</v>
      </c>
      <c r="G65" s="1397">
        <v>8</v>
      </c>
      <c r="H65" s="998">
        <v>4</v>
      </c>
      <c r="I65" s="998">
        <v>4</v>
      </c>
      <c r="J65" s="998">
        <v>4</v>
      </c>
      <c r="K65" s="998">
        <v>4</v>
      </c>
      <c r="L65" s="1398">
        <v>4</v>
      </c>
      <c r="M65" s="1399">
        <f t="shared" si="0"/>
        <v>3.7777777777777777</v>
      </c>
    </row>
    <row r="66" spans="2:13" ht="12.95" customHeight="1" outlineLevel="1">
      <c r="B66" s="1134" t="s">
        <v>2377</v>
      </c>
      <c r="C66" s="592">
        <v>2</v>
      </c>
      <c r="D66" s="1130">
        <v>4</v>
      </c>
      <c r="E66" s="1374">
        <v>6</v>
      </c>
      <c r="F66" s="1050">
        <v>4</v>
      </c>
      <c r="G66" s="1050">
        <v>4</v>
      </c>
      <c r="H66" s="1386">
        <v>2</v>
      </c>
      <c r="I66" s="1386">
        <v>2</v>
      </c>
      <c r="J66" s="1050">
        <v>4</v>
      </c>
      <c r="K66" s="1050">
        <v>4</v>
      </c>
      <c r="L66" s="1388">
        <v>2</v>
      </c>
      <c r="M66" s="1383">
        <f t="shared" si="0"/>
        <v>3.5555555555555554</v>
      </c>
    </row>
    <row r="67" spans="2:13" ht="12.95" customHeight="1" outlineLevel="1">
      <c r="B67" s="1920" t="s">
        <v>2237</v>
      </c>
      <c r="C67" s="113">
        <v>3</v>
      </c>
      <c r="D67" s="1401">
        <v>4</v>
      </c>
      <c r="E67" s="1397">
        <v>4</v>
      </c>
      <c r="F67" s="1397">
        <v>4</v>
      </c>
      <c r="G67" s="1925">
        <v>2</v>
      </c>
      <c r="H67" s="1397">
        <v>4</v>
      </c>
      <c r="I67" s="1397">
        <v>4</v>
      </c>
      <c r="J67" s="1397">
        <v>4</v>
      </c>
      <c r="K67" s="1403">
        <v>0</v>
      </c>
      <c r="L67" s="1402">
        <v>4</v>
      </c>
      <c r="M67" s="2067">
        <f t="shared" si="0"/>
        <v>3.3333333333333335</v>
      </c>
    </row>
    <row r="68" spans="2:13" ht="12.95" customHeight="1" outlineLevel="1">
      <c r="B68" s="1921" t="s">
        <v>2186</v>
      </c>
      <c r="C68" s="592">
        <v>1</v>
      </c>
      <c r="D68" s="1922">
        <v>3</v>
      </c>
      <c r="E68" s="1923">
        <v>3</v>
      </c>
      <c r="F68" s="1923">
        <v>3</v>
      </c>
      <c r="G68" s="1923">
        <v>3</v>
      </c>
      <c r="H68" s="1923">
        <v>3</v>
      </c>
      <c r="I68" s="1923">
        <v>3</v>
      </c>
      <c r="J68" s="1923">
        <v>3</v>
      </c>
      <c r="K68" s="1923">
        <v>3</v>
      </c>
      <c r="L68" s="1375">
        <v>3</v>
      </c>
      <c r="M68" s="1383">
        <f t="shared" si="0"/>
        <v>3</v>
      </c>
    </row>
    <row r="69" spans="2:13" ht="12.95" customHeight="1" outlineLevel="1">
      <c r="B69" s="1920" t="s">
        <v>2187</v>
      </c>
      <c r="C69" s="113">
        <v>1</v>
      </c>
      <c r="D69" s="1924">
        <v>3</v>
      </c>
      <c r="E69" s="1925">
        <v>3</v>
      </c>
      <c r="F69" s="1925">
        <v>3</v>
      </c>
      <c r="G69" s="1925">
        <v>3</v>
      </c>
      <c r="H69" s="1925">
        <v>3</v>
      </c>
      <c r="I69" s="1925">
        <v>3</v>
      </c>
      <c r="J69" s="1925">
        <v>3</v>
      </c>
      <c r="K69" s="1925">
        <v>3</v>
      </c>
      <c r="L69" s="1398">
        <v>3</v>
      </c>
      <c r="M69" s="1399">
        <f t="shared" si="0"/>
        <v>3</v>
      </c>
    </row>
    <row r="70" spans="2:13" ht="12.95" customHeight="1" outlineLevel="1">
      <c r="B70" s="1921" t="s">
        <v>3328</v>
      </c>
      <c r="C70" s="592">
        <v>1</v>
      </c>
      <c r="D70" s="1922">
        <v>3</v>
      </c>
      <c r="E70" s="1923">
        <v>3</v>
      </c>
      <c r="F70" s="1923">
        <v>3</v>
      </c>
      <c r="G70" s="1923">
        <v>3</v>
      </c>
      <c r="H70" s="1923">
        <v>3</v>
      </c>
      <c r="I70" s="1923">
        <v>3</v>
      </c>
      <c r="J70" s="1923">
        <v>3</v>
      </c>
      <c r="K70" s="1923">
        <v>3</v>
      </c>
      <c r="L70" s="1375">
        <v>3</v>
      </c>
      <c r="M70" s="1383">
        <f t="shared" si="0"/>
        <v>3</v>
      </c>
    </row>
    <row r="71" spans="2:13" ht="12.95" customHeight="1" outlineLevel="1">
      <c r="B71" s="1920" t="s">
        <v>1305</v>
      </c>
      <c r="C71" s="113">
        <v>1</v>
      </c>
      <c r="D71" s="1924">
        <v>3</v>
      </c>
      <c r="E71" s="1925">
        <v>3</v>
      </c>
      <c r="F71" s="1925">
        <v>3</v>
      </c>
      <c r="G71" s="1925">
        <v>3</v>
      </c>
      <c r="H71" s="1925">
        <v>3</v>
      </c>
      <c r="I71" s="1925">
        <v>3</v>
      </c>
      <c r="J71" s="1925">
        <v>3</v>
      </c>
      <c r="K71" s="1925">
        <v>3</v>
      </c>
      <c r="L71" s="1398">
        <v>3</v>
      </c>
      <c r="M71" s="1399">
        <f t="shared" si="0"/>
        <v>3</v>
      </c>
    </row>
    <row r="72" spans="2:13" ht="12.95" customHeight="1" outlineLevel="1">
      <c r="B72" s="1921" t="s">
        <v>2374</v>
      </c>
      <c r="C72" s="592">
        <v>4</v>
      </c>
      <c r="D72" s="1376">
        <v>10</v>
      </c>
      <c r="E72" s="1923">
        <v>5</v>
      </c>
      <c r="F72" s="1923">
        <v>5</v>
      </c>
      <c r="G72" s="1387">
        <v>0</v>
      </c>
      <c r="H72" s="1387">
        <v>0</v>
      </c>
      <c r="I72" s="1387">
        <v>0</v>
      </c>
      <c r="J72" s="1923" t="s">
        <v>137</v>
      </c>
      <c r="K72" s="1923" t="s">
        <v>137</v>
      </c>
      <c r="L72" s="1375">
        <v>5</v>
      </c>
      <c r="M72" s="1383">
        <v>2.78</v>
      </c>
    </row>
    <row r="73" spans="2:13" ht="12.95" customHeight="1" outlineLevel="1">
      <c r="B73" s="1920" t="s">
        <v>2056</v>
      </c>
      <c r="C73" s="113">
        <v>1</v>
      </c>
      <c r="D73" s="1405">
        <v>0</v>
      </c>
      <c r="E73" s="1403">
        <v>0</v>
      </c>
      <c r="F73" s="1925">
        <v>3</v>
      </c>
      <c r="G73" s="1925">
        <v>5</v>
      </c>
      <c r="H73" s="1397">
        <v>10</v>
      </c>
      <c r="I73" s="1925">
        <v>5</v>
      </c>
      <c r="J73" s="1403">
        <v>0</v>
      </c>
      <c r="K73" s="1403">
        <v>0</v>
      </c>
      <c r="L73" s="1404">
        <v>0</v>
      </c>
      <c r="M73" s="1399">
        <f t="shared" si="0"/>
        <v>2.5555555555555554</v>
      </c>
    </row>
    <row r="74" spans="2:13" ht="12.95" customHeight="1" outlineLevel="1">
      <c r="B74" s="1921" t="s">
        <v>2185</v>
      </c>
      <c r="C74" s="592">
        <v>2</v>
      </c>
      <c r="D74" s="1922">
        <v>2</v>
      </c>
      <c r="E74" s="1923">
        <v>2</v>
      </c>
      <c r="F74" s="1923">
        <v>2</v>
      </c>
      <c r="G74" s="1374">
        <v>4</v>
      </c>
      <c r="H74" s="1923">
        <v>2</v>
      </c>
      <c r="I74" s="1923">
        <v>2</v>
      </c>
      <c r="J74" s="1923">
        <v>2</v>
      </c>
      <c r="K74" s="1923">
        <v>2</v>
      </c>
      <c r="L74" s="1375">
        <v>2</v>
      </c>
      <c r="M74" s="1383">
        <f t="shared" si="0"/>
        <v>2.2222222222222223</v>
      </c>
    </row>
    <row r="75" spans="2:13" ht="12.95" customHeight="1" outlineLevel="1">
      <c r="B75" s="1920" t="s">
        <v>1864</v>
      </c>
      <c r="C75" s="113">
        <v>2</v>
      </c>
      <c r="D75" s="1924">
        <v>2</v>
      </c>
      <c r="E75" s="1925">
        <v>2</v>
      </c>
      <c r="F75" s="1925">
        <v>2</v>
      </c>
      <c r="G75" s="1397">
        <v>4</v>
      </c>
      <c r="H75" s="1925">
        <v>2</v>
      </c>
      <c r="I75" s="1925">
        <v>2</v>
      </c>
      <c r="J75" s="1925">
        <v>2</v>
      </c>
      <c r="K75" s="1925">
        <v>2</v>
      </c>
      <c r="L75" s="1398">
        <v>2</v>
      </c>
      <c r="M75" s="1399">
        <f>AVERAGE(D75:L75)</f>
        <v>2.2222222222222223</v>
      </c>
    </row>
    <row r="76" spans="2:13" ht="12.95" customHeight="1" outlineLevel="1">
      <c r="B76" s="1921" t="s">
        <v>2559</v>
      </c>
      <c r="C76" s="592">
        <v>4</v>
      </c>
      <c r="D76" s="1390">
        <v>0</v>
      </c>
      <c r="E76" s="1387">
        <v>0</v>
      </c>
      <c r="F76" s="1387">
        <v>0</v>
      </c>
      <c r="G76" s="1923">
        <v>5</v>
      </c>
      <c r="H76" s="1923">
        <v>5</v>
      </c>
      <c r="I76" s="1374">
        <v>10</v>
      </c>
      <c r="J76" s="1923" t="s">
        <v>137</v>
      </c>
      <c r="K76" s="1923" t="s">
        <v>137</v>
      </c>
      <c r="L76" s="1389">
        <v>0</v>
      </c>
      <c r="M76" s="1383">
        <v>2.2200000000000002</v>
      </c>
    </row>
    <row r="77" spans="2:13" ht="12.95" customHeight="1" outlineLevel="1">
      <c r="B77" s="1920" t="s">
        <v>2384</v>
      </c>
      <c r="C77" s="113">
        <v>2</v>
      </c>
      <c r="D77" s="1924">
        <v>2</v>
      </c>
      <c r="E77" s="1925">
        <v>2</v>
      </c>
      <c r="F77" s="1925">
        <v>2</v>
      </c>
      <c r="G77" s="1397">
        <v>4</v>
      </c>
      <c r="H77" s="1925">
        <v>2</v>
      </c>
      <c r="I77" s="1925">
        <v>2</v>
      </c>
      <c r="J77" s="1925">
        <v>2</v>
      </c>
      <c r="K77" s="1403">
        <v>0</v>
      </c>
      <c r="L77" s="1398">
        <v>2</v>
      </c>
      <c r="M77" s="1399">
        <f>AVERAGE(D77:L77)</f>
        <v>2</v>
      </c>
    </row>
    <row r="78" spans="2:13" ht="12.95" customHeight="1" outlineLevel="1" thickBot="1">
      <c r="B78" s="841" t="s">
        <v>2369</v>
      </c>
      <c r="C78" s="594">
        <v>3</v>
      </c>
      <c r="D78" s="1391">
        <v>0</v>
      </c>
      <c r="E78" s="1392">
        <v>0</v>
      </c>
      <c r="F78" s="1392">
        <v>0</v>
      </c>
      <c r="G78" s="1392">
        <v>0</v>
      </c>
      <c r="H78" s="1378">
        <v>16</v>
      </c>
      <c r="I78" s="1392">
        <v>0</v>
      </c>
      <c r="J78" s="1392">
        <v>0</v>
      </c>
      <c r="K78" s="1392">
        <v>0</v>
      </c>
      <c r="L78" s="1393">
        <v>0</v>
      </c>
      <c r="M78" s="1384">
        <f>AVERAGE(D78:L78)</f>
        <v>1.7777777777777777</v>
      </c>
    </row>
    <row r="79" spans="2:13" ht="5.0999999999999996" customHeight="1"/>
    <row r="80" spans="2:13" ht="26.1" customHeight="1">
      <c r="B80" s="3250" t="s">
        <v>5492</v>
      </c>
      <c r="C80" s="3250"/>
      <c r="D80" s="3250"/>
      <c r="E80" s="3250"/>
      <c r="F80" s="3250"/>
      <c r="G80" s="3250"/>
      <c r="H80" s="3250"/>
      <c r="I80" s="3250"/>
      <c r="J80" s="3250"/>
      <c r="K80" s="3250"/>
      <c r="L80" s="3250"/>
      <c r="M80" s="3250"/>
    </row>
    <row r="81" spans="2:13" ht="5.0999999999999996" customHeight="1" thickBot="1">
      <c r="B81" s="1001"/>
      <c r="C81" s="1001"/>
      <c r="D81" s="1001"/>
      <c r="E81" s="1001"/>
      <c r="F81" s="1001"/>
      <c r="G81" s="1001"/>
      <c r="H81" s="1001"/>
      <c r="I81" s="1001"/>
      <c r="J81" s="1001"/>
      <c r="K81" s="1001"/>
      <c r="L81" s="1001"/>
      <c r="M81" s="1001"/>
    </row>
    <row r="82" spans="2:13" ht="12.95" customHeight="1" thickBot="1">
      <c r="B82" s="1000" t="s">
        <v>2147</v>
      </c>
      <c r="C82" s="172" t="s">
        <v>1051</v>
      </c>
      <c r="D82" s="1002" t="s">
        <v>2156</v>
      </c>
      <c r="E82" s="1003" t="s">
        <v>893</v>
      </c>
      <c r="F82" s="1003" t="s">
        <v>2141</v>
      </c>
      <c r="G82" s="1003" t="s">
        <v>2557</v>
      </c>
      <c r="H82" s="1003" t="s">
        <v>625</v>
      </c>
      <c r="I82" s="1003" t="s">
        <v>626</v>
      </c>
      <c r="J82" s="1003" t="s">
        <v>627</v>
      </c>
      <c r="K82" s="1003" t="s">
        <v>628</v>
      </c>
      <c r="L82" s="1140" t="s">
        <v>2259</v>
      </c>
      <c r="M82" s="172" t="s">
        <v>3388</v>
      </c>
    </row>
    <row r="83" spans="2:13" ht="12.95" customHeight="1" outlineLevel="1">
      <c r="B83" s="612" t="s">
        <v>963</v>
      </c>
      <c r="C83" s="589">
        <v>1</v>
      </c>
      <c r="D83" s="1128">
        <v>89</v>
      </c>
      <c r="E83" s="1048">
        <v>89</v>
      </c>
      <c r="F83" s="1379">
        <v>94</v>
      </c>
      <c r="G83" s="1048">
        <v>89</v>
      </c>
      <c r="H83" s="1048">
        <v>89</v>
      </c>
      <c r="I83" s="1394">
        <v>88</v>
      </c>
      <c r="J83" s="1048">
        <v>89</v>
      </c>
      <c r="K83" s="1048">
        <v>89</v>
      </c>
      <c r="L83" s="1372">
        <v>89</v>
      </c>
      <c r="M83" s="1382">
        <f>AVERAGE(D83:L83)</f>
        <v>89.444444444444443</v>
      </c>
    </row>
    <row r="84" spans="2:13" ht="12.95" customHeight="1" outlineLevel="1">
      <c r="B84" s="1141" t="s">
        <v>2554</v>
      </c>
      <c r="C84" s="113">
        <v>2</v>
      </c>
      <c r="D84" s="1395">
        <v>25</v>
      </c>
      <c r="E84" s="1396">
        <v>25</v>
      </c>
      <c r="F84" s="1397">
        <v>98</v>
      </c>
      <c r="G84" s="998">
        <v>65</v>
      </c>
      <c r="H84" s="998">
        <v>35</v>
      </c>
      <c r="I84" s="998">
        <v>95</v>
      </c>
      <c r="J84" s="998">
        <v>95</v>
      </c>
      <c r="K84" s="998">
        <v>27</v>
      </c>
      <c r="L84" s="1398">
        <v>77</v>
      </c>
      <c r="M84" s="1399">
        <f t="shared" ref="M84:M147" si="1">AVERAGE(D84:L84)</f>
        <v>60.222222222222221</v>
      </c>
    </row>
    <row r="85" spans="2:13" ht="12.95" customHeight="1" outlineLevel="1">
      <c r="B85" s="1134" t="s">
        <v>2553</v>
      </c>
      <c r="C85" s="592">
        <v>2</v>
      </c>
      <c r="D85" s="1130">
        <v>95</v>
      </c>
      <c r="E85" s="1050">
        <v>95</v>
      </c>
      <c r="F85" s="1050">
        <v>46</v>
      </c>
      <c r="G85" s="1386">
        <v>0</v>
      </c>
      <c r="H85" s="1050">
        <v>35</v>
      </c>
      <c r="I85" s="1050">
        <v>35</v>
      </c>
      <c r="J85" s="1050">
        <v>25</v>
      </c>
      <c r="K85" s="1374">
        <v>96</v>
      </c>
      <c r="L85" s="1375">
        <v>77</v>
      </c>
      <c r="M85" s="1383">
        <f t="shared" si="1"/>
        <v>56</v>
      </c>
    </row>
    <row r="86" spans="2:13" ht="12.95" customHeight="1" outlineLevel="1">
      <c r="B86" s="1141" t="s">
        <v>1306</v>
      </c>
      <c r="C86" s="113">
        <v>3</v>
      </c>
      <c r="D86" s="997">
        <v>24</v>
      </c>
      <c r="E86" s="998">
        <v>24</v>
      </c>
      <c r="F86" s="998">
        <v>32</v>
      </c>
      <c r="G86" s="1397">
        <v>90</v>
      </c>
      <c r="H86" s="998">
        <v>35</v>
      </c>
      <c r="I86" s="998">
        <v>44</v>
      </c>
      <c r="J86" s="998">
        <v>35</v>
      </c>
      <c r="K86" s="1396">
        <v>9</v>
      </c>
      <c r="L86" s="1398">
        <v>35</v>
      </c>
      <c r="M86" s="1399">
        <f t="shared" si="1"/>
        <v>36.444444444444443</v>
      </c>
    </row>
    <row r="87" spans="2:13" ht="12.95" customHeight="1" outlineLevel="1">
      <c r="B87" s="1134" t="s">
        <v>867</v>
      </c>
      <c r="C87" s="592">
        <v>3</v>
      </c>
      <c r="D87" s="1130">
        <v>44</v>
      </c>
      <c r="E87" s="1050">
        <v>43</v>
      </c>
      <c r="F87" s="1374">
        <v>55</v>
      </c>
      <c r="G87" s="1386">
        <v>0</v>
      </c>
      <c r="H87" s="1050">
        <v>35</v>
      </c>
      <c r="I87" s="1050">
        <v>35</v>
      </c>
      <c r="J87" s="1050">
        <v>35</v>
      </c>
      <c r="K87" s="1050">
        <v>17</v>
      </c>
      <c r="L87" s="1375">
        <v>35</v>
      </c>
      <c r="M87" s="1383">
        <f t="shared" si="1"/>
        <v>33.222222222222221</v>
      </c>
    </row>
    <row r="88" spans="2:13" ht="12.95" customHeight="1" outlineLevel="1">
      <c r="B88" s="1141" t="s">
        <v>2387</v>
      </c>
      <c r="C88" s="113">
        <v>5</v>
      </c>
      <c r="D88" s="1395">
        <v>0</v>
      </c>
      <c r="E88" s="998">
        <v>20</v>
      </c>
      <c r="F88" s="1397">
        <v>28</v>
      </c>
      <c r="G88" s="998">
        <v>16</v>
      </c>
      <c r="H88" s="998">
        <v>16</v>
      </c>
      <c r="I88" s="998">
        <v>16</v>
      </c>
      <c r="J88" s="1396">
        <v>0</v>
      </c>
      <c r="K88" s="1396">
        <v>0</v>
      </c>
      <c r="L88" s="1398">
        <v>13</v>
      </c>
      <c r="M88" s="1399">
        <f t="shared" si="1"/>
        <v>12.111111111111111</v>
      </c>
    </row>
    <row r="89" spans="2:13" ht="12.95" customHeight="1" outlineLevel="1">
      <c r="B89" s="1134" t="s">
        <v>2555</v>
      </c>
      <c r="C89" s="592">
        <v>5</v>
      </c>
      <c r="D89" s="1385">
        <v>0</v>
      </c>
      <c r="E89" s="1050">
        <v>16</v>
      </c>
      <c r="F89" s="1374">
        <v>28</v>
      </c>
      <c r="G89" s="1050">
        <v>16</v>
      </c>
      <c r="H89" s="1050">
        <v>20</v>
      </c>
      <c r="I89" s="1050">
        <v>12</v>
      </c>
      <c r="J89" s="1386">
        <v>0</v>
      </c>
      <c r="K89" s="1386">
        <v>0</v>
      </c>
      <c r="L89" s="1375">
        <v>13</v>
      </c>
      <c r="M89" s="1383">
        <f t="shared" si="1"/>
        <v>11.666666666666666</v>
      </c>
    </row>
    <row r="90" spans="2:13" ht="12.95" customHeight="1" outlineLevel="1">
      <c r="B90" s="1141" t="s">
        <v>102</v>
      </c>
      <c r="C90" s="113">
        <v>1</v>
      </c>
      <c r="D90" s="997">
        <v>54</v>
      </c>
      <c r="E90" s="998">
        <v>54</v>
      </c>
      <c r="F90" s="1397">
        <v>63</v>
      </c>
      <c r="G90" s="998">
        <v>53</v>
      </c>
      <c r="H90" s="998">
        <v>54</v>
      </c>
      <c r="I90" s="1396">
        <v>52</v>
      </c>
      <c r="J90" s="998">
        <v>53</v>
      </c>
      <c r="K90" s="998">
        <v>53</v>
      </c>
      <c r="L90" s="1398">
        <v>53</v>
      </c>
      <c r="M90" s="1399">
        <f t="shared" si="1"/>
        <v>54.333333333333336</v>
      </c>
    </row>
    <row r="91" spans="2:13" ht="12.95" customHeight="1" outlineLevel="1">
      <c r="B91" s="1134" t="s">
        <v>3369</v>
      </c>
      <c r="C91" s="592">
        <v>5</v>
      </c>
      <c r="D91" s="1385">
        <v>0</v>
      </c>
      <c r="E91" s="1050">
        <v>16</v>
      </c>
      <c r="F91" s="1374">
        <v>32</v>
      </c>
      <c r="G91" s="1050">
        <v>16</v>
      </c>
      <c r="H91" s="1050">
        <v>16</v>
      </c>
      <c r="I91" s="1050">
        <v>12</v>
      </c>
      <c r="J91" s="1386">
        <v>0</v>
      </c>
      <c r="K91" s="1386">
        <v>0</v>
      </c>
      <c r="L91" s="1375">
        <v>13</v>
      </c>
      <c r="M91" s="1383">
        <f t="shared" si="1"/>
        <v>11.666666666666666</v>
      </c>
    </row>
    <row r="92" spans="2:13" ht="12.95" customHeight="1" outlineLevel="1">
      <c r="B92" s="1141" t="s">
        <v>874</v>
      </c>
      <c r="C92" s="113">
        <v>3</v>
      </c>
      <c r="D92" s="1395">
        <v>13</v>
      </c>
      <c r="E92" s="998">
        <v>24</v>
      </c>
      <c r="F92" s="998">
        <v>17</v>
      </c>
      <c r="G92" s="998">
        <v>25</v>
      </c>
      <c r="H92" s="1396">
        <v>13</v>
      </c>
      <c r="I92" s="1396">
        <v>13</v>
      </c>
      <c r="J92" s="1396">
        <v>13</v>
      </c>
      <c r="K92" s="1397">
        <v>90</v>
      </c>
      <c r="L92" s="1400">
        <v>13</v>
      </c>
      <c r="M92" s="1399">
        <f t="shared" si="1"/>
        <v>24.555555555555557</v>
      </c>
    </row>
    <row r="93" spans="2:13" ht="12.95" customHeight="1" outlineLevel="1">
      <c r="B93" s="1134" t="s">
        <v>2667</v>
      </c>
      <c r="C93" s="592">
        <v>5</v>
      </c>
      <c r="D93" s="1385">
        <v>0</v>
      </c>
      <c r="E93" s="1050">
        <v>16</v>
      </c>
      <c r="F93" s="1374">
        <v>28</v>
      </c>
      <c r="G93" s="1050">
        <v>16</v>
      </c>
      <c r="H93" s="1050">
        <v>16</v>
      </c>
      <c r="I93" s="1050">
        <v>12</v>
      </c>
      <c r="J93" s="1386">
        <v>0</v>
      </c>
      <c r="K93" s="1386">
        <v>0</v>
      </c>
      <c r="L93" s="1375">
        <v>12</v>
      </c>
      <c r="M93" s="1383">
        <f t="shared" si="1"/>
        <v>11.111111111111111</v>
      </c>
    </row>
    <row r="94" spans="2:13" ht="12.95" customHeight="1" outlineLevel="1">
      <c r="B94" s="1141" t="s">
        <v>3304</v>
      </c>
      <c r="C94" s="113">
        <v>3</v>
      </c>
      <c r="D94" s="997">
        <v>35</v>
      </c>
      <c r="E94" s="998">
        <v>24</v>
      </c>
      <c r="F94" s="998">
        <v>32</v>
      </c>
      <c r="G94" s="1396">
        <v>17</v>
      </c>
      <c r="H94" s="998">
        <v>25</v>
      </c>
      <c r="I94" s="998">
        <v>24</v>
      </c>
      <c r="J94" s="998">
        <v>35</v>
      </c>
      <c r="K94" s="1397">
        <v>40</v>
      </c>
      <c r="L94" s="1398">
        <v>35</v>
      </c>
      <c r="M94" s="1399">
        <f t="shared" si="1"/>
        <v>29.666666666666668</v>
      </c>
    </row>
    <row r="95" spans="2:13" ht="12.95" customHeight="1" outlineLevel="1">
      <c r="B95" s="1134" t="s">
        <v>2360</v>
      </c>
      <c r="C95" s="592">
        <v>3</v>
      </c>
      <c r="D95" s="1385">
        <v>24</v>
      </c>
      <c r="E95" s="1386">
        <v>24</v>
      </c>
      <c r="F95" s="1050">
        <v>32</v>
      </c>
      <c r="G95" s="1050">
        <v>32</v>
      </c>
      <c r="H95" s="1050">
        <v>25</v>
      </c>
      <c r="I95" s="1386">
        <v>24</v>
      </c>
      <c r="J95" s="1386">
        <v>24</v>
      </c>
      <c r="K95" s="1374">
        <v>40</v>
      </c>
      <c r="L95" s="1388">
        <v>24</v>
      </c>
      <c r="M95" s="1383">
        <f t="shared" si="1"/>
        <v>27.666666666666668</v>
      </c>
    </row>
    <row r="96" spans="2:13" ht="12.95" customHeight="1" outlineLevel="1">
      <c r="B96" s="1141" t="s">
        <v>2556</v>
      </c>
      <c r="C96" s="113">
        <v>4</v>
      </c>
      <c r="D96" s="997">
        <v>20</v>
      </c>
      <c r="E96" s="998">
        <v>20</v>
      </c>
      <c r="F96" s="1397">
        <v>29</v>
      </c>
      <c r="G96" s="998">
        <v>20</v>
      </c>
      <c r="H96" s="998">
        <v>20</v>
      </c>
      <c r="I96" s="998">
        <v>20</v>
      </c>
      <c r="J96" s="1396">
        <v>0</v>
      </c>
      <c r="K96" s="1396">
        <v>0</v>
      </c>
      <c r="L96" s="1398">
        <v>20</v>
      </c>
      <c r="M96" s="1399">
        <f t="shared" si="1"/>
        <v>16.555555555555557</v>
      </c>
    </row>
    <row r="97" spans="2:13" ht="12.95" customHeight="1" outlineLevel="1">
      <c r="B97" s="1134" t="s">
        <v>2452</v>
      </c>
      <c r="C97" s="592">
        <v>4</v>
      </c>
      <c r="D97" s="1130">
        <v>20</v>
      </c>
      <c r="E97" s="1050">
        <v>20</v>
      </c>
      <c r="F97" s="1374">
        <v>29</v>
      </c>
      <c r="G97" s="1050">
        <v>20</v>
      </c>
      <c r="H97" s="1050">
        <v>20</v>
      </c>
      <c r="I97" s="1050">
        <v>20</v>
      </c>
      <c r="J97" s="1386">
        <v>0</v>
      </c>
      <c r="K97" s="1386">
        <v>0</v>
      </c>
      <c r="L97" s="1375">
        <v>20</v>
      </c>
      <c r="M97" s="1383">
        <f t="shared" si="1"/>
        <v>16.555555555555557</v>
      </c>
    </row>
    <row r="98" spans="2:13" ht="12.95" customHeight="1" outlineLevel="1">
      <c r="B98" s="1141" t="s">
        <v>2388</v>
      </c>
      <c r="C98" s="113">
        <v>4</v>
      </c>
      <c r="D98" s="997">
        <v>20</v>
      </c>
      <c r="E98" s="998">
        <v>20</v>
      </c>
      <c r="F98" s="1397">
        <v>29</v>
      </c>
      <c r="G98" s="998">
        <v>20</v>
      </c>
      <c r="H98" s="998">
        <v>20</v>
      </c>
      <c r="I98" s="998">
        <v>20</v>
      </c>
      <c r="J98" s="1396">
        <v>0</v>
      </c>
      <c r="K98" s="1396">
        <v>0</v>
      </c>
      <c r="L98" s="1398">
        <v>20</v>
      </c>
      <c r="M98" s="1399">
        <f t="shared" si="1"/>
        <v>16.555555555555557</v>
      </c>
    </row>
    <row r="99" spans="2:13" ht="12.95" customHeight="1" outlineLevel="1">
      <c r="B99" s="1134" t="s">
        <v>2386</v>
      </c>
      <c r="C99" s="592">
        <v>4</v>
      </c>
      <c r="D99" s="1130">
        <v>20</v>
      </c>
      <c r="E99" s="1050">
        <v>20</v>
      </c>
      <c r="F99" s="1374">
        <v>29</v>
      </c>
      <c r="G99" s="1050">
        <v>20</v>
      </c>
      <c r="H99" s="1050">
        <v>20</v>
      </c>
      <c r="I99" s="1050">
        <v>20</v>
      </c>
      <c r="J99" s="1386">
        <v>0</v>
      </c>
      <c r="K99" s="1386">
        <v>0</v>
      </c>
      <c r="L99" s="1375">
        <v>20</v>
      </c>
      <c r="M99" s="1383">
        <f t="shared" si="1"/>
        <v>16.555555555555557</v>
      </c>
    </row>
    <row r="100" spans="2:13" ht="12.95" customHeight="1" outlineLevel="1">
      <c r="B100" s="1141" t="s">
        <v>2379</v>
      </c>
      <c r="C100" s="113">
        <v>1</v>
      </c>
      <c r="D100" s="997">
        <v>32</v>
      </c>
      <c r="E100" s="1397">
        <v>54</v>
      </c>
      <c r="F100" s="998">
        <v>39</v>
      </c>
      <c r="G100" s="1396">
        <v>31</v>
      </c>
      <c r="H100" s="998">
        <v>32</v>
      </c>
      <c r="I100" s="998">
        <v>52</v>
      </c>
      <c r="J100" s="1396">
        <v>31</v>
      </c>
      <c r="K100" s="998">
        <v>53</v>
      </c>
      <c r="L100" s="1398">
        <v>53</v>
      </c>
      <c r="M100" s="1399">
        <f t="shared" si="1"/>
        <v>41.888888888888886</v>
      </c>
    </row>
    <row r="101" spans="2:13" ht="12.95" customHeight="1" outlineLevel="1">
      <c r="B101" s="1921" t="s">
        <v>2380</v>
      </c>
      <c r="C101" s="592">
        <v>1</v>
      </c>
      <c r="D101" s="1922">
        <v>32</v>
      </c>
      <c r="E101" s="1923">
        <v>54</v>
      </c>
      <c r="F101" s="1374">
        <v>63</v>
      </c>
      <c r="G101" s="1923">
        <v>53</v>
      </c>
      <c r="H101" s="1923">
        <v>32</v>
      </c>
      <c r="I101" s="1386">
        <v>30</v>
      </c>
      <c r="J101" s="1923">
        <v>31</v>
      </c>
      <c r="K101" s="1923">
        <v>31</v>
      </c>
      <c r="L101" s="1375">
        <v>53</v>
      </c>
      <c r="M101" s="2068">
        <f t="shared" si="1"/>
        <v>42.111111111111114</v>
      </c>
    </row>
    <row r="102" spans="2:13" ht="12.95" customHeight="1" outlineLevel="1">
      <c r="B102" s="1141" t="s">
        <v>1214</v>
      </c>
      <c r="C102" s="113">
        <v>4</v>
      </c>
      <c r="D102" s="997">
        <v>20</v>
      </c>
      <c r="E102" s="998">
        <v>20</v>
      </c>
      <c r="F102" s="1397">
        <v>29</v>
      </c>
      <c r="G102" s="998">
        <v>20</v>
      </c>
      <c r="H102" s="998">
        <v>20</v>
      </c>
      <c r="I102" s="998">
        <v>20</v>
      </c>
      <c r="J102" s="1396">
        <v>0</v>
      </c>
      <c r="K102" s="1396">
        <v>0</v>
      </c>
      <c r="L102" s="1398">
        <v>10</v>
      </c>
      <c r="M102" s="1399">
        <f t="shared" si="1"/>
        <v>15.444444444444445</v>
      </c>
    </row>
    <row r="103" spans="2:13" ht="12.95" customHeight="1" outlineLevel="1">
      <c r="B103" s="1134" t="s">
        <v>2390</v>
      </c>
      <c r="C103" s="592">
        <v>3</v>
      </c>
      <c r="D103" s="1130">
        <v>24</v>
      </c>
      <c r="E103" s="1050">
        <v>24</v>
      </c>
      <c r="F103" s="1374">
        <v>32</v>
      </c>
      <c r="G103" s="1050">
        <v>25</v>
      </c>
      <c r="H103" s="1050">
        <v>25</v>
      </c>
      <c r="I103" s="1374">
        <v>32</v>
      </c>
      <c r="J103" s="1050">
        <v>24</v>
      </c>
      <c r="K103" s="1386">
        <v>9</v>
      </c>
      <c r="L103" s="1375">
        <v>13</v>
      </c>
      <c r="M103" s="1383">
        <f t="shared" si="1"/>
        <v>23.111111111111111</v>
      </c>
    </row>
    <row r="104" spans="2:13" ht="12.95" customHeight="1" outlineLevel="1">
      <c r="B104" s="1141" t="s">
        <v>1147</v>
      </c>
      <c r="C104" s="113">
        <v>1</v>
      </c>
      <c r="D104" s="997">
        <v>32</v>
      </c>
      <c r="E104" s="998">
        <v>32</v>
      </c>
      <c r="F104" s="1397">
        <v>63</v>
      </c>
      <c r="G104" s="998">
        <v>31</v>
      </c>
      <c r="H104" s="998">
        <v>54</v>
      </c>
      <c r="I104" s="1396">
        <v>30</v>
      </c>
      <c r="J104" s="998">
        <v>53</v>
      </c>
      <c r="K104" s="998">
        <v>31</v>
      </c>
      <c r="L104" s="1398">
        <v>31</v>
      </c>
      <c r="M104" s="1399">
        <f t="shared" si="1"/>
        <v>39.666666666666664</v>
      </c>
    </row>
    <row r="105" spans="2:13" ht="12.95" customHeight="1" outlineLevel="1">
      <c r="B105" s="1134" t="s">
        <v>2373</v>
      </c>
      <c r="C105" s="592">
        <v>2</v>
      </c>
      <c r="D105" s="1130">
        <v>35</v>
      </c>
      <c r="E105" s="1050">
        <v>25</v>
      </c>
      <c r="F105" s="1374">
        <v>46</v>
      </c>
      <c r="G105" s="1050">
        <v>47</v>
      </c>
      <c r="H105" s="1386">
        <v>24</v>
      </c>
      <c r="I105" s="1050">
        <v>35</v>
      </c>
      <c r="J105" s="1050">
        <v>35</v>
      </c>
      <c r="K105" s="1050">
        <v>35</v>
      </c>
      <c r="L105" s="1375">
        <v>37</v>
      </c>
      <c r="M105" s="1383">
        <f t="shared" si="1"/>
        <v>35.444444444444443</v>
      </c>
    </row>
    <row r="106" spans="2:13" ht="12.95" customHeight="1" outlineLevel="1">
      <c r="B106" s="1141" t="s">
        <v>680</v>
      </c>
      <c r="C106" s="113">
        <v>1</v>
      </c>
      <c r="D106" s="1401">
        <v>54</v>
      </c>
      <c r="E106" s="1397">
        <v>54</v>
      </c>
      <c r="F106" s="998">
        <v>39</v>
      </c>
      <c r="G106" s="998">
        <v>31</v>
      </c>
      <c r="H106" s="1396">
        <v>0</v>
      </c>
      <c r="I106" s="998">
        <v>30</v>
      </c>
      <c r="J106" s="998">
        <v>31</v>
      </c>
      <c r="K106" s="998">
        <v>53</v>
      </c>
      <c r="L106" s="1398">
        <v>31</v>
      </c>
      <c r="M106" s="1399">
        <f t="shared" si="1"/>
        <v>35.888888888888886</v>
      </c>
    </row>
    <row r="107" spans="2:13" ht="12.95" customHeight="1" outlineLevel="1">
      <c r="B107" s="1134" t="s">
        <v>1668</v>
      </c>
      <c r="C107" s="592">
        <v>5</v>
      </c>
      <c r="D107" s="1385">
        <v>0</v>
      </c>
      <c r="E107" s="1050">
        <v>16</v>
      </c>
      <c r="F107" s="1374">
        <v>28</v>
      </c>
      <c r="G107" s="1386">
        <v>0</v>
      </c>
      <c r="H107" s="1386">
        <v>0</v>
      </c>
      <c r="I107" s="1050">
        <v>12</v>
      </c>
      <c r="J107" s="1386">
        <v>0</v>
      </c>
      <c r="K107" s="1386">
        <v>0</v>
      </c>
      <c r="L107" s="1375">
        <v>13</v>
      </c>
      <c r="M107" s="1383">
        <f t="shared" si="1"/>
        <v>7.666666666666667</v>
      </c>
    </row>
    <row r="108" spans="2:13" ht="12.95" customHeight="1" outlineLevel="1">
      <c r="B108" s="1141" t="s">
        <v>2664</v>
      </c>
      <c r="C108" s="113">
        <v>5</v>
      </c>
      <c r="D108" s="1395">
        <v>0</v>
      </c>
      <c r="E108" s="998">
        <v>16</v>
      </c>
      <c r="F108" s="1397">
        <v>28</v>
      </c>
      <c r="G108" s="1396">
        <v>0</v>
      </c>
      <c r="H108" s="1396">
        <v>0</v>
      </c>
      <c r="I108" s="998">
        <v>12</v>
      </c>
      <c r="J108" s="1396">
        <v>0</v>
      </c>
      <c r="K108" s="1396">
        <v>0</v>
      </c>
      <c r="L108" s="1398">
        <v>12</v>
      </c>
      <c r="M108" s="1399">
        <f t="shared" si="1"/>
        <v>7.5555555555555554</v>
      </c>
    </row>
    <row r="109" spans="2:13" ht="12.95" customHeight="1" outlineLevel="1">
      <c r="B109" s="1134" t="s">
        <v>2560</v>
      </c>
      <c r="C109" s="592">
        <v>1</v>
      </c>
      <c r="D109" s="1376">
        <v>54</v>
      </c>
      <c r="E109" s="1386">
        <v>20</v>
      </c>
      <c r="F109" s="1050">
        <v>39</v>
      </c>
      <c r="G109" s="1386">
        <v>20</v>
      </c>
      <c r="H109" s="1374">
        <v>54</v>
      </c>
      <c r="I109" s="1050">
        <v>30</v>
      </c>
      <c r="J109" s="1050">
        <v>31</v>
      </c>
      <c r="K109" s="1050">
        <v>31</v>
      </c>
      <c r="L109" s="1375">
        <v>31</v>
      </c>
      <c r="M109" s="1383">
        <f t="shared" si="1"/>
        <v>34.444444444444443</v>
      </c>
    </row>
    <row r="110" spans="2:13" ht="12.95" customHeight="1" outlineLevel="1">
      <c r="B110" s="1141" t="s">
        <v>2359</v>
      </c>
      <c r="C110" s="113">
        <v>2</v>
      </c>
      <c r="D110" s="997">
        <v>25</v>
      </c>
      <c r="E110" s="998">
        <v>35</v>
      </c>
      <c r="F110" s="1396">
        <v>18</v>
      </c>
      <c r="G110" s="1397">
        <v>47</v>
      </c>
      <c r="H110" s="998">
        <v>24</v>
      </c>
      <c r="I110" s="998">
        <v>25</v>
      </c>
      <c r="J110" s="998">
        <v>25</v>
      </c>
      <c r="K110" s="998">
        <v>35</v>
      </c>
      <c r="L110" s="1398">
        <v>37</v>
      </c>
      <c r="M110" s="1399">
        <f t="shared" si="1"/>
        <v>30.111111111111111</v>
      </c>
    </row>
    <row r="111" spans="2:13" ht="12.95" customHeight="1" outlineLevel="1">
      <c r="B111" s="1134" t="s">
        <v>1308</v>
      </c>
      <c r="C111" s="592">
        <v>2</v>
      </c>
      <c r="D111" s="1130">
        <v>0</v>
      </c>
      <c r="E111" s="1050">
        <v>0</v>
      </c>
      <c r="F111" s="1050">
        <v>0</v>
      </c>
      <c r="G111" s="1050">
        <v>0</v>
      </c>
      <c r="H111" s="1374">
        <v>95</v>
      </c>
      <c r="I111" s="1050">
        <v>0</v>
      </c>
      <c r="J111" s="1050">
        <v>0</v>
      </c>
      <c r="K111" s="1050">
        <v>0</v>
      </c>
      <c r="L111" s="1375">
        <v>0</v>
      </c>
      <c r="M111" s="1383">
        <f t="shared" si="1"/>
        <v>10.555555555555555</v>
      </c>
    </row>
    <row r="112" spans="2:13" ht="12.95" customHeight="1" outlineLevel="1">
      <c r="B112" s="1141" t="s">
        <v>2391</v>
      </c>
      <c r="C112" s="113">
        <v>3</v>
      </c>
      <c r="D112" s="997">
        <v>13</v>
      </c>
      <c r="E112" s="998">
        <v>13</v>
      </c>
      <c r="F112" s="1397">
        <v>32</v>
      </c>
      <c r="G112" s="1396">
        <v>9</v>
      </c>
      <c r="H112" s="998">
        <v>25</v>
      </c>
      <c r="I112" s="998">
        <v>24</v>
      </c>
      <c r="J112" s="998">
        <v>13</v>
      </c>
      <c r="K112" s="998">
        <v>17</v>
      </c>
      <c r="L112" s="1398">
        <v>24</v>
      </c>
      <c r="M112" s="1399">
        <f t="shared" si="1"/>
        <v>18.888888888888889</v>
      </c>
    </row>
    <row r="113" spans="2:13" ht="12.95" customHeight="1" outlineLevel="1">
      <c r="B113" s="1134" t="s">
        <v>2274</v>
      </c>
      <c r="C113" s="592">
        <v>3</v>
      </c>
      <c r="D113" s="1130">
        <v>13</v>
      </c>
      <c r="E113" s="1050">
        <v>13</v>
      </c>
      <c r="F113" s="1050">
        <v>32</v>
      </c>
      <c r="G113" s="1050">
        <v>25</v>
      </c>
      <c r="H113" s="1386">
        <v>0</v>
      </c>
      <c r="I113" s="1050">
        <v>24</v>
      </c>
      <c r="J113" s="1050">
        <v>13</v>
      </c>
      <c r="K113" s="1050">
        <v>17</v>
      </c>
      <c r="L113" s="1377">
        <v>35</v>
      </c>
      <c r="M113" s="1383">
        <f t="shared" si="1"/>
        <v>19.111111111111111</v>
      </c>
    </row>
    <row r="114" spans="2:13" ht="12.95" customHeight="1" outlineLevel="1">
      <c r="B114" s="1141" t="s">
        <v>866</v>
      </c>
      <c r="C114" s="113">
        <v>2</v>
      </c>
      <c r="D114" s="997">
        <v>25</v>
      </c>
      <c r="E114" s="998">
        <v>25</v>
      </c>
      <c r="F114" s="998">
        <v>25</v>
      </c>
      <c r="G114" s="1397">
        <v>47</v>
      </c>
      <c r="H114" s="1396">
        <v>24</v>
      </c>
      <c r="I114" s="998">
        <v>25</v>
      </c>
      <c r="J114" s="998">
        <v>25</v>
      </c>
      <c r="K114" s="998">
        <v>25</v>
      </c>
      <c r="L114" s="1398">
        <v>37</v>
      </c>
      <c r="M114" s="1399">
        <f t="shared" si="1"/>
        <v>28.666666666666668</v>
      </c>
    </row>
    <row r="115" spans="2:13" ht="12.95" customHeight="1" outlineLevel="1">
      <c r="B115" s="1134" t="s">
        <v>2275</v>
      </c>
      <c r="C115" s="592">
        <v>3</v>
      </c>
      <c r="D115" s="1376">
        <v>24</v>
      </c>
      <c r="E115" s="1374">
        <v>24</v>
      </c>
      <c r="F115" s="1050">
        <v>17</v>
      </c>
      <c r="G115" s="1050">
        <v>17</v>
      </c>
      <c r="H115" s="1386">
        <v>13</v>
      </c>
      <c r="I115" s="1386">
        <v>13</v>
      </c>
      <c r="J115" s="1386">
        <v>13</v>
      </c>
      <c r="K115" s="1050">
        <v>17</v>
      </c>
      <c r="L115" s="1377">
        <v>24</v>
      </c>
      <c r="M115" s="1383">
        <f t="shared" si="1"/>
        <v>18</v>
      </c>
    </row>
    <row r="116" spans="2:13" ht="12.95" customHeight="1" outlineLevel="1">
      <c r="B116" s="1141" t="s">
        <v>2370</v>
      </c>
      <c r="C116" s="113">
        <v>5</v>
      </c>
      <c r="D116" s="1395">
        <v>0</v>
      </c>
      <c r="E116" s="1396">
        <v>0</v>
      </c>
      <c r="F116" s="1396">
        <v>0</v>
      </c>
      <c r="G116" s="1397">
        <v>20</v>
      </c>
      <c r="H116" s="998">
        <v>16</v>
      </c>
      <c r="I116" s="998">
        <v>12</v>
      </c>
      <c r="J116" s="1396">
        <v>0</v>
      </c>
      <c r="K116" s="1396">
        <v>0</v>
      </c>
      <c r="L116" s="1400">
        <v>0</v>
      </c>
      <c r="M116" s="1399">
        <f t="shared" si="1"/>
        <v>5.333333333333333</v>
      </c>
    </row>
    <row r="117" spans="2:13" ht="12.95" customHeight="1" outlineLevel="1">
      <c r="B117" s="1134" t="s">
        <v>1201</v>
      </c>
      <c r="C117" s="592">
        <v>3</v>
      </c>
      <c r="D117" s="1130">
        <v>13</v>
      </c>
      <c r="E117" s="1050">
        <v>24</v>
      </c>
      <c r="F117" s="1374">
        <v>32</v>
      </c>
      <c r="G117" s="1050">
        <v>9</v>
      </c>
      <c r="H117" s="1050">
        <v>13</v>
      </c>
      <c r="I117" s="1050">
        <v>13</v>
      </c>
      <c r="J117" s="1050">
        <v>24</v>
      </c>
      <c r="K117" s="1050">
        <v>17</v>
      </c>
      <c r="L117" s="1375">
        <v>13</v>
      </c>
      <c r="M117" s="1383">
        <f t="shared" si="1"/>
        <v>17.555555555555557</v>
      </c>
    </row>
    <row r="118" spans="2:13" ht="12.95" customHeight="1" outlineLevel="1">
      <c r="B118" s="1141" t="s">
        <v>2362</v>
      </c>
      <c r="C118" s="113">
        <v>4</v>
      </c>
      <c r="D118" s="997">
        <v>10</v>
      </c>
      <c r="E118" s="998">
        <v>10</v>
      </c>
      <c r="F118" s="1397">
        <v>29</v>
      </c>
      <c r="G118" s="998">
        <v>10</v>
      </c>
      <c r="H118" s="998">
        <v>10</v>
      </c>
      <c r="I118" s="998">
        <v>10</v>
      </c>
      <c r="J118" s="1396">
        <v>0</v>
      </c>
      <c r="K118" s="1396">
        <v>0</v>
      </c>
      <c r="L118" s="1398">
        <v>20</v>
      </c>
      <c r="M118" s="1399">
        <f t="shared" si="1"/>
        <v>11</v>
      </c>
    </row>
    <row r="119" spans="2:13" ht="12.95" customHeight="1" outlineLevel="1">
      <c r="B119" s="1134" t="s">
        <v>2557</v>
      </c>
      <c r="C119" s="592">
        <v>4</v>
      </c>
      <c r="D119" s="1130">
        <v>10</v>
      </c>
      <c r="E119" s="1050">
        <v>10</v>
      </c>
      <c r="F119" s="1050">
        <v>16</v>
      </c>
      <c r="G119" s="1374">
        <v>20</v>
      </c>
      <c r="H119" s="1050">
        <v>10</v>
      </c>
      <c r="I119" s="1050">
        <v>10</v>
      </c>
      <c r="J119" s="1386">
        <v>0</v>
      </c>
      <c r="K119" s="1386">
        <v>0</v>
      </c>
      <c r="L119" s="1377">
        <v>20</v>
      </c>
      <c r="M119" s="1383">
        <f t="shared" si="1"/>
        <v>10.666666666666666</v>
      </c>
    </row>
    <row r="120" spans="2:13" ht="12.95" customHeight="1" outlineLevel="1">
      <c r="B120" s="1141" t="s">
        <v>3360</v>
      </c>
      <c r="C120" s="113">
        <v>3</v>
      </c>
      <c r="D120" s="1401">
        <v>35</v>
      </c>
      <c r="E120" s="998">
        <v>24</v>
      </c>
      <c r="F120" s="998">
        <v>32</v>
      </c>
      <c r="G120" s="998">
        <v>9</v>
      </c>
      <c r="H120" s="1396">
        <v>0</v>
      </c>
      <c r="I120" s="998">
        <v>13</v>
      </c>
      <c r="J120" s="998">
        <v>13</v>
      </c>
      <c r="K120" s="998">
        <v>9</v>
      </c>
      <c r="L120" s="1398">
        <v>13</v>
      </c>
      <c r="M120" s="1399">
        <f t="shared" si="1"/>
        <v>16.444444444444443</v>
      </c>
    </row>
    <row r="121" spans="2:13" ht="12.95" customHeight="1" outlineLevel="1">
      <c r="B121" s="1134" t="s">
        <v>2372</v>
      </c>
      <c r="C121" s="592">
        <v>2</v>
      </c>
      <c r="D121" s="1376">
        <v>35</v>
      </c>
      <c r="E121" s="1374">
        <v>35</v>
      </c>
      <c r="F121" s="1050">
        <v>33</v>
      </c>
      <c r="G121" s="1050">
        <v>34</v>
      </c>
      <c r="H121" s="1050">
        <v>13</v>
      </c>
      <c r="I121" s="1374">
        <v>35</v>
      </c>
      <c r="J121" s="1050">
        <v>25</v>
      </c>
      <c r="K121" s="1050">
        <v>25</v>
      </c>
      <c r="L121" s="1388">
        <v>11</v>
      </c>
      <c r="M121" s="1383">
        <f t="shared" si="1"/>
        <v>27.333333333333332</v>
      </c>
    </row>
    <row r="122" spans="2:13" ht="12.95" customHeight="1" outlineLevel="1">
      <c r="B122" s="1141" t="s">
        <v>2389</v>
      </c>
      <c r="C122" s="113">
        <v>2</v>
      </c>
      <c r="D122" s="997">
        <v>25</v>
      </c>
      <c r="E122" s="998">
        <v>25</v>
      </c>
      <c r="F122" s="1397">
        <v>46</v>
      </c>
      <c r="G122" s="1396">
        <v>18</v>
      </c>
      <c r="H122" s="998">
        <v>24</v>
      </c>
      <c r="I122" s="998">
        <v>25</v>
      </c>
      <c r="J122" s="998">
        <v>35</v>
      </c>
      <c r="K122" s="998">
        <v>35</v>
      </c>
      <c r="L122" s="1398">
        <v>20</v>
      </c>
      <c r="M122" s="1399">
        <f t="shared" si="1"/>
        <v>28.111111111111111</v>
      </c>
    </row>
    <row r="123" spans="2:13" ht="12.95" customHeight="1" outlineLevel="1">
      <c r="B123" s="1134" t="s">
        <v>3372</v>
      </c>
      <c r="C123" s="592">
        <v>5</v>
      </c>
      <c r="D123" s="1385">
        <v>0</v>
      </c>
      <c r="E123" s="1386">
        <v>0</v>
      </c>
      <c r="F123" s="1374">
        <v>28</v>
      </c>
      <c r="G123" s="1386">
        <v>0</v>
      </c>
      <c r="H123" s="1050">
        <v>16</v>
      </c>
      <c r="I123" s="1386">
        <v>0</v>
      </c>
      <c r="J123" s="1386">
        <v>0</v>
      </c>
      <c r="K123" s="1386">
        <v>0</v>
      </c>
      <c r="L123" s="1375">
        <v>12</v>
      </c>
      <c r="M123" s="1383">
        <f t="shared" si="1"/>
        <v>6.2222222222222223</v>
      </c>
    </row>
    <row r="124" spans="2:13" ht="12.95" customHeight="1" outlineLevel="1">
      <c r="B124" s="1141" t="s">
        <v>2371</v>
      </c>
      <c r="C124" s="113">
        <v>1</v>
      </c>
      <c r="D124" s="1395">
        <v>0</v>
      </c>
      <c r="E124" s="1396">
        <v>0</v>
      </c>
      <c r="F124" s="1396">
        <v>0</v>
      </c>
      <c r="G124" s="1397">
        <v>53</v>
      </c>
      <c r="H124" s="998">
        <v>32</v>
      </c>
      <c r="I124" s="998">
        <v>30</v>
      </c>
      <c r="J124" s="1397">
        <v>53</v>
      </c>
      <c r="K124" s="998">
        <v>31</v>
      </c>
      <c r="L124" s="1398">
        <v>31</v>
      </c>
      <c r="M124" s="1399">
        <f t="shared" si="1"/>
        <v>25.555555555555557</v>
      </c>
    </row>
    <row r="125" spans="2:13" ht="12.95" customHeight="1" outlineLevel="1">
      <c r="B125" s="1134" t="s">
        <v>2375</v>
      </c>
      <c r="C125" s="592">
        <v>3</v>
      </c>
      <c r="D125" s="1130">
        <v>13</v>
      </c>
      <c r="E125" s="1050">
        <v>13</v>
      </c>
      <c r="F125" s="1050">
        <v>17</v>
      </c>
      <c r="G125" s="1386">
        <v>9</v>
      </c>
      <c r="H125" s="1050">
        <v>13</v>
      </c>
      <c r="I125" s="1050">
        <v>13</v>
      </c>
      <c r="J125" s="1374">
        <v>35</v>
      </c>
      <c r="K125" s="1386">
        <v>9</v>
      </c>
      <c r="L125" s="1375">
        <v>13</v>
      </c>
      <c r="M125" s="1383">
        <f t="shared" si="1"/>
        <v>15</v>
      </c>
    </row>
    <row r="126" spans="2:13" ht="12.95" customHeight="1" outlineLevel="1">
      <c r="B126" s="1141" t="s">
        <v>2378</v>
      </c>
      <c r="C126" s="113">
        <v>3</v>
      </c>
      <c r="D126" s="997">
        <v>13</v>
      </c>
      <c r="E126" s="998">
        <v>13</v>
      </c>
      <c r="F126" s="998">
        <v>17</v>
      </c>
      <c r="G126" s="1397">
        <v>25</v>
      </c>
      <c r="H126" s="1397">
        <v>25</v>
      </c>
      <c r="I126" s="998">
        <v>13</v>
      </c>
      <c r="J126" s="998">
        <v>13</v>
      </c>
      <c r="K126" s="1396">
        <v>9</v>
      </c>
      <c r="L126" s="1398">
        <v>13</v>
      </c>
      <c r="M126" s="1399">
        <f t="shared" si="1"/>
        <v>15.666666666666666</v>
      </c>
    </row>
    <row r="127" spans="2:13" ht="12.95" customHeight="1" outlineLevel="1">
      <c r="B127" s="1134" t="s">
        <v>682</v>
      </c>
      <c r="C127" s="592">
        <v>4</v>
      </c>
      <c r="D127" s="1130">
        <v>10</v>
      </c>
      <c r="E127" s="1050">
        <v>10</v>
      </c>
      <c r="F127" s="1050">
        <v>16</v>
      </c>
      <c r="G127" s="1050">
        <v>10</v>
      </c>
      <c r="H127" s="1374">
        <v>20</v>
      </c>
      <c r="I127" s="1050">
        <v>10</v>
      </c>
      <c r="J127" s="1386">
        <v>0</v>
      </c>
      <c r="K127" s="1386">
        <v>0</v>
      </c>
      <c r="L127" s="1375">
        <v>10</v>
      </c>
      <c r="M127" s="1383">
        <f t="shared" si="1"/>
        <v>9.5555555555555554</v>
      </c>
    </row>
    <row r="128" spans="2:13" ht="12.95" customHeight="1" outlineLevel="1">
      <c r="B128" s="1141" t="s">
        <v>681</v>
      </c>
      <c r="C128" s="113">
        <v>4</v>
      </c>
      <c r="D128" s="997">
        <v>10</v>
      </c>
      <c r="E128" s="1397">
        <v>20</v>
      </c>
      <c r="F128" s="998">
        <v>16</v>
      </c>
      <c r="G128" s="998">
        <v>10</v>
      </c>
      <c r="H128" s="998">
        <v>10</v>
      </c>
      <c r="I128" s="998">
        <v>10</v>
      </c>
      <c r="J128" s="1396">
        <v>0</v>
      </c>
      <c r="K128" s="1396">
        <v>0</v>
      </c>
      <c r="L128" s="1398">
        <v>10</v>
      </c>
      <c r="M128" s="1399">
        <f t="shared" si="1"/>
        <v>9.5555555555555554</v>
      </c>
    </row>
    <row r="129" spans="2:13" ht="12.95" customHeight="1" outlineLevel="1">
      <c r="B129" s="1134" t="s">
        <v>100</v>
      </c>
      <c r="C129" s="592">
        <v>5</v>
      </c>
      <c r="D129" s="1385">
        <v>0</v>
      </c>
      <c r="E129" s="1386">
        <v>0</v>
      </c>
      <c r="F129" s="1386">
        <v>0</v>
      </c>
      <c r="G129" s="1374">
        <v>16</v>
      </c>
      <c r="H129" s="1373">
        <v>0</v>
      </c>
      <c r="I129" s="1386">
        <v>12</v>
      </c>
      <c r="J129" s="1386">
        <v>0</v>
      </c>
      <c r="K129" s="1386">
        <v>0</v>
      </c>
      <c r="L129" s="1375">
        <v>12</v>
      </c>
      <c r="M129" s="1383">
        <f t="shared" si="1"/>
        <v>4.4444444444444446</v>
      </c>
    </row>
    <row r="130" spans="2:13" ht="12.95" customHeight="1" outlineLevel="1">
      <c r="B130" s="1141" t="s">
        <v>2361</v>
      </c>
      <c r="C130" s="113">
        <v>2</v>
      </c>
      <c r="D130" s="997">
        <v>25</v>
      </c>
      <c r="E130" s="998">
        <v>25</v>
      </c>
      <c r="F130" s="1397">
        <v>46</v>
      </c>
      <c r="G130" s="1396">
        <v>18</v>
      </c>
      <c r="H130" s="998">
        <v>24</v>
      </c>
      <c r="I130" s="998">
        <v>25</v>
      </c>
      <c r="J130" s="998">
        <v>25</v>
      </c>
      <c r="K130" s="998">
        <v>25</v>
      </c>
      <c r="L130" s="1398">
        <v>20</v>
      </c>
      <c r="M130" s="1399">
        <f t="shared" si="1"/>
        <v>25.888888888888889</v>
      </c>
    </row>
    <row r="131" spans="2:13" ht="12.95" customHeight="1" outlineLevel="1">
      <c r="B131" s="1134" t="s">
        <v>2383</v>
      </c>
      <c r="C131" s="592">
        <v>2</v>
      </c>
      <c r="D131" s="1376">
        <v>35</v>
      </c>
      <c r="E131" s="1050">
        <v>25</v>
      </c>
      <c r="F131" s="1050">
        <v>33</v>
      </c>
      <c r="G131" s="1386">
        <v>18</v>
      </c>
      <c r="H131" s="1050">
        <v>24</v>
      </c>
      <c r="I131" s="1050">
        <v>25</v>
      </c>
      <c r="J131" s="1050">
        <v>25</v>
      </c>
      <c r="K131" s="1050">
        <v>25</v>
      </c>
      <c r="L131" s="1375">
        <v>20</v>
      </c>
      <c r="M131" s="1383">
        <f t="shared" si="1"/>
        <v>25.555555555555557</v>
      </c>
    </row>
    <row r="132" spans="2:13" ht="12.95" customHeight="1" outlineLevel="1">
      <c r="B132" s="1141" t="s">
        <v>1150</v>
      </c>
      <c r="C132" s="113">
        <v>1</v>
      </c>
      <c r="D132" s="1401">
        <v>54</v>
      </c>
      <c r="E132" s="998">
        <v>32</v>
      </c>
      <c r="F132" s="998">
        <v>39</v>
      </c>
      <c r="G132" s="1396">
        <v>0</v>
      </c>
      <c r="H132" s="1396">
        <v>0</v>
      </c>
      <c r="I132" s="998">
        <v>19</v>
      </c>
      <c r="J132" s="998">
        <v>20</v>
      </c>
      <c r="K132" s="998">
        <v>31</v>
      </c>
      <c r="L132" s="1398">
        <v>31</v>
      </c>
      <c r="M132" s="1399">
        <f t="shared" si="1"/>
        <v>25.111111111111111</v>
      </c>
    </row>
    <row r="133" spans="2:13" ht="12.95" customHeight="1" outlineLevel="1">
      <c r="B133" s="1134" t="s">
        <v>2838</v>
      </c>
      <c r="C133" s="592">
        <v>1</v>
      </c>
      <c r="D133" s="1385">
        <v>20</v>
      </c>
      <c r="E133" s="1050">
        <v>32</v>
      </c>
      <c r="F133" s="1374">
        <v>39</v>
      </c>
      <c r="G133" s="1050">
        <v>31</v>
      </c>
      <c r="H133" s="1386">
        <v>20</v>
      </c>
      <c r="I133" s="1050">
        <v>30</v>
      </c>
      <c r="J133" s="1050">
        <v>31</v>
      </c>
      <c r="K133" s="1386">
        <v>20</v>
      </c>
      <c r="L133" s="1388">
        <v>20</v>
      </c>
      <c r="M133" s="1383">
        <f t="shared" si="1"/>
        <v>27</v>
      </c>
    </row>
    <row r="134" spans="2:13" ht="12.95" customHeight="1" outlineLevel="1">
      <c r="B134" s="1141" t="s">
        <v>2184</v>
      </c>
      <c r="C134" s="113">
        <v>4</v>
      </c>
      <c r="D134" s="997">
        <v>10</v>
      </c>
      <c r="E134" s="997">
        <v>10</v>
      </c>
      <c r="F134" s="1397">
        <v>16</v>
      </c>
      <c r="G134" s="997">
        <v>10</v>
      </c>
      <c r="H134" s="997">
        <v>10</v>
      </c>
      <c r="I134" s="997">
        <v>10</v>
      </c>
      <c r="J134" s="1396">
        <v>0</v>
      </c>
      <c r="K134" s="1396">
        <v>0</v>
      </c>
      <c r="L134" s="997">
        <v>10</v>
      </c>
      <c r="M134" s="1399">
        <f t="shared" si="1"/>
        <v>8.4444444444444446</v>
      </c>
    </row>
    <row r="135" spans="2:13" ht="12.95" customHeight="1" outlineLevel="1">
      <c r="B135" s="1921" t="s">
        <v>2382</v>
      </c>
      <c r="C135" s="592">
        <v>4</v>
      </c>
      <c r="D135" s="1922">
        <v>10</v>
      </c>
      <c r="E135" s="1922">
        <v>10</v>
      </c>
      <c r="F135" s="1374">
        <v>16</v>
      </c>
      <c r="G135" s="1922">
        <v>10</v>
      </c>
      <c r="H135" s="1922">
        <v>10</v>
      </c>
      <c r="I135" s="1922">
        <v>10</v>
      </c>
      <c r="J135" s="1386">
        <v>0</v>
      </c>
      <c r="K135" s="1386">
        <v>0</v>
      </c>
      <c r="L135" s="1922">
        <v>10</v>
      </c>
      <c r="M135" s="2068">
        <f t="shared" si="1"/>
        <v>8.4444444444444446</v>
      </c>
    </row>
    <row r="136" spans="2:13" ht="12.95" customHeight="1" outlineLevel="1">
      <c r="B136" s="1920" t="s">
        <v>2381</v>
      </c>
      <c r="C136" s="113">
        <v>4</v>
      </c>
      <c r="D136" s="1924">
        <v>10</v>
      </c>
      <c r="E136" s="1924">
        <v>10</v>
      </c>
      <c r="F136" s="1397">
        <v>16</v>
      </c>
      <c r="G136" s="1924">
        <v>10</v>
      </c>
      <c r="H136" s="1924">
        <v>10</v>
      </c>
      <c r="I136" s="1924">
        <v>10</v>
      </c>
      <c r="J136" s="1396">
        <v>0</v>
      </c>
      <c r="K136" s="1396">
        <v>0</v>
      </c>
      <c r="L136" s="1924">
        <v>10</v>
      </c>
      <c r="M136" s="1399">
        <f t="shared" si="1"/>
        <v>8.4444444444444446</v>
      </c>
    </row>
    <row r="137" spans="2:13" ht="12.95" customHeight="1" outlineLevel="1">
      <c r="B137" s="1134" t="s">
        <v>2376</v>
      </c>
      <c r="C137" s="592">
        <v>4</v>
      </c>
      <c r="D137" s="1130">
        <v>10</v>
      </c>
      <c r="E137" s="1130">
        <v>10</v>
      </c>
      <c r="F137" s="1374">
        <v>16</v>
      </c>
      <c r="G137" s="1130">
        <v>10</v>
      </c>
      <c r="H137" s="1130">
        <v>10</v>
      </c>
      <c r="I137" s="1130">
        <v>10</v>
      </c>
      <c r="J137" s="1386">
        <v>0</v>
      </c>
      <c r="K137" s="1386">
        <v>0</v>
      </c>
      <c r="L137" s="1130">
        <v>10</v>
      </c>
      <c r="M137" s="1383">
        <f t="shared" si="1"/>
        <v>8.4444444444444446</v>
      </c>
    </row>
    <row r="138" spans="2:13" ht="12.95" customHeight="1" outlineLevel="1">
      <c r="B138" s="1141" t="s">
        <v>1152</v>
      </c>
      <c r="C138" s="113">
        <v>2</v>
      </c>
      <c r="D138" s="1395">
        <v>13</v>
      </c>
      <c r="E138" s="1396">
        <v>13</v>
      </c>
      <c r="F138" s="998">
        <v>18</v>
      </c>
      <c r="G138" s="1397">
        <v>34</v>
      </c>
      <c r="H138" s="998">
        <v>24</v>
      </c>
      <c r="I138" s="998">
        <v>25</v>
      </c>
      <c r="J138" s="998">
        <v>25</v>
      </c>
      <c r="K138" s="998">
        <v>25</v>
      </c>
      <c r="L138" s="1398">
        <v>20</v>
      </c>
      <c r="M138" s="1399">
        <f t="shared" si="1"/>
        <v>21.888888888888889</v>
      </c>
    </row>
    <row r="139" spans="2:13" ht="12.95" customHeight="1" outlineLevel="1">
      <c r="B139" s="1134" t="s">
        <v>2377</v>
      </c>
      <c r="C139" s="592">
        <v>2</v>
      </c>
      <c r="D139" s="1130">
        <v>25</v>
      </c>
      <c r="E139" s="1374">
        <v>35</v>
      </c>
      <c r="F139" s="1050">
        <v>33</v>
      </c>
      <c r="G139" s="1050">
        <v>18</v>
      </c>
      <c r="H139" s="1050">
        <v>13</v>
      </c>
      <c r="I139" s="1050">
        <v>13</v>
      </c>
      <c r="J139" s="1050">
        <v>25</v>
      </c>
      <c r="K139" s="1050">
        <v>25</v>
      </c>
      <c r="L139" s="1388">
        <v>11</v>
      </c>
      <c r="M139" s="1383">
        <f t="shared" si="1"/>
        <v>22</v>
      </c>
    </row>
    <row r="140" spans="2:13" ht="12.95" customHeight="1" outlineLevel="1">
      <c r="B140" s="1141" t="s">
        <v>2237</v>
      </c>
      <c r="C140" s="113">
        <v>3</v>
      </c>
      <c r="D140" s="997">
        <v>13</v>
      </c>
      <c r="E140" s="998">
        <v>13</v>
      </c>
      <c r="F140" s="1397">
        <v>17</v>
      </c>
      <c r="G140" s="998">
        <v>9</v>
      </c>
      <c r="H140" s="998">
        <v>13</v>
      </c>
      <c r="I140" s="998">
        <v>13</v>
      </c>
      <c r="J140" s="998">
        <v>13</v>
      </c>
      <c r="K140" s="1396">
        <v>0</v>
      </c>
      <c r="L140" s="1398">
        <v>13</v>
      </c>
      <c r="M140" s="1399">
        <f t="shared" si="1"/>
        <v>11.555555555555555</v>
      </c>
    </row>
    <row r="141" spans="2:13" ht="12.95" customHeight="1" outlineLevel="1">
      <c r="B141" s="1134" t="s">
        <v>2186</v>
      </c>
      <c r="C141" s="592">
        <v>1</v>
      </c>
      <c r="D141" s="1130">
        <v>20</v>
      </c>
      <c r="E141" s="1050">
        <v>20</v>
      </c>
      <c r="F141" s="1374">
        <v>25</v>
      </c>
      <c r="G141" s="1050">
        <v>20</v>
      </c>
      <c r="H141" s="1050">
        <v>20</v>
      </c>
      <c r="I141" s="1386">
        <v>19</v>
      </c>
      <c r="J141" s="1050">
        <v>20</v>
      </c>
      <c r="K141" s="1050">
        <v>20</v>
      </c>
      <c r="L141" s="1375">
        <v>20</v>
      </c>
      <c r="M141" s="1383">
        <f t="shared" si="1"/>
        <v>20.444444444444443</v>
      </c>
    </row>
    <row r="142" spans="2:13" ht="12.95" customHeight="1" outlineLevel="1">
      <c r="B142" s="1141" t="s">
        <v>2187</v>
      </c>
      <c r="C142" s="113">
        <v>1</v>
      </c>
      <c r="D142" s="997">
        <v>20</v>
      </c>
      <c r="E142" s="998">
        <v>20</v>
      </c>
      <c r="F142" s="1397">
        <v>25</v>
      </c>
      <c r="G142" s="998">
        <v>20</v>
      </c>
      <c r="H142" s="998">
        <v>20</v>
      </c>
      <c r="I142" s="1396">
        <v>19</v>
      </c>
      <c r="J142" s="998">
        <v>20</v>
      </c>
      <c r="K142" s="998">
        <v>20</v>
      </c>
      <c r="L142" s="1398">
        <v>20</v>
      </c>
      <c r="M142" s="1399">
        <f t="shared" si="1"/>
        <v>20.444444444444443</v>
      </c>
    </row>
    <row r="143" spans="2:13" ht="12.95" customHeight="1" outlineLevel="1">
      <c r="B143" s="1134" t="s">
        <v>3328</v>
      </c>
      <c r="C143" s="592">
        <v>1</v>
      </c>
      <c r="D143" s="1130">
        <v>20</v>
      </c>
      <c r="E143" s="1050">
        <v>20</v>
      </c>
      <c r="F143" s="1374">
        <v>25</v>
      </c>
      <c r="G143" s="1050">
        <v>20</v>
      </c>
      <c r="H143" s="1050">
        <v>20</v>
      </c>
      <c r="I143" s="1386">
        <v>19</v>
      </c>
      <c r="J143" s="1050">
        <v>20</v>
      </c>
      <c r="K143" s="1050">
        <v>20</v>
      </c>
      <c r="L143" s="1375">
        <v>20</v>
      </c>
      <c r="M143" s="1383">
        <f t="shared" si="1"/>
        <v>20.444444444444443</v>
      </c>
    </row>
    <row r="144" spans="2:13" ht="12.95" customHeight="1" outlineLevel="1">
      <c r="B144" s="1141" t="s">
        <v>1305</v>
      </c>
      <c r="C144" s="113">
        <v>1</v>
      </c>
      <c r="D144" s="997">
        <v>20</v>
      </c>
      <c r="E144" s="998">
        <v>20</v>
      </c>
      <c r="F144" s="1397">
        <v>25</v>
      </c>
      <c r="G144" s="998">
        <v>20</v>
      </c>
      <c r="H144" s="998">
        <v>20</v>
      </c>
      <c r="I144" s="1396">
        <v>19</v>
      </c>
      <c r="J144" s="998">
        <v>20</v>
      </c>
      <c r="K144" s="998">
        <v>20</v>
      </c>
      <c r="L144" s="1398">
        <v>20</v>
      </c>
      <c r="M144" s="1399">
        <f t="shared" si="1"/>
        <v>20.444444444444443</v>
      </c>
    </row>
    <row r="145" spans="2:13" ht="12.95" customHeight="1" outlineLevel="1">
      <c r="B145" s="1134" t="s">
        <v>2374</v>
      </c>
      <c r="C145" s="592">
        <v>4</v>
      </c>
      <c r="D145" s="1376">
        <v>20</v>
      </c>
      <c r="E145" s="1050">
        <v>10</v>
      </c>
      <c r="F145" s="1050">
        <v>16</v>
      </c>
      <c r="G145" s="1386">
        <v>0</v>
      </c>
      <c r="H145" s="1386">
        <v>0</v>
      </c>
      <c r="I145" s="1386">
        <v>0</v>
      </c>
      <c r="J145" s="1386">
        <v>0</v>
      </c>
      <c r="K145" s="1386">
        <v>0</v>
      </c>
      <c r="L145" s="1375">
        <v>10</v>
      </c>
      <c r="M145" s="1383">
        <f t="shared" si="1"/>
        <v>6.2222222222222223</v>
      </c>
    </row>
    <row r="146" spans="2:13" ht="12.95" customHeight="1" outlineLevel="1">
      <c r="B146" s="1141" t="s">
        <v>2056</v>
      </c>
      <c r="C146" s="113">
        <v>1</v>
      </c>
      <c r="D146" s="1395">
        <v>0</v>
      </c>
      <c r="E146" s="1396">
        <v>0</v>
      </c>
      <c r="F146" s="998">
        <v>25</v>
      </c>
      <c r="G146" s="998">
        <v>31</v>
      </c>
      <c r="H146" s="1397">
        <v>54</v>
      </c>
      <c r="I146" s="998">
        <v>30</v>
      </c>
      <c r="J146" s="1396">
        <v>0</v>
      </c>
      <c r="K146" s="1396">
        <v>0</v>
      </c>
      <c r="L146" s="1400">
        <v>0</v>
      </c>
      <c r="M146" s="1399">
        <f t="shared" si="1"/>
        <v>15.555555555555555</v>
      </c>
    </row>
    <row r="147" spans="2:13" ht="12.95" customHeight="1" outlineLevel="1">
      <c r="B147" s="1134" t="s">
        <v>2185</v>
      </c>
      <c r="C147" s="592">
        <v>2</v>
      </c>
      <c r="D147" s="1130">
        <v>13</v>
      </c>
      <c r="E147" s="1050">
        <v>13</v>
      </c>
      <c r="F147" s="1374">
        <v>18</v>
      </c>
      <c r="G147" s="1374">
        <v>18</v>
      </c>
      <c r="H147" s="1050">
        <v>13</v>
      </c>
      <c r="I147" s="1050">
        <v>13</v>
      </c>
      <c r="J147" s="1050">
        <v>13</v>
      </c>
      <c r="K147" s="1050">
        <v>13</v>
      </c>
      <c r="L147" s="1388">
        <v>11</v>
      </c>
      <c r="M147" s="1383">
        <f t="shared" si="1"/>
        <v>13.888888888888889</v>
      </c>
    </row>
    <row r="148" spans="2:13" ht="12.95" customHeight="1" outlineLevel="1">
      <c r="B148" s="1141" t="s">
        <v>1864</v>
      </c>
      <c r="C148" s="113">
        <v>2</v>
      </c>
      <c r="D148" s="997">
        <v>13</v>
      </c>
      <c r="E148" s="998">
        <v>13</v>
      </c>
      <c r="F148" s="1397">
        <v>18</v>
      </c>
      <c r="G148" s="1397">
        <v>18</v>
      </c>
      <c r="H148" s="998">
        <v>13</v>
      </c>
      <c r="I148" s="998">
        <v>13</v>
      </c>
      <c r="J148" s="998">
        <v>13</v>
      </c>
      <c r="K148" s="998">
        <v>13</v>
      </c>
      <c r="L148" s="1400">
        <v>11</v>
      </c>
      <c r="M148" s="1399">
        <f>AVERAGE(D148:L148)</f>
        <v>13.888888888888889</v>
      </c>
    </row>
    <row r="149" spans="2:13" ht="12.95" customHeight="1" outlineLevel="1">
      <c r="B149" s="1134" t="s">
        <v>2559</v>
      </c>
      <c r="C149" s="592">
        <v>4</v>
      </c>
      <c r="D149" s="1385">
        <v>0</v>
      </c>
      <c r="E149" s="1386">
        <v>0</v>
      </c>
      <c r="F149" s="1386">
        <v>0</v>
      </c>
      <c r="G149" s="1050">
        <v>10</v>
      </c>
      <c r="H149" s="1050">
        <v>10</v>
      </c>
      <c r="I149" s="1374">
        <v>20</v>
      </c>
      <c r="J149" s="1386">
        <v>0</v>
      </c>
      <c r="K149" s="1386">
        <v>0</v>
      </c>
      <c r="L149" s="1388">
        <v>0</v>
      </c>
      <c r="M149" s="1383">
        <f>AVERAGE(D149:L149)</f>
        <v>4.4444444444444446</v>
      </c>
    </row>
    <row r="150" spans="2:13" ht="12.95" customHeight="1" outlineLevel="1">
      <c r="B150" s="1141" t="s">
        <v>2384</v>
      </c>
      <c r="C150" s="113">
        <v>2</v>
      </c>
      <c r="D150" s="997">
        <v>13</v>
      </c>
      <c r="E150" s="998">
        <v>13</v>
      </c>
      <c r="F150" s="1397">
        <v>18</v>
      </c>
      <c r="G150" s="1397">
        <v>18</v>
      </c>
      <c r="H150" s="998">
        <v>13</v>
      </c>
      <c r="I150" s="998">
        <v>13</v>
      </c>
      <c r="J150" s="998">
        <v>13</v>
      </c>
      <c r="K150" s="1396">
        <v>0</v>
      </c>
      <c r="L150" s="1398">
        <v>11</v>
      </c>
      <c r="M150" s="1399">
        <f>AVERAGE(D150:L150)</f>
        <v>12.444444444444445</v>
      </c>
    </row>
    <row r="151" spans="2:13" ht="12.95" customHeight="1" outlineLevel="1" thickBot="1">
      <c r="B151" s="841" t="s">
        <v>2369</v>
      </c>
      <c r="C151" s="594">
        <v>3</v>
      </c>
      <c r="D151" s="839">
        <v>0</v>
      </c>
      <c r="E151" s="840">
        <v>0</v>
      </c>
      <c r="F151" s="840">
        <v>0</v>
      </c>
      <c r="G151" s="840">
        <v>0</v>
      </c>
      <c r="H151" s="1378">
        <v>44</v>
      </c>
      <c r="I151" s="840">
        <v>0</v>
      </c>
      <c r="J151" s="840">
        <v>0</v>
      </c>
      <c r="K151" s="840">
        <v>0</v>
      </c>
      <c r="L151" s="1380">
        <v>0</v>
      </c>
      <c r="M151" s="1384">
        <f>AVERAGE(D151:L151)</f>
        <v>4.8888888888888893</v>
      </c>
    </row>
  </sheetData>
  <sheetProtection autoFilter="0"/>
  <autoFilter ref="B9:C78">
    <filterColumn colId="1"/>
  </autoFilter>
  <mergeCells count="6">
    <mergeCell ref="B80:M80"/>
    <mergeCell ref="C1:M1"/>
    <mergeCell ref="B6:M6"/>
    <mergeCell ref="B3:M3"/>
    <mergeCell ref="B5:M5"/>
    <mergeCell ref="D9:M9"/>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4" manualBreakCount="4">
    <brk id="32" max="12" man="1"/>
    <brk id="66" max="12" man="1"/>
    <brk id="100" max="12" man="1"/>
    <brk id="134" max="12" man="1"/>
  </rowBreaks>
  <ignoredErrors>
    <ignoredError sqref="M10:M12 M13:M14 M17 M19 M21:M22 M77:M78 M73:M75 M65:M71 M57:M60 M51:M53 M47:M49 M44 M36:M42 M26:M33 M83:M151" formulaRange="1"/>
  </ignoredErrors>
</worksheet>
</file>

<file path=xl/worksheets/sheet21.xml><?xml version="1.0" encoding="utf-8"?>
<worksheet xmlns="http://schemas.openxmlformats.org/spreadsheetml/2006/main" xmlns:r="http://schemas.openxmlformats.org/officeDocument/2006/relationships">
  <dimension ref="B1:H79"/>
  <sheetViews>
    <sheetView zoomScaleNormal="100" workbookViewId="0">
      <pane ySplit="4" topLeftCell="A5" activePane="bottomLeft" state="frozen"/>
      <selection pane="bottomLeft" activeCell="B1" sqref="B1:C1"/>
    </sheetView>
  </sheetViews>
  <sheetFormatPr defaultRowHeight="12.95" customHeight="1"/>
  <cols>
    <col min="1" max="1" width="3.7109375" style="377" customWidth="1"/>
    <col min="2" max="2" width="7.140625" style="377" customWidth="1"/>
    <col min="3" max="3" width="16.140625" style="377" bestFit="1" customWidth="1"/>
    <col min="4" max="7" width="25.7109375" style="377" customWidth="1"/>
    <col min="8" max="16384" width="9.140625" style="377"/>
  </cols>
  <sheetData>
    <row r="1" spans="2:8" s="293" customFormat="1" ht="12.95" customHeight="1">
      <c r="B1" s="3252" t="s">
        <v>2706</v>
      </c>
      <c r="C1" s="3252"/>
      <c r="D1" s="3195" t="s">
        <v>8269</v>
      </c>
      <c r="E1" s="3195"/>
      <c r="F1" s="3195"/>
      <c r="G1" s="3195"/>
    </row>
    <row r="2" spans="2:8" s="292" customFormat="1" ht="5.0999999999999996" customHeight="1"/>
    <row r="3" spans="2:8" s="292" customFormat="1" ht="12.95" customHeight="1">
      <c r="B3" s="3075" t="s">
        <v>5046</v>
      </c>
      <c r="C3" s="3075"/>
      <c r="D3" s="3075"/>
      <c r="E3" s="3075"/>
      <c r="F3" s="3075"/>
      <c r="G3" s="3075"/>
    </row>
    <row r="4" spans="2:8" ht="5.0999999999999996" customHeight="1"/>
    <row r="5" spans="2:8" ht="51.95" customHeight="1">
      <c r="B5" s="2984" t="s">
        <v>10048</v>
      </c>
      <c r="C5" s="3253"/>
      <c r="D5" s="3253"/>
      <c r="E5" s="3253"/>
      <c r="F5" s="3253"/>
      <c r="G5" s="3253"/>
    </row>
    <row r="6" spans="2:8" s="411" customFormat="1" ht="12.95" customHeight="1">
      <c r="B6" s="2984" t="s">
        <v>8873</v>
      </c>
      <c r="C6" s="3254"/>
      <c r="D6" s="3254"/>
      <c r="E6" s="3254"/>
      <c r="F6" s="3254"/>
      <c r="G6" s="3254"/>
      <c r="H6" s="402"/>
    </row>
    <row r="7" spans="2:8" ht="5.0999999999999996" customHeight="1" thickBot="1"/>
    <row r="8" spans="2:8" ht="12.95" customHeight="1" thickBot="1">
      <c r="B8" s="3256" t="s">
        <v>99</v>
      </c>
      <c r="C8" s="3257"/>
      <c r="D8" s="271" t="s">
        <v>1463</v>
      </c>
      <c r="E8" s="412" t="s">
        <v>3715</v>
      </c>
      <c r="F8" s="38" t="s">
        <v>3716</v>
      </c>
      <c r="G8" s="413" t="s">
        <v>3717</v>
      </c>
    </row>
    <row r="9" spans="2:8" ht="12.95" customHeight="1">
      <c r="B9" s="3258" t="s">
        <v>5053</v>
      </c>
      <c r="C9" s="3259"/>
      <c r="D9" s="403" t="s">
        <v>5051</v>
      </c>
      <c r="E9" s="404" t="s">
        <v>5052</v>
      </c>
      <c r="F9" s="405" t="s">
        <v>5052</v>
      </c>
      <c r="G9" s="406" t="s">
        <v>5052</v>
      </c>
    </row>
    <row r="10" spans="2:8" ht="90.95" customHeight="1" thickBot="1">
      <c r="B10" s="3260" t="s">
        <v>5047</v>
      </c>
      <c r="C10" s="3261"/>
      <c r="D10" s="407" t="s">
        <v>5048</v>
      </c>
      <c r="E10" s="408" t="s">
        <v>5701</v>
      </c>
      <c r="F10" s="409" t="s">
        <v>5049</v>
      </c>
      <c r="G10" s="410" t="s">
        <v>5050</v>
      </c>
    </row>
    <row r="11" spans="2:8" ht="5.0999999999999996" customHeight="1"/>
    <row r="12" spans="2:8" s="411" customFormat="1" ht="26.1" customHeight="1">
      <c r="B12" s="2985" t="s">
        <v>5702</v>
      </c>
      <c r="C12" s="3253"/>
      <c r="D12" s="3253"/>
      <c r="E12" s="3253"/>
      <c r="F12" s="3253"/>
      <c r="G12" s="3253"/>
      <c r="H12" s="402"/>
    </row>
    <row r="13" spans="2:8" ht="12.95" customHeight="1">
      <c r="C13" s="3262" t="s">
        <v>5056</v>
      </c>
      <c r="D13" s="3262"/>
      <c r="E13" s="3262"/>
      <c r="F13" s="3262"/>
      <c r="G13" s="3262"/>
    </row>
    <row r="14" spans="2:8" ht="12.95" customHeight="1">
      <c r="C14" s="3262" t="s">
        <v>5055</v>
      </c>
      <c r="D14" s="3262"/>
      <c r="E14" s="3262"/>
      <c r="F14" s="3262"/>
      <c r="G14" s="3262"/>
    </row>
    <row r="15" spans="2:8" ht="12.95" customHeight="1">
      <c r="C15" s="3262" t="s">
        <v>5054</v>
      </c>
      <c r="D15" s="3262"/>
      <c r="E15" s="3262"/>
      <c r="F15" s="3262"/>
      <c r="G15" s="3262"/>
    </row>
    <row r="16" spans="2:8" ht="12.95" customHeight="1">
      <c r="C16" s="3262" t="s">
        <v>5057</v>
      </c>
      <c r="D16" s="3262"/>
      <c r="E16" s="3262"/>
      <c r="F16" s="3262"/>
      <c r="G16" s="3262"/>
    </row>
    <row r="17" spans="2:7" ht="5.0999999999999996" customHeight="1"/>
    <row r="18" spans="2:7" ht="12.95" customHeight="1">
      <c r="B18" s="3263" t="s">
        <v>5058</v>
      </c>
      <c r="C18" s="3263"/>
      <c r="D18" s="3263"/>
      <c r="E18" s="3263"/>
      <c r="F18" s="3263"/>
      <c r="G18" s="3263"/>
    </row>
    <row r="19" spans="2:7" ht="12.95" customHeight="1">
      <c r="C19" s="3262" t="s">
        <v>5059</v>
      </c>
      <c r="D19" s="3262"/>
      <c r="E19" s="3262"/>
      <c r="F19" s="3262"/>
      <c r="G19" s="3262"/>
    </row>
    <row r="20" spans="2:7" ht="39" customHeight="1">
      <c r="C20" s="3255" t="s">
        <v>10049</v>
      </c>
      <c r="D20" s="3255"/>
      <c r="E20" s="3255"/>
      <c r="F20" s="3255"/>
      <c r="G20" s="3255"/>
    </row>
    <row r="21" spans="2:7" ht="26.1" customHeight="1">
      <c r="C21" s="2984" t="s">
        <v>5300</v>
      </c>
      <c r="D21" s="3255"/>
      <c r="E21" s="3255"/>
      <c r="F21" s="3255"/>
      <c r="G21" s="3255"/>
    </row>
    <row r="22" spans="2:7" ht="12.95" customHeight="1">
      <c r="C22" s="3262" t="s">
        <v>5060</v>
      </c>
      <c r="D22" s="3262"/>
      <c r="E22" s="3262"/>
      <c r="F22" s="3262"/>
      <c r="G22" s="3262"/>
    </row>
    <row r="23" spans="2:7" ht="26.1" customHeight="1">
      <c r="C23" s="3255" t="s">
        <v>5061</v>
      </c>
      <c r="D23" s="3255"/>
      <c r="E23" s="3255"/>
      <c r="F23" s="3255"/>
      <c r="G23" s="3255"/>
    </row>
    <row r="24" spans="2:7" ht="12.95" customHeight="1">
      <c r="C24" s="3262" t="s">
        <v>5062</v>
      </c>
      <c r="D24" s="3262"/>
      <c r="E24" s="3262"/>
      <c r="F24" s="3262"/>
      <c r="G24" s="3262"/>
    </row>
    <row r="25" spans="2:7" ht="5.0999999999999996" customHeight="1"/>
    <row r="26" spans="2:7" ht="12.95" customHeight="1">
      <c r="B26" s="3263" t="s">
        <v>5063</v>
      </c>
      <c r="C26" s="3263"/>
      <c r="D26" s="3263"/>
      <c r="E26" s="3263"/>
      <c r="F26" s="3263"/>
      <c r="G26" s="3263"/>
    </row>
    <row r="27" spans="2:7" ht="12.95" customHeight="1">
      <c r="C27" s="3262" t="s">
        <v>5064</v>
      </c>
      <c r="D27" s="3262"/>
      <c r="E27" s="3262"/>
      <c r="F27" s="3262"/>
      <c r="G27" s="3262"/>
    </row>
    <row r="28" spans="2:7" ht="12.95" customHeight="1">
      <c r="C28" s="3262" t="s">
        <v>5065</v>
      </c>
      <c r="D28" s="3262"/>
      <c r="E28" s="3262"/>
      <c r="F28" s="3262"/>
      <c r="G28" s="3262"/>
    </row>
    <row r="29" spans="2:7" ht="12.95" customHeight="1">
      <c r="C29" s="3262" t="s">
        <v>5066</v>
      </c>
      <c r="D29" s="3262"/>
      <c r="E29" s="3262"/>
      <c r="F29" s="3262"/>
      <c r="G29" s="3262"/>
    </row>
    <row r="30" spans="2:7" ht="5.0999999999999996" customHeight="1"/>
    <row r="31" spans="2:7" ht="51.95" customHeight="1">
      <c r="B31" s="2985" t="s">
        <v>8874</v>
      </c>
      <c r="C31" s="3253"/>
      <c r="D31" s="3253"/>
      <c r="E31" s="3253"/>
      <c r="F31" s="3253"/>
      <c r="G31" s="3253"/>
    </row>
    <row r="32" spans="2:7" ht="39" customHeight="1">
      <c r="B32" s="2984" t="s">
        <v>8875</v>
      </c>
      <c r="C32" s="3253"/>
      <c r="D32" s="3253"/>
      <c r="E32" s="3253"/>
      <c r="F32" s="3253"/>
      <c r="G32" s="3253"/>
    </row>
    <row r="33" spans="2:7" ht="5.0999999999999996" customHeight="1"/>
    <row r="34" spans="2:7" ht="26.1" customHeight="1">
      <c r="B34" s="2984" t="s">
        <v>8876</v>
      </c>
      <c r="C34" s="2984"/>
      <c r="D34" s="2984"/>
      <c r="E34" s="2984"/>
      <c r="F34" s="2984"/>
      <c r="G34" s="2984"/>
    </row>
    <row r="35" spans="2:7" ht="12.95" customHeight="1">
      <c r="B35" s="3264" t="s">
        <v>8877</v>
      </c>
      <c r="C35" s="3264"/>
      <c r="D35" s="3264"/>
      <c r="E35" s="3264"/>
      <c r="F35" s="3264"/>
      <c r="G35" s="3264"/>
    </row>
    <row r="36" spans="2:7" ht="12.95" customHeight="1">
      <c r="F36" s="2984" t="s">
        <v>8880</v>
      </c>
      <c r="G36" s="2984"/>
    </row>
    <row r="37" spans="2:7" ht="12.95" customHeight="1">
      <c r="F37" s="2984"/>
      <c r="G37" s="2984"/>
    </row>
    <row r="39" spans="2:7" ht="12.95" customHeight="1">
      <c r="F39" s="2984" t="s">
        <v>8881</v>
      </c>
      <c r="G39" s="2984"/>
    </row>
    <row r="40" spans="2:7" ht="12.95" customHeight="1">
      <c r="F40" s="2984"/>
      <c r="G40" s="2984"/>
    </row>
    <row r="41" spans="2:7" ht="12.95" customHeight="1">
      <c r="F41" s="2984"/>
      <c r="G41" s="2984"/>
    </row>
    <row r="64" spans="2:7" ht="12.95" customHeight="1">
      <c r="B64" s="3264" t="s">
        <v>8878</v>
      </c>
      <c r="C64" s="3264"/>
      <c r="D64" s="3264"/>
      <c r="E64" s="3264"/>
      <c r="F64" s="3264"/>
      <c r="G64" s="3264"/>
    </row>
    <row r="65" spans="6:7" ht="12.95" customHeight="1">
      <c r="F65" s="2984" t="s">
        <v>8879</v>
      </c>
      <c r="G65" s="2984"/>
    </row>
    <row r="66" spans="6:7" ht="12.95" customHeight="1">
      <c r="F66" s="2984"/>
      <c r="G66" s="2984"/>
    </row>
    <row r="67" spans="6:7" ht="12.95" customHeight="1">
      <c r="F67" s="2984"/>
      <c r="G67" s="2984"/>
    </row>
    <row r="68" spans="6:7" ht="12.95" customHeight="1">
      <c r="F68" s="2984"/>
      <c r="G68" s="2984"/>
    </row>
    <row r="69" spans="6:7" ht="12.95" customHeight="1">
      <c r="F69" s="2984"/>
      <c r="G69" s="2984"/>
    </row>
    <row r="70" spans="6:7" ht="12.95" customHeight="1">
      <c r="F70" s="2984"/>
      <c r="G70" s="2984"/>
    </row>
    <row r="71" spans="6:7" ht="12.95" customHeight="1">
      <c r="F71" s="2984"/>
      <c r="G71" s="2984"/>
    </row>
    <row r="72" spans="6:7" ht="12.95" customHeight="1">
      <c r="F72" s="2984"/>
      <c r="G72" s="2984"/>
    </row>
    <row r="73" spans="6:7" ht="12.95" customHeight="1">
      <c r="F73" s="2984"/>
      <c r="G73" s="2984"/>
    </row>
    <row r="74" spans="6:7" ht="12.95" customHeight="1">
      <c r="F74" s="2984"/>
      <c r="G74" s="2984"/>
    </row>
    <row r="75" spans="6:7" ht="12.95" customHeight="1">
      <c r="F75" s="2984"/>
      <c r="G75" s="2984"/>
    </row>
    <row r="76" spans="6:7" ht="12.95" customHeight="1">
      <c r="F76" s="2984"/>
      <c r="G76" s="2984"/>
    </row>
    <row r="77" spans="6:7" ht="12.95" customHeight="1">
      <c r="F77" s="2984"/>
      <c r="G77" s="2984"/>
    </row>
    <row r="78" spans="6:7" ht="12.95" customHeight="1">
      <c r="F78" s="2984"/>
      <c r="G78" s="2984"/>
    </row>
    <row r="79" spans="6:7" ht="12.95" customHeight="1">
      <c r="F79" s="2984"/>
      <c r="G79" s="2984"/>
    </row>
  </sheetData>
  <sheetProtection autoFilter="0"/>
  <mergeCells count="32">
    <mergeCell ref="F65:G79"/>
    <mergeCell ref="B34:G34"/>
    <mergeCell ref="B35:G35"/>
    <mergeCell ref="B64:G64"/>
    <mergeCell ref="F36:G37"/>
    <mergeCell ref="F39:G41"/>
    <mergeCell ref="C24:G24"/>
    <mergeCell ref="B26:G26"/>
    <mergeCell ref="C27:G27"/>
    <mergeCell ref="C28:G28"/>
    <mergeCell ref="C29:G29"/>
    <mergeCell ref="C15:G15"/>
    <mergeCell ref="C16:G16"/>
    <mergeCell ref="B18:G18"/>
    <mergeCell ref="C19:G19"/>
    <mergeCell ref="C22:G22"/>
    <mergeCell ref="B1:C1"/>
    <mergeCell ref="B32:G32"/>
    <mergeCell ref="B31:G31"/>
    <mergeCell ref="B6:G6"/>
    <mergeCell ref="B3:G3"/>
    <mergeCell ref="B12:G12"/>
    <mergeCell ref="C23:G23"/>
    <mergeCell ref="C21:G21"/>
    <mergeCell ref="B5:G5"/>
    <mergeCell ref="C20:G20"/>
    <mergeCell ref="B8:C8"/>
    <mergeCell ref="B9:C9"/>
    <mergeCell ref="B10:C10"/>
    <mergeCell ref="D1:G1"/>
    <mergeCell ref="C13:G13"/>
    <mergeCell ref="C14:G14"/>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orientation="landscape" r:id="rId1"/>
  <headerFooter alignWithMargins="0"/>
  <rowBreaks count="3" manualBreakCount="3">
    <brk id="16" max="6" man="1"/>
    <brk id="32" max="6" man="1"/>
    <brk id="63" max="6" man="1"/>
  </rowBreaks>
  <drawing r:id="rId2"/>
</worksheet>
</file>

<file path=xl/worksheets/sheet22.xml><?xml version="1.0" encoding="utf-8"?>
<worksheet xmlns="http://schemas.openxmlformats.org/spreadsheetml/2006/main" xmlns:r="http://schemas.openxmlformats.org/officeDocument/2006/relationships">
  <dimension ref="B1:H7"/>
  <sheetViews>
    <sheetView zoomScaleNormal="100" workbookViewId="0">
      <pane ySplit="5" topLeftCell="A6" activePane="bottomLeft" state="frozen"/>
      <selection pane="bottomLeft" activeCell="B1" sqref="B1"/>
    </sheetView>
  </sheetViews>
  <sheetFormatPr defaultRowHeight="12.95" customHeight="1"/>
  <cols>
    <col min="1" max="1" width="3.7109375" style="377" customWidth="1"/>
    <col min="2" max="8" width="17.7109375" style="377" customWidth="1"/>
    <col min="9" max="16384" width="9.140625" style="377"/>
  </cols>
  <sheetData>
    <row r="1" spans="2:8" s="293" customFormat="1" ht="12.95" customHeight="1">
      <c r="B1" s="298" t="s">
        <v>2706</v>
      </c>
      <c r="C1" s="3195" t="s">
        <v>8269</v>
      </c>
      <c r="D1" s="3195"/>
      <c r="E1" s="3195"/>
      <c r="F1" s="3195"/>
      <c r="G1" s="3195"/>
      <c r="H1" s="3195"/>
    </row>
    <row r="2" spans="2:8" s="292" customFormat="1" ht="5.0999999999999996" customHeight="1"/>
    <row r="3" spans="2:8" s="292" customFormat="1" ht="12.95" customHeight="1">
      <c r="B3" s="3075" t="s">
        <v>1808</v>
      </c>
      <c r="C3" s="3075"/>
      <c r="D3" s="3075"/>
      <c r="E3" s="3075"/>
      <c r="F3" s="3075"/>
      <c r="G3" s="3075"/>
      <c r="H3" s="3075"/>
    </row>
    <row r="4" spans="2:8" s="1117" customFormat="1" ht="11.25">
      <c r="B4" s="3130" t="s">
        <v>5700</v>
      </c>
      <c r="C4" s="3130"/>
      <c r="D4" s="3130"/>
      <c r="E4" s="3130"/>
      <c r="F4" s="3130"/>
      <c r="G4" s="3130"/>
      <c r="H4" s="3130"/>
    </row>
    <row r="5" spans="2:8" ht="5.0999999999999996" customHeight="1"/>
    <row r="6" spans="2:8" ht="182.1" customHeight="1">
      <c r="B6" s="2984" t="s">
        <v>10050</v>
      </c>
      <c r="C6" s="2984"/>
      <c r="D6" s="2984"/>
      <c r="E6" s="2984"/>
      <c r="F6" s="61"/>
      <c r="G6" s="61"/>
      <c r="H6" s="61"/>
    </row>
    <row r="7" spans="2:8" ht="39" customHeight="1">
      <c r="B7" s="2984" t="s">
        <v>8882</v>
      </c>
      <c r="C7" s="2984"/>
      <c r="D7" s="2984"/>
      <c r="E7" s="2984"/>
      <c r="F7" s="61"/>
      <c r="G7" s="61"/>
      <c r="H7" s="61"/>
    </row>
  </sheetData>
  <sheetProtection autoFilter="0"/>
  <mergeCells count="5">
    <mergeCell ref="B6:E6"/>
    <mergeCell ref="B7:E7"/>
    <mergeCell ref="B3:H3"/>
    <mergeCell ref="B4:H4"/>
    <mergeCell ref="C1:H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orientation="landscape" r:id="rId1"/>
  <headerFooter alignWithMargins="0"/>
  <drawing r:id="rId2"/>
</worksheet>
</file>

<file path=xl/worksheets/sheet23.xml><?xml version="1.0" encoding="utf-8"?>
<worksheet xmlns="http://schemas.openxmlformats.org/spreadsheetml/2006/main" xmlns:r="http://schemas.openxmlformats.org/officeDocument/2006/relationships">
  <dimension ref="B1:K33"/>
  <sheetViews>
    <sheetView zoomScaleNormal="100" workbookViewId="0">
      <pane ySplit="5" topLeftCell="A6" activePane="bottomLeft" state="frozen"/>
      <selection pane="bottomLeft" activeCell="B1" sqref="B1"/>
    </sheetView>
  </sheetViews>
  <sheetFormatPr defaultRowHeight="12.95" customHeight="1"/>
  <cols>
    <col min="1" max="1" width="3.7109375" style="377" customWidth="1"/>
    <col min="2" max="2" width="8.5703125" style="377" customWidth="1"/>
    <col min="3" max="9" width="13.5703125" style="377" customWidth="1"/>
    <col min="10" max="10" width="11.5703125" style="377" customWidth="1"/>
    <col min="11" max="11" width="13.5703125" style="377" customWidth="1"/>
    <col min="12" max="16384" width="9.140625" style="377"/>
  </cols>
  <sheetData>
    <row r="1" spans="2:11" s="293" customFormat="1" ht="12.95" customHeight="1">
      <c r="B1" s="298" t="s">
        <v>2706</v>
      </c>
      <c r="C1" s="3265" t="s">
        <v>8269</v>
      </c>
      <c r="D1" s="3265"/>
      <c r="E1" s="3265"/>
      <c r="F1" s="3265"/>
      <c r="G1" s="3265"/>
      <c r="H1" s="3265"/>
      <c r="I1" s="3265"/>
      <c r="J1" s="3265"/>
      <c r="K1" s="3265"/>
    </row>
    <row r="2" spans="2:11" s="292" customFormat="1" ht="5.0999999999999996" customHeight="1"/>
    <row r="3" spans="2:11" ht="12.95" customHeight="1">
      <c r="B3" s="3266" t="s">
        <v>6183</v>
      </c>
      <c r="C3" s="3266"/>
      <c r="D3" s="3266"/>
      <c r="E3" s="3266"/>
      <c r="F3" s="3266"/>
      <c r="G3" s="3266"/>
      <c r="H3" s="3266"/>
      <c r="I3" s="3266"/>
      <c r="J3" s="3266"/>
      <c r="K3" s="3266"/>
    </row>
    <row r="4" spans="2:11" s="1117" customFormat="1" ht="11.25">
      <c r="B4" s="3267" t="s">
        <v>7274</v>
      </c>
      <c r="C4" s="3268"/>
      <c r="D4" s="3268"/>
      <c r="E4" s="3268"/>
      <c r="F4" s="3268"/>
      <c r="G4" s="3268"/>
      <c r="H4" s="3268"/>
      <c r="I4" s="3268"/>
      <c r="J4" s="3268"/>
      <c r="K4" s="3268"/>
    </row>
    <row r="5" spans="2:11" ht="5.0999999999999996" customHeight="1"/>
    <row r="6" spans="2:11" ht="39" customHeight="1">
      <c r="B6" s="2984" t="s">
        <v>10051</v>
      </c>
      <c r="C6" s="2984"/>
      <c r="D6" s="2984"/>
      <c r="E6" s="2984"/>
      <c r="F6" s="2984"/>
      <c r="G6" s="2984"/>
      <c r="H6" s="2984"/>
      <c r="I6" s="2984"/>
      <c r="J6" s="2984"/>
      <c r="K6" s="2984"/>
    </row>
    <row r="7" spans="2:11" ht="26.1" customHeight="1">
      <c r="B7" s="2984" t="s">
        <v>8883</v>
      </c>
      <c r="C7" s="3264"/>
      <c r="D7" s="3264"/>
      <c r="E7" s="3264"/>
      <c r="F7" s="3264"/>
      <c r="G7" s="3264"/>
      <c r="H7" s="3264"/>
      <c r="I7" s="3264"/>
      <c r="J7" s="3264"/>
      <c r="K7" s="3264"/>
    </row>
    <row r="8" spans="2:11" ht="12.95" customHeight="1">
      <c r="C8" s="2984" t="s">
        <v>6184</v>
      </c>
      <c r="D8" s="3264"/>
      <c r="E8" s="3264"/>
      <c r="F8" s="3264"/>
      <c r="G8" s="3264"/>
      <c r="H8" s="3264"/>
      <c r="I8" s="3264"/>
      <c r="J8" s="3264"/>
      <c r="K8" s="3264"/>
    </row>
    <row r="9" spans="2:11" ht="12.95" customHeight="1">
      <c r="C9" s="2984" t="s">
        <v>6185</v>
      </c>
      <c r="D9" s="3264"/>
      <c r="E9" s="3264"/>
      <c r="F9" s="3264"/>
      <c r="G9" s="3264"/>
      <c r="H9" s="3264"/>
      <c r="I9" s="3264"/>
      <c r="J9" s="3264"/>
      <c r="K9" s="3264"/>
    </row>
    <row r="10" spans="2:11" ht="12.95" customHeight="1">
      <c r="C10" s="2984" t="s">
        <v>6186</v>
      </c>
      <c r="D10" s="3264"/>
      <c r="E10" s="3264"/>
      <c r="F10" s="3264"/>
      <c r="G10" s="3264"/>
      <c r="H10" s="3264"/>
      <c r="I10" s="3264"/>
      <c r="J10" s="3264"/>
      <c r="K10" s="3264"/>
    </row>
    <row r="11" spans="2:11" ht="12.95" customHeight="1">
      <c r="C11" s="2984" t="s">
        <v>6187</v>
      </c>
      <c r="D11" s="3264"/>
      <c r="E11" s="3264"/>
      <c r="F11" s="3264"/>
      <c r="G11" s="3264"/>
      <c r="H11" s="3264"/>
      <c r="I11" s="3264"/>
      <c r="J11" s="3264"/>
      <c r="K11" s="3264"/>
    </row>
    <row r="12" spans="2:11" ht="12.95" customHeight="1">
      <c r="C12" s="2984" t="s">
        <v>6188</v>
      </c>
      <c r="D12" s="3264"/>
      <c r="E12" s="3264"/>
      <c r="F12" s="3264"/>
      <c r="G12" s="3264"/>
      <c r="H12" s="3264"/>
      <c r="I12" s="3264"/>
      <c r="J12" s="3264"/>
      <c r="K12" s="3264"/>
    </row>
    <row r="13" spans="2:11" ht="12.95" customHeight="1">
      <c r="C13" s="2984" t="s">
        <v>6189</v>
      </c>
      <c r="D13" s="3264"/>
      <c r="E13" s="3264"/>
      <c r="F13" s="3264"/>
      <c r="G13" s="3264"/>
      <c r="H13" s="3264"/>
      <c r="I13" s="3264"/>
      <c r="J13" s="3264"/>
      <c r="K13" s="3264"/>
    </row>
    <row r="14" spans="2:11" ht="12.95" customHeight="1">
      <c r="C14" s="2984" t="s">
        <v>6190</v>
      </c>
      <c r="D14" s="3264"/>
      <c r="E14" s="3264"/>
      <c r="F14" s="3264"/>
      <c r="G14" s="3264"/>
      <c r="H14" s="3264"/>
      <c r="I14" s="3264"/>
      <c r="J14" s="3264"/>
      <c r="K14" s="3264"/>
    </row>
    <row r="15" spans="2:11" ht="12.95" customHeight="1">
      <c r="C15" s="2984" t="s">
        <v>6191</v>
      </c>
      <c r="D15" s="3264"/>
      <c r="E15" s="3264"/>
      <c r="F15" s="3264"/>
      <c r="G15" s="3264"/>
      <c r="H15" s="3264"/>
      <c r="I15" s="3264"/>
      <c r="J15" s="3264"/>
      <c r="K15" s="3264"/>
    </row>
    <row r="16" spans="2:11" ht="5.0999999999999996" customHeight="1">
      <c r="C16" s="1713"/>
      <c r="D16" s="1714"/>
      <c r="E16" s="1714"/>
      <c r="F16" s="1714"/>
      <c r="G16" s="1714"/>
      <c r="H16" s="1714"/>
      <c r="I16" s="1714"/>
      <c r="J16" s="1714"/>
      <c r="K16" s="1714"/>
    </row>
    <row r="17" spans="2:11" ht="12.95" customHeight="1">
      <c r="B17" s="2984" t="s">
        <v>8884</v>
      </c>
      <c r="C17" s="2984"/>
      <c r="D17" s="2984"/>
      <c r="E17" s="2984"/>
      <c r="F17" s="2984"/>
      <c r="G17" s="2984"/>
      <c r="H17" s="2984"/>
      <c r="I17" s="2984"/>
      <c r="J17" s="2984"/>
      <c r="K17" s="2984"/>
    </row>
    <row r="18" spans="2:11" ht="12.95" customHeight="1">
      <c r="C18" s="3264" t="s">
        <v>7275</v>
      </c>
      <c r="D18" s="3264"/>
      <c r="E18" s="3264"/>
      <c r="F18" s="3264"/>
      <c r="G18" s="3264"/>
      <c r="H18" s="3264"/>
      <c r="I18" s="3264"/>
      <c r="J18" s="3264"/>
      <c r="K18" s="3264"/>
    </row>
    <row r="19" spans="2:11" ht="12.95" customHeight="1">
      <c r="C19" s="3264" t="s">
        <v>6192</v>
      </c>
      <c r="D19" s="3264"/>
      <c r="E19" s="3264"/>
      <c r="F19" s="3264"/>
      <c r="G19" s="3264"/>
      <c r="H19" s="3264"/>
      <c r="I19" s="3264"/>
      <c r="J19" s="3264"/>
      <c r="K19" s="3264"/>
    </row>
    <row r="20" spans="2:11" ht="12.95" customHeight="1">
      <c r="C20" s="3264" t="s">
        <v>6193</v>
      </c>
      <c r="D20" s="3264"/>
      <c r="E20" s="3264"/>
      <c r="F20" s="3264"/>
      <c r="G20" s="3264"/>
      <c r="H20" s="3264"/>
      <c r="I20" s="3264"/>
      <c r="J20" s="3264"/>
      <c r="K20" s="3264"/>
    </row>
    <row r="21" spans="2:11" ht="12.95" customHeight="1">
      <c r="C21" s="3264" t="s">
        <v>6194</v>
      </c>
      <c r="D21" s="3264"/>
      <c r="E21" s="3264"/>
      <c r="F21" s="3264"/>
      <c r="G21" s="3264"/>
      <c r="H21" s="3264"/>
      <c r="I21" s="3264"/>
      <c r="J21" s="3264"/>
      <c r="K21" s="3264"/>
    </row>
    <row r="22" spans="2:11" ht="12.95" customHeight="1">
      <c r="C22" s="3264" t="s">
        <v>6195</v>
      </c>
      <c r="D22" s="3264"/>
      <c r="E22" s="3264"/>
      <c r="F22" s="3264"/>
      <c r="G22" s="3264"/>
      <c r="H22" s="3264"/>
      <c r="I22" s="3264"/>
      <c r="J22" s="3264"/>
      <c r="K22" s="3264"/>
    </row>
    <row r="23" spans="2:11" ht="12.95" customHeight="1">
      <c r="C23" s="3264" t="s">
        <v>6196</v>
      </c>
      <c r="D23" s="3264"/>
      <c r="E23" s="3264"/>
      <c r="F23" s="3264"/>
      <c r="G23" s="3264"/>
      <c r="H23" s="3264"/>
      <c r="I23" s="3264"/>
      <c r="J23" s="3264"/>
      <c r="K23" s="3264"/>
    </row>
    <row r="24" spans="2:11" ht="12.95" customHeight="1">
      <c r="C24" s="3264" t="s">
        <v>6197</v>
      </c>
      <c r="D24" s="3264"/>
      <c r="E24" s="3264"/>
      <c r="F24" s="3264"/>
      <c r="G24" s="3264"/>
      <c r="H24" s="3264"/>
      <c r="I24" s="3264"/>
      <c r="J24" s="3264"/>
      <c r="K24" s="3264"/>
    </row>
    <row r="25" spans="2:11" ht="5.0999999999999996" customHeight="1"/>
    <row r="26" spans="2:11" ht="26.1" customHeight="1">
      <c r="B26" s="2984" t="s">
        <v>10052</v>
      </c>
      <c r="C26" s="2984"/>
      <c r="D26" s="2984"/>
      <c r="E26" s="2984"/>
      <c r="F26" s="2984"/>
      <c r="G26" s="2984"/>
      <c r="H26" s="2984"/>
      <c r="I26" s="2984"/>
      <c r="J26" s="2984"/>
      <c r="K26" s="2984"/>
    </row>
    <row r="27" spans="2:11" ht="12.95" customHeight="1">
      <c r="C27" s="2984" t="s">
        <v>6198</v>
      </c>
      <c r="D27" s="3264"/>
      <c r="E27" s="3264"/>
      <c r="F27" s="3264"/>
      <c r="G27" s="3264"/>
      <c r="H27" s="3264"/>
      <c r="I27" s="3264"/>
      <c r="J27" s="3264"/>
      <c r="K27" s="3264"/>
    </row>
    <row r="28" spans="2:11" ht="12.95" customHeight="1">
      <c r="C28" s="2984" t="s">
        <v>6200</v>
      </c>
      <c r="D28" s="3264"/>
      <c r="E28" s="3264"/>
      <c r="F28" s="3264"/>
      <c r="G28" s="3264"/>
      <c r="H28" s="3264"/>
      <c r="I28" s="3264"/>
      <c r="J28" s="3264"/>
      <c r="K28" s="3264"/>
    </row>
    <row r="29" spans="2:11" ht="12.95" customHeight="1">
      <c r="C29" s="2984" t="s">
        <v>6199</v>
      </c>
      <c r="D29" s="3264"/>
      <c r="E29" s="3264"/>
      <c r="F29" s="3264"/>
      <c r="G29" s="3264"/>
      <c r="H29" s="3264"/>
      <c r="I29" s="3264"/>
      <c r="J29" s="3264"/>
      <c r="K29" s="3264"/>
    </row>
    <row r="30" spans="2:11" ht="12.95" customHeight="1">
      <c r="C30" s="2984" t="s">
        <v>6201</v>
      </c>
      <c r="D30" s="3264"/>
      <c r="E30" s="3264"/>
      <c r="F30" s="3264"/>
      <c r="G30" s="3264"/>
      <c r="H30" s="3264"/>
      <c r="I30" s="3264"/>
      <c r="J30" s="3264"/>
      <c r="K30" s="3264"/>
    </row>
    <row r="31" spans="2:11" ht="12.95" customHeight="1">
      <c r="C31" s="2984" t="s">
        <v>6202</v>
      </c>
      <c r="D31" s="3264"/>
      <c r="E31" s="3264"/>
      <c r="F31" s="3264"/>
      <c r="G31" s="3264"/>
      <c r="H31" s="3264"/>
      <c r="I31" s="3264"/>
      <c r="J31" s="3264"/>
      <c r="K31" s="3264"/>
    </row>
    <row r="32" spans="2:11" ht="5.0999999999999996" customHeight="1"/>
    <row r="33" spans="2:11" ht="39" customHeight="1">
      <c r="B33" s="2984" t="s">
        <v>8885</v>
      </c>
      <c r="C33" s="2984"/>
      <c r="D33" s="2984"/>
      <c r="E33" s="2984"/>
      <c r="F33" s="2984"/>
      <c r="G33" s="2984"/>
      <c r="H33" s="2984"/>
      <c r="I33" s="2984"/>
      <c r="J33" s="2984"/>
      <c r="K33" s="2984"/>
    </row>
  </sheetData>
  <sheetProtection autoFilter="0"/>
  <mergeCells count="28">
    <mergeCell ref="B33:K33"/>
    <mergeCell ref="C29:K29"/>
    <mergeCell ref="C30:K30"/>
    <mergeCell ref="C31:K31"/>
    <mergeCell ref="C27:K27"/>
    <mergeCell ref="C28:K28"/>
    <mergeCell ref="B26:K26"/>
    <mergeCell ref="C20:K20"/>
    <mergeCell ref="C21:K21"/>
    <mergeCell ref="C22:K22"/>
    <mergeCell ref="C23:K23"/>
    <mergeCell ref="C24:K24"/>
    <mergeCell ref="C19:K19"/>
    <mergeCell ref="C10:K10"/>
    <mergeCell ref="C11:K11"/>
    <mergeCell ref="C12:K12"/>
    <mergeCell ref="C13:K13"/>
    <mergeCell ref="C14:K14"/>
    <mergeCell ref="C8:K8"/>
    <mergeCell ref="C9:K9"/>
    <mergeCell ref="C15:K15"/>
    <mergeCell ref="B17:K17"/>
    <mergeCell ref="C18:K18"/>
    <mergeCell ref="C1:K1"/>
    <mergeCell ref="B3:K3"/>
    <mergeCell ref="B4:K4"/>
    <mergeCell ref="B6:K6"/>
    <mergeCell ref="B7:K7"/>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drawing r:id="rId2"/>
</worksheet>
</file>

<file path=xl/worksheets/sheet24.xml><?xml version="1.0" encoding="utf-8"?>
<worksheet xmlns="http://schemas.openxmlformats.org/spreadsheetml/2006/main" xmlns:r="http://schemas.openxmlformats.org/officeDocument/2006/relationships">
  <dimension ref="B1:K62"/>
  <sheetViews>
    <sheetView zoomScaleNormal="100" workbookViewId="0">
      <pane ySplit="4" topLeftCell="A5" activePane="bottomLeft" state="frozen"/>
      <selection pane="bottomLeft" activeCell="B1" sqref="B1"/>
    </sheetView>
  </sheetViews>
  <sheetFormatPr defaultRowHeight="12.95" customHeight="1"/>
  <cols>
    <col min="1" max="1" width="3.7109375" style="61" customWidth="1"/>
    <col min="2" max="2" width="16.7109375" style="61" customWidth="1"/>
    <col min="3" max="3" width="10.7109375" style="61" customWidth="1"/>
    <col min="4" max="11" width="12.7109375" style="61" customWidth="1"/>
    <col min="12" max="16384" width="9.140625" style="61"/>
  </cols>
  <sheetData>
    <row r="1" spans="2:11" s="1627" customFormat="1" ht="12.75">
      <c r="B1" s="1629" t="s">
        <v>2706</v>
      </c>
      <c r="C1" s="3265" t="s">
        <v>8269</v>
      </c>
      <c r="D1" s="3265"/>
      <c r="E1" s="3265"/>
      <c r="F1" s="3265"/>
      <c r="G1" s="3265"/>
      <c r="H1" s="3265"/>
      <c r="I1" s="3265"/>
      <c r="J1" s="3265"/>
      <c r="K1" s="3265"/>
    </row>
    <row r="2" spans="2:11" s="288" customFormat="1" ht="5.0999999999999996" customHeight="1"/>
    <row r="3" spans="2:11" ht="12.95" customHeight="1">
      <c r="B3" s="2982" t="s">
        <v>6056</v>
      </c>
      <c r="C3" s="2982"/>
      <c r="D3" s="2982"/>
      <c r="E3" s="2982"/>
      <c r="F3" s="2982"/>
      <c r="G3" s="2982"/>
      <c r="H3" s="2982"/>
      <c r="I3" s="2982"/>
      <c r="J3" s="2982"/>
      <c r="K3" s="2982"/>
    </row>
    <row r="4" spans="2:11" ht="5.0999999999999996" customHeight="1"/>
    <row r="5" spans="2:11" ht="12.95" customHeight="1">
      <c r="B5" s="2984" t="s">
        <v>8886</v>
      </c>
      <c r="C5" s="2984"/>
      <c r="D5" s="2984"/>
      <c r="E5" s="2984"/>
      <c r="F5" s="2984"/>
      <c r="G5" s="2984"/>
      <c r="H5" s="2984"/>
      <c r="I5" s="2984"/>
      <c r="J5" s="2984"/>
      <c r="K5" s="2984"/>
    </row>
    <row r="6" spans="2:11" ht="12.95" customHeight="1">
      <c r="B6" s="2984" t="s">
        <v>8887</v>
      </c>
      <c r="C6" s="2984"/>
      <c r="D6" s="2984"/>
      <c r="E6" s="2984"/>
      <c r="F6" s="2984"/>
      <c r="G6" s="2984"/>
      <c r="H6" s="2984"/>
      <c r="I6" s="2984"/>
      <c r="J6" s="2984"/>
      <c r="K6" s="2984"/>
    </row>
    <row r="7" spans="2:11" ht="12.95" customHeight="1">
      <c r="B7" s="2984" t="s">
        <v>8888</v>
      </c>
      <c r="C7" s="2984"/>
      <c r="D7" s="2984"/>
      <c r="E7" s="2984"/>
      <c r="F7" s="2984"/>
      <c r="G7" s="2984"/>
      <c r="H7" s="2984"/>
      <c r="I7" s="2984"/>
      <c r="J7" s="2984"/>
      <c r="K7" s="2984"/>
    </row>
    <row r="8" spans="2:11" ht="12.95" customHeight="1">
      <c r="B8" s="2984" t="s">
        <v>8889</v>
      </c>
      <c r="C8" s="2984"/>
      <c r="D8" s="2984"/>
      <c r="E8" s="2984"/>
      <c r="F8" s="2984"/>
      <c r="G8" s="2984"/>
      <c r="H8" s="2984"/>
      <c r="I8" s="2984"/>
      <c r="J8" s="2984"/>
      <c r="K8" s="2984"/>
    </row>
    <row r="9" spans="2:11" ht="26.1" customHeight="1">
      <c r="B9" s="2984" t="s">
        <v>8890</v>
      </c>
      <c r="C9" s="2984"/>
      <c r="D9" s="2984"/>
      <c r="E9" s="2984"/>
      <c r="F9" s="2984"/>
      <c r="G9" s="2984"/>
      <c r="H9" s="2984"/>
      <c r="I9" s="2984"/>
      <c r="J9" s="2984"/>
      <c r="K9" s="2984"/>
    </row>
    <row r="10" spans="2:11" ht="5.0999999999999996" customHeight="1"/>
    <row r="11" spans="2:11" ht="13.5" thickBot="1">
      <c r="B11" s="2987" t="s">
        <v>8891</v>
      </c>
      <c r="C11" s="2987"/>
      <c r="D11" s="2987"/>
      <c r="E11" s="2987"/>
      <c r="F11" s="2987"/>
      <c r="G11" s="2987"/>
      <c r="H11" s="2987"/>
      <c r="I11" s="2987"/>
      <c r="J11" s="2987"/>
      <c r="K11" s="2987"/>
    </row>
    <row r="12" spans="2:11" ht="26.1" customHeight="1" thickBot="1">
      <c r="B12" s="1628"/>
      <c r="C12" s="3308" t="s">
        <v>6059</v>
      </c>
      <c r="D12" s="3309"/>
      <c r="E12" s="3310"/>
      <c r="F12" s="3280" t="s">
        <v>6018</v>
      </c>
      <c r="G12" s="3278"/>
      <c r="H12" s="3278" t="s">
        <v>6017</v>
      </c>
      <c r="I12" s="3278"/>
      <c r="J12" s="3278" t="s">
        <v>6016</v>
      </c>
      <c r="K12" s="3003"/>
    </row>
    <row r="13" spans="2:11" ht="12.75">
      <c r="B13" s="3018" t="s">
        <v>6057</v>
      </c>
      <c r="C13" s="3275" t="s">
        <v>6019</v>
      </c>
      <c r="D13" s="3276"/>
      <c r="E13" s="3277"/>
      <c r="F13" s="3279" t="s">
        <v>6038</v>
      </c>
      <c r="G13" s="3276"/>
      <c r="H13" s="3276" t="s">
        <v>6039</v>
      </c>
      <c r="I13" s="3276"/>
      <c r="J13" s="3276" t="s">
        <v>6041</v>
      </c>
      <c r="K13" s="3277"/>
    </row>
    <row r="14" spans="2:11" ht="12.95" customHeight="1">
      <c r="B14" s="3286"/>
      <c r="C14" s="3030" t="s">
        <v>6020</v>
      </c>
      <c r="D14" s="3274"/>
      <c r="E14" s="3031"/>
      <c r="F14" s="3292" t="s">
        <v>6039</v>
      </c>
      <c r="G14" s="3293"/>
      <c r="H14" s="3274" t="s">
        <v>6040</v>
      </c>
      <c r="I14" s="3274"/>
      <c r="J14" s="3269" t="s">
        <v>6042</v>
      </c>
      <c r="K14" s="3270"/>
    </row>
    <row r="15" spans="2:11" ht="12.95" customHeight="1">
      <c r="B15" s="3286"/>
      <c r="C15" s="3028" t="s">
        <v>6021</v>
      </c>
      <c r="D15" s="3273"/>
      <c r="E15" s="3029"/>
      <c r="F15" s="3298"/>
      <c r="G15" s="3299"/>
      <c r="H15" s="3273" t="s">
        <v>6041</v>
      </c>
      <c r="I15" s="3273"/>
      <c r="J15" s="3306"/>
      <c r="K15" s="3023"/>
    </row>
    <row r="16" spans="2:11" ht="12.95" customHeight="1">
      <c r="B16" s="3286"/>
      <c r="C16" s="3030" t="s">
        <v>6022</v>
      </c>
      <c r="D16" s="3274"/>
      <c r="E16" s="3031"/>
      <c r="F16" s="3281" t="s">
        <v>6040</v>
      </c>
      <c r="G16" s="3282"/>
      <c r="H16" s="3269" t="s">
        <v>6042</v>
      </c>
      <c r="I16" s="3293"/>
      <c r="J16" s="3274" t="s">
        <v>6043</v>
      </c>
      <c r="K16" s="3031"/>
    </row>
    <row r="17" spans="2:11" ht="12.95" customHeight="1">
      <c r="B17" s="3286"/>
      <c r="C17" s="3028" t="s">
        <v>6023</v>
      </c>
      <c r="D17" s="3273"/>
      <c r="E17" s="3029"/>
      <c r="F17" s="3283" t="s">
        <v>6041</v>
      </c>
      <c r="G17" s="3284"/>
      <c r="H17" s="3306"/>
      <c r="I17" s="3299"/>
      <c r="J17" s="3273" t="s">
        <v>6044</v>
      </c>
      <c r="K17" s="3029"/>
    </row>
    <row r="18" spans="2:11" ht="12.95" customHeight="1">
      <c r="B18" s="3286"/>
      <c r="C18" s="3030" t="s">
        <v>6024</v>
      </c>
      <c r="D18" s="3274"/>
      <c r="E18" s="3031"/>
      <c r="F18" s="3292" t="s">
        <v>6042</v>
      </c>
      <c r="G18" s="3293"/>
      <c r="H18" s="3274" t="s">
        <v>6043</v>
      </c>
      <c r="I18" s="3274"/>
      <c r="J18" s="3269" t="s">
        <v>6045</v>
      </c>
      <c r="K18" s="3270"/>
    </row>
    <row r="19" spans="2:11" ht="12.95" customHeight="1">
      <c r="B19" s="3286"/>
      <c r="C19" s="3028" t="s">
        <v>6025</v>
      </c>
      <c r="D19" s="3273"/>
      <c r="E19" s="3029"/>
      <c r="F19" s="3298"/>
      <c r="G19" s="3299"/>
      <c r="H19" s="3273" t="s">
        <v>6044</v>
      </c>
      <c r="I19" s="3273"/>
      <c r="J19" s="3306"/>
      <c r="K19" s="3023"/>
    </row>
    <row r="20" spans="2:11" ht="12.95" customHeight="1">
      <c r="B20" s="3286"/>
      <c r="C20" s="3030" t="s">
        <v>6026</v>
      </c>
      <c r="D20" s="3274"/>
      <c r="E20" s="3031"/>
      <c r="F20" s="3282" t="s">
        <v>6043</v>
      </c>
      <c r="G20" s="3274"/>
      <c r="H20" s="3269" t="s">
        <v>6045</v>
      </c>
      <c r="I20" s="3293"/>
      <c r="J20" s="3274" t="s">
        <v>6046</v>
      </c>
      <c r="K20" s="3031"/>
    </row>
    <row r="21" spans="2:11" ht="12.95" customHeight="1">
      <c r="B21" s="3286"/>
      <c r="C21" s="3028" t="s">
        <v>6027</v>
      </c>
      <c r="D21" s="3273"/>
      <c r="E21" s="3029"/>
      <c r="F21" s="3284" t="s">
        <v>6044</v>
      </c>
      <c r="G21" s="3273"/>
      <c r="H21" s="3306"/>
      <c r="I21" s="3299"/>
      <c r="J21" s="3273" t="s">
        <v>6047</v>
      </c>
      <c r="K21" s="3029"/>
    </row>
    <row r="22" spans="2:11" ht="12.95" customHeight="1">
      <c r="B22" s="3286"/>
      <c r="C22" s="3030" t="s">
        <v>6028</v>
      </c>
      <c r="D22" s="3274"/>
      <c r="E22" s="3031"/>
      <c r="F22" s="3292" t="s">
        <v>6045</v>
      </c>
      <c r="G22" s="3293"/>
      <c r="H22" s="3274" t="s">
        <v>6046</v>
      </c>
      <c r="I22" s="3274"/>
      <c r="J22" s="3269" t="s">
        <v>6048</v>
      </c>
      <c r="K22" s="3270"/>
    </row>
    <row r="23" spans="2:11" ht="12.95" customHeight="1">
      <c r="B23" s="3286"/>
      <c r="C23" s="3028" t="s">
        <v>6029</v>
      </c>
      <c r="D23" s="3273"/>
      <c r="E23" s="3029"/>
      <c r="F23" s="3298"/>
      <c r="G23" s="3299"/>
      <c r="H23" s="3273" t="s">
        <v>6047</v>
      </c>
      <c r="I23" s="3273"/>
      <c r="J23" s="3306"/>
      <c r="K23" s="3023"/>
    </row>
    <row r="24" spans="2:11" ht="12.95" customHeight="1">
      <c r="B24" s="3286"/>
      <c r="C24" s="3030" t="s">
        <v>6030</v>
      </c>
      <c r="D24" s="3274"/>
      <c r="E24" s="3031"/>
      <c r="F24" s="3282" t="s">
        <v>6046</v>
      </c>
      <c r="G24" s="3274"/>
      <c r="H24" s="3269" t="s">
        <v>6048</v>
      </c>
      <c r="I24" s="3293"/>
      <c r="J24" s="3274" t="s">
        <v>6049</v>
      </c>
      <c r="K24" s="3031"/>
    </row>
    <row r="25" spans="2:11" ht="12.95" customHeight="1">
      <c r="B25" s="3286"/>
      <c r="C25" s="3028" t="s">
        <v>6031</v>
      </c>
      <c r="D25" s="3273"/>
      <c r="E25" s="3029"/>
      <c r="F25" s="3284" t="s">
        <v>6047</v>
      </c>
      <c r="G25" s="3273"/>
      <c r="H25" s="3306"/>
      <c r="I25" s="3299"/>
      <c r="J25" s="3273" t="s">
        <v>6050</v>
      </c>
      <c r="K25" s="3029"/>
    </row>
    <row r="26" spans="2:11" ht="12.95" customHeight="1">
      <c r="B26" s="3286"/>
      <c r="C26" s="3030" t="s">
        <v>6032</v>
      </c>
      <c r="D26" s="3274"/>
      <c r="E26" s="3031"/>
      <c r="F26" s="3292" t="s">
        <v>6048</v>
      </c>
      <c r="G26" s="3293"/>
      <c r="H26" s="3274" t="s">
        <v>6049</v>
      </c>
      <c r="I26" s="3274"/>
      <c r="J26" s="3269" t="s">
        <v>6051</v>
      </c>
      <c r="K26" s="3270"/>
    </row>
    <row r="27" spans="2:11" ht="12.95" customHeight="1">
      <c r="B27" s="3286"/>
      <c r="C27" s="3028" t="s">
        <v>6033</v>
      </c>
      <c r="D27" s="3273"/>
      <c r="E27" s="3029"/>
      <c r="F27" s="3298"/>
      <c r="G27" s="3299"/>
      <c r="H27" s="3273" t="s">
        <v>6050</v>
      </c>
      <c r="I27" s="3273"/>
      <c r="J27" s="3306"/>
      <c r="K27" s="3023"/>
    </row>
    <row r="28" spans="2:11" ht="12.95" customHeight="1">
      <c r="B28" s="3286"/>
      <c r="C28" s="3030" t="s">
        <v>6034</v>
      </c>
      <c r="D28" s="3274"/>
      <c r="E28" s="3031"/>
      <c r="F28" s="3282" t="s">
        <v>6049</v>
      </c>
      <c r="G28" s="3274"/>
      <c r="H28" s="3269" t="s">
        <v>6051</v>
      </c>
      <c r="I28" s="3293"/>
      <c r="J28" s="3274" t="s">
        <v>6052</v>
      </c>
      <c r="K28" s="3031"/>
    </row>
    <row r="29" spans="2:11" ht="12.95" customHeight="1">
      <c r="B29" s="3286"/>
      <c r="C29" s="3028" t="s">
        <v>6035</v>
      </c>
      <c r="D29" s="3273"/>
      <c r="E29" s="3029"/>
      <c r="F29" s="3284" t="s">
        <v>6050</v>
      </c>
      <c r="G29" s="3273"/>
      <c r="H29" s="3306"/>
      <c r="I29" s="3299"/>
      <c r="J29" s="3273" t="s">
        <v>6053</v>
      </c>
      <c r="K29" s="3029"/>
    </row>
    <row r="30" spans="2:11" ht="12.95" customHeight="1">
      <c r="B30" s="3286"/>
      <c r="C30" s="3030" t="s">
        <v>6036</v>
      </c>
      <c r="D30" s="3274"/>
      <c r="E30" s="3031"/>
      <c r="F30" s="3292" t="s">
        <v>6051</v>
      </c>
      <c r="G30" s="3293"/>
      <c r="H30" s="3274" t="s">
        <v>6052</v>
      </c>
      <c r="I30" s="3274"/>
      <c r="J30" s="3269" t="s">
        <v>6054</v>
      </c>
      <c r="K30" s="3270"/>
    </row>
    <row r="31" spans="2:11" ht="12.95" customHeight="1" thickBot="1">
      <c r="B31" s="3287"/>
      <c r="C31" s="3296" t="s">
        <v>6037</v>
      </c>
      <c r="D31" s="3285"/>
      <c r="E31" s="3297"/>
      <c r="F31" s="3294"/>
      <c r="G31" s="3295"/>
      <c r="H31" s="3285" t="s">
        <v>6053</v>
      </c>
      <c r="I31" s="3285"/>
      <c r="J31" s="3271"/>
      <c r="K31" s="3272"/>
    </row>
    <row r="32" spans="2:11" ht="12.95" customHeight="1">
      <c r="B32" s="3018" t="s">
        <v>6058</v>
      </c>
      <c r="C32" s="3288" t="s">
        <v>6019</v>
      </c>
      <c r="D32" s="3289"/>
      <c r="E32" s="3290"/>
      <c r="F32" s="3291" t="s">
        <v>6055</v>
      </c>
      <c r="G32" s="3289"/>
      <c r="H32" s="3289" t="s">
        <v>6038</v>
      </c>
      <c r="I32" s="3289"/>
      <c r="J32" s="3289" t="s">
        <v>6039</v>
      </c>
      <c r="K32" s="3290"/>
    </row>
    <row r="33" spans="2:11" ht="12.95" customHeight="1">
      <c r="B33" s="3286"/>
      <c r="C33" s="3028" t="s">
        <v>6020</v>
      </c>
      <c r="D33" s="3273"/>
      <c r="E33" s="3029"/>
      <c r="F33" s="3292" t="s">
        <v>6038</v>
      </c>
      <c r="G33" s="3293"/>
      <c r="H33" s="3269" t="s">
        <v>6039</v>
      </c>
      <c r="I33" s="3293"/>
      <c r="J33" s="3269" t="s">
        <v>6040</v>
      </c>
      <c r="K33" s="3270"/>
    </row>
    <row r="34" spans="2:11" ht="12.95" customHeight="1">
      <c r="B34" s="3286"/>
      <c r="C34" s="3030" t="s">
        <v>6021</v>
      </c>
      <c r="D34" s="3274"/>
      <c r="E34" s="3031"/>
      <c r="F34" s="3298"/>
      <c r="G34" s="3299"/>
      <c r="H34" s="3306"/>
      <c r="I34" s="3299"/>
      <c r="J34" s="3306"/>
      <c r="K34" s="3023"/>
    </row>
    <row r="35" spans="2:11" ht="12.95" customHeight="1">
      <c r="B35" s="3286"/>
      <c r="C35" s="3028" t="s">
        <v>6022</v>
      </c>
      <c r="D35" s="3273"/>
      <c r="E35" s="3029"/>
      <c r="F35" s="3300" t="s">
        <v>6039</v>
      </c>
      <c r="G35" s="3301"/>
      <c r="H35" s="3304" t="s">
        <v>6040</v>
      </c>
      <c r="I35" s="3301"/>
      <c r="J35" s="3304" t="s">
        <v>6041</v>
      </c>
      <c r="K35" s="3311"/>
    </row>
    <row r="36" spans="2:11" ht="12.95" customHeight="1">
      <c r="B36" s="3286"/>
      <c r="C36" s="3030" t="s">
        <v>6023</v>
      </c>
      <c r="D36" s="3274"/>
      <c r="E36" s="3031"/>
      <c r="F36" s="3302"/>
      <c r="G36" s="3303"/>
      <c r="H36" s="3305"/>
      <c r="I36" s="3303"/>
      <c r="J36" s="3305"/>
      <c r="K36" s="3312"/>
    </row>
    <row r="37" spans="2:11" ht="12.95" customHeight="1">
      <c r="B37" s="3286"/>
      <c r="C37" s="3028" t="s">
        <v>6024</v>
      </c>
      <c r="D37" s="3273"/>
      <c r="E37" s="3029"/>
      <c r="F37" s="3292" t="s">
        <v>6040</v>
      </c>
      <c r="G37" s="3293"/>
      <c r="H37" s="3269" t="s">
        <v>6041</v>
      </c>
      <c r="I37" s="3293"/>
      <c r="J37" s="3269" t="s">
        <v>6042</v>
      </c>
      <c r="K37" s="3270"/>
    </row>
    <row r="38" spans="2:11" ht="12.95" customHeight="1">
      <c r="B38" s="3286"/>
      <c r="C38" s="3030" t="s">
        <v>6025</v>
      </c>
      <c r="D38" s="3274"/>
      <c r="E38" s="3031"/>
      <c r="F38" s="3298"/>
      <c r="G38" s="3299"/>
      <c r="H38" s="3306"/>
      <c r="I38" s="3299"/>
      <c r="J38" s="3306"/>
      <c r="K38" s="3023"/>
    </row>
    <row r="39" spans="2:11" ht="12.95" customHeight="1">
      <c r="B39" s="3286"/>
      <c r="C39" s="3028" t="s">
        <v>6026</v>
      </c>
      <c r="D39" s="3273"/>
      <c r="E39" s="3029"/>
      <c r="F39" s="3300" t="s">
        <v>6041</v>
      </c>
      <c r="G39" s="3301"/>
      <c r="H39" s="3304" t="s">
        <v>6042</v>
      </c>
      <c r="I39" s="3301"/>
      <c r="J39" s="3304" t="s">
        <v>6043</v>
      </c>
      <c r="K39" s="3311"/>
    </row>
    <row r="40" spans="2:11" ht="12.95" customHeight="1">
      <c r="B40" s="3286"/>
      <c r="C40" s="3030" t="s">
        <v>6027</v>
      </c>
      <c r="D40" s="3274"/>
      <c r="E40" s="3031"/>
      <c r="F40" s="3302"/>
      <c r="G40" s="3303"/>
      <c r="H40" s="3305"/>
      <c r="I40" s="3303"/>
      <c r="J40" s="3305"/>
      <c r="K40" s="3312"/>
    </row>
    <row r="41" spans="2:11" ht="12.95" customHeight="1">
      <c r="B41" s="3286"/>
      <c r="C41" s="3028" t="s">
        <v>6028</v>
      </c>
      <c r="D41" s="3273"/>
      <c r="E41" s="3029"/>
      <c r="F41" s="3292" t="s">
        <v>6042</v>
      </c>
      <c r="G41" s="3293"/>
      <c r="H41" s="3269" t="s">
        <v>6043</v>
      </c>
      <c r="I41" s="3293"/>
      <c r="J41" s="3269" t="s">
        <v>6044</v>
      </c>
      <c r="K41" s="3270"/>
    </row>
    <row r="42" spans="2:11" ht="12.95" customHeight="1">
      <c r="B42" s="3286"/>
      <c r="C42" s="3030" t="s">
        <v>6029</v>
      </c>
      <c r="D42" s="3274"/>
      <c r="E42" s="3031"/>
      <c r="F42" s="3298"/>
      <c r="G42" s="3299"/>
      <c r="H42" s="3306"/>
      <c r="I42" s="3299"/>
      <c r="J42" s="3306"/>
      <c r="K42" s="3023"/>
    </row>
    <row r="43" spans="2:11" ht="12.95" customHeight="1">
      <c r="B43" s="3286"/>
      <c r="C43" s="3028" t="s">
        <v>6030</v>
      </c>
      <c r="D43" s="3273"/>
      <c r="E43" s="3029"/>
      <c r="F43" s="3300" t="s">
        <v>6043</v>
      </c>
      <c r="G43" s="3301"/>
      <c r="H43" s="3304" t="s">
        <v>6044</v>
      </c>
      <c r="I43" s="3301"/>
      <c r="J43" s="3304" t="s">
        <v>6045</v>
      </c>
      <c r="K43" s="3311"/>
    </row>
    <row r="44" spans="2:11" ht="12.95" customHeight="1">
      <c r="B44" s="3286"/>
      <c r="C44" s="3030" t="s">
        <v>6031</v>
      </c>
      <c r="D44" s="3274"/>
      <c r="E44" s="3031"/>
      <c r="F44" s="3302"/>
      <c r="G44" s="3303"/>
      <c r="H44" s="3305"/>
      <c r="I44" s="3303"/>
      <c r="J44" s="3305"/>
      <c r="K44" s="3312"/>
    </row>
    <row r="45" spans="2:11" ht="12.95" customHeight="1">
      <c r="B45" s="3286"/>
      <c r="C45" s="3028" t="s">
        <v>6032</v>
      </c>
      <c r="D45" s="3273"/>
      <c r="E45" s="3029"/>
      <c r="F45" s="3292" t="s">
        <v>6044</v>
      </c>
      <c r="G45" s="3293"/>
      <c r="H45" s="3269" t="s">
        <v>6045</v>
      </c>
      <c r="I45" s="3293"/>
      <c r="J45" s="3269" t="s">
        <v>6046</v>
      </c>
      <c r="K45" s="3270"/>
    </row>
    <row r="46" spans="2:11" ht="12.95" customHeight="1">
      <c r="B46" s="3286"/>
      <c r="C46" s="3030" t="s">
        <v>6033</v>
      </c>
      <c r="D46" s="3274"/>
      <c r="E46" s="3031"/>
      <c r="F46" s="3298"/>
      <c r="G46" s="3299"/>
      <c r="H46" s="3306"/>
      <c r="I46" s="3299"/>
      <c r="J46" s="3306"/>
      <c r="K46" s="3023"/>
    </row>
    <row r="47" spans="2:11" ht="12.95" customHeight="1">
      <c r="B47" s="3286"/>
      <c r="C47" s="3028" t="s">
        <v>6034</v>
      </c>
      <c r="D47" s="3273"/>
      <c r="E47" s="3029"/>
      <c r="F47" s="3300" t="s">
        <v>6045</v>
      </c>
      <c r="G47" s="3301"/>
      <c r="H47" s="3304" t="s">
        <v>6046</v>
      </c>
      <c r="I47" s="3301"/>
      <c r="J47" s="3304" t="s">
        <v>6047</v>
      </c>
      <c r="K47" s="3311"/>
    </row>
    <row r="48" spans="2:11" ht="12.95" customHeight="1">
      <c r="B48" s="3286"/>
      <c r="C48" s="3030" t="s">
        <v>6035</v>
      </c>
      <c r="D48" s="3274"/>
      <c r="E48" s="3031"/>
      <c r="F48" s="3302"/>
      <c r="G48" s="3303"/>
      <c r="H48" s="3305"/>
      <c r="I48" s="3303"/>
      <c r="J48" s="3305"/>
      <c r="K48" s="3312"/>
    </row>
    <row r="49" spans="2:11" ht="12.95" customHeight="1">
      <c r="B49" s="3286"/>
      <c r="C49" s="3028" t="s">
        <v>6036</v>
      </c>
      <c r="D49" s="3273"/>
      <c r="E49" s="3029"/>
      <c r="F49" s="3292" t="s">
        <v>6046</v>
      </c>
      <c r="G49" s="3293"/>
      <c r="H49" s="3269" t="s">
        <v>6047</v>
      </c>
      <c r="I49" s="3293"/>
      <c r="J49" s="3269" t="s">
        <v>6048</v>
      </c>
      <c r="K49" s="3270"/>
    </row>
    <row r="50" spans="2:11" ht="12.95" customHeight="1" thickBot="1">
      <c r="B50" s="3287"/>
      <c r="C50" s="3016" t="s">
        <v>6037</v>
      </c>
      <c r="D50" s="3307"/>
      <c r="E50" s="3017"/>
      <c r="F50" s="3294"/>
      <c r="G50" s="3295"/>
      <c r="H50" s="3271"/>
      <c r="I50" s="3295"/>
      <c r="J50" s="3271"/>
      <c r="K50" s="3272"/>
    </row>
    <row r="51" spans="2:11" ht="5.0999999999999996" customHeight="1">
      <c r="B51" s="860"/>
      <c r="C51" s="1632"/>
      <c r="D51" s="1632"/>
      <c r="E51" s="1632"/>
      <c r="F51" s="860"/>
      <c r="G51" s="860"/>
      <c r="H51" s="860"/>
      <c r="I51" s="860"/>
      <c r="J51" s="860"/>
      <c r="K51" s="860"/>
    </row>
    <row r="52" spans="2:11" ht="12.95" customHeight="1">
      <c r="B52" s="2987" t="s">
        <v>8892</v>
      </c>
      <c r="C52" s="2987"/>
      <c r="D52" s="2987"/>
      <c r="E52" s="2987"/>
      <c r="F52" s="2987"/>
      <c r="G52" s="2987"/>
      <c r="H52" s="2987"/>
      <c r="I52" s="2987"/>
      <c r="J52" s="2987"/>
      <c r="K52" s="2987"/>
    </row>
    <row r="53" spans="2:11" ht="12.75">
      <c r="B53" s="2984" t="s">
        <v>8893</v>
      </c>
      <c r="C53" s="2984"/>
      <c r="D53" s="2984"/>
      <c r="E53" s="2984"/>
      <c r="F53" s="2984"/>
      <c r="G53" s="2984"/>
      <c r="H53" s="2984"/>
      <c r="I53" s="2984"/>
      <c r="J53" s="2984"/>
      <c r="K53" s="2984"/>
    </row>
    <row r="54" spans="2:11" ht="12.75">
      <c r="B54" s="1630"/>
      <c r="C54" s="3036" t="s">
        <v>6084</v>
      </c>
      <c r="D54" s="3036"/>
      <c r="E54" s="3036"/>
      <c r="F54" s="3036"/>
      <c r="G54" s="3036"/>
      <c r="H54" s="3036"/>
      <c r="I54" s="3036"/>
      <c r="J54" s="3036"/>
      <c r="K54" s="3036"/>
    </row>
    <row r="55" spans="2:11" ht="12.75">
      <c r="B55" s="1630"/>
      <c r="C55" s="3036" t="s">
        <v>6085</v>
      </c>
      <c r="D55" s="3036"/>
      <c r="E55" s="3036"/>
      <c r="F55" s="3036"/>
      <c r="G55" s="3036"/>
      <c r="H55" s="3036"/>
      <c r="I55" s="3036"/>
      <c r="J55" s="3036"/>
      <c r="K55" s="3036"/>
    </row>
    <row r="56" spans="2:11" ht="12.75">
      <c r="B56" s="1630"/>
      <c r="C56" s="3036" t="s">
        <v>6086</v>
      </c>
      <c r="D56" s="3036"/>
      <c r="E56" s="3036"/>
      <c r="F56" s="3036"/>
      <c r="G56" s="3036"/>
      <c r="H56" s="3036"/>
      <c r="I56" s="3036"/>
      <c r="J56" s="3036"/>
      <c r="K56" s="3036"/>
    </row>
    <row r="57" spans="2:11" ht="12.75">
      <c r="B57" s="1630"/>
      <c r="C57" s="3036" t="s">
        <v>6241</v>
      </c>
      <c r="D57" s="3036"/>
      <c r="E57" s="3036"/>
      <c r="F57" s="3036"/>
      <c r="G57" s="3036"/>
      <c r="H57" s="3036"/>
      <c r="I57" s="3036"/>
      <c r="J57" s="3036"/>
      <c r="K57" s="3036"/>
    </row>
    <row r="58" spans="2:11" ht="12.75">
      <c r="B58" s="1791"/>
      <c r="C58" s="3036" t="s">
        <v>6087</v>
      </c>
      <c r="D58" s="3036"/>
      <c r="E58" s="3036"/>
      <c r="F58" s="3036"/>
      <c r="G58" s="3036"/>
      <c r="H58" s="3036"/>
      <c r="I58" s="3036"/>
      <c r="J58" s="3036"/>
      <c r="K58" s="3036"/>
    </row>
    <row r="59" spans="2:11" ht="12.75">
      <c r="B59" s="1630"/>
      <c r="C59" s="3036" t="s">
        <v>6088</v>
      </c>
      <c r="D59" s="3036"/>
      <c r="E59" s="3036"/>
      <c r="F59" s="3036"/>
      <c r="G59" s="3036"/>
      <c r="H59" s="3036"/>
      <c r="I59" s="3036"/>
      <c r="J59" s="3036"/>
      <c r="K59" s="3036"/>
    </row>
    <row r="60" spans="2:11" ht="12.75">
      <c r="B60" s="1630"/>
      <c r="C60" s="3036" t="s">
        <v>6089</v>
      </c>
      <c r="D60" s="3036"/>
      <c r="E60" s="3036"/>
      <c r="F60" s="3036"/>
      <c r="G60" s="3036"/>
      <c r="H60" s="3036"/>
      <c r="I60" s="3036"/>
      <c r="J60" s="3036"/>
      <c r="K60" s="3036"/>
    </row>
    <row r="61" spans="2:11" ht="5.0999999999999996" customHeight="1">
      <c r="B61" s="1630"/>
      <c r="C61" s="3036"/>
      <c r="D61" s="3036"/>
      <c r="E61" s="3036"/>
      <c r="F61" s="3036"/>
      <c r="G61" s="3036"/>
      <c r="H61" s="3036"/>
      <c r="I61" s="3036"/>
      <c r="J61" s="3036"/>
      <c r="K61" s="3036"/>
    </row>
    <row r="62" spans="2:11" ht="12.75">
      <c r="B62" s="2984" t="s">
        <v>8894</v>
      </c>
      <c r="C62" s="2984"/>
      <c r="D62" s="2984"/>
      <c r="E62" s="2984"/>
      <c r="F62" s="2984"/>
      <c r="G62" s="2984"/>
      <c r="H62" s="2984"/>
      <c r="I62" s="2984"/>
      <c r="J62" s="2984"/>
      <c r="K62" s="2984"/>
    </row>
  </sheetData>
  <sheetProtection autoFilter="0"/>
  <mergeCells count="136">
    <mergeCell ref="J35:K36"/>
    <mergeCell ref="J37:K38"/>
    <mergeCell ref="J39:K40"/>
    <mergeCell ref="J41:K42"/>
    <mergeCell ref="J43:K44"/>
    <mergeCell ref="J45:K46"/>
    <mergeCell ref="H37:I38"/>
    <mergeCell ref="H39:I40"/>
    <mergeCell ref="H41:I42"/>
    <mergeCell ref="H43:I44"/>
    <mergeCell ref="H45:I46"/>
    <mergeCell ref="F45:G46"/>
    <mergeCell ref="F47:G48"/>
    <mergeCell ref="F49:G50"/>
    <mergeCell ref="C46:E46"/>
    <mergeCell ref="C43:E43"/>
    <mergeCell ref="C44:E44"/>
    <mergeCell ref="C41:E41"/>
    <mergeCell ref="C42:E42"/>
    <mergeCell ref="C39:E39"/>
    <mergeCell ref="C40:E40"/>
    <mergeCell ref="B11:K11"/>
    <mergeCell ref="B52:K52"/>
    <mergeCell ref="H16:I17"/>
    <mergeCell ref="H20:I21"/>
    <mergeCell ref="H24:I25"/>
    <mergeCell ref="H28:I29"/>
    <mergeCell ref="J14:K15"/>
    <mergeCell ref="J18:K19"/>
    <mergeCell ref="J22:K23"/>
    <mergeCell ref="J26:K27"/>
    <mergeCell ref="C50:E50"/>
    <mergeCell ref="C12:E12"/>
    <mergeCell ref="F14:G15"/>
    <mergeCell ref="F18:G19"/>
    <mergeCell ref="F22:G23"/>
    <mergeCell ref="F26:G27"/>
    <mergeCell ref="C48:E48"/>
    <mergeCell ref="C49:E49"/>
    <mergeCell ref="H49:I50"/>
    <mergeCell ref="J47:K48"/>
    <mergeCell ref="C45:E45"/>
    <mergeCell ref="H47:I48"/>
    <mergeCell ref="F39:G40"/>
    <mergeCell ref="F41:G42"/>
    <mergeCell ref="H31:I31"/>
    <mergeCell ref="B32:B50"/>
    <mergeCell ref="C32:E32"/>
    <mergeCell ref="F32:G32"/>
    <mergeCell ref="H32:I32"/>
    <mergeCell ref="J32:K32"/>
    <mergeCell ref="C33:E33"/>
    <mergeCell ref="F29:G29"/>
    <mergeCell ref="J29:K29"/>
    <mergeCell ref="H30:I30"/>
    <mergeCell ref="F30:G31"/>
    <mergeCell ref="J30:K31"/>
    <mergeCell ref="C31:E31"/>
    <mergeCell ref="B13:B31"/>
    <mergeCell ref="F37:G38"/>
    <mergeCell ref="C36:E36"/>
    <mergeCell ref="C37:E37"/>
    <mergeCell ref="F35:G36"/>
    <mergeCell ref="H35:I36"/>
    <mergeCell ref="C35:E35"/>
    <mergeCell ref="F33:G34"/>
    <mergeCell ref="H33:I34"/>
    <mergeCell ref="J33:K34"/>
    <mergeCell ref="F43:G44"/>
    <mergeCell ref="F21:G21"/>
    <mergeCell ref="J21:K21"/>
    <mergeCell ref="H22:I22"/>
    <mergeCell ref="H18:I18"/>
    <mergeCell ref="H19:I19"/>
    <mergeCell ref="F20:G20"/>
    <mergeCell ref="J20:K20"/>
    <mergeCell ref="C29:E29"/>
    <mergeCell ref="C30:E30"/>
    <mergeCell ref="C25:E25"/>
    <mergeCell ref="H27:I27"/>
    <mergeCell ref="F28:G28"/>
    <mergeCell ref="J28:K28"/>
    <mergeCell ref="F25:G25"/>
    <mergeCell ref="J25:K25"/>
    <mergeCell ref="H26:I26"/>
    <mergeCell ref="H23:I23"/>
    <mergeCell ref="F24:G24"/>
    <mergeCell ref="J24:K24"/>
    <mergeCell ref="C60:K60"/>
    <mergeCell ref="C61:K61"/>
    <mergeCell ref="B62:K62"/>
    <mergeCell ref="B5:K5"/>
    <mergeCell ref="B6:K6"/>
    <mergeCell ref="B7:K7"/>
    <mergeCell ref="B8:K8"/>
    <mergeCell ref="B9:K9"/>
    <mergeCell ref="H14:I14"/>
    <mergeCell ref="H15:I15"/>
    <mergeCell ref="H12:I12"/>
    <mergeCell ref="F13:G13"/>
    <mergeCell ref="H13:I13"/>
    <mergeCell ref="J13:K13"/>
    <mergeCell ref="F12:G12"/>
    <mergeCell ref="J12:K12"/>
    <mergeCell ref="F16:G16"/>
    <mergeCell ref="J16:K16"/>
    <mergeCell ref="C20:E20"/>
    <mergeCell ref="C21:E21"/>
    <mergeCell ref="C22:E22"/>
    <mergeCell ref="C23:E23"/>
    <mergeCell ref="C24:E24"/>
    <mergeCell ref="F17:G17"/>
    <mergeCell ref="C1:K1"/>
    <mergeCell ref="B3:K3"/>
    <mergeCell ref="B53:K53"/>
    <mergeCell ref="C54:K54"/>
    <mergeCell ref="C55:K55"/>
    <mergeCell ref="C56:K56"/>
    <mergeCell ref="C57:K57"/>
    <mergeCell ref="C58:K58"/>
    <mergeCell ref="C59:K59"/>
    <mergeCell ref="J49:K50"/>
    <mergeCell ref="C47:E47"/>
    <mergeCell ref="C38:E38"/>
    <mergeCell ref="C34:E34"/>
    <mergeCell ref="C26:E26"/>
    <mergeCell ref="C27:E27"/>
    <mergeCell ref="C28:E28"/>
    <mergeCell ref="C17:E17"/>
    <mergeCell ref="C18:E18"/>
    <mergeCell ref="C19:E19"/>
    <mergeCell ref="J17:K17"/>
    <mergeCell ref="C13:E13"/>
    <mergeCell ref="C14:E14"/>
    <mergeCell ref="C15:E15"/>
    <mergeCell ref="C16:E16"/>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1" manualBreakCount="1">
    <brk id="31" max="10" man="1"/>
  </rowBreaks>
</worksheet>
</file>

<file path=xl/worksheets/sheet25.xml><?xml version="1.0" encoding="utf-8"?>
<worksheet xmlns="http://schemas.openxmlformats.org/spreadsheetml/2006/main" xmlns:r="http://schemas.openxmlformats.org/officeDocument/2006/relationships">
  <sheetPr>
    <outlinePr summaryBelow="0" summaryRight="0"/>
  </sheetPr>
  <dimension ref="B1:BI112"/>
  <sheetViews>
    <sheetView zoomScaleNormal="100" zoomScaleSheetLayoutView="70" workbookViewId="0">
      <pane ySplit="4" topLeftCell="A5" activePane="bottomLeft" state="frozen"/>
      <selection pane="bottomLeft" activeCell="B1" sqref="B1"/>
    </sheetView>
  </sheetViews>
  <sheetFormatPr defaultRowHeight="12.95" customHeight="1" outlineLevelRow="1" outlineLevelCol="1"/>
  <cols>
    <col min="1" max="1" width="3.7109375" style="61" customWidth="1"/>
    <col min="2" max="2" width="24.140625" style="1788" bestFit="1" customWidth="1"/>
    <col min="3" max="3" width="4.85546875" style="1794" bestFit="1" customWidth="1"/>
    <col min="4" max="4" width="3.42578125" style="1794" customWidth="1"/>
    <col min="5" max="6" width="3.42578125" style="1794" customWidth="1" outlineLevel="1"/>
    <col min="7" max="18" width="4.42578125" style="1794" customWidth="1" outlineLevel="1"/>
    <col min="19" max="21" width="5.5703125" style="1794" customWidth="1" outlineLevel="1"/>
    <col min="22" max="22" width="24.140625" style="2132" bestFit="1" customWidth="1"/>
    <col min="23" max="23" width="4.85546875" style="2132" bestFit="1" customWidth="1"/>
    <col min="24" max="24" width="3.42578125" style="1794" bestFit="1" customWidth="1"/>
    <col min="25" max="26" width="3.42578125" style="1794" customWidth="1" outlineLevel="1"/>
    <col min="27" max="38" width="4.42578125" style="1794" customWidth="1" outlineLevel="1"/>
    <col min="39" max="41" width="5.5703125" style="1794" customWidth="1" outlineLevel="1"/>
    <col min="42" max="42" width="24.140625" style="2132" bestFit="1" customWidth="1"/>
    <col min="43" max="43" width="4.85546875" style="2132" bestFit="1" customWidth="1"/>
    <col min="44" max="44" width="3.42578125" style="1794" bestFit="1" customWidth="1"/>
    <col min="45" max="58" width="4.42578125" style="1794" customWidth="1" outlineLevel="1"/>
    <col min="59" max="61" width="5.5703125" style="1794" customWidth="1" outlineLevel="1"/>
    <col min="62" max="16384" width="9.140625" style="61"/>
  </cols>
  <sheetData>
    <row r="1" spans="2:61" s="1787" customFormat="1" ht="12.75" customHeight="1">
      <c r="B1" s="1790" t="s">
        <v>2706</v>
      </c>
      <c r="C1" s="3265" t="s">
        <v>8269</v>
      </c>
      <c r="D1" s="3265"/>
      <c r="E1" s="3265"/>
      <c r="F1" s="3265"/>
      <c r="G1" s="3265"/>
      <c r="H1" s="3265"/>
      <c r="I1" s="3265"/>
      <c r="J1" s="3265"/>
      <c r="K1" s="3265"/>
      <c r="L1" s="3265"/>
      <c r="M1" s="3265"/>
      <c r="N1" s="3265"/>
      <c r="O1" s="3265"/>
      <c r="P1" s="3265"/>
      <c r="Q1" s="3265"/>
      <c r="R1" s="3265"/>
      <c r="S1" s="3265"/>
      <c r="T1" s="3265"/>
      <c r="U1" s="3265"/>
      <c r="V1" s="3265"/>
      <c r="W1" s="3265"/>
      <c r="X1" s="3265"/>
      <c r="Y1" s="3265"/>
      <c r="Z1" s="3265"/>
      <c r="AA1" s="3265"/>
      <c r="AB1" s="3265"/>
      <c r="AC1" s="3265"/>
      <c r="AD1" s="3265"/>
      <c r="AE1" s="3265"/>
      <c r="AF1" s="3265"/>
      <c r="AG1" s="3265"/>
      <c r="AH1" s="3265"/>
      <c r="AI1" s="3265"/>
      <c r="AJ1" s="3265"/>
      <c r="AK1" s="3265"/>
      <c r="AL1" s="3265"/>
      <c r="AM1" s="3265"/>
      <c r="AN1" s="3265"/>
      <c r="AO1" s="3265"/>
      <c r="AP1" s="3265"/>
      <c r="AQ1" s="3265"/>
      <c r="AR1" s="3265"/>
      <c r="AS1" s="3265"/>
      <c r="AT1" s="3265"/>
      <c r="AU1" s="3265"/>
      <c r="AV1" s="3265"/>
      <c r="AW1" s="3265"/>
      <c r="AX1" s="3265"/>
      <c r="AY1" s="3265"/>
      <c r="AZ1" s="3265"/>
      <c r="BA1" s="3265"/>
      <c r="BB1" s="3265"/>
      <c r="BC1" s="3265"/>
      <c r="BD1" s="3265"/>
      <c r="BE1" s="3265"/>
      <c r="BF1" s="3265"/>
      <c r="BG1" s="3265"/>
      <c r="BH1" s="3265"/>
      <c r="BI1" s="3265"/>
    </row>
    <row r="2" spans="2:61" s="288" customFormat="1" ht="5.0999999999999996" customHeight="1">
      <c r="B2" s="1789"/>
      <c r="C2" s="1796"/>
      <c r="D2" s="1796"/>
      <c r="E2" s="1796"/>
      <c r="F2" s="1796"/>
      <c r="G2" s="1796"/>
      <c r="H2" s="1796"/>
      <c r="I2" s="1796"/>
      <c r="J2" s="1796"/>
      <c r="K2" s="1796"/>
      <c r="L2" s="1796"/>
      <c r="M2" s="1796"/>
      <c r="N2" s="1796"/>
      <c r="O2" s="1796"/>
      <c r="P2" s="1796"/>
      <c r="Q2" s="1796"/>
      <c r="R2" s="1796"/>
      <c r="S2" s="1796"/>
      <c r="T2" s="1796"/>
      <c r="U2" s="1796"/>
      <c r="V2" s="2142"/>
      <c r="W2" s="2142"/>
      <c r="X2" s="1796"/>
      <c r="Y2" s="1796"/>
      <c r="Z2" s="1796"/>
      <c r="AA2" s="1796"/>
      <c r="AB2" s="1796"/>
      <c r="AC2" s="1796"/>
      <c r="AD2" s="1796"/>
      <c r="AE2" s="1796"/>
      <c r="AF2" s="1796"/>
      <c r="AG2" s="1796"/>
      <c r="AH2" s="1796"/>
      <c r="AI2" s="1796"/>
      <c r="AJ2" s="1796"/>
      <c r="AK2" s="1796"/>
      <c r="AL2" s="1796"/>
      <c r="AM2" s="1796"/>
      <c r="AN2" s="1796"/>
      <c r="AO2" s="1796"/>
      <c r="AP2" s="2142"/>
      <c r="AQ2" s="2142"/>
      <c r="AR2" s="1796"/>
      <c r="AS2" s="1796"/>
      <c r="AT2" s="1796"/>
      <c r="AU2" s="1796"/>
      <c r="AV2" s="1796"/>
      <c r="AW2" s="1796"/>
      <c r="AX2" s="1796"/>
      <c r="AY2" s="1796"/>
      <c r="AZ2" s="1796"/>
      <c r="BA2" s="1796"/>
      <c r="BB2" s="1796"/>
      <c r="BC2" s="1796"/>
      <c r="BD2" s="1796"/>
      <c r="BE2" s="1796"/>
      <c r="BF2" s="1796"/>
      <c r="BG2" s="1796"/>
      <c r="BH2" s="1796"/>
      <c r="BI2" s="1796"/>
    </row>
    <row r="3" spans="2:61" ht="12.95" customHeight="1">
      <c r="B3" s="2982" t="s">
        <v>7278</v>
      </c>
      <c r="C3" s="2982"/>
      <c r="D3" s="2982"/>
      <c r="E3" s="2982"/>
      <c r="F3" s="2982"/>
      <c r="G3" s="2982"/>
      <c r="H3" s="2982"/>
      <c r="I3" s="2982"/>
      <c r="J3" s="2982"/>
      <c r="K3" s="2982"/>
      <c r="L3" s="2982"/>
      <c r="M3" s="2982"/>
      <c r="N3" s="2982"/>
      <c r="O3" s="2982"/>
      <c r="P3" s="2982"/>
      <c r="Q3" s="2982"/>
      <c r="R3" s="2982"/>
      <c r="S3" s="2982"/>
      <c r="T3" s="2982"/>
      <c r="U3" s="2982"/>
      <c r="V3" s="2131"/>
      <c r="W3" s="2131"/>
      <c r="X3" s="2982" t="s">
        <v>7276</v>
      </c>
      <c r="Y3" s="2982"/>
      <c r="Z3" s="2982"/>
      <c r="AA3" s="2982"/>
      <c r="AB3" s="2982"/>
      <c r="AC3" s="2982"/>
      <c r="AD3" s="2982"/>
      <c r="AE3" s="2982"/>
      <c r="AF3" s="2982"/>
      <c r="AG3" s="2982"/>
      <c r="AH3" s="2982"/>
      <c r="AI3" s="2982"/>
      <c r="AJ3" s="2982"/>
      <c r="AK3" s="2982"/>
      <c r="AL3" s="2982"/>
      <c r="AM3" s="2982"/>
      <c r="AN3" s="2982"/>
      <c r="AO3" s="2982"/>
      <c r="AP3" s="2131"/>
      <c r="AQ3" s="2131"/>
      <c r="AR3" s="2982" t="s">
        <v>7277</v>
      </c>
      <c r="AS3" s="2982"/>
      <c r="AT3" s="2982"/>
      <c r="AU3" s="2982"/>
      <c r="AV3" s="2982"/>
      <c r="AW3" s="2982"/>
      <c r="AX3" s="2982"/>
      <c r="AY3" s="2982"/>
      <c r="AZ3" s="2982"/>
      <c r="BA3" s="2982"/>
      <c r="BB3" s="2982"/>
      <c r="BC3" s="2982"/>
      <c r="BD3" s="2982"/>
      <c r="BE3" s="2982"/>
      <c r="BF3" s="2982"/>
      <c r="BG3" s="2982"/>
      <c r="BH3" s="2982"/>
      <c r="BI3" s="2982"/>
    </row>
    <row r="4" spans="2:61" ht="5.0999999999999996" customHeight="1" thickBot="1"/>
    <row r="5" spans="2:61" ht="12.95" customHeight="1" thickBot="1">
      <c r="B5" s="2966" t="s">
        <v>3476</v>
      </c>
      <c r="C5" s="2966" t="s">
        <v>3664</v>
      </c>
      <c r="D5" s="3308" t="s">
        <v>6240</v>
      </c>
      <c r="E5" s="3309"/>
      <c r="F5" s="3309"/>
      <c r="G5" s="3309"/>
      <c r="H5" s="3309"/>
      <c r="I5" s="3309"/>
      <c r="J5" s="3309"/>
      <c r="K5" s="3309"/>
      <c r="L5" s="3309"/>
      <c r="M5" s="3309"/>
      <c r="N5" s="3309"/>
      <c r="O5" s="3309"/>
      <c r="P5" s="3309"/>
      <c r="Q5" s="3309"/>
      <c r="R5" s="3309"/>
      <c r="S5" s="3309"/>
      <c r="T5" s="3309"/>
      <c r="U5" s="3310"/>
      <c r="V5" s="2966" t="s">
        <v>3476</v>
      </c>
      <c r="W5" s="2966" t="s">
        <v>3664</v>
      </c>
      <c r="X5" s="3308" t="s">
        <v>6240</v>
      </c>
      <c r="Y5" s="3309"/>
      <c r="Z5" s="3309"/>
      <c r="AA5" s="3309"/>
      <c r="AB5" s="3309"/>
      <c r="AC5" s="3309"/>
      <c r="AD5" s="3309"/>
      <c r="AE5" s="3309"/>
      <c r="AF5" s="3309"/>
      <c r="AG5" s="3309"/>
      <c r="AH5" s="3309"/>
      <c r="AI5" s="3309"/>
      <c r="AJ5" s="3309"/>
      <c r="AK5" s="3309"/>
      <c r="AL5" s="3309"/>
      <c r="AM5" s="3309"/>
      <c r="AN5" s="3309"/>
      <c r="AO5" s="3310"/>
      <c r="AP5" s="2966" t="s">
        <v>3476</v>
      </c>
      <c r="AQ5" s="2966" t="s">
        <v>3664</v>
      </c>
      <c r="AR5" s="3308" t="s">
        <v>6240</v>
      </c>
      <c r="AS5" s="3309"/>
      <c r="AT5" s="3309"/>
      <c r="AU5" s="3309"/>
      <c r="AV5" s="3309"/>
      <c r="AW5" s="3309"/>
      <c r="AX5" s="3309"/>
      <c r="AY5" s="3309"/>
      <c r="AZ5" s="3309"/>
      <c r="BA5" s="3309"/>
      <c r="BB5" s="3309"/>
      <c r="BC5" s="3309"/>
      <c r="BD5" s="3309"/>
      <c r="BE5" s="3309"/>
      <c r="BF5" s="3309"/>
      <c r="BG5" s="3309"/>
      <c r="BH5" s="3309"/>
      <c r="BI5" s="3310"/>
    </row>
    <row r="6" spans="2:61" ht="12.95" customHeight="1">
      <c r="B6" s="3316"/>
      <c r="C6" s="3316"/>
      <c r="D6" s="3313" t="s">
        <v>6362</v>
      </c>
      <c r="E6" s="3314"/>
      <c r="F6" s="3314"/>
      <c r="G6" s="3314"/>
      <c r="H6" s="3314"/>
      <c r="I6" s="3314"/>
      <c r="J6" s="3314"/>
      <c r="K6" s="3314"/>
      <c r="L6" s="3314"/>
      <c r="M6" s="3314"/>
      <c r="N6" s="3314"/>
      <c r="O6" s="3314"/>
      <c r="P6" s="3314"/>
      <c r="Q6" s="3314"/>
      <c r="R6" s="3314"/>
      <c r="S6" s="3314"/>
      <c r="T6" s="3314"/>
      <c r="U6" s="3315"/>
      <c r="V6" s="3316"/>
      <c r="W6" s="3316"/>
      <c r="X6" s="3313" t="s">
        <v>6363</v>
      </c>
      <c r="Y6" s="3314"/>
      <c r="Z6" s="3314"/>
      <c r="AA6" s="3314"/>
      <c r="AB6" s="3314"/>
      <c r="AC6" s="3314"/>
      <c r="AD6" s="3314"/>
      <c r="AE6" s="3314"/>
      <c r="AF6" s="3314"/>
      <c r="AG6" s="3314"/>
      <c r="AH6" s="3314"/>
      <c r="AI6" s="3314"/>
      <c r="AJ6" s="3314"/>
      <c r="AK6" s="3314"/>
      <c r="AL6" s="3314"/>
      <c r="AM6" s="3314"/>
      <c r="AN6" s="3314"/>
      <c r="AO6" s="3315"/>
      <c r="AP6" s="3316"/>
      <c r="AQ6" s="3316"/>
      <c r="AR6" s="3313" t="s">
        <v>6364</v>
      </c>
      <c r="AS6" s="3314"/>
      <c r="AT6" s="3314"/>
      <c r="AU6" s="3314"/>
      <c r="AV6" s="3314"/>
      <c r="AW6" s="3314"/>
      <c r="AX6" s="3314"/>
      <c r="AY6" s="3314"/>
      <c r="AZ6" s="3314"/>
      <c r="BA6" s="3314"/>
      <c r="BB6" s="3314"/>
      <c r="BC6" s="3314"/>
      <c r="BD6" s="3314"/>
      <c r="BE6" s="3314"/>
      <c r="BF6" s="3314"/>
      <c r="BG6" s="3314"/>
      <c r="BH6" s="3314"/>
      <c r="BI6" s="3315"/>
    </row>
    <row r="7" spans="2:61" ht="12.95" customHeight="1" thickBot="1">
      <c r="B7" s="2967"/>
      <c r="C7" s="2967"/>
      <c r="D7" s="1818">
        <v>1</v>
      </c>
      <c r="E7" s="1819">
        <v>2</v>
      </c>
      <c r="F7" s="1819">
        <v>3</v>
      </c>
      <c r="G7" s="1819">
        <v>4</v>
      </c>
      <c r="H7" s="1819">
        <v>5</v>
      </c>
      <c r="I7" s="1819">
        <v>6</v>
      </c>
      <c r="J7" s="1819">
        <v>7</v>
      </c>
      <c r="K7" s="1819">
        <v>8</v>
      </c>
      <c r="L7" s="1819">
        <v>9</v>
      </c>
      <c r="M7" s="1819">
        <v>10</v>
      </c>
      <c r="N7" s="1819">
        <v>15</v>
      </c>
      <c r="O7" s="1819">
        <v>20</v>
      </c>
      <c r="P7" s="1819">
        <v>25</v>
      </c>
      <c r="Q7" s="1819">
        <v>30</v>
      </c>
      <c r="R7" s="1819">
        <v>35</v>
      </c>
      <c r="S7" s="1819">
        <v>40</v>
      </c>
      <c r="T7" s="1819">
        <v>45</v>
      </c>
      <c r="U7" s="1820">
        <v>50</v>
      </c>
      <c r="V7" s="2967"/>
      <c r="W7" s="2967"/>
      <c r="X7" s="1818">
        <v>1</v>
      </c>
      <c r="Y7" s="1819">
        <v>2</v>
      </c>
      <c r="Z7" s="1819">
        <v>3</v>
      </c>
      <c r="AA7" s="1819">
        <v>4</v>
      </c>
      <c r="AB7" s="1819">
        <v>5</v>
      </c>
      <c r="AC7" s="1819">
        <v>6</v>
      </c>
      <c r="AD7" s="1819">
        <v>7</v>
      </c>
      <c r="AE7" s="1819">
        <v>8</v>
      </c>
      <c r="AF7" s="1819">
        <v>9</v>
      </c>
      <c r="AG7" s="1819">
        <v>10</v>
      </c>
      <c r="AH7" s="1819">
        <v>15</v>
      </c>
      <c r="AI7" s="1819">
        <v>20</v>
      </c>
      <c r="AJ7" s="1819">
        <v>25</v>
      </c>
      <c r="AK7" s="1819">
        <v>30</v>
      </c>
      <c r="AL7" s="1819">
        <v>35</v>
      </c>
      <c r="AM7" s="1819">
        <v>40</v>
      </c>
      <c r="AN7" s="1819">
        <v>45</v>
      </c>
      <c r="AO7" s="1820">
        <v>50</v>
      </c>
      <c r="AP7" s="2967"/>
      <c r="AQ7" s="2967"/>
      <c r="AR7" s="1818">
        <v>1</v>
      </c>
      <c r="AS7" s="1819">
        <v>2</v>
      </c>
      <c r="AT7" s="1819">
        <v>3</v>
      </c>
      <c r="AU7" s="1819">
        <v>4</v>
      </c>
      <c r="AV7" s="1819">
        <v>5</v>
      </c>
      <c r="AW7" s="1819">
        <v>6</v>
      </c>
      <c r="AX7" s="1819">
        <v>7</v>
      </c>
      <c r="AY7" s="1819">
        <v>8</v>
      </c>
      <c r="AZ7" s="1819">
        <v>9</v>
      </c>
      <c r="BA7" s="1819">
        <v>10</v>
      </c>
      <c r="BB7" s="1819">
        <v>15</v>
      </c>
      <c r="BC7" s="1819">
        <v>20</v>
      </c>
      <c r="BD7" s="1819">
        <v>25</v>
      </c>
      <c r="BE7" s="1819">
        <v>30</v>
      </c>
      <c r="BF7" s="1819">
        <v>35</v>
      </c>
      <c r="BG7" s="1819">
        <v>40</v>
      </c>
      <c r="BH7" s="1819">
        <v>45</v>
      </c>
      <c r="BI7" s="1820">
        <v>50</v>
      </c>
    </row>
    <row r="8" spans="2:61" ht="12.95" customHeight="1">
      <c r="B8" s="1809" t="s">
        <v>2232</v>
      </c>
      <c r="C8" s="1811">
        <v>10</v>
      </c>
      <c r="D8" s="1971">
        <f>FLOOR((D$7*25+10)/$C8,1)</f>
        <v>3</v>
      </c>
      <c r="E8" s="1972">
        <f t="shared" ref="E8:U22" si="0">FLOOR((E$7*25+10)/$C8,1)</f>
        <v>6</v>
      </c>
      <c r="F8" s="1972">
        <f t="shared" si="0"/>
        <v>8</v>
      </c>
      <c r="G8" s="1972">
        <f t="shared" si="0"/>
        <v>11</v>
      </c>
      <c r="H8" s="1972">
        <f t="shared" si="0"/>
        <v>13</v>
      </c>
      <c r="I8" s="1972">
        <f t="shared" si="0"/>
        <v>16</v>
      </c>
      <c r="J8" s="1972">
        <f t="shared" si="0"/>
        <v>18</v>
      </c>
      <c r="K8" s="1972">
        <f t="shared" si="0"/>
        <v>21</v>
      </c>
      <c r="L8" s="1972">
        <f t="shared" si="0"/>
        <v>23</v>
      </c>
      <c r="M8" s="1972">
        <f t="shared" si="0"/>
        <v>26</v>
      </c>
      <c r="N8" s="1972">
        <f t="shared" si="0"/>
        <v>38</v>
      </c>
      <c r="O8" s="1972">
        <f t="shared" si="0"/>
        <v>51</v>
      </c>
      <c r="P8" s="1972">
        <f t="shared" si="0"/>
        <v>63</v>
      </c>
      <c r="Q8" s="1972">
        <f t="shared" si="0"/>
        <v>76</v>
      </c>
      <c r="R8" s="1972">
        <f t="shared" si="0"/>
        <v>88</v>
      </c>
      <c r="S8" s="1972">
        <f t="shared" si="0"/>
        <v>101</v>
      </c>
      <c r="T8" s="1972">
        <f t="shared" si="0"/>
        <v>113</v>
      </c>
      <c r="U8" s="1973">
        <f t="shared" si="0"/>
        <v>126</v>
      </c>
      <c r="V8" s="1809" t="s">
        <v>2232</v>
      </c>
      <c r="W8" s="1811">
        <v>10</v>
      </c>
      <c r="X8" s="1971">
        <f>FLOOR((X$7*25+20)/$C8,1)</f>
        <v>4</v>
      </c>
      <c r="Y8" s="1972">
        <f t="shared" ref="Y8:AO22" si="1">FLOOR((Y$7*25+20)/$C8,1)</f>
        <v>7</v>
      </c>
      <c r="Z8" s="1972">
        <f t="shared" si="1"/>
        <v>9</v>
      </c>
      <c r="AA8" s="1972">
        <f t="shared" si="1"/>
        <v>12</v>
      </c>
      <c r="AB8" s="1972">
        <f t="shared" si="1"/>
        <v>14</v>
      </c>
      <c r="AC8" s="1972">
        <f t="shared" si="1"/>
        <v>17</v>
      </c>
      <c r="AD8" s="1972">
        <f t="shared" si="1"/>
        <v>19</v>
      </c>
      <c r="AE8" s="1972">
        <f t="shared" si="1"/>
        <v>22</v>
      </c>
      <c r="AF8" s="1972">
        <f t="shared" si="1"/>
        <v>24</v>
      </c>
      <c r="AG8" s="1972">
        <f t="shared" si="1"/>
        <v>27</v>
      </c>
      <c r="AH8" s="1972">
        <f t="shared" si="1"/>
        <v>39</v>
      </c>
      <c r="AI8" s="1972">
        <f t="shared" si="1"/>
        <v>52</v>
      </c>
      <c r="AJ8" s="1972">
        <f t="shared" si="1"/>
        <v>64</v>
      </c>
      <c r="AK8" s="1972">
        <f t="shared" si="1"/>
        <v>77</v>
      </c>
      <c r="AL8" s="1972">
        <f t="shared" si="1"/>
        <v>89</v>
      </c>
      <c r="AM8" s="1972">
        <f t="shared" si="1"/>
        <v>102</v>
      </c>
      <c r="AN8" s="1972">
        <f t="shared" si="1"/>
        <v>114</v>
      </c>
      <c r="AO8" s="1973">
        <f t="shared" si="1"/>
        <v>127</v>
      </c>
      <c r="AP8" s="1809" t="s">
        <v>2232</v>
      </c>
      <c r="AQ8" s="1811">
        <v>10</v>
      </c>
      <c r="AR8" s="1971">
        <f>FLOOR((AR$7*25+50)/$C8,1)</f>
        <v>7</v>
      </c>
      <c r="AS8" s="1972">
        <f t="shared" ref="AS8:BI22" si="2">FLOOR((AS$7*25+50)/$C8,1)</f>
        <v>10</v>
      </c>
      <c r="AT8" s="1972">
        <f t="shared" si="2"/>
        <v>12</v>
      </c>
      <c r="AU8" s="1972">
        <f t="shared" si="2"/>
        <v>15</v>
      </c>
      <c r="AV8" s="1972">
        <f t="shared" si="2"/>
        <v>17</v>
      </c>
      <c r="AW8" s="1972">
        <f t="shared" si="2"/>
        <v>20</v>
      </c>
      <c r="AX8" s="1972">
        <f t="shared" si="2"/>
        <v>22</v>
      </c>
      <c r="AY8" s="1972">
        <f t="shared" si="2"/>
        <v>25</v>
      </c>
      <c r="AZ8" s="1972">
        <f t="shared" si="2"/>
        <v>27</v>
      </c>
      <c r="BA8" s="1972">
        <f t="shared" si="2"/>
        <v>30</v>
      </c>
      <c r="BB8" s="1972">
        <f t="shared" si="2"/>
        <v>42</v>
      </c>
      <c r="BC8" s="1972">
        <f t="shared" si="2"/>
        <v>55</v>
      </c>
      <c r="BD8" s="1972">
        <f t="shared" si="2"/>
        <v>67</v>
      </c>
      <c r="BE8" s="1972">
        <f t="shared" si="2"/>
        <v>80</v>
      </c>
      <c r="BF8" s="1972">
        <f t="shared" si="2"/>
        <v>92</v>
      </c>
      <c r="BG8" s="1972">
        <f t="shared" si="2"/>
        <v>105</v>
      </c>
      <c r="BH8" s="1972">
        <f t="shared" si="2"/>
        <v>117</v>
      </c>
      <c r="BI8" s="1973">
        <f t="shared" si="2"/>
        <v>130</v>
      </c>
    </row>
    <row r="9" spans="2:61" ht="12.95" customHeight="1" outlineLevel="1">
      <c r="B9" s="1803" t="s">
        <v>2233</v>
      </c>
      <c r="C9" s="1812">
        <v>10</v>
      </c>
      <c r="D9" s="1951">
        <f t="shared" ref="D9:D72" si="3">FLOOR((D$7*25+10)/$C9,1)</f>
        <v>3</v>
      </c>
      <c r="E9" s="1959">
        <f t="shared" si="0"/>
        <v>6</v>
      </c>
      <c r="F9" s="1959">
        <f t="shared" si="0"/>
        <v>8</v>
      </c>
      <c r="G9" s="1959">
        <f t="shared" si="0"/>
        <v>11</v>
      </c>
      <c r="H9" s="1959">
        <f t="shared" si="0"/>
        <v>13</v>
      </c>
      <c r="I9" s="1959">
        <f t="shared" si="0"/>
        <v>16</v>
      </c>
      <c r="J9" s="1959">
        <f t="shared" si="0"/>
        <v>18</v>
      </c>
      <c r="K9" s="1959">
        <f t="shared" si="0"/>
        <v>21</v>
      </c>
      <c r="L9" s="1959">
        <f t="shared" si="0"/>
        <v>23</v>
      </c>
      <c r="M9" s="1959">
        <f t="shared" si="0"/>
        <v>26</v>
      </c>
      <c r="N9" s="1959">
        <f t="shared" si="0"/>
        <v>38</v>
      </c>
      <c r="O9" s="1959">
        <f t="shared" si="0"/>
        <v>51</v>
      </c>
      <c r="P9" s="1959">
        <f t="shared" si="0"/>
        <v>63</v>
      </c>
      <c r="Q9" s="1959">
        <f t="shared" si="0"/>
        <v>76</v>
      </c>
      <c r="R9" s="1959">
        <f t="shared" si="0"/>
        <v>88</v>
      </c>
      <c r="S9" s="1959">
        <f t="shared" si="0"/>
        <v>101</v>
      </c>
      <c r="T9" s="1959">
        <f t="shared" si="0"/>
        <v>113</v>
      </c>
      <c r="U9" s="1952">
        <f t="shared" si="0"/>
        <v>126</v>
      </c>
      <c r="V9" s="1803" t="s">
        <v>2233</v>
      </c>
      <c r="W9" s="1812">
        <v>10</v>
      </c>
      <c r="X9" s="1951">
        <f t="shared" ref="X9:AM38" si="4">FLOOR((X$7*25+20)/$C9,1)</f>
        <v>4</v>
      </c>
      <c r="Y9" s="1959">
        <f t="shared" si="1"/>
        <v>7</v>
      </c>
      <c r="Z9" s="1959">
        <f t="shared" si="1"/>
        <v>9</v>
      </c>
      <c r="AA9" s="1959">
        <f t="shared" si="1"/>
        <v>12</v>
      </c>
      <c r="AB9" s="1959">
        <f t="shared" si="1"/>
        <v>14</v>
      </c>
      <c r="AC9" s="1959">
        <f t="shared" si="1"/>
        <v>17</v>
      </c>
      <c r="AD9" s="1959">
        <f t="shared" si="1"/>
        <v>19</v>
      </c>
      <c r="AE9" s="1959">
        <f t="shared" si="1"/>
        <v>22</v>
      </c>
      <c r="AF9" s="1959">
        <f t="shared" si="1"/>
        <v>24</v>
      </c>
      <c r="AG9" s="1959">
        <f t="shared" si="1"/>
        <v>27</v>
      </c>
      <c r="AH9" s="1959">
        <f t="shared" si="1"/>
        <v>39</v>
      </c>
      <c r="AI9" s="1959">
        <f t="shared" si="1"/>
        <v>52</v>
      </c>
      <c r="AJ9" s="1959">
        <f t="shared" si="1"/>
        <v>64</v>
      </c>
      <c r="AK9" s="1959">
        <f t="shared" si="1"/>
        <v>77</v>
      </c>
      <c r="AL9" s="1959">
        <f t="shared" si="1"/>
        <v>89</v>
      </c>
      <c r="AM9" s="1959">
        <f t="shared" si="1"/>
        <v>102</v>
      </c>
      <c r="AN9" s="1959">
        <f t="shared" si="1"/>
        <v>114</v>
      </c>
      <c r="AO9" s="1952">
        <f t="shared" si="1"/>
        <v>127</v>
      </c>
      <c r="AP9" s="1803" t="s">
        <v>2233</v>
      </c>
      <c r="AQ9" s="1812">
        <v>10</v>
      </c>
      <c r="AR9" s="1951">
        <f t="shared" ref="AR9:BG38" si="5">FLOOR((AR$7*25+50)/$C9,1)</f>
        <v>7</v>
      </c>
      <c r="AS9" s="1959">
        <f t="shared" si="2"/>
        <v>10</v>
      </c>
      <c r="AT9" s="1959">
        <f t="shared" si="2"/>
        <v>12</v>
      </c>
      <c r="AU9" s="1959">
        <f t="shared" si="2"/>
        <v>15</v>
      </c>
      <c r="AV9" s="1959">
        <f t="shared" si="2"/>
        <v>17</v>
      </c>
      <c r="AW9" s="1959">
        <f t="shared" si="2"/>
        <v>20</v>
      </c>
      <c r="AX9" s="1959">
        <f t="shared" si="2"/>
        <v>22</v>
      </c>
      <c r="AY9" s="1959">
        <f t="shared" si="2"/>
        <v>25</v>
      </c>
      <c r="AZ9" s="1959">
        <f t="shared" si="2"/>
        <v>27</v>
      </c>
      <c r="BA9" s="1959">
        <f t="shared" si="2"/>
        <v>30</v>
      </c>
      <c r="BB9" s="1959">
        <f t="shared" si="2"/>
        <v>42</v>
      </c>
      <c r="BC9" s="1959">
        <f t="shared" si="2"/>
        <v>55</v>
      </c>
      <c r="BD9" s="1959">
        <f t="shared" si="2"/>
        <v>67</v>
      </c>
      <c r="BE9" s="1959">
        <f t="shared" si="2"/>
        <v>80</v>
      </c>
      <c r="BF9" s="1959">
        <f t="shared" si="2"/>
        <v>92</v>
      </c>
      <c r="BG9" s="1959">
        <f t="shared" si="2"/>
        <v>105</v>
      </c>
      <c r="BH9" s="1959">
        <f t="shared" si="2"/>
        <v>117</v>
      </c>
      <c r="BI9" s="1952">
        <f t="shared" si="2"/>
        <v>130</v>
      </c>
    </row>
    <row r="10" spans="2:61" ht="12.95" customHeight="1" outlineLevel="1">
      <c r="B10" s="1802" t="s">
        <v>373</v>
      </c>
      <c r="C10" s="1813">
        <v>10</v>
      </c>
      <c r="D10" s="1949">
        <f t="shared" si="3"/>
        <v>3</v>
      </c>
      <c r="E10" s="1963">
        <f t="shared" si="0"/>
        <v>6</v>
      </c>
      <c r="F10" s="1963">
        <f t="shared" si="0"/>
        <v>8</v>
      </c>
      <c r="G10" s="1963">
        <f t="shared" si="0"/>
        <v>11</v>
      </c>
      <c r="H10" s="1963">
        <f t="shared" si="0"/>
        <v>13</v>
      </c>
      <c r="I10" s="1963">
        <f t="shared" si="0"/>
        <v>16</v>
      </c>
      <c r="J10" s="1963">
        <f t="shared" si="0"/>
        <v>18</v>
      </c>
      <c r="K10" s="1963">
        <f t="shared" si="0"/>
        <v>21</v>
      </c>
      <c r="L10" s="1963">
        <f t="shared" si="0"/>
        <v>23</v>
      </c>
      <c r="M10" s="1963">
        <f t="shared" si="0"/>
        <v>26</v>
      </c>
      <c r="N10" s="1963">
        <f t="shared" si="0"/>
        <v>38</v>
      </c>
      <c r="O10" s="1963">
        <f t="shared" si="0"/>
        <v>51</v>
      </c>
      <c r="P10" s="1963">
        <f t="shared" si="0"/>
        <v>63</v>
      </c>
      <c r="Q10" s="1963">
        <f t="shared" si="0"/>
        <v>76</v>
      </c>
      <c r="R10" s="1963">
        <f t="shared" si="0"/>
        <v>88</v>
      </c>
      <c r="S10" s="1963">
        <f t="shared" si="0"/>
        <v>101</v>
      </c>
      <c r="T10" s="1963">
        <f t="shared" si="0"/>
        <v>113</v>
      </c>
      <c r="U10" s="1950">
        <f t="shared" si="0"/>
        <v>126</v>
      </c>
      <c r="V10" s="1802" t="s">
        <v>373</v>
      </c>
      <c r="W10" s="1813">
        <v>10</v>
      </c>
      <c r="X10" s="1949">
        <f t="shared" si="4"/>
        <v>4</v>
      </c>
      <c r="Y10" s="1963">
        <f t="shared" si="1"/>
        <v>7</v>
      </c>
      <c r="Z10" s="1963">
        <f t="shared" si="1"/>
        <v>9</v>
      </c>
      <c r="AA10" s="1963">
        <f t="shared" si="1"/>
        <v>12</v>
      </c>
      <c r="AB10" s="1963">
        <f t="shared" si="1"/>
        <v>14</v>
      </c>
      <c r="AC10" s="1963">
        <f t="shared" si="1"/>
        <v>17</v>
      </c>
      <c r="AD10" s="1963">
        <f t="shared" si="1"/>
        <v>19</v>
      </c>
      <c r="AE10" s="1963">
        <f t="shared" si="1"/>
        <v>22</v>
      </c>
      <c r="AF10" s="1963">
        <f t="shared" si="1"/>
        <v>24</v>
      </c>
      <c r="AG10" s="1963">
        <f t="shared" si="1"/>
        <v>27</v>
      </c>
      <c r="AH10" s="1963">
        <f t="shared" si="1"/>
        <v>39</v>
      </c>
      <c r="AI10" s="1963">
        <f t="shared" si="1"/>
        <v>52</v>
      </c>
      <c r="AJ10" s="1963">
        <f t="shared" si="1"/>
        <v>64</v>
      </c>
      <c r="AK10" s="1963">
        <f t="shared" si="1"/>
        <v>77</v>
      </c>
      <c r="AL10" s="1963">
        <f t="shared" si="1"/>
        <v>89</v>
      </c>
      <c r="AM10" s="1963">
        <f t="shared" si="1"/>
        <v>102</v>
      </c>
      <c r="AN10" s="1963">
        <f t="shared" si="1"/>
        <v>114</v>
      </c>
      <c r="AO10" s="1950">
        <f t="shared" si="1"/>
        <v>127</v>
      </c>
      <c r="AP10" s="1802" t="s">
        <v>373</v>
      </c>
      <c r="AQ10" s="1813">
        <v>10</v>
      </c>
      <c r="AR10" s="1949">
        <f t="shared" si="5"/>
        <v>7</v>
      </c>
      <c r="AS10" s="1963">
        <f t="shared" si="2"/>
        <v>10</v>
      </c>
      <c r="AT10" s="1963">
        <f t="shared" si="2"/>
        <v>12</v>
      </c>
      <c r="AU10" s="1963">
        <f t="shared" si="2"/>
        <v>15</v>
      </c>
      <c r="AV10" s="1963">
        <f t="shared" si="2"/>
        <v>17</v>
      </c>
      <c r="AW10" s="1963">
        <f t="shared" si="2"/>
        <v>20</v>
      </c>
      <c r="AX10" s="1963">
        <f t="shared" si="2"/>
        <v>22</v>
      </c>
      <c r="AY10" s="1963">
        <f t="shared" si="2"/>
        <v>25</v>
      </c>
      <c r="AZ10" s="1963">
        <f t="shared" si="2"/>
        <v>27</v>
      </c>
      <c r="BA10" s="1963">
        <f t="shared" si="2"/>
        <v>30</v>
      </c>
      <c r="BB10" s="1963">
        <f t="shared" si="2"/>
        <v>42</v>
      </c>
      <c r="BC10" s="1963">
        <f t="shared" si="2"/>
        <v>55</v>
      </c>
      <c r="BD10" s="1963">
        <f t="shared" si="2"/>
        <v>67</v>
      </c>
      <c r="BE10" s="1963">
        <f t="shared" si="2"/>
        <v>80</v>
      </c>
      <c r="BF10" s="1963">
        <f t="shared" si="2"/>
        <v>92</v>
      </c>
      <c r="BG10" s="1963">
        <f t="shared" si="2"/>
        <v>105</v>
      </c>
      <c r="BH10" s="1963">
        <f t="shared" si="2"/>
        <v>117</v>
      </c>
      <c r="BI10" s="1950">
        <f t="shared" si="2"/>
        <v>130</v>
      </c>
    </row>
    <row r="11" spans="2:61" ht="12.95" customHeight="1" outlineLevel="1">
      <c r="B11" s="1803" t="s">
        <v>343</v>
      </c>
      <c r="C11" s="1812">
        <v>10</v>
      </c>
      <c r="D11" s="1951">
        <f t="shared" si="3"/>
        <v>3</v>
      </c>
      <c r="E11" s="1959">
        <f t="shared" si="0"/>
        <v>6</v>
      </c>
      <c r="F11" s="1959">
        <f t="shared" si="0"/>
        <v>8</v>
      </c>
      <c r="G11" s="1959">
        <f t="shared" si="0"/>
        <v>11</v>
      </c>
      <c r="H11" s="1959">
        <f t="shared" si="0"/>
        <v>13</v>
      </c>
      <c r="I11" s="1959">
        <f t="shared" si="0"/>
        <v>16</v>
      </c>
      <c r="J11" s="1959">
        <f t="shared" si="0"/>
        <v>18</v>
      </c>
      <c r="K11" s="1959">
        <f t="shared" si="0"/>
        <v>21</v>
      </c>
      <c r="L11" s="1959">
        <f t="shared" si="0"/>
        <v>23</v>
      </c>
      <c r="M11" s="1959">
        <f t="shared" si="0"/>
        <v>26</v>
      </c>
      <c r="N11" s="1959">
        <f t="shared" si="0"/>
        <v>38</v>
      </c>
      <c r="O11" s="1959">
        <f t="shared" si="0"/>
        <v>51</v>
      </c>
      <c r="P11" s="1959">
        <f t="shared" si="0"/>
        <v>63</v>
      </c>
      <c r="Q11" s="1959">
        <f t="shared" si="0"/>
        <v>76</v>
      </c>
      <c r="R11" s="1959">
        <f t="shared" si="0"/>
        <v>88</v>
      </c>
      <c r="S11" s="1959">
        <f t="shared" si="0"/>
        <v>101</v>
      </c>
      <c r="T11" s="1959">
        <f t="shared" si="0"/>
        <v>113</v>
      </c>
      <c r="U11" s="1952">
        <f t="shared" si="0"/>
        <v>126</v>
      </c>
      <c r="V11" s="1803" t="s">
        <v>343</v>
      </c>
      <c r="W11" s="1812">
        <v>10</v>
      </c>
      <c r="X11" s="1951">
        <f t="shared" si="4"/>
        <v>4</v>
      </c>
      <c r="Y11" s="1959">
        <f t="shared" si="1"/>
        <v>7</v>
      </c>
      <c r="Z11" s="1959">
        <f t="shared" si="1"/>
        <v>9</v>
      </c>
      <c r="AA11" s="1959">
        <f t="shared" si="1"/>
        <v>12</v>
      </c>
      <c r="AB11" s="1959">
        <f t="shared" si="1"/>
        <v>14</v>
      </c>
      <c r="AC11" s="1959">
        <f t="shared" si="1"/>
        <v>17</v>
      </c>
      <c r="AD11" s="1959">
        <f t="shared" si="1"/>
        <v>19</v>
      </c>
      <c r="AE11" s="1959">
        <f t="shared" si="1"/>
        <v>22</v>
      </c>
      <c r="AF11" s="1959">
        <f t="shared" si="1"/>
        <v>24</v>
      </c>
      <c r="AG11" s="1959">
        <f t="shared" si="1"/>
        <v>27</v>
      </c>
      <c r="AH11" s="1959">
        <f t="shared" si="1"/>
        <v>39</v>
      </c>
      <c r="AI11" s="1959">
        <f t="shared" si="1"/>
        <v>52</v>
      </c>
      <c r="AJ11" s="1959">
        <f t="shared" si="1"/>
        <v>64</v>
      </c>
      <c r="AK11" s="1959">
        <f t="shared" si="1"/>
        <v>77</v>
      </c>
      <c r="AL11" s="1959">
        <f t="shared" si="1"/>
        <v>89</v>
      </c>
      <c r="AM11" s="1959">
        <f t="shared" si="1"/>
        <v>102</v>
      </c>
      <c r="AN11" s="1959">
        <f t="shared" si="1"/>
        <v>114</v>
      </c>
      <c r="AO11" s="1952">
        <f t="shared" si="1"/>
        <v>127</v>
      </c>
      <c r="AP11" s="1803" t="s">
        <v>343</v>
      </c>
      <c r="AQ11" s="1812">
        <v>10</v>
      </c>
      <c r="AR11" s="1951">
        <f t="shared" si="5"/>
        <v>7</v>
      </c>
      <c r="AS11" s="1959">
        <f t="shared" si="2"/>
        <v>10</v>
      </c>
      <c r="AT11" s="1959">
        <f t="shared" si="2"/>
        <v>12</v>
      </c>
      <c r="AU11" s="1959">
        <f t="shared" si="2"/>
        <v>15</v>
      </c>
      <c r="AV11" s="1959">
        <f t="shared" si="2"/>
        <v>17</v>
      </c>
      <c r="AW11" s="1959">
        <f t="shared" si="2"/>
        <v>20</v>
      </c>
      <c r="AX11" s="1959">
        <f t="shared" si="2"/>
        <v>22</v>
      </c>
      <c r="AY11" s="1959">
        <f t="shared" si="2"/>
        <v>25</v>
      </c>
      <c r="AZ11" s="1959">
        <f t="shared" si="2"/>
        <v>27</v>
      </c>
      <c r="BA11" s="1959">
        <f t="shared" si="2"/>
        <v>30</v>
      </c>
      <c r="BB11" s="1959">
        <f t="shared" si="2"/>
        <v>42</v>
      </c>
      <c r="BC11" s="1959">
        <f t="shared" si="2"/>
        <v>55</v>
      </c>
      <c r="BD11" s="1959">
        <f t="shared" si="2"/>
        <v>67</v>
      </c>
      <c r="BE11" s="1959">
        <f t="shared" si="2"/>
        <v>80</v>
      </c>
      <c r="BF11" s="1959">
        <f t="shared" si="2"/>
        <v>92</v>
      </c>
      <c r="BG11" s="1959">
        <f t="shared" si="2"/>
        <v>105</v>
      </c>
      <c r="BH11" s="1959">
        <f t="shared" si="2"/>
        <v>117</v>
      </c>
      <c r="BI11" s="1952">
        <f t="shared" si="2"/>
        <v>130</v>
      </c>
    </row>
    <row r="12" spans="2:61" ht="12.95" customHeight="1" outlineLevel="1">
      <c r="B12" s="1802" t="s">
        <v>2324</v>
      </c>
      <c r="C12" s="1813">
        <v>25</v>
      </c>
      <c r="D12" s="1949">
        <f t="shared" si="3"/>
        <v>1</v>
      </c>
      <c r="E12" s="1963">
        <f t="shared" si="0"/>
        <v>2</v>
      </c>
      <c r="F12" s="1963">
        <f t="shared" si="0"/>
        <v>3</v>
      </c>
      <c r="G12" s="1963">
        <f t="shared" si="0"/>
        <v>4</v>
      </c>
      <c r="H12" s="1963">
        <f t="shared" si="0"/>
        <v>5</v>
      </c>
      <c r="I12" s="1963">
        <f t="shared" si="0"/>
        <v>6</v>
      </c>
      <c r="J12" s="1963">
        <f t="shared" si="0"/>
        <v>7</v>
      </c>
      <c r="K12" s="1963">
        <f t="shared" si="0"/>
        <v>8</v>
      </c>
      <c r="L12" s="1963">
        <f t="shared" si="0"/>
        <v>9</v>
      </c>
      <c r="M12" s="1963">
        <f t="shared" si="0"/>
        <v>10</v>
      </c>
      <c r="N12" s="1963">
        <f t="shared" si="0"/>
        <v>15</v>
      </c>
      <c r="O12" s="1963">
        <f t="shared" si="0"/>
        <v>20</v>
      </c>
      <c r="P12" s="1963">
        <f t="shared" si="0"/>
        <v>25</v>
      </c>
      <c r="Q12" s="1963">
        <f t="shared" si="0"/>
        <v>30</v>
      </c>
      <c r="R12" s="1963">
        <f t="shared" si="0"/>
        <v>35</v>
      </c>
      <c r="S12" s="1963">
        <f t="shared" si="0"/>
        <v>40</v>
      </c>
      <c r="T12" s="1963">
        <f t="shared" si="0"/>
        <v>45</v>
      </c>
      <c r="U12" s="1950">
        <f t="shared" si="0"/>
        <v>50</v>
      </c>
      <c r="V12" s="1802" t="s">
        <v>2324</v>
      </c>
      <c r="W12" s="1813">
        <v>25</v>
      </c>
      <c r="X12" s="1949">
        <f t="shared" si="4"/>
        <v>1</v>
      </c>
      <c r="Y12" s="1963">
        <f t="shared" si="1"/>
        <v>2</v>
      </c>
      <c r="Z12" s="1963">
        <f t="shared" si="1"/>
        <v>3</v>
      </c>
      <c r="AA12" s="1963">
        <f t="shared" si="1"/>
        <v>4</v>
      </c>
      <c r="AB12" s="1963">
        <f t="shared" si="1"/>
        <v>5</v>
      </c>
      <c r="AC12" s="1963">
        <f t="shared" si="1"/>
        <v>6</v>
      </c>
      <c r="AD12" s="1963">
        <f t="shared" si="1"/>
        <v>7</v>
      </c>
      <c r="AE12" s="1963">
        <f t="shared" si="1"/>
        <v>8</v>
      </c>
      <c r="AF12" s="1963">
        <f t="shared" si="1"/>
        <v>9</v>
      </c>
      <c r="AG12" s="1963">
        <f t="shared" si="1"/>
        <v>10</v>
      </c>
      <c r="AH12" s="1963">
        <f t="shared" si="1"/>
        <v>15</v>
      </c>
      <c r="AI12" s="1963">
        <f t="shared" si="1"/>
        <v>20</v>
      </c>
      <c r="AJ12" s="1963">
        <f t="shared" si="1"/>
        <v>25</v>
      </c>
      <c r="AK12" s="1963">
        <f t="shared" si="1"/>
        <v>30</v>
      </c>
      <c r="AL12" s="1963">
        <f t="shared" si="1"/>
        <v>35</v>
      </c>
      <c r="AM12" s="1963">
        <f t="shared" si="1"/>
        <v>40</v>
      </c>
      <c r="AN12" s="1963">
        <f t="shared" si="1"/>
        <v>45</v>
      </c>
      <c r="AO12" s="1950">
        <f t="shared" si="1"/>
        <v>50</v>
      </c>
      <c r="AP12" s="1802" t="s">
        <v>2324</v>
      </c>
      <c r="AQ12" s="1813">
        <v>25</v>
      </c>
      <c r="AR12" s="1949">
        <f t="shared" si="5"/>
        <v>3</v>
      </c>
      <c r="AS12" s="1963">
        <f t="shared" si="2"/>
        <v>4</v>
      </c>
      <c r="AT12" s="1963">
        <f t="shared" si="2"/>
        <v>5</v>
      </c>
      <c r="AU12" s="1963">
        <f t="shared" si="2"/>
        <v>6</v>
      </c>
      <c r="AV12" s="1963">
        <f t="shared" si="2"/>
        <v>7</v>
      </c>
      <c r="AW12" s="1963">
        <f t="shared" si="2"/>
        <v>8</v>
      </c>
      <c r="AX12" s="1963">
        <f t="shared" si="2"/>
        <v>9</v>
      </c>
      <c r="AY12" s="1963">
        <f t="shared" si="2"/>
        <v>10</v>
      </c>
      <c r="AZ12" s="1963">
        <f t="shared" si="2"/>
        <v>11</v>
      </c>
      <c r="BA12" s="1963">
        <f t="shared" si="2"/>
        <v>12</v>
      </c>
      <c r="BB12" s="1963">
        <f t="shared" si="2"/>
        <v>17</v>
      </c>
      <c r="BC12" s="1963">
        <f t="shared" si="2"/>
        <v>22</v>
      </c>
      <c r="BD12" s="1963">
        <f t="shared" si="2"/>
        <v>27</v>
      </c>
      <c r="BE12" s="1963">
        <f t="shared" si="2"/>
        <v>32</v>
      </c>
      <c r="BF12" s="1963">
        <f t="shared" si="2"/>
        <v>37</v>
      </c>
      <c r="BG12" s="1963">
        <f t="shared" si="2"/>
        <v>42</v>
      </c>
      <c r="BH12" s="1963">
        <f t="shared" si="2"/>
        <v>47</v>
      </c>
      <c r="BI12" s="1950">
        <f t="shared" si="2"/>
        <v>52</v>
      </c>
    </row>
    <row r="13" spans="2:61" ht="12.95" customHeight="1" outlineLevel="1">
      <c r="B13" s="1804" t="s">
        <v>344</v>
      </c>
      <c r="C13" s="1812">
        <v>25</v>
      </c>
      <c r="D13" s="1951">
        <f t="shared" si="3"/>
        <v>1</v>
      </c>
      <c r="E13" s="1959">
        <f t="shared" si="0"/>
        <v>2</v>
      </c>
      <c r="F13" s="1959">
        <f t="shared" si="0"/>
        <v>3</v>
      </c>
      <c r="G13" s="1959">
        <f t="shared" si="0"/>
        <v>4</v>
      </c>
      <c r="H13" s="1959">
        <f t="shared" si="0"/>
        <v>5</v>
      </c>
      <c r="I13" s="1959">
        <f t="shared" si="0"/>
        <v>6</v>
      </c>
      <c r="J13" s="1959">
        <f t="shared" si="0"/>
        <v>7</v>
      </c>
      <c r="K13" s="1959">
        <f t="shared" si="0"/>
        <v>8</v>
      </c>
      <c r="L13" s="1959">
        <f t="shared" si="0"/>
        <v>9</v>
      </c>
      <c r="M13" s="1959">
        <f t="shared" si="0"/>
        <v>10</v>
      </c>
      <c r="N13" s="1959">
        <f t="shared" si="0"/>
        <v>15</v>
      </c>
      <c r="O13" s="1959">
        <f t="shared" si="0"/>
        <v>20</v>
      </c>
      <c r="P13" s="1959">
        <f t="shared" si="0"/>
        <v>25</v>
      </c>
      <c r="Q13" s="1959">
        <f t="shared" si="0"/>
        <v>30</v>
      </c>
      <c r="R13" s="1959">
        <f t="shared" si="0"/>
        <v>35</v>
      </c>
      <c r="S13" s="1959">
        <f t="shared" si="0"/>
        <v>40</v>
      </c>
      <c r="T13" s="1959">
        <f t="shared" si="0"/>
        <v>45</v>
      </c>
      <c r="U13" s="1952">
        <f t="shared" si="0"/>
        <v>50</v>
      </c>
      <c r="V13" s="1804" t="s">
        <v>344</v>
      </c>
      <c r="W13" s="1812">
        <v>25</v>
      </c>
      <c r="X13" s="1951">
        <f t="shared" si="4"/>
        <v>1</v>
      </c>
      <c r="Y13" s="1959">
        <f t="shared" si="1"/>
        <v>2</v>
      </c>
      <c r="Z13" s="1959">
        <f t="shared" si="1"/>
        <v>3</v>
      </c>
      <c r="AA13" s="1959">
        <f t="shared" si="1"/>
        <v>4</v>
      </c>
      <c r="AB13" s="1959">
        <f t="shared" si="1"/>
        <v>5</v>
      </c>
      <c r="AC13" s="1959">
        <f t="shared" si="1"/>
        <v>6</v>
      </c>
      <c r="AD13" s="1959">
        <f t="shared" si="1"/>
        <v>7</v>
      </c>
      <c r="AE13" s="1959">
        <f t="shared" si="1"/>
        <v>8</v>
      </c>
      <c r="AF13" s="1959">
        <f t="shared" si="1"/>
        <v>9</v>
      </c>
      <c r="AG13" s="1959">
        <f t="shared" si="1"/>
        <v>10</v>
      </c>
      <c r="AH13" s="1959">
        <f t="shared" si="1"/>
        <v>15</v>
      </c>
      <c r="AI13" s="1959">
        <f t="shared" si="1"/>
        <v>20</v>
      </c>
      <c r="AJ13" s="1959">
        <f t="shared" si="1"/>
        <v>25</v>
      </c>
      <c r="AK13" s="1959">
        <f t="shared" si="1"/>
        <v>30</v>
      </c>
      <c r="AL13" s="1959">
        <f t="shared" si="1"/>
        <v>35</v>
      </c>
      <c r="AM13" s="1959">
        <f t="shared" si="1"/>
        <v>40</v>
      </c>
      <c r="AN13" s="1959">
        <f t="shared" si="1"/>
        <v>45</v>
      </c>
      <c r="AO13" s="1952">
        <f t="shared" si="1"/>
        <v>50</v>
      </c>
      <c r="AP13" s="1804" t="s">
        <v>344</v>
      </c>
      <c r="AQ13" s="1812">
        <v>25</v>
      </c>
      <c r="AR13" s="1951">
        <f t="shared" si="5"/>
        <v>3</v>
      </c>
      <c r="AS13" s="1959">
        <f t="shared" si="2"/>
        <v>4</v>
      </c>
      <c r="AT13" s="1959">
        <f t="shared" si="2"/>
        <v>5</v>
      </c>
      <c r="AU13" s="1959">
        <f t="shared" si="2"/>
        <v>6</v>
      </c>
      <c r="AV13" s="1959">
        <f t="shared" si="2"/>
        <v>7</v>
      </c>
      <c r="AW13" s="1959">
        <f t="shared" si="2"/>
        <v>8</v>
      </c>
      <c r="AX13" s="1959">
        <f t="shared" si="2"/>
        <v>9</v>
      </c>
      <c r="AY13" s="1959">
        <f t="shared" si="2"/>
        <v>10</v>
      </c>
      <c r="AZ13" s="1959">
        <f t="shared" si="2"/>
        <v>11</v>
      </c>
      <c r="BA13" s="1959">
        <f t="shared" si="2"/>
        <v>12</v>
      </c>
      <c r="BB13" s="1959">
        <f t="shared" si="2"/>
        <v>17</v>
      </c>
      <c r="BC13" s="1959">
        <f t="shared" si="2"/>
        <v>22</v>
      </c>
      <c r="BD13" s="1959">
        <f t="shared" si="2"/>
        <v>27</v>
      </c>
      <c r="BE13" s="1959">
        <f t="shared" si="2"/>
        <v>32</v>
      </c>
      <c r="BF13" s="1959">
        <f t="shared" si="2"/>
        <v>37</v>
      </c>
      <c r="BG13" s="1959">
        <f t="shared" si="2"/>
        <v>42</v>
      </c>
      <c r="BH13" s="1959">
        <f t="shared" si="2"/>
        <v>47</v>
      </c>
      <c r="BI13" s="1952">
        <f t="shared" si="2"/>
        <v>52</v>
      </c>
    </row>
    <row r="14" spans="2:61" ht="12.95" customHeight="1" outlineLevel="1">
      <c r="B14" s="1802" t="s">
        <v>2152</v>
      </c>
      <c r="C14" s="1813">
        <v>35</v>
      </c>
      <c r="D14" s="1949">
        <f t="shared" si="3"/>
        <v>1</v>
      </c>
      <c r="E14" s="1963">
        <f t="shared" si="0"/>
        <v>1</v>
      </c>
      <c r="F14" s="1963">
        <f t="shared" si="0"/>
        <v>2</v>
      </c>
      <c r="G14" s="1963">
        <f t="shared" si="0"/>
        <v>3</v>
      </c>
      <c r="H14" s="1963">
        <f t="shared" si="0"/>
        <v>3</v>
      </c>
      <c r="I14" s="1963">
        <f t="shared" si="0"/>
        <v>4</v>
      </c>
      <c r="J14" s="1963">
        <f t="shared" si="0"/>
        <v>5</v>
      </c>
      <c r="K14" s="1963">
        <f t="shared" si="0"/>
        <v>6</v>
      </c>
      <c r="L14" s="1963">
        <f t="shared" si="0"/>
        <v>6</v>
      </c>
      <c r="M14" s="1963">
        <f t="shared" si="0"/>
        <v>7</v>
      </c>
      <c r="N14" s="1963">
        <f t="shared" si="0"/>
        <v>11</v>
      </c>
      <c r="O14" s="1963">
        <f t="shared" si="0"/>
        <v>14</v>
      </c>
      <c r="P14" s="1963">
        <f t="shared" si="0"/>
        <v>18</v>
      </c>
      <c r="Q14" s="1963">
        <f t="shared" si="0"/>
        <v>21</v>
      </c>
      <c r="R14" s="1963">
        <f t="shared" si="0"/>
        <v>25</v>
      </c>
      <c r="S14" s="1963">
        <f t="shared" si="0"/>
        <v>28</v>
      </c>
      <c r="T14" s="1963">
        <f t="shared" si="0"/>
        <v>32</v>
      </c>
      <c r="U14" s="1950">
        <f t="shared" si="0"/>
        <v>36</v>
      </c>
      <c r="V14" s="1802" t="s">
        <v>2152</v>
      </c>
      <c r="W14" s="1813">
        <v>35</v>
      </c>
      <c r="X14" s="1949">
        <f t="shared" si="4"/>
        <v>1</v>
      </c>
      <c r="Y14" s="1963">
        <f t="shared" si="1"/>
        <v>2</v>
      </c>
      <c r="Z14" s="1963">
        <f t="shared" si="1"/>
        <v>2</v>
      </c>
      <c r="AA14" s="1963">
        <f t="shared" si="1"/>
        <v>3</v>
      </c>
      <c r="AB14" s="1963">
        <f t="shared" si="1"/>
        <v>4</v>
      </c>
      <c r="AC14" s="1963">
        <f t="shared" si="1"/>
        <v>4</v>
      </c>
      <c r="AD14" s="1963">
        <f t="shared" si="1"/>
        <v>5</v>
      </c>
      <c r="AE14" s="1963">
        <f t="shared" si="1"/>
        <v>6</v>
      </c>
      <c r="AF14" s="1963">
        <f t="shared" si="1"/>
        <v>7</v>
      </c>
      <c r="AG14" s="1963">
        <f t="shared" si="1"/>
        <v>7</v>
      </c>
      <c r="AH14" s="1963">
        <f t="shared" si="1"/>
        <v>11</v>
      </c>
      <c r="AI14" s="1963">
        <f t="shared" si="1"/>
        <v>14</v>
      </c>
      <c r="AJ14" s="1963">
        <f t="shared" si="1"/>
        <v>18</v>
      </c>
      <c r="AK14" s="1963">
        <f t="shared" si="1"/>
        <v>22</v>
      </c>
      <c r="AL14" s="1963">
        <f t="shared" si="1"/>
        <v>25</v>
      </c>
      <c r="AM14" s="1963">
        <f t="shared" si="1"/>
        <v>29</v>
      </c>
      <c r="AN14" s="1963">
        <f t="shared" si="1"/>
        <v>32</v>
      </c>
      <c r="AO14" s="1950">
        <f t="shared" si="1"/>
        <v>36</v>
      </c>
      <c r="AP14" s="1802" t="s">
        <v>2152</v>
      </c>
      <c r="AQ14" s="1813">
        <v>35</v>
      </c>
      <c r="AR14" s="1949">
        <f t="shared" si="5"/>
        <v>2</v>
      </c>
      <c r="AS14" s="1963">
        <f t="shared" si="2"/>
        <v>2</v>
      </c>
      <c r="AT14" s="1963">
        <f t="shared" si="2"/>
        <v>3</v>
      </c>
      <c r="AU14" s="1963">
        <f t="shared" si="2"/>
        <v>4</v>
      </c>
      <c r="AV14" s="1963">
        <f t="shared" si="2"/>
        <v>5</v>
      </c>
      <c r="AW14" s="1963">
        <f t="shared" si="2"/>
        <v>5</v>
      </c>
      <c r="AX14" s="1963">
        <f t="shared" si="2"/>
        <v>6</v>
      </c>
      <c r="AY14" s="1963">
        <f t="shared" si="2"/>
        <v>7</v>
      </c>
      <c r="AZ14" s="1963">
        <f t="shared" si="2"/>
        <v>7</v>
      </c>
      <c r="BA14" s="1963">
        <f t="shared" si="2"/>
        <v>8</v>
      </c>
      <c r="BB14" s="1963">
        <f t="shared" si="2"/>
        <v>12</v>
      </c>
      <c r="BC14" s="1963">
        <f t="shared" si="2"/>
        <v>15</v>
      </c>
      <c r="BD14" s="1963">
        <f t="shared" si="2"/>
        <v>19</v>
      </c>
      <c r="BE14" s="1963">
        <f t="shared" si="2"/>
        <v>22</v>
      </c>
      <c r="BF14" s="1963">
        <f t="shared" si="2"/>
        <v>26</v>
      </c>
      <c r="BG14" s="1963">
        <f t="shared" si="2"/>
        <v>30</v>
      </c>
      <c r="BH14" s="1963">
        <f t="shared" si="2"/>
        <v>33</v>
      </c>
      <c r="BI14" s="1950">
        <f t="shared" si="2"/>
        <v>37</v>
      </c>
    </row>
    <row r="15" spans="2:61" ht="12.95" customHeight="1" outlineLevel="1">
      <c r="B15" s="1804" t="s">
        <v>1645</v>
      </c>
      <c r="C15" s="1812">
        <v>35</v>
      </c>
      <c r="D15" s="1951">
        <f t="shared" si="3"/>
        <v>1</v>
      </c>
      <c r="E15" s="1959">
        <f t="shared" si="0"/>
        <v>1</v>
      </c>
      <c r="F15" s="1959">
        <f t="shared" si="0"/>
        <v>2</v>
      </c>
      <c r="G15" s="1959">
        <f t="shared" si="0"/>
        <v>3</v>
      </c>
      <c r="H15" s="1959">
        <f t="shared" si="0"/>
        <v>3</v>
      </c>
      <c r="I15" s="1959">
        <f t="shared" si="0"/>
        <v>4</v>
      </c>
      <c r="J15" s="1959">
        <f t="shared" si="0"/>
        <v>5</v>
      </c>
      <c r="K15" s="1959">
        <f t="shared" si="0"/>
        <v>6</v>
      </c>
      <c r="L15" s="1959">
        <f t="shared" si="0"/>
        <v>6</v>
      </c>
      <c r="M15" s="1959">
        <f t="shared" si="0"/>
        <v>7</v>
      </c>
      <c r="N15" s="1959">
        <f t="shared" si="0"/>
        <v>11</v>
      </c>
      <c r="O15" s="1959">
        <f t="shared" si="0"/>
        <v>14</v>
      </c>
      <c r="P15" s="1959">
        <f t="shared" si="0"/>
        <v>18</v>
      </c>
      <c r="Q15" s="1959">
        <f t="shared" si="0"/>
        <v>21</v>
      </c>
      <c r="R15" s="1959">
        <f t="shared" si="0"/>
        <v>25</v>
      </c>
      <c r="S15" s="1959">
        <f t="shared" si="0"/>
        <v>28</v>
      </c>
      <c r="T15" s="1959">
        <f t="shared" si="0"/>
        <v>32</v>
      </c>
      <c r="U15" s="1952">
        <f t="shared" si="0"/>
        <v>36</v>
      </c>
      <c r="V15" s="1804" t="s">
        <v>1645</v>
      </c>
      <c r="W15" s="1812">
        <v>35</v>
      </c>
      <c r="X15" s="1951">
        <f t="shared" si="4"/>
        <v>1</v>
      </c>
      <c r="Y15" s="1959">
        <f t="shared" si="1"/>
        <v>2</v>
      </c>
      <c r="Z15" s="1959">
        <f t="shared" si="1"/>
        <v>2</v>
      </c>
      <c r="AA15" s="1959">
        <f t="shared" si="1"/>
        <v>3</v>
      </c>
      <c r="AB15" s="1959">
        <f t="shared" si="1"/>
        <v>4</v>
      </c>
      <c r="AC15" s="1959">
        <f t="shared" si="1"/>
        <v>4</v>
      </c>
      <c r="AD15" s="1959">
        <f t="shared" si="1"/>
        <v>5</v>
      </c>
      <c r="AE15" s="1959">
        <f t="shared" si="1"/>
        <v>6</v>
      </c>
      <c r="AF15" s="1959">
        <f t="shared" si="1"/>
        <v>7</v>
      </c>
      <c r="AG15" s="1959">
        <f t="shared" si="1"/>
        <v>7</v>
      </c>
      <c r="AH15" s="1959">
        <f t="shared" si="1"/>
        <v>11</v>
      </c>
      <c r="AI15" s="1959">
        <f t="shared" si="1"/>
        <v>14</v>
      </c>
      <c r="AJ15" s="1959">
        <f t="shared" si="1"/>
        <v>18</v>
      </c>
      <c r="AK15" s="1959">
        <f t="shared" si="1"/>
        <v>22</v>
      </c>
      <c r="AL15" s="1959">
        <f t="shared" si="1"/>
        <v>25</v>
      </c>
      <c r="AM15" s="1959">
        <f t="shared" si="1"/>
        <v>29</v>
      </c>
      <c r="AN15" s="1959">
        <f t="shared" si="1"/>
        <v>32</v>
      </c>
      <c r="AO15" s="1952">
        <f t="shared" si="1"/>
        <v>36</v>
      </c>
      <c r="AP15" s="1804" t="s">
        <v>1645</v>
      </c>
      <c r="AQ15" s="1812">
        <v>35</v>
      </c>
      <c r="AR15" s="1951">
        <f t="shared" si="5"/>
        <v>2</v>
      </c>
      <c r="AS15" s="1959">
        <f t="shared" si="2"/>
        <v>2</v>
      </c>
      <c r="AT15" s="1959">
        <f t="shared" si="2"/>
        <v>3</v>
      </c>
      <c r="AU15" s="1959">
        <f t="shared" si="2"/>
        <v>4</v>
      </c>
      <c r="AV15" s="1959">
        <f t="shared" si="2"/>
        <v>5</v>
      </c>
      <c r="AW15" s="1959">
        <f t="shared" si="2"/>
        <v>5</v>
      </c>
      <c r="AX15" s="1959">
        <f t="shared" si="2"/>
        <v>6</v>
      </c>
      <c r="AY15" s="1959">
        <f t="shared" si="2"/>
        <v>7</v>
      </c>
      <c r="AZ15" s="1959">
        <f t="shared" si="2"/>
        <v>7</v>
      </c>
      <c r="BA15" s="1959">
        <f t="shared" si="2"/>
        <v>8</v>
      </c>
      <c r="BB15" s="1959">
        <f t="shared" si="2"/>
        <v>12</v>
      </c>
      <c r="BC15" s="1959">
        <f t="shared" si="2"/>
        <v>15</v>
      </c>
      <c r="BD15" s="1959">
        <f t="shared" si="2"/>
        <v>19</v>
      </c>
      <c r="BE15" s="1959">
        <f t="shared" si="2"/>
        <v>22</v>
      </c>
      <c r="BF15" s="1959">
        <f t="shared" si="2"/>
        <v>26</v>
      </c>
      <c r="BG15" s="1959">
        <f t="shared" si="2"/>
        <v>30</v>
      </c>
      <c r="BH15" s="1959">
        <f t="shared" si="2"/>
        <v>33</v>
      </c>
      <c r="BI15" s="1952">
        <f t="shared" si="2"/>
        <v>37</v>
      </c>
    </row>
    <row r="16" spans="2:61" ht="12.95" customHeight="1" outlineLevel="1">
      <c r="B16" s="1802" t="s">
        <v>1948</v>
      </c>
      <c r="C16" s="1813">
        <v>30</v>
      </c>
      <c r="D16" s="1949">
        <f t="shared" si="3"/>
        <v>1</v>
      </c>
      <c r="E16" s="1963">
        <f t="shared" si="0"/>
        <v>2</v>
      </c>
      <c r="F16" s="1963">
        <f t="shared" si="0"/>
        <v>2</v>
      </c>
      <c r="G16" s="1963">
        <f t="shared" si="0"/>
        <v>3</v>
      </c>
      <c r="H16" s="1963">
        <f t="shared" si="0"/>
        <v>4</v>
      </c>
      <c r="I16" s="1963">
        <f t="shared" si="0"/>
        <v>5</v>
      </c>
      <c r="J16" s="1963">
        <f t="shared" si="0"/>
        <v>6</v>
      </c>
      <c r="K16" s="1963">
        <f t="shared" si="0"/>
        <v>7</v>
      </c>
      <c r="L16" s="1963">
        <f t="shared" si="0"/>
        <v>7</v>
      </c>
      <c r="M16" s="1963">
        <f t="shared" si="0"/>
        <v>8</v>
      </c>
      <c r="N16" s="1963">
        <f t="shared" si="0"/>
        <v>12</v>
      </c>
      <c r="O16" s="1963">
        <f t="shared" si="0"/>
        <v>17</v>
      </c>
      <c r="P16" s="1963">
        <f t="shared" si="0"/>
        <v>21</v>
      </c>
      <c r="Q16" s="1963">
        <f t="shared" si="0"/>
        <v>25</v>
      </c>
      <c r="R16" s="1963">
        <f t="shared" si="0"/>
        <v>29</v>
      </c>
      <c r="S16" s="1963">
        <f t="shared" si="0"/>
        <v>33</v>
      </c>
      <c r="T16" s="1963">
        <f t="shared" si="0"/>
        <v>37</v>
      </c>
      <c r="U16" s="1950">
        <f t="shared" si="0"/>
        <v>42</v>
      </c>
      <c r="V16" s="1802" t="s">
        <v>1948</v>
      </c>
      <c r="W16" s="1813">
        <v>30</v>
      </c>
      <c r="X16" s="1949">
        <f t="shared" si="4"/>
        <v>1</v>
      </c>
      <c r="Y16" s="1963">
        <f t="shared" si="1"/>
        <v>2</v>
      </c>
      <c r="Z16" s="1963">
        <f t="shared" si="1"/>
        <v>3</v>
      </c>
      <c r="AA16" s="1963">
        <f t="shared" si="1"/>
        <v>4</v>
      </c>
      <c r="AB16" s="1963">
        <f t="shared" si="1"/>
        <v>4</v>
      </c>
      <c r="AC16" s="1963">
        <f t="shared" si="1"/>
        <v>5</v>
      </c>
      <c r="AD16" s="1963">
        <f t="shared" si="1"/>
        <v>6</v>
      </c>
      <c r="AE16" s="1963">
        <f t="shared" si="1"/>
        <v>7</v>
      </c>
      <c r="AF16" s="1963">
        <f t="shared" si="1"/>
        <v>8</v>
      </c>
      <c r="AG16" s="1963">
        <f t="shared" si="1"/>
        <v>9</v>
      </c>
      <c r="AH16" s="1963">
        <f t="shared" si="1"/>
        <v>13</v>
      </c>
      <c r="AI16" s="1963">
        <f t="shared" si="1"/>
        <v>17</v>
      </c>
      <c r="AJ16" s="1963">
        <f t="shared" si="1"/>
        <v>21</v>
      </c>
      <c r="AK16" s="1963">
        <f t="shared" si="1"/>
        <v>25</v>
      </c>
      <c r="AL16" s="1963">
        <f t="shared" si="1"/>
        <v>29</v>
      </c>
      <c r="AM16" s="1963">
        <f t="shared" si="1"/>
        <v>34</v>
      </c>
      <c r="AN16" s="1963">
        <f t="shared" si="1"/>
        <v>38</v>
      </c>
      <c r="AO16" s="1950">
        <f t="shared" si="1"/>
        <v>42</v>
      </c>
      <c r="AP16" s="1802" t="s">
        <v>1948</v>
      </c>
      <c r="AQ16" s="1813">
        <v>30</v>
      </c>
      <c r="AR16" s="1949">
        <f t="shared" si="5"/>
        <v>2</v>
      </c>
      <c r="AS16" s="1963">
        <f t="shared" si="2"/>
        <v>3</v>
      </c>
      <c r="AT16" s="1963">
        <f t="shared" si="2"/>
        <v>4</v>
      </c>
      <c r="AU16" s="1963">
        <f t="shared" si="2"/>
        <v>5</v>
      </c>
      <c r="AV16" s="1963">
        <f t="shared" si="2"/>
        <v>5</v>
      </c>
      <c r="AW16" s="1963">
        <f t="shared" si="2"/>
        <v>6</v>
      </c>
      <c r="AX16" s="1963">
        <f t="shared" si="2"/>
        <v>7</v>
      </c>
      <c r="AY16" s="1963">
        <f t="shared" si="2"/>
        <v>8</v>
      </c>
      <c r="AZ16" s="1963">
        <f t="shared" si="2"/>
        <v>9</v>
      </c>
      <c r="BA16" s="1963">
        <f t="shared" si="2"/>
        <v>10</v>
      </c>
      <c r="BB16" s="1963">
        <f t="shared" si="2"/>
        <v>14</v>
      </c>
      <c r="BC16" s="1963">
        <f t="shared" si="2"/>
        <v>18</v>
      </c>
      <c r="BD16" s="1963">
        <f t="shared" si="2"/>
        <v>22</v>
      </c>
      <c r="BE16" s="1963">
        <f t="shared" si="2"/>
        <v>26</v>
      </c>
      <c r="BF16" s="1963">
        <f t="shared" si="2"/>
        <v>30</v>
      </c>
      <c r="BG16" s="1963">
        <f t="shared" si="2"/>
        <v>35</v>
      </c>
      <c r="BH16" s="1963">
        <f t="shared" si="2"/>
        <v>39</v>
      </c>
      <c r="BI16" s="1950">
        <f t="shared" si="2"/>
        <v>43</v>
      </c>
    </row>
    <row r="17" spans="2:61" ht="12.95" customHeight="1" outlineLevel="1">
      <c r="B17" s="1804" t="s">
        <v>1644</v>
      </c>
      <c r="C17" s="1812">
        <v>30</v>
      </c>
      <c r="D17" s="1951">
        <f t="shared" si="3"/>
        <v>1</v>
      </c>
      <c r="E17" s="1959">
        <f t="shared" si="0"/>
        <v>2</v>
      </c>
      <c r="F17" s="1959">
        <f t="shared" si="0"/>
        <v>2</v>
      </c>
      <c r="G17" s="1959">
        <f t="shared" si="0"/>
        <v>3</v>
      </c>
      <c r="H17" s="1959">
        <f t="shared" si="0"/>
        <v>4</v>
      </c>
      <c r="I17" s="1959">
        <f t="shared" si="0"/>
        <v>5</v>
      </c>
      <c r="J17" s="1959">
        <f t="shared" si="0"/>
        <v>6</v>
      </c>
      <c r="K17" s="1959">
        <f t="shared" si="0"/>
        <v>7</v>
      </c>
      <c r="L17" s="1959">
        <f t="shared" si="0"/>
        <v>7</v>
      </c>
      <c r="M17" s="1959">
        <f t="shared" si="0"/>
        <v>8</v>
      </c>
      <c r="N17" s="1959">
        <f t="shared" si="0"/>
        <v>12</v>
      </c>
      <c r="O17" s="1959">
        <f t="shared" si="0"/>
        <v>17</v>
      </c>
      <c r="P17" s="1959">
        <f t="shared" si="0"/>
        <v>21</v>
      </c>
      <c r="Q17" s="1959">
        <f t="shared" si="0"/>
        <v>25</v>
      </c>
      <c r="R17" s="1959">
        <f t="shared" si="0"/>
        <v>29</v>
      </c>
      <c r="S17" s="1959">
        <f t="shared" si="0"/>
        <v>33</v>
      </c>
      <c r="T17" s="1959">
        <f t="shared" si="0"/>
        <v>37</v>
      </c>
      <c r="U17" s="1952">
        <f t="shared" si="0"/>
        <v>42</v>
      </c>
      <c r="V17" s="1804" t="s">
        <v>1644</v>
      </c>
      <c r="W17" s="1812">
        <v>30</v>
      </c>
      <c r="X17" s="1951">
        <f t="shared" si="4"/>
        <v>1</v>
      </c>
      <c r="Y17" s="1959">
        <f t="shared" si="1"/>
        <v>2</v>
      </c>
      <c r="Z17" s="1959">
        <f t="shared" si="1"/>
        <v>3</v>
      </c>
      <c r="AA17" s="1959">
        <f t="shared" si="1"/>
        <v>4</v>
      </c>
      <c r="AB17" s="1959">
        <f t="shared" si="1"/>
        <v>4</v>
      </c>
      <c r="AC17" s="1959">
        <f t="shared" si="1"/>
        <v>5</v>
      </c>
      <c r="AD17" s="1959">
        <f t="shared" si="1"/>
        <v>6</v>
      </c>
      <c r="AE17" s="1959">
        <f t="shared" si="1"/>
        <v>7</v>
      </c>
      <c r="AF17" s="1959">
        <f t="shared" si="1"/>
        <v>8</v>
      </c>
      <c r="AG17" s="1959">
        <f t="shared" si="1"/>
        <v>9</v>
      </c>
      <c r="AH17" s="1959">
        <f t="shared" si="1"/>
        <v>13</v>
      </c>
      <c r="AI17" s="1959">
        <f t="shared" si="1"/>
        <v>17</v>
      </c>
      <c r="AJ17" s="1959">
        <f t="shared" si="1"/>
        <v>21</v>
      </c>
      <c r="AK17" s="1959">
        <f t="shared" si="1"/>
        <v>25</v>
      </c>
      <c r="AL17" s="1959">
        <f t="shared" si="1"/>
        <v>29</v>
      </c>
      <c r="AM17" s="1959">
        <f t="shared" si="1"/>
        <v>34</v>
      </c>
      <c r="AN17" s="1959">
        <f t="shared" si="1"/>
        <v>38</v>
      </c>
      <c r="AO17" s="1952">
        <f t="shared" si="1"/>
        <v>42</v>
      </c>
      <c r="AP17" s="1804" t="s">
        <v>1644</v>
      </c>
      <c r="AQ17" s="1812">
        <v>30</v>
      </c>
      <c r="AR17" s="1951">
        <f t="shared" si="5"/>
        <v>2</v>
      </c>
      <c r="AS17" s="1959">
        <f t="shared" si="2"/>
        <v>3</v>
      </c>
      <c r="AT17" s="1959">
        <f t="shared" si="2"/>
        <v>4</v>
      </c>
      <c r="AU17" s="1959">
        <f t="shared" si="2"/>
        <v>5</v>
      </c>
      <c r="AV17" s="1959">
        <f t="shared" si="2"/>
        <v>5</v>
      </c>
      <c r="AW17" s="1959">
        <f t="shared" si="2"/>
        <v>6</v>
      </c>
      <c r="AX17" s="1959">
        <f t="shared" si="2"/>
        <v>7</v>
      </c>
      <c r="AY17" s="1959">
        <f t="shared" si="2"/>
        <v>8</v>
      </c>
      <c r="AZ17" s="1959">
        <f t="shared" si="2"/>
        <v>9</v>
      </c>
      <c r="BA17" s="1959">
        <f t="shared" si="2"/>
        <v>10</v>
      </c>
      <c r="BB17" s="1959">
        <f t="shared" si="2"/>
        <v>14</v>
      </c>
      <c r="BC17" s="1959">
        <f t="shared" si="2"/>
        <v>18</v>
      </c>
      <c r="BD17" s="1959">
        <f t="shared" si="2"/>
        <v>22</v>
      </c>
      <c r="BE17" s="1959">
        <f t="shared" si="2"/>
        <v>26</v>
      </c>
      <c r="BF17" s="1959">
        <f t="shared" si="2"/>
        <v>30</v>
      </c>
      <c r="BG17" s="1959">
        <f t="shared" si="2"/>
        <v>35</v>
      </c>
      <c r="BH17" s="1959">
        <f t="shared" si="2"/>
        <v>39</v>
      </c>
      <c r="BI17" s="1952">
        <f t="shared" si="2"/>
        <v>43</v>
      </c>
    </row>
    <row r="18" spans="2:61" ht="12.95" customHeight="1" outlineLevel="1">
      <c r="B18" s="1802" t="s">
        <v>567</v>
      </c>
      <c r="C18" s="1813">
        <v>100</v>
      </c>
      <c r="D18" s="1823">
        <f t="shared" si="3"/>
        <v>0</v>
      </c>
      <c r="E18" s="1826">
        <f t="shared" si="0"/>
        <v>0</v>
      </c>
      <c r="F18" s="1826">
        <f t="shared" si="0"/>
        <v>0</v>
      </c>
      <c r="G18" s="1963">
        <f t="shared" si="0"/>
        <v>1</v>
      </c>
      <c r="H18" s="1963">
        <f t="shared" si="0"/>
        <v>1</v>
      </c>
      <c r="I18" s="1963">
        <f t="shared" si="0"/>
        <v>1</v>
      </c>
      <c r="J18" s="1963">
        <f t="shared" si="0"/>
        <v>1</v>
      </c>
      <c r="K18" s="1963">
        <f t="shared" si="0"/>
        <v>2</v>
      </c>
      <c r="L18" s="1963">
        <f t="shared" si="0"/>
        <v>2</v>
      </c>
      <c r="M18" s="1963">
        <f t="shared" si="0"/>
        <v>2</v>
      </c>
      <c r="N18" s="1963">
        <f t="shared" si="0"/>
        <v>3</v>
      </c>
      <c r="O18" s="1963">
        <f t="shared" si="0"/>
        <v>5</v>
      </c>
      <c r="P18" s="1963">
        <f t="shared" si="0"/>
        <v>6</v>
      </c>
      <c r="Q18" s="1963">
        <f t="shared" si="0"/>
        <v>7</v>
      </c>
      <c r="R18" s="1963">
        <f t="shared" si="0"/>
        <v>8</v>
      </c>
      <c r="S18" s="1963">
        <f t="shared" si="0"/>
        <v>10</v>
      </c>
      <c r="T18" s="1963">
        <f t="shared" si="0"/>
        <v>11</v>
      </c>
      <c r="U18" s="1950">
        <f t="shared" si="0"/>
        <v>12</v>
      </c>
      <c r="V18" s="1802" t="s">
        <v>567</v>
      </c>
      <c r="W18" s="1813">
        <v>100</v>
      </c>
      <c r="X18" s="1823">
        <f t="shared" si="4"/>
        <v>0</v>
      </c>
      <c r="Y18" s="1826">
        <f t="shared" si="1"/>
        <v>0</v>
      </c>
      <c r="Z18" s="1826">
        <f t="shared" si="1"/>
        <v>0</v>
      </c>
      <c r="AA18" s="1963">
        <f t="shared" si="1"/>
        <v>1</v>
      </c>
      <c r="AB18" s="1963">
        <f t="shared" si="1"/>
        <v>1</v>
      </c>
      <c r="AC18" s="1963">
        <f t="shared" si="1"/>
        <v>1</v>
      </c>
      <c r="AD18" s="1963">
        <f t="shared" si="1"/>
        <v>1</v>
      </c>
      <c r="AE18" s="1963">
        <f t="shared" si="1"/>
        <v>2</v>
      </c>
      <c r="AF18" s="1963">
        <f t="shared" si="1"/>
        <v>2</v>
      </c>
      <c r="AG18" s="1963">
        <f t="shared" si="1"/>
        <v>2</v>
      </c>
      <c r="AH18" s="1963">
        <f t="shared" si="1"/>
        <v>3</v>
      </c>
      <c r="AI18" s="1963">
        <f t="shared" si="1"/>
        <v>5</v>
      </c>
      <c r="AJ18" s="1963">
        <f t="shared" si="1"/>
        <v>6</v>
      </c>
      <c r="AK18" s="1963">
        <f t="shared" si="1"/>
        <v>7</v>
      </c>
      <c r="AL18" s="1963">
        <f t="shared" si="1"/>
        <v>8</v>
      </c>
      <c r="AM18" s="1963">
        <f t="shared" si="1"/>
        <v>10</v>
      </c>
      <c r="AN18" s="1963">
        <f t="shared" si="1"/>
        <v>11</v>
      </c>
      <c r="AO18" s="1950">
        <f t="shared" si="1"/>
        <v>12</v>
      </c>
      <c r="AP18" s="1802" t="s">
        <v>567</v>
      </c>
      <c r="AQ18" s="1813">
        <v>100</v>
      </c>
      <c r="AR18" s="1823">
        <f t="shared" si="5"/>
        <v>0</v>
      </c>
      <c r="AS18" s="1963">
        <f t="shared" si="2"/>
        <v>1</v>
      </c>
      <c r="AT18" s="1963">
        <f t="shared" si="2"/>
        <v>1</v>
      </c>
      <c r="AU18" s="1963">
        <f t="shared" si="2"/>
        <v>1</v>
      </c>
      <c r="AV18" s="1963">
        <f t="shared" si="2"/>
        <v>1</v>
      </c>
      <c r="AW18" s="1963">
        <f t="shared" si="2"/>
        <v>2</v>
      </c>
      <c r="AX18" s="1963">
        <f t="shared" si="2"/>
        <v>2</v>
      </c>
      <c r="AY18" s="1963">
        <f t="shared" si="2"/>
        <v>2</v>
      </c>
      <c r="AZ18" s="1963">
        <f t="shared" si="2"/>
        <v>2</v>
      </c>
      <c r="BA18" s="1963">
        <f t="shared" si="2"/>
        <v>3</v>
      </c>
      <c r="BB18" s="1963">
        <f t="shared" si="2"/>
        <v>4</v>
      </c>
      <c r="BC18" s="1963">
        <f t="shared" si="2"/>
        <v>5</v>
      </c>
      <c r="BD18" s="1963">
        <f t="shared" si="2"/>
        <v>6</v>
      </c>
      <c r="BE18" s="1963">
        <f t="shared" si="2"/>
        <v>8</v>
      </c>
      <c r="BF18" s="1963">
        <f t="shared" si="2"/>
        <v>9</v>
      </c>
      <c r="BG18" s="1963">
        <f t="shared" si="2"/>
        <v>10</v>
      </c>
      <c r="BH18" s="1963">
        <f t="shared" si="2"/>
        <v>11</v>
      </c>
      <c r="BI18" s="1950">
        <f t="shared" si="2"/>
        <v>13</v>
      </c>
    </row>
    <row r="19" spans="2:61" ht="12.95" customHeight="1" outlineLevel="1">
      <c r="B19" s="1804" t="s">
        <v>654</v>
      </c>
      <c r="C19" s="1812">
        <v>100</v>
      </c>
      <c r="D19" s="1824">
        <f t="shared" si="3"/>
        <v>0</v>
      </c>
      <c r="E19" s="1829">
        <f t="shared" si="0"/>
        <v>0</v>
      </c>
      <c r="F19" s="1829">
        <f t="shared" si="0"/>
        <v>0</v>
      </c>
      <c r="G19" s="1959">
        <f t="shared" si="0"/>
        <v>1</v>
      </c>
      <c r="H19" s="1959">
        <f t="shared" si="0"/>
        <v>1</v>
      </c>
      <c r="I19" s="1959">
        <f t="shared" si="0"/>
        <v>1</v>
      </c>
      <c r="J19" s="1959">
        <f t="shared" si="0"/>
        <v>1</v>
      </c>
      <c r="K19" s="1959">
        <f t="shared" si="0"/>
        <v>2</v>
      </c>
      <c r="L19" s="1959">
        <f t="shared" si="0"/>
        <v>2</v>
      </c>
      <c r="M19" s="1959">
        <f t="shared" si="0"/>
        <v>2</v>
      </c>
      <c r="N19" s="1959">
        <f t="shared" si="0"/>
        <v>3</v>
      </c>
      <c r="O19" s="1959">
        <f t="shared" si="0"/>
        <v>5</v>
      </c>
      <c r="P19" s="1959">
        <f t="shared" si="0"/>
        <v>6</v>
      </c>
      <c r="Q19" s="1959">
        <f t="shared" si="0"/>
        <v>7</v>
      </c>
      <c r="R19" s="1959">
        <f t="shared" si="0"/>
        <v>8</v>
      </c>
      <c r="S19" s="1959">
        <f t="shared" si="0"/>
        <v>10</v>
      </c>
      <c r="T19" s="1959">
        <f t="shared" si="0"/>
        <v>11</v>
      </c>
      <c r="U19" s="1952">
        <f t="shared" si="0"/>
        <v>12</v>
      </c>
      <c r="V19" s="1804" t="s">
        <v>654</v>
      </c>
      <c r="W19" s="1812">
        <v>100</v>
      </c>
      <c r="X19" s="1824">
        <f t="shared" si="4"/>
        <v>0</v>
      </c>
      <c r="Y19" s="1829">
        <f t="shared" si="1"/>
        <v>0</v>
      </c>
      <c r="Z19" s="1829">
        <f t="shared" si="1"/>
        <v>0</v>
      </c>
      <c r="AA19" s="1959">
        <f t="shared" si="1"/>
        <v>1</v>
      </c>
      <c r="AB19" s="1959">
        <f t="shared" si="1"/>
        <v>1</v>
      </c>
      <c r="AC19" s="1959">
        <f t="shared" si="1"/>
        <v>1</v>
      </c>
      <c r="AD19" s="1959">
        <f t="shared" si="1"/>
        <v>1</v>
      </c>
      <c r="AE19" s="1959">
        <f t="shared" si="1"/>
        <v>2</v>
      </c>
      <c r="AF19" s="1959">
        <f t="shared" si="1"/>
        <v>2</v>
      </c>
      <c r="AG19" s="1959">
        <f t="shared" si="1"/>
        <v>2</v>
      </c>
      <c r="AH19" s="1959">
        <f t="shared" si="1"/>
        <v>3</v>
      </c>
      <c r="AI19" s="1959">
        <f t="shared" si="1"/>
        <v>5</v>
      </c>
      <c r="AJ19" s="1959">
        <f t="shared" si="1"/>
        <v>6</v>
      </c>
      <c r="AK19" s="1959">
        <f t="shared" si="1"/>
        <v>7</v>
      </c>
      <c r="AL19" s="1959">
        <f t="shared" si="1"/>
        <v>8</v>
      </c>
      <c r="AM19" s="1959">
        <f t="shared" si="1"/>
        <v>10</v>
      </c>
      <c r="AN19" s="1959">
        <f t="shared" si="1"/>
        <v>11</v>
      </c>
      <c r="AO19" s="1952">
        <f t="shared" si="1"/>
        <v>12</v>
      </c>
      <c r="AP19" s="1804" t="s">
        <v>654</v>
      </c>
      <c r="AQ19" s="1812">
        <v>100</v>
      </c>
      <c r="AR19" s="1824">
        <f t="shared" si="5"/>
        <v>0</v>
      </c>
      <c r="AS19" s="1959">
        <f t="shared" si="2"/>
        <v>1</v>
      </c>
      <c r="AT19" s="1959">
        <f t="shared" si="2"/>
        <v>1</v>
      </c>
      <c r="AU19" s="1959">
        <f t="shared" si="2"/>
        <v>1</v>
      </c>
      <c r="AV19" s="1959">
        <f t="shared" si="2"/>
        <v>1</v>
      </c>
      <c r="AW19" s="1959">
        <f t="shared" si="2"/>
        <v>2</v>
      </c>
      <c r="AX19" s="1959">
        <f t="shared" si="2"/>
        <v>2</v>
      </c>
      <c r="AY19" s="1959">
        <f t="shared" si="2"/>
        <v>2</v>
      </c>
      <c r="AZ19" s="1959">
        <f t="shared" si="2"/>
        <v>2</v>
      </c>
      <c r="BA19" s="1959">
        <f t="shared" si="2"/>
        <v>3</v>
      </c>
      <c r="BB19" s="1959">
        <f t="shared" si="2"/>
        <v>4</v>
      </c>
      <c r="BC19" s="1959">
        <f t="shared" si="2"/>
        <v>5</v>
      </c>
      <c r="BD19" s="1959">
        <f t="shared" si="2"/>
        <v>6</v>
      </c>
      <c r="BE19" s="1959">
        <f t="shared" si="2"/>
        <v>8</v>
      </c>
      <c r="BF19" s="1959">
        <f t="shared" si="2"/>
        <v>9</v>
      </c>
      <c r="BG19" s="1959">
        <f t="shared" si="2"/>
        <v>10</v>
      </c>
      <c r="BH19" s="1959">
        <f t="shared" si="2"/>
        <v>11</v>
      </c>
      <c r="BI19" s="1952">
        <f t="shared" si="2"/>
        <v>13</v>
      </c>
    </row>
    <row r="20" spans="2:61" ht="12.95" customHeight="1" outlineLevel="1">
      <c r="B20" s="1802" t="s">
        <v>650</v>
      </c>
      <c r="C20" s="1813">
        <v>200</v>
      </c>
      <c r="D20" s="1823">
        <f t="shared" si="3"/>
        <v>0</v>
      </c>
      <c r="E20" s="1826">
        <f t="shared" si="0"/>
        <v>0</v>
      </c>
      <c r="F20" s="1826">
        <f t="shared" si="0"/>
        <v>0</v>
      </c>
      <c r="G20" s="1826">
        <f t="shared" si="0"/>
        <v>0</v>
      </c>
      <c r="H20" s="1826">
        <f t="shared" si="0"/>
        <v>0</v>
      </c>
      <c r="I20" s="1826">
        <f t="shared" si="0"/>
        <v>0</v>
      </c>
      <c r="J20" s="1826">
        <f t="shared" si="0"/>
        <v>0</v>
      </c>
      <c r="K20" s="1963">
        <f t="shared" si="0"/>
        <v>1</v>
      </c>
      <c r="L20" s="1963">
        <f t="shared" si="0"/>
        <v>1</v>
      </c>
      <c r="M20" s="1963">
        <f t="shared" si="0"/>
        <v>1</v>
      </c>
      <c r="N20" s="1963">
        <f t="shared" si="0"/>
        <v>1</v>
      </c>
      <c r="O20" s="1963">
        <f t="shared" si="0"/>
        <v>2</v>
      </c>
      <c r="P20" s="1963">
        <f t="shared" si="0"/>
        <v>3</v>
      </c>
      <c r="Q20" s="1963">
        <f t="shared" si="0"/>
        <v>3</v>
      </c>
      <c r="R20" s="1963">
        <f t="shared" si="0"/>
        <v>4</v>
      </c>
      <c r="S20" s="1963">
        <f t="shared" si="0"/>
        <v>5</v>
      </c>
      <c r="T20" s="1963">
        <f t="shared" si="0"/>
        <v>5</v>
      </c>
      <c r="U20" s="1950">
        <f t="shared" si="0"/>
        <v>6</v>
      </c>
      <c r="V20" s="1802" t="s">
        <v>650</v>
      </c>
      <c r="W20" s="1813">
        <v>200</v>
      </c>
      <c r="X20" s="1823">
        <f t="shared" si="4"/>
        <v>0</v>
      </c>
      <c r="Y20" s="1826">
        <f t="shared" si="1"/>
        <v>0</v>
      </c>
      <c r="Z20" s="1826">
        <f t="shared" si="1"/>
        <v>0</v>
      </c>
      <c r="AA20" s="1826">
        <f t="shared" si="1"/>
        <v>0</v>
      </c>
      <c r="AB20" s="1826">
        <f t="shared" si="1"/>
        <v>0</v>
      </c>
      <c r="AC20" s="1826">
        <f t="shared" si="1"/>
        <v>0</v>
      </c>
      <c r="AD20" s="1826">
        <f t="shared" si="1"/>
        <v>0</v>
      </c>
      <c r="AE20" s="1963">
        <f t="shared" si="1"/>
        <v>1</v>
      </c>
      <c r="AF20" s="1963">
        <f t="shared" si="1"/>
        <v>1</v>
      </c>
      <c r="AG20" s="1963">
        <f t="shared" si="1"/>
        <v>1</v>
      </c>
      <c r="AH20" s="1963">
        <f t="shared" si="1"/>
        <v>1</v>
      </c>
      <c r="AI20" s="1963">
        <f t="shared" si="1"/>
        <v>2</v>
      </c>
      <c r="AJ20" s="1963">
        <f t="shared" si="1"/>
        <v>3</v>
      </c>
      <c r="AK20" s="1963">
        <f t="shared" si="1"/>
        <v>3</v>
      </c>
      <c r="AL20" s="1963">
        <f t="shared" si="1"/>
        <v>4</v>
      </c>
      <c r="AM20" s="1963">
        <f t="shared" si="1"/>
        <v>5</v>
      </c>
      <c r="AN20" s="1963">
        <f t="shared" si="1"/>
        <v>5</v>
      </c>
      <c r="AO20" s="1950">
        <f t="shared" si="1"/>
        <v>6</v>
      </c>
      <c r="AP20" s="1802" t="s">
        <v>650</v>
      </c>
      <c r="AQ20" s="1813">
        <v>200</v>
      </c>
      <c r="AR20" s="1823">
        <f t="shared" si="5"/>
        <v>0</v>
      </c>
      <c r="AS20" s="1826">
        <f t="shared" si="2"/>
        <v>0</v>
      </c>
      <c r="AT20" s="1826">
        <f t="shared" si="2"/>
        <v>0</v>
      </c>
      <c r="AU20" s="1826">
        <f t="shared" si="2"/>
        <v>0</v>
      </c>
      <c r="AV20" s="1826">
        <f t="shared" si="2"/>
        <v>0</v>
      </c>
      <c r="AW20" s="1963">
        <f t="shared" si="2"/>
        <v>1</v>
      </c>
      <c r="AX20" s="1963">
        <f t="shared" si="2"/>
        <v>1</v>
      </c>
      <c r="AY20" s="1963">
        <f t="shared" si="2"/>
        <v>1</v>
      </c>
      <c r="AZ20" s="1963">
        <f t="shared" si="2"/>
        <v>1</v>
      </c>
      <c r="BA20" s="1963">
        <f t="shared" si="2"/>
        <v>1</v>
      </c>
      <c r="BB20" s="1963">
        <f t="shared" si="2"/>
        <v>2</v>
      </c>
      <c r="BC20" s="1963">
        <f t="shared" si="2"/>
        <v>2</v>
      </c>
      <c r="BD20" s="1963">
        <f t="shared" si="2"/>
        <v>3</v>
      </c>
      <c r="BE20" s="1963">
        <f t="shared" si="2"/>
        <v>4</v>
      </c>
      <c r="BF20" s="1963">
        <f t="shared" si="2"/>
        <v>4</v>
      </c>
      <c r="BG20" s="1963">
        <f t="shared" si="2"/>
        <v>5</v>
      </c>
      <c r="BH20" s="1963">
        <f t="shared" si="2"/>
        <v>5</v>
      </c>
      <c r="BI20" s="1950">
        <f t="shared" si="2"/>
        <v>6</v>
      </c>
    </row>
    <row r="21" spans="2:61" ht="12.95" customHeight="1" outlineLevel="1" thickBot="1">
      <c r="B21" s="1810" t="s">
        <v>1220</v>
      </c>
      <c r="C21" s="1814">
        <v>250</v>
      </c>
      <c r="D21" s="1825">
        <f t="shared" si="3"/>
        <v>0</v>
      </c>
      <c r="E21" s="1827">
        <f t="shared" si="0"/>
        <v>0</v>
      </c>
      <c r="F21" s="1827">
        <f t="shared" si="0"/>
        <v>0</v>
      </c>
      <c r="G21" s="1827">
        <f t="shared" si="0"/>
        <v>0</v>
      </c>
      <c r="H21" s="1827">
        <f t="shared" si="0"/>
        <v>0</v>
      </c>
      <c r="I21" s="1827">
        <f t="shared" si="0"/>
        <v>0</v>
      </c>
      <c r="J21" s="1827">
        <f t="shared" si="0"/>
        <v>0</v>
      </c>
      <c r="K21" s="1827">
        <f t="shared" si="0"/>
        <v>0</v>
      </c>
      <c r="L21" s="1827">
        <f t="shared" si="0"/>
        <v>0</v>
      </c>
      <c r="M21" s="1821">
        <f t="shared" si="0"/>
        <v>1</v>
      </c>
      <c r="N21" s="1821">
        <f t="shared" si="0"/>
        <v>1</v>
      </c>
      <c r="O21" s="1821">
        <f t="shared" si="0"/>
        <v>2</v>
      </c>
      <c r="P21" s="1821">
        <f t="shared" si="0"/>
        <v>2</v>
      </c>
      <c r="Q21" s="1821">
        <f t="shared" si="0"/>
        <v>3</v>
      </c>
      <c r="R21" s="1821">
        <f t="shared" si="0"/>
        <v>3</v>
      </c>
      <c r="S21" s="1821">
        <f t="shared" si="0"/>
        <v>4</v>
      </c>
      <c r="T21" s="1821">
        <f t="shared" si="0"/>
        <v>4</v>
      </c>
      <c r="U21" s="1822">
        <f t="shared" si="0"/>
        <v>5</v>
      </c>
      <c r="V21" s="1810" t="s">
        <v>1220</v>
      </c>
      <c r="W21" s="1814">
        <v>250</v>
      </c>
      <c r="X21" s="1825">
        <f t="shared" si="4"/>
        <v>0</v>
      </c>
      <c r="Y21" s="1827">
        <f t="shared" si="1"/>
        <v>0</v>
      </c>
      <c r="Z21" s="1827">
        <f t="shared" si="1"/>
        <v>0</v>
      </c>
      <c r="AA21" s="1827">
        <f t="shared" si="1"/>
        <v>0</v>
      </c>
      <c r="AB21" s="1827">
        <f t="shared" si="1"/>
        <v>0</v>
      </c>
      <c r="AC21" s="1827">
        <f t="shared" si="1"/>
        <v>0</v>
      </c>
      <c r="AD21" s="1827">
        <f t="shared" si="1"/>
        <v>0</v>
      </c>
      <c r="AE21" s="1827">
        <f t="shared" si="1"/>
        <v>0</v>
      </c>
      <c r="AF21" s="1827">
        <f t="shared" si="1"/>
        <v>0</v>
      </c>
      <c r="AG21" s="1821">
        <f t="shared" si="1"/>
        <v>1</v>
      </c>
      <c r="AH21" s="1821">
        <f t="shared" si="1"/>
        <v>1</v>
      </c>
      <c r="AI21" s="1821">
        <f t="shared" si="1"/>
        <v>2</v>
      </c>
      <c r="AJ21" s="1821">
        <f t="shared" si="1"/>
        <v>2</v>
      </c>
      <c r="AK21" s="1821">
        <f t="shared" si="1"/>
        <v>3</v>
      </c>
      <c r="AL21" s="1821">
        <f t="shared" si="1"/>
        <v>3</v>
      </c>
      <c r="AM21" s="1821">
        <f t="shared" si="1"/>
        <v>4</v>
      </c>
      <c r="AN21" s="1821">
        <f t="shared" si="1"/>
        <v>4</v>
      </c>
      <c r="AO21" s="1822">
        <f t="shared" si="1"/>
        <v>5</v>
      </c>
      <c r="AP21" s="1810" t="s">
        <v>1220</v>
      </c>
      <c r="AQ21" s="1814">
        <v>250</v>
      </c>
      <c r="AR21" s="1825">
        <f t="shared" si="5"/>
        <v>0</v>
      </c>
      <c r="AS21" s="1827">
        <f t="shared" si="2"/>
        <v>0</v>
      </c>
      <c r="AT21" s="1827">
        <f t="shared" si="2"/>
        <v>0</v>
      </c>
      <c r="AU21" s="1827">
        <f t="shared" si="2"/>
        <v>0</v>
      </c>
      <c r="AV21" s="1827">
        <f t="shared" si="2"/>
        <v>0</v>
      </c>
      <c r="AW21" s="1827">
        <f t="shared" si="2"/>
        <v>0</v>
      </c>
      <c r="AX21" s="1827">
        <f t="shared" si="2"/>
        <v>0</v>
      </c>
      <c r="AY21" s="1821">
        <f t="shared" si="2"/>
        <v>1</v>
      </c>
      <c r="AZ21" s="1821">
        <f t="shared" si="2"/>
        <v>1</v>
      </c>
      <c r="BA21" s="1821">
        <f t="shared" si="2"/>
        <v>1</v>
      </c>
      <c r="BB21" s="1821">
        <f t="shared" si="2"/>
        <v>1</v>
      </c>
      <c r="BC21" s="1821">
        <f t="shared" si="2"/>
        <v>2</v>
      </c>
      <c r="BD21" s="1821">
        <f t="shared" si="2"/>
        <v>2</v>
      </c>
      <c r="BE21" s="1821">
        <f t="shared" si="2"/>
        <v>3</v>
      </c>
      <c r="BF21" s="1821">
        <f t="shared" si="2"/>
        <v>3</v>
      </c>
      <c r="BG21" s="1821">
        <f t="shared" si="2"/>
        <v>4</v>
      </c>
      <c r="BH21" s="1821">
        <f t="shared" si="2"/>
        <v>4</v>
      </c>
      <c r="BI21" s="1822">
        <f t="shared" si="2"/>
        <v>5</v>
      </c>
    </row>
    <row r="22" spans="2:61" ht="12.95" customHeight="1">
      <c r="B22" s="1809" t="s">
        <v>2234</v>
      </c>
      <c r="C22" s="1811">
        <v>8</v>
      </c>
      <c r="D22" s="1971">
        <f t="shared" si="3"/>
        <v>4</v>
      </c>
      <c r="E22" s="1972">
        <f t="shared" si="0"/>
        <v>7</v>
      </c>
      <c r="F22" s="1972">
        <f t="shared" si="0"/>
        <v>10</v>
      </c>
      <c r="G22" s="1972">
        <f t="shared" si="0"/>
        <v>13</v>
      </c>
      <c r="H22" s="1972">
        <f t="shared" si="0"/>
        <v>16</v>
      </c>
      <c r="I22" s="1972">
        <f t="shared" si="0"/>
        <v>20</v>
      </c>
      <c r="J22" s="1972">
        <f t="shared" si="0"/>
        <v>23</v>
      </c>
      <c r="K22" s="1972">
        <f t="shared" si="0"/>
        <v>26</v>
      </c>
      <c r="L22" s="1972">
        <f t="shared" si="0"/>
        <v>29</v>
      </c>
      <c r="M22" s="1972">
        <f t="shared" si="0"/>
        <v>32</v>
      </c>
      <c r="N22" s="1972">
        <f t="shared" si="0"/>
        <v>48</v>
      </c>
      <c r="O22" s="1972">
        <f t="shared" si="0"/>
        <v>63</v>
      </c>
      <c r="P22" s="1972">
        <f t="shared" si="0"/>
        <v>79</v>
      </c>
      <c r="Q22" s="1972">
        <f t="shared" si="0"/>
        <v>95</v>
      </c>
      <c r="R22" s="1972">
        <f t="shared" si="0"/>
        <v>110</v>
      </c>
      <c r="S22" s="1972">
        <f t="shared" si="0"/>
        <v>126</v>
      </c>
      <c r="T22" s="1972">
        <f t="shared" si="0"/>
        <v>141</v>
      </c>
      <c r="U22" s="1973">
        <f t="shared" ref="E22:U37" si="6">FLOOR((U$7*25+10)/$C22,1)</f>
        <v>157</v>
      </c>
      <c r="V22" s="1809" t="s">
        <v>2234</v>
      </c>
      <c r="W22" s="1811">
        <v>8</v>
      </c>
      <c r="X22" s="1971">
        <f t="shared" si="4"/>
        <v>5</v>
      </c>
      <c r="Y22" s="1972">
        <f t="shared" si="1"/>
        <v>8</v>
      </c>
      <c r="Z22" s="1972">
        <f t="shared" si="1"/>
        <v>11</v>
      </c>
      <c r="AA22" s="1972">
        <f t="shared" si="1"/>
        <v>15</v>
      </c>
      <c r="AB22" s="1972">
        <f t="shared" si="1"/>
        <v>18</v>
      </c>
      <c r="AC22" s="1972">
        <f t="shared" si="1"/>
        <v>21</v>
      </c>
      <c r="AD22" s="1972">
        <f t="shared" si="1"/>
        <v>24</v>
      </c>
      <c r="AE22" s="1972">
        <f t="shared" si="1"/>
        <v>27</v>
      </c>
      <c r="AF22" s="1972">
        <f t="shared" si="1"/>
        <v>30</v>
      </c>
      <c r="AG22" s="1972">
        <f t="shared" si="1"/>
        <v>33</v>
      </c>
      <c r="AH22" s="1972">
        <f t="shared" si="1"/>
        <v>49</v>
      </c>
      <c r="AI22" s="1972">
        <f t="shared" si="1"/>
        <v>65</v>
      </c>
      <c r="AJ22" s="1972">
        <f t="shared" si="1"/>
        <v>80</v>
      </c>
      <c r="AK22" s="1972">
        <f t="shared" si="1"/>
        <v>96</v>
      </c>
      <c r="AL22" s="1972">
        <f t="shared" si="1"/>
        <v>111</v>
      </c>
      <c r="AM22" s="1972">
        <f t="shared" si="1"/>
        <v>127</v>
      </c>
      <c r="AN22" s="1972">
        <f t="shared" si="1"/>
        <v>143</v>
      </c>
      <c r="AO22" s="1973">
        <f t="shared" si="1"/>
        <v>158</v>
      </c>
      <c r="AP22" s="1809" t="s">
        <v>2234</v>
      </c>
      <c r="AQ22" s="1811">
        <v>8</v>
      </c>
      <c r="AR22" s="1971">
        <f t="shared" si="5"/>
        <v>9</v>
      </c>
      <c r="AS22" s="1972">
        <f t="shared" si="2"/>
        <v>12</v>
      </c>
      <c r="AT22" s="1972">
        <f t="shared" si="2"/>
        <v>15</v>
      </c>
      <c r="AU22" s="1972">
        <f t="shared" si="2"/>
        <v>18</v>
      </c>
      <c r="AV22" s="1972">
        <f t="shared" si="2"/>
        <v>21</v>
      </c>
      <c r="AW22" s="1972">
        <f t="shared" si="2"/>
        <v>25</v>
      </c>
      <c r="AX22" s="1972">
        <f t="shared" si="2"/>
        <v>28</v>
      </c>
      <c r="AY22" s="1972">
        <f t="shared" si="2"/>
        <v>31</v>
      </c>
      <c r="AZ22" s="1972">
        <f t="shared" si="2"/>
        <v>34</v>
      </c>
      <c r="BA22" s="1972">
        <f t="shared" si="2"/>
        <v>37</v>
      </c>
      <c r="BB22" s="1972">
        <f t="shared" si="2"/>
        <v>53</v>
      </c>
      <c r="BC22" s="1972">
        <f t="shared" si="2"/>
        <v>68</v>
      </c>
      <c r="BD22" s="1972">
        <f t="shared" si="2"/>
        <v>84</v>
      </c>
      <c r="BE22" s="1972">
        <f t="shared" si="2"/>
        <v>100</v>
      </c>
      <c r="BF22" s="1972">
        <f t="shared" si="2"/>
        <v>115</v>
      </c>
      <c r="BG22" s="1972">
        <f t="shared" si="2"/>
        <v>131</v>
      </c>
      <c r="BH22" s="1972">
        <f t="shared" si="2"/>
        <v>146</v>
      </c>
      <c r="BI22" s="1973">
        <f t="shared" si="2"/>
        <v>162</v>
      </c>
    </row>
    <row r="23" spans="2:61" ht="12.95" customHeight="1" outlineLevel="1">
      <c r="B23" s="1804" t="s">
        <v>3444</v>
      </c>
      <c r="C23" s="1812">
        <v>10</v>
      </c>
      <c r="D23" s="1951">
        <f t="shared" si="3"/>
        <v>3</v>
      </c>
      <c r="E23" s="1959">
        <f t="shared" si="6"/>
        <v>6</v>
      </c>
      <c r="F23" s="1959">
        <f t="shared" si="6"/>
        <v>8</v>
      </c>
      <c r="G23" s="1959">
        <f t="shared" si="6"/>
        <v>11</v>
      </c>
      <c r="H23" s="1959">
        <f t="shared" si="6"/>
        <v>13</v>
      </c>
      <c r="I23" s="1959">
        <f t="shared" si="6"/>
        <v>16</v>
      </c>
      <c r="J23" s="1959">
        <f t="shared" si="6"/>
        <v>18</v>
      </c>
      <c r="K23" s="1959">
        <f t="shared" si="6"/>
        <v>21</v>
      </c>
      <c r="L23" s="1959">
        <f t="shared" si="6"/>
        <v>23</v>
      </c>
      <c r="M23" s="1959">
        <f t="shared" si="6"/>
        <v>26</v>
      </c>
      <c r="N23" s="1959">
        <f t="shared" si="6"/>
        <v>38</v>
      </c>
      <c r="O23" s="1959">
        <f t="shared" si="6"/>
        <v>51</v>
      </c>
      <c r="P23" s="1959">
        <f t="shared" si="6"/>
        <v>63</v>
      </c>
      <c r="Q23" s="1959">
        <f t="shared" si="6"/>
        <v>76</v>
      </c>
      <c r="R23" s="1959">
        <f t="shared" si="6"/>
        <v>88</v>
      </c>
      <c r="S23" s="1959">
        <f t="shared" si="6"/>
        <v>101</v>
      </c>
      <c r="T23" s="1959">
        <f t="shared" si="6"/>
        <v>113</v>
      </c>
      <c r="U23" s="1952">
        <f t="shared" si="6"/>
        <v>126</v>
      </c>
      <c r="V23" s="1804" t="s">
        <v>3444</v>
      </c>
      <c r="W23" s="1812">
        <v>10</v>
      </c>
      <c r="X23" s="1951">
        <f t="shared" si="4"/>
        <v>4</v>
      </c>
      <c r="Y23" s="1959">
        <f t="shared" si="4"/>
        <v>7</v>
      </c>
      <c r="Z23" s="1959">
        <f t="shared" si="4"/>
        <v>9</v>
      </c>
      <c r="AA23" s="1959">
        <f t="shared" si="4"/>
        <v>12</v>
      </c>
      <c r="AB23" s="1959">
        <f t="shared" si="4"/>
        <v>14</v>
      </c>
      <c r="AC23" s="1959">
        <f t="shared" si="4"/>
        <v>17</v>
      </c>
      <c r="AD23" s="1959">
        <f t="shared" si="4"/>
        <v>19</v>
      </c>
      <c r="AE23" s="1959">
        <f t="shared" si="4"/>
        <v>22</v>
      </c>
      <c r="AF23" s="1959">
        <f t="shared" si="4"/>
        <v>24</v>
      </c>
      <c r="AG23" s="1959">
        <f t="shared" si="4"/>
        <v>27</v>
      </c>
      <c r="AH23" s="1959">
        <f t="shared" si="4"/>
        <v>39</v>
      </c>
      <c r="AI23" s="1959">
        <f t="shared" si="4"/>
        <v>52</v>
      </c>
      <c r="AJ23" s="1959">
        <f t="shared" si="4"/>
        <v>64</v>
      </c>
      <c r="AK23" s="1959">
        <f t="shared" si="4"/>
        <v>77</v>
      </c>
      <c r="AL23" s="1959">
        <f t="shared" si="4"/>
        <v>89</v>
      </c>
      <c r="AM23" s="1959">
        <f t="shared" si="4"/>
        <v>102</v>
      </c>
      <c r="AN23" s="1959">
        <f t="shared" ref="AN23:AO52" si="7">FLOOR((AN$7*25+20)/$C23,1)</f>
        <v>114</v>
      </c>
      <c r="AO23" s="1952">
        <f t="shared" si="7"/>
        <v>127</v>
      </c>
      <c r="AP23" s="1804" t="s">
        <v>3444</v>
      </c>
      <c r="AQ23" s="1812">
        <v>10</v>
      </c>
      <c r="AR23" s="1951">
        <f t="shared" si="5"/>
        <v>7</v>
      </c>
      <c r="AS23" s="1959">
        <f t="shared" si="5"/>
        <v>10</v>
      </c>
      <c r="AT23" s="1959">
        <f t="shared" si="5"/>
        <v>12</v>
      </c>
      <c r="AU23" s="1959">
        <f t="shared" si="5"/>
        <v>15</v>
      </c>
      <c r="AV23" s="1959">
        <f t="shared" si="5"/>
        <v>17</v>
      </c>
      <c r="AW23" s="1959">
        <f t="shared" si="5"/>
        <v>20</v>
      </c>
      <c r="AX23" s="1959">
        <f t="shared" si="5"/>
        <v>22</v>
      </c>
      <c r="AY23" s="1959">
        <f t="shared" si="5"/>
        <v>25</v>
      </c>
      <c r="AZ23" s="1959">
        <f t="shared" si="5"/>
        <v>27</v>
      </c>
      <c r="BA23" s="1959">
        <f t="shared" si="5"/>
        <v>30</v>
      </c>
      <c r="BB23" s="1959">
        <f t="shared" si="5"/>
        <v>42</v>
      </c>
      <c r="BC23" s="1959">
        <f t="shared" si="5"/>
        <v>55</v>
      </c>
      <c r="BD23" s="1959">
        <f t="shared" si="5"/>
        <v>67</v>
      </c>
      <c r="BE23" s="1959">
        <f t="shared" si="5"/>
        <v>80</v>
      </c>
      <c r="BF23" s="1959">
        <f t="shared" si="5"/>
        <v>92</v>
      </c>
      <c r="BG23" s="1959">
        <f t="shared" si="5"/>
        <v>105</v>
      </c>
      <c r="BH23" s="1959">
        <f t="shared" ref="BH23:BI52" si="8">FLOOR((BH$7*25+50)/$C23,1)</f>
        <v>117</v>
      </c>
      <c r="BI23" s="1952">
        <f t="shared" si="8"/>
        <v>130</v>
      </c>
    </row>
    <row r="24" spans="2:61" ht="12.95" customHeight="1" outlineLevel="1">
      <c r="B24" s="1802" t="s">
        <v>374</v>
      </c>
      <c r="C24" s="1813">
        <v>20</v>
      </c>
      <c r="D24" s="1949">
        <f t="shared" si="3"/>
        <v>1</v>
      </c>
      <c r="E24" s="1963">
        <f t="shared" si="6"/>
        <v>3</v>
      </c>
      <c r="F24" s="1963">
        <f t="shared" si="6"/>
        <v>4</v>
      </c>
      <c r="G24" s="1963">
        <f t="shared" si="6"/>
        <v>5</v>
      </c>
      <c r="H24" s="1963">
        <f t="shared" si="6"/>
        <v>6</v>
      </c>
      <c r="I24" s="1963">
        <f t="shared" si="6"/>
        <v>8</v>
      </c>
      <c r="J24" s="1963">
        <f t="shared" si="6"/>
        <v>9</v>
      </c>
      <c r="K24" s="1963">
        <f t="shared" si="6"/>
        <v>10</v>
      </c>
      <c r="L24" s="1963">
        <f t="shared" si="6"/>
        <v>11</v>
      </c>
      <c r="M24" s="1963">
        <f t="shared" si="6"/>
        <v>13</v>
      </c>
      <c r="N24" s="1963">
        <f t="shared" si="6"/>
        <v>19</v>
      </c>
      <c r="O24" s="1963">
        <f t="shared" si="6"/>
        <v>25</v>
      </c>
      <c r="P24" s="1963">
        <f t="shared" si="6"/>
        <v>31</v>
      </c>
      <c r="Q24" s="1963">
        <f t="shared" si="6"/>
        <v>38</v>
      </c>
      <c r="R24" s="1963">
        <f t="shared" si="6"/>
        <v>44</v>
      </c>
      <c r="S24" s="1963">
        <f t="shared" si="6"/>
        <v>50</v>
      </c>
      <c r="T24" s="1963">
        <f t="shared" si="6"/>
        <v>56</v>
      </c>
      <c r="U24" s="1950">
        <f t="shared" si="6"/>
        <v>63</v>
      </c>
      <c r="V24" s="1802" t="s">
        <v>374</v>
      </c>
      <c r="W24" s="1813">
        <v>20</v>
      </c>
      <c r="X24" s="1949">
        <f t="shared" si="4"/>
        <v>2</v>
      </c>
      <c r="Y24" s="1963">
        <f t="shared" si="4"/>
        <v>3</v>
      </c>
      <c r="Z24" s="1963">
        <f t="shared" si="4"/>
        <v>4</v>
      </c>
      <c r="AA24" s="1963">
        <f t="shared" si="4"/>
        <v>6</v>
      </c>
      <c r="AB24" s="1963">
        <f t="shared" si="4"/>
        <v>7</v>
      </c>
      <c r="AC24" s="1963">
        <f t="shared" si="4"/>
        <v>8</v>
      </c>
      <c r="AD24" s="1963">
        <f t="shared" si="4"/>
        <v>9</v>
      </c>
      <c r="AE24" s="1963">
        <f t="shared" si="4"/>
        <v>11</v>
      </c>
      <c r="AF24" s="1963">
        <f t="shared" si="4"/>
        <v>12</v>
      </c>
      <c r="AG24" s="1963">
        <f t="shared" si="4"/>
        <v>13</v>
      </c>
      <c r="AH24" s="1963">
        <f t="shared" si="4"/>
        <v>19</v>
      </c>
      <c r="AI24" s="1963">
        <f t="shared" si="4"/>
        <v>26</v>
      </c>
      <c r="AJ24" s="1963">
        <f t="shared" si="4"/>
        <v>32</v>
      </c>
      <c r="AK24" s="1963">
        <f t="shared" si="4"/>
        <v>38</v>
      </c>
      <c r="AL24" s="1963">
        <f t="shared" si="4"/>
        <v>44</v>
      </c>
      <c r="AM24" s="1963">
        <f t="shared" si="4"/>
        <v>51</v>
      </c>
      <c r="AN24" s="1963">
        <f t="shared" si="7"/>
        <v>57</v>
      </c>
      <c r="AO24" s="1950">
        <f t="shared" si="7"/>
        <v>63</v>
      </c>
      <c r="AP24" s="1802" t="s">
        <v>374</v>
      </c>
      <c r="AQ24" s="1813">
        <v>20</v>
      </c>
      <c r="AR24" s="1949">
        <f t="shared" si="5"/>
        <v>3</v>
      </c>
      <c r="AS24" s="1963">
        <f t="shared" si="5"/>
        <v>5</v>
      </c>
      <c r="AT24" s="1963">
        <f t="shared" si="5"/>
        <v>6</v>
      </c>
      <c r="AU24" s="1963">
        <f t="shared" si="5"/>
        <v>7</v>
      </c>
      <c r="AV24" s="1963">
        <f t="shared" si="5"/>
        <v>8</v>
      </c>
      <c r="AW24" s="1963">
        <f t="shared" si="5"/>
        <v>10</v>
      </c>
      <c r="AX24" s="1963">
        <f t="shared" si="5"/>
        <v>11</v>
      </c>
      <c r="AY24" s="1963">
        <f t="shared" si="5"/>
        <v>12</v>
      </c>
      <c r="AZ24" s="1963">
        <f t="shared" si="5"/>
        <v>13</v>
      </c>
      <c r="BA24" s="1963">
        <f t="shared" si="5"/>
        <v>15</v>
      </c>
      <c r="BB24" s="1963">
        <f t="shared" si="5"/>
        <v>21</v>
      </c>
      <c r="BC24" s="1963">
        <f t="shared" si="5"/>
        <v>27</v>
      </c>
      <c r="BD24" s="1963">
        <f t="shared" si="5"/>
        <v>33</v>
      </c>
      <c r="BE24" s="1963">
        <f t="shared" si="5"/>
        <v>40</v>
      </c>
      <c r="BF24" s="1963">
        <f t="shared" si="5"/>
        <v>46</v>
      </c>
      <c r="BG24" s="1963">
        <f t="shared" si="5"/>
        <v>52</v>
      </c>
      <c r="BH24" s="1963">
        <f t="shared" si="8"/>
        <v>58</v>
      </c>
      <c r="BI24" s="1950">
        <f t="shared" si="8"/>
        <v>65</v>
      </c>
    </row>
    <row r="25" spans="2:61" ht="12.95" customHeight="1" outlineLevel="1">
      <c r="B25" s="1804" t="s">
        <v>1597</v>
      </c>
      <c r="C25" s="1812">
        <v>20</v>
      </c>
      <c r="D25" s="1951">
        <f t="shared" si="3"/>
        <v>1</v>
      </c>
      <c r="E25" s="1959">
        <f t="shared" si="6"/>
        <v>3</v>
      </c>
      <c r="F25" s="1959">
        <f t="shared" si="6"/>
        <v>4</v>
      </c>
      <c r="G25" s="1959">
        <f t="shared" si="6"/>
        <v>5</v>
      </c>
      <c r="H25" s="1959">
        <f t="shared" si="6"/>
        <v>6</v>
      </c>
      <c r="I25" s="1959">
        <f t="shared" si="6"/>
        <v>8</v>
      </c>
      <c r="J25" s="1959">
        <f t="shared" si="6"/>
        <v>9</v>
      </c>
      <c r="K25" s="1959">
        <f t="shared" si="6"/>
        <v>10</v>
      </c>
      <c r="L25" s="1959">
        <f t="shared" si="6"/>
        <v>11</v>
      </c>
      <c r="M25" s="1959">
        <f t="shared" si="6"/>
        <v>13</v>
      </c>
      <c r="N25" s="1959">
        <f t="shared" si="6"/>
        <v>19</v>
      </c>
      <c r="O25" s="1959">
        <f t="shared" si="6"/>
        <v>25</v>
      </c>
      <c r="P25" s="1959">
        <f t="shared" si="6"/>
        <v>31</v>
      </c>
      <c r="Q25" s="1959">
        <f t="shared" si="6"/>
        <v>38</v>
      </c>
      <c r="R25" s="1959">
        <f t="shared" si="6"/>
        <v>44</v>
      </c>
      <c r="S25" s="1959">
        <f t="shared" si="6"/>
        <v>50</v>
      </c>
      <c r="T25" s="1959">
        <f t="shared" si="6"/>
        <v>56</v>
      </c>
      <c r="U25" s="1952">
        <f t="shared" si="6"/>
        <v>63</v>
      </c>
      <c r="V25" s="1804" t="s">
        <v>1597</v>
      </c>
      <c r="W25" s="1812">
        <v>20</v>
      </c>
      <c r="X25" s="1951">
        <f t="shared" si="4"/>
        <v>2</v>
      </c>
      <c r="Y25" s="1959">
        <f t="shared" si="4"/>
        <v>3</v>
      </c>
      <c r="Z25" s="1959">
        <f t="shared" si="4"/>
        <v>4</v>
      </c>
      <c r="AA25" s="1959">
        <f t="shared" si="4"/>
        <v>6</v>
      </c>
      <c r="AB25" s="1959">
        <f t="shared" si="4"/>
        <v>7</v>
      </c>
      <c r="AC25" s="1959">
        <f t="shared" si="4"/>
        <v>8</v>
      </c>
      <c r="AD25" s="1959">
        <f t="shared" si="4"/>
        <v>9</v>
      </c>
      <c r="AE25" s="1959">
        <f t="shared" si="4"/>
        <v>11</v>
      </c>
      <c r="AF25" s="1959">
        <f t="shared" si="4"/>
        <v>12</v>
      </c>
      <c r="AG25" s="1959">
        <f t="shared" si="4"/>
        <v>13</v>
      </c>
      <c r="AH25" s="1959">
        <f t="shared" si="4"/>
        <v>19</v>
      </c>
      <c r="AI25" s="1959">
        <f t="shared" si="4"/>
        <v>26</v>
      </c>
      <c r="AJ25" s="1959">
        <f t="shared" si="4"/>
        <v>32</v>
      </c>
      <c r="AK25" s="1959">
        <f t="shared" si="4"/>
        <v>38</v>
      </c>
      <c r="AL25" s="1959">
        <f t="shared" si="4"/>
        <v>44</v>
      </c>
      <c r="AM25" s="1959">
        <f t="shared" si="4"/>
        <v>51</v>
      </c>
      <c r="AN25" s="1959">
        <f t="shared" si="7"/>
        <v>57</v>
      </c>
      <c r="AO25" s="1952">
        <f t="shared" si="7"/>
        <v>63</v>
      </c>
      <c r="AP25" s="1804" t="s">
        <v>1597</v>
      </c>
      <c r="AQ25" s="1812">
        <v>20</v>
      </c>
      <c r="AR25" s="1951">
        <f t="shared" si="5"/>
        <v>3</v>
      </c>
      <c r="AS25" s="1959">
        <f t="shared" si="5"/>
        <v>5</v>
      </c>
      <c r="AT25" s="1959">
        <f t="shared" si="5"/>
        <v>6</v>
      </c>
      <c r="AU25" s="1959">
        <f t="shared" si="5"/>
        <v>7</v>
      </c>
      <c r="AV25" s="1959">
        <f t="shared" si="5"/>
        <v>8</v>
      </c>
      <c r="AW25" s="1959">
        <f t="shared" si="5"/>
        <v>10</v>
      </c>
      <c r="AX25" s="1959">
        <f t="shared" si="5"/>
        <v>11</v>
      </c>
      <c r="AY25" s="1959">
        <f t="shared" si="5"/>
        <v>12</v>
      </c>
      <c r="AZ25" s="1959">
        <f t="shared" si="5"/>
        <v>13</v>
      </c>
      <c r="BA25" s="1959">
        <f t="shared" si="5"/>
        <v>15</v>
      </c>
      <c r="BB25" s="1959">
        <f t="shared" si="5"/>
        <v>21</v>
      </c>
      <c r="BC25" s="1959">
        <f t="shared" si="5"/>
        <v>27</v>
      </c>
      <c r="BD25" s="1959">
        <f t="shared" si="5"/>
        <v>33</v>
      </c>
      <c r="BE25" s="1959">
        <f t="shared" si="5"/>
        <v>40</v>
      </c>
      <c r="BF25" s="1959">
        <f t="shared" si="5"/>
        <v>46</v>
      </c>
      <c r="BG25" s="1959">
        <f t="shared" si="5"/>
        <v>52</v>
      </c>
      <c r="BH25" s="1959">
        <f t="shared" si="8"/>
        <v>58</v>
      </c>
      <c r="BI25" s="1952">
        <f t="shared" si="8"/>
        <v>65</v>
      </c>
    </row>
    <row r="26" spans="2:61" ht="12.95" customHeight="1" outlineLevel="1">
      <c r="B26" s="1802" t="s">
        <v>2844</v>
      </c>
      <c r="C26" s="1813">
        <v>15</v>
      </c>
      <c r="D26" s="1949">
        <f t="shared" si="3"/>
        <v>2</v>
      </c>
      <c r="E26" s="1963">
        <f t="shared" si="6"/>
        <v>4</v>
      </c>
      <c r="F26" s="1963">
        <f t="shared" si="6"/>
        <v>5</v>
      </c>
      <c r="G26" s="1963">
        <f t="shared" si="6"/>
        <v>7</v>
      </c>
      <c r="H26" s="1963">
        <f t="shared" si="6"/>
        <v>9</v>
      </c>
      <c r="I26" s="1963">
        <f t="shared" si="6"/>
        <v>10</v>
      </c>
      <c r="J26" s="1963">
        <f t="shared" si="6"/>
        <v>12</v>
      </c>
      <c r="K26" s="1963">
        <f t="shared" si="6"/>
        <v>14</v>
      </c>
      <c r="L26" s="1963">
        <f t="shared" si="6"/>
        <v>15</v>
      </c>
      <c r="M26" s="1963">
        <f t="shared" si="6"/>
        <v>17</v>
      </c>
      <c r="N26" s="1963">
        <f t="shared" si="6"/>
        <v>25</v>
      </c>
      <c r="O26" s="1963">
        <f t="shared" si="6"/>
        <v>34</v>
      </c>
      <c r="P26" s="1963">
        <f t="shared" si="6"/>
        <v>42</v>
      </c>
      <c r="Q26" s="1963">
        <f t="shared" si="6"/>
        <v>50</v>
      </c>
      <c r="R26" s="1963">
        <f t="shared" si="6"/>
        <v>59</v>
      </c>
      <c r="S26" s="1963">
        <f t="shared" si="6"/>
        <v>67</v>
      </c>
      <c r="T26" s="1963">
        <f t="shared" si="6"/>
        <v>75</v>
      </c>
      <c r="U26" s="1950">
        <f t="shared" si="6"/>
        <v>84</v>
      </c>
      <c r="V26" s="1802" t="s">
        <v>2844</v>
      </c>
      <c r="W26" s="1813">
        <v>15</v>
      </c>
      <c r="X26" s="1949">
        <f t="shared" si="4"/>
        <v>3</v>
      </c>
      <c r="Y26" s="1963">
        <f t="shared" si="4"/>
        <v>4</v>
      </c>
      <c r="Z26" s="1963">
        <f t="shared" si="4"/>
        <v>6</v>
      </c>
      <c r="AA26" s="1963">
        <f t="shared" si="4"/>
        <v>8</v>
      </c>
      <c r="AB26" s="1963">
        <f t="shared" si="4"/>
        <v>9</v>
      </c>
      <c r="AC26" s="1963">
        <f t="shared" si="4"/>
        <v>11</v>
      </c>
      <c r="AD26" s="1963">
        <f t="shared" si="4"/>
        <v>13</v>
      </c>
      <c r="AE26" s="1963">
        <f t="shared" si="4"/>
        <v>14</v>
      </c>
      <c r="AF26" s="1963">
        <f t="shared" si="4"/>
        <v>16</v>
      </c>
      <c r="AG26" s="1963">
        <f t="shared" si="4"/>
        <v>18</v>
      </c>
      <c r="AH26" s="1963">
        <f t="shared" si="4"/>
        <v>26</v>
      </c>
      <c r="AI26" s="1963">
        <f t="shared" si="4"/>
        <v>34</v>
      </c>
      <c r="AJ26" s="1963">
        <f t="shared" si="4"/>
        <v>43</v>
      </c>
      <c r="AK26" s="1963">
        <f t="shared" si="4"/>
        <v>51</v>
      </c>
      <c r="AL26" s="1963">
        <f t="shared" si="4"/>
        <v>59</v>
      </c>
      <c r="AM26" s="1963">
        <f t="shared" si="4"/>
        <v>68</v>
      </c>
      <c r="AN26" s="1963">
        <f t="shared" si="7"/>
        <v>76</v>
      </c>
      <c r="AO26" s="1950">
        <f t="shared" si="7"/>
        <v>84</v>
      </c>
      <c r="AP26" s="1802" t="s">
        <v>2844</v>
      </c>
      <c r="AQ26" s="1813">
        <v>15</v>
      </c>
      <c r="AR26" s="1949">
        <f t="shared" si="5"/>
        <v>5</v>
      </c>
      <c r="AS26" s="1963">
        <f t="shared" si="5"/>
        <v>6</v>
      </c>
      <c r="AT26" s="1963">
        <f t="shared" si="5"/>
        <v>8</v>
      </c>
      <c r="AU26" s="1963">
        <f t="shared" si="5"/>
        <v>10</v>
      </c>
      <c r="AV26" s="1963">
        <f t="shared" si="5"/>
        <v>11</v>
      </c>
      <c r="AW26" s="1963">
        <f t="shared" si="5"/>
        <v>13</v>
      </c>
      <c r="AX26" s="1963">
        <f t="shared" si="5"/>
        <v>15</v>
      </c>
      <c r="AY26" s="1963">
        <f t="shared" si="5"/>
        <v>16</v>
      </c>
      <c r="AZ26" s="1963">
        <f t="shared" si="5"/>
        <v>18</v>
      </c>
      <c r="BA26" s="1963">
        <f t="shared" si="5"/>
        <v>20</v>
      </c>
      <c r="BB26" s="1963">
        <f t="shared" si="5"/>
        <v>28</v>
      </c>
      <c r="BC26" s="1963">
        <f t="shared" si="5"/>
        <v>36</v>
      </c>
      <c r="BD26" s="1963">
        <f t="shared" si="5"/>
        <v>45</v>
      </c>
      <c r="BE26" s="1963">
        <f t="shared" si="5"/>
        <v>53</v>
      </c>
      <c r="BF26" s="1963">
        <f t="shared" si="5"/>
        <v>61</v>
      </c>
      <c r="BG26" s="1963">
        <f t="shared" si="5"/>
        <v>70</v>
      </c>
      <c r="BH26" s="1963">
        <f t="shared" si="8"/>
        <v>78</v>
      </c>
      <c r="BI26" s="1950">
        <f t="shared" si="8"/>
        <v>86</v>
      </c>
    </row>
    <row r="27" spans="2:61" ht="12.95" customHeight="1" outlineLevel="1">
      <c r="B27" s="1804" t="s">
        <v>840</v>
      </c>
      <c r="C27" s="1812">
        <v>15</v>
      </c>
      <c r="D27" s="1951">
        <f t="shared" si="3"/>
        <v>2</v>
      </c>
      <c r="E27" s="1959">
        <f t="shared" si="6"/>
        <v>4</v>
      </c>
      <c r="F27" s="1959">
        <f t="shared" si="6"/>
        <v>5</v>
      </c>
      <c r="G27" s="1959">
        <f t="shared" si="6"/>
        <v>7</v>
      </c>
      <c r="H27" s="1959">
        <f t="shared" si="6"/>
        <v>9</v>
      </c>
      <c r="I27" s="1959">
        <f t="shared" si="6"/>
        <v>10</v>
      </c>
      <c r="J27" s="1959">
        <f t="shared" si="6"/>
        <v>12</v>
      </c>
      <c r="K27" s="1959">
        <f t="shared" si="6"/>
        <v>14</v>
      </c>
      <c r="L27" s="1959">
        <f t="shared" si="6"/>
        <v>15</v>
      </c>
      <c r="M27" s="1959">
        <f t="shared" si="6"/>
        <v>17</v>
      </c>
      <c r="N27" s="1959">
        <f t="shared" si="6"/>
        <v>25</v>
      </c>
      <c r="O27" s="1959">
        <f t="shared" si="6"/>
        <v>34</v>
      </c>
      <c r="P27" s="1959">
        <f t="shared" si="6"/>
        <v>42</v>
      </c>
      <c r="Q27" s="1959">
        <f t="shared" si="6"/>
        <v>50</v>
      </c>
      <c r="R27" s="1959">
        <f t="shared" si="6"/>
        <v>59</v>
      </c>
      <c r="S27" s="1959">
        <f t="shared" si="6"/>
        <v>67</v>
      </c>
      <c r="T27" s="1959">
        <f t="shared" si="6"/>
        <v>75</v>
      </c>
      <c r="U27" s="1952">
        <f t="shared" si="6"/>
        <v>84</v>
      </c>
      <c r="V27" s="1804" t="s">
        <v>840</v>
      </c>
      <c r="W27" s="1812">
        <v>15</v>
      </c>
      <c r="X27" s="1951">
        <f t="shared" si="4"/>
        <v>3</v>
      </c>
      <c r="Y27" s="1959">
        <f t="shared" si="4"/>
        <v>4</v>
      </c>
      <c r="Z27" s="1959">
        <f t="shared" si="4"/>
        <v>6</v>
      </c>
      <c r="AA27" s="1959">
        <f t="shared" si="4"/>
        <v>8</v>
      </c>
      <c r="AB27" s="1959">
        <f t="shared" si="4"/>
        <v>9</v>
      </c>
      <c r="AC27" s="1959">
        <f t="shared" si="4"/>
        <v>11</v>
      </c>
      <c r="AD27" s="1959">
        <f t="shared" si="4"/>
        <v>13</v>
      </c>
      <c r="AE27" s="1959">
        <f t="shared" si="4"/>
        <v>14</v>
      </c>
      <c r="AF27" s="1959">
        <f t="shared" si="4"/>
        <v>16</v>
      </c>
      <c r="AG27" s="1959">
        <f t="shared" si="4"/>
        <v>18</v>
      </c>
      <c r="AH27" s="1959">
        <f t="shared" si="4"/>
        <v>26</v>
      </c>
      <c r="AI27" s="1959">
        <f t="shared" si="4"/>
        <v>34</v>
      </c>
      <c r="AJ27" s="1959">
        <f t="shared" si="4"/>
        <v>43</v>
      </c>
      <c r="AK27" s="1959">
        <f t="shared" si="4"/>
        <v>51</v>
      </c>
      <c r="AL27" s="1959">
        <f t="shared" si="4"/>
        <v>59</v>
      </c>
      <c r="AM27" s="1959">
        <f t="shared" si="4"/>
        <v>68</v>
      </c>
      <c r="AN27" s="1959">
        <f t="shared" si="7"/>
        <v>76</v>
      </c>
      <c r="AO27" s="1952">
        <f t="shared" si="7"/>
        <v>84</v>
      </c>
      <c r="AP27" s="1804" t="s">
        <v>840</v>
      </c>
      <c r="AQ27" s="1812">
        <v>15</v>
      </c>
      <c r="AR27" s="1951">
        <f t="shared" si="5"/>
        <v>5</v>
      </c>
      <c r="AS27" s="1959">
        <f t="shared" si="5"/>
        <v>6</v>
      </c>
      <c r="AT27" s="1959">
        <f t="shared" si="5"/>
        <v>8</v>
      </c>
      <c r="AU27" s="1959">
        <f t="shared" si="5"/>
        <v>10</v>
      </c>
      <c r="AV27" s="1959">
        <f t="shared" si="5"/>
        <v>11</v>
      </c>
      <c r="AW27" s="1959">
        <f t="shared" si="5"/>
        <v>13</v>
      </c>
      <c r="AX27" s="1959">
        <f t="shared" si="5"/>
        <v>15</v>
      </c>
      <c r="AY27" s="1959">
        <f t="shared" si="5"/>
        <v>16</v>
      </c>
      <c r="AZ27" s="1959">
        <f t="shared" si="5"/>
        <v>18</v>
      </c>
      <c r="BA27" s="1959">
        <f t="shared" si="5"/>
        <v>20</v>
      </c>
      <c r="BB27" s="1959">
        <f t="shared" si="5"/>
        <v>28</v>
      </c>
      <c r="BC27" s="1959">
        <f t="shared" si="5"/>
        <v>36</v>
      </c>
      <c r="BD27" s="1959">
        <f t="shared" si="5"/>
        <v>45</v>
      </c>
      <c r="BE27" s="1959">
        <f t="shared" si="5"/>
        <v>53</v>
      </c>
      <c r="BF27" s="1959">
        <f t="shared" si="5"/>
        <v>61</v>
      </c>
      <c r="BG27" s="1959">
        <f t="shared" si="5"/>
        <v>70</v>
      </c>
      <c r="BH27" s="1959">
        <f t="shared" si="8"/>
        <v>78</v>
      </c>
      <c r="BI27" s="1952">
        <f t="shared" si="8"/>
        <v>86</v>
      </c>
    </row>
    <row r="28" spans="2:61" ht="12.95" customHeight="1" outlineLevel="1">
      <c r="B28" s="1802" t="s">
        <v>1949</v>
      </c>
      <c r="C28" s="1813">
        <v>30</v>
      </c>
      <c r="D28" s="1949">
        <f t="shared" si="3"/>
        <v>1</v>
      </c>
      <c r="E28" s="1963">
        <f t="shared" si="6"/>
        <v>2</v>
      </c>
      <c r="F28" s="1963">
        <f t="shared" si="6"/>
        <v>2</v>
      </c>
      <c r="G28" s="1963">
        <f t="shared" si="6"/>
        <v>3</v>
      </c>
      <c r="H28" s="1963">
        <f t="shared" si="6"/>
        <v>4</v>
      </c>
      <c r="I28" s="1963">
        <f t="shared" si="6"/>
        <v>5</v>
      </c>
      <c r="J28" s="1963">
        <f t="shared" si="6"/>
        <v>6</v>
      </c>
      <c r="K28" s="1963">
        <f t="shared" si="6"/>
        <v>7</v>
      </c>
      <c r="L28" s="1963">
        <f t="shared" si="6"/>
        <v>7</v>
      </c>
      <c r="M28" s="1963">
        <f t="shared" si="6"/>
        <v>8</v>
      </c>
      <c r="N28" s="1963">
        <f t="shared" si="6"/>
        <v>12</v>
      </c>
      <c r="O28" s="1963">
        <f t="shared" si="6"/>
        <v>17</v>
      </c>
      <c r="P28" s="1963">
        <f t="shared" si="6"/>
        <v>21</v>
      </c>
      <c r="Q28" s="1963">
        <f t="shared" si="6"/>
        <v>25</v>
      </c>
      <c r="R28" s="1963">
        <f t="shared" si="6"/>
        <v>29</v>
      </c>
      <c r="S28" s="1963">
        <f t="shared" si="6"/>
        <v>33</v>
      </c>
      <c r="T28" s="1963">
        <f t="shared" si="6"/>
        <v>37</v>
      </c>
      <c r="U28" s="1950">
        <f t="shared" si="6"/>
        <v>42</v>
      </c>
      <c r="V28" s="1802" t="s">
        <v>1949</v>
      </c>
      <c r="W28" s="1813">
        <v>30</v>
      </c>
      <c r="X28" s="1949">
        <f t="shared" si="4"/>
        <v>1</v>
      </c>
      <c r="Y28" s="1963">
        <f t="shared" si="4"/>
        <v>2</v>
      </c>
      <c r="Z28" s="1963">
        <f t="shared" si="4"/>
        <v>3</v>
      </c>
      <c r="AA28" s="1963">
        <f t="shared" si="4"/>
        <v>4</v>
      </c>
      <c r="AB28" s="1963">
        <f t="shared" si="4"/>
        <v>4</v>
      </c>
      <c r="AC28" s="1963">
        <f t="shared" si="4"/>
        <v>5</v>
      </c>
      <c r="AD28" s="1963">
        <f t="shared" si="4"/>
        <v>6</v>
      </c>
      <c r="AE28" s="1963">
        <f t="shared" si="4"/>
        <v>7</v>
      </c>
      <c r="AF28" s="1963">
        <f t="shared" si="4"/>
        <v>8</v>
      </c>
      <c r="AG28" s="1963">
        <f t="shared" si="4"/>
        <v>9</v>
      </c>
      <c r="AH28" s="1963">
        <f t="shared" si="4"/>
        <v>13</v>
      </c>
      <c r="AI28" s="1963">
        <f t="shared" si="4"/>
        <v>17</v>
      </c>
      <c r="AJ28" s="1963">
        <f t="shared" si="4"/>
        <v>21</v>
      </c>
      <c r="AK28" s="1963">
        <f t="shared" si="4"/>
        <v>25</v>
      </c>
      <c r="AL28" s="1963">
        <f t="shared" si="4"/>
        <v>29</v>
      </c>
      <c r="AM28" s="1963">
        <f t="shared" si="4"/>
        <v>34</v>
      </c>
      <c r="AN28" s="1963">
        <f t="shared" si="7"/>
        <v>38</v>
      </c>
      <c r="AO28" s="1950">
        <f t="shared" si="7"/>
        <v>42</v>
      </c>
      <c r="AP28" s="1802" t="s">
        <v>1949</v>
      </c>
      <c r="AQ28" s="1813">
        <v>30</v>
      </c>
      <c r="AR28" s="1949">
        <f t="shared" si="5"/>
        <v>2</v>
      </c>
      <c r="AS28" s="1963">
        <f t="shared" si="5"/>
        <v>3</v>
      </c>
      <c r="AT28" s="1963">
        <f t="shared" si="5"/>
        <v>4</v>
      </c>
      <c r="AU28" s="1963">
        <f t="shared" si="5"/>
        <v>5</v>
      </c>
      <c r="AV28" s="1963">
        <f t="shared" si="5"/>
        <v>5</v>
      </c>
      <c r="AW28" s="1963">
        <f t="shared" si="5"/>
        <v>6</v>
      </c>
      <c r="AX28" s="1963">
        <f t="shared" si="5"/>
        <v>7</v>
      </c>
      <c r="AY28" s="1963">
        <f t="shared" si="5"/>
        <v>8</v>
      </c>
      <c r="AZ28" s="1963">
        <f t="shared" si="5"/>
        <v>9</v>
      </c>
      <c r="BA28" s="1963">
        <f t="shared" si="5"/>
        <v>10</v>
      </c>
      <c r="BB28" s="1963">
        <f t="shared" si="5"/>
        <v>14</v>
      </c>
      <c r="BC28" s="1963">
        <f t="shared" si="5"/>
        <v>18</v>
      </c>
      <c r="BD28" s="1963">
        <f t="shared" si="5"/>
        <v>22</v>
      </c>
      <c r="BE28" s="1963">
        <f t="shared" si="5"/>
        <v>26</v>
      </c>
      <c r="BF28" s="1963">
        <f t="shared" si="5"/>
        <v>30</v>
      </c>
      <c r="BG28" s="1963">
        <f t="shared" si="5"/>
        <v>35</v>
      </c>
      <c r="BH28" s="1963">
        <f t="shared" si="8"/>
        <v>39</v>
      </c>
      <c r="BI28" s="1950">
        <f t="shared" si="8"/>
        <v>43</v>
      </c>
    </row>
    <row r="29" spans="2:61" ht="12.95" customHeight="1" outlineLevel="1">
      <c r="B29" s="1804" t="s">
        <v>900</v>
      </c>
      <c r="C29" s="1812">
        <v>30</v>
      </c>
      <c r="D29" s="1951">
        <f t="shared" si="3"/>
        <v>1</v>
      </c>
      <c r="E29" s="1959">
        <f t="shared" si="6"/>
        <v>2</v>
      </c>
      <c r="F29" s="1959">
        <f t="shared" si="6"/>
        <v>2</v>
      </c>
      <c r="G29" s="1959">
        <f t="shared" si="6"/>
        <v>3</v>
      </c>
      <c r="H29" s="1959">
        <f t="shared" si="6"/>
        <v>4</v>
      </c>
      <c r="I29" s="1959">
        <f t="shared" si="6"/>
        <v>5</v>
      </c>
      <c r="J29" s="1959">
        <f t="shared" si="6"/>
        <v>6</v>
      </c>
      <c r="K29" s="1959">
        <f t="shared" si="6"/>
        <v>7</v>
      </c>
      <c r="L29" s="1959">
        <f t="shared" si="6"/>
        <v>7</v>
      </c>
      <c r="M29" s="1959">
        <f t="shared" si="6"/>
        <v>8</v>
      </c>
      <c r="N29" s="1959">
        <f t="shared" si="6"/>
        <v>12</v>
      </c>
      <c r="O29" s="1959">
        <f t="shared" si="6"/>
        <v>17</v>
      </c>
      <c r="P29" s="1959">
        <f t="shared" si="6"/>
        <v>21</v>
      </c>
      <c r="Q29" s="1959">
        <f t="shared" si="6"/>
        <v>25</v>
      </c>
      <c r="R29" s="1959">
        <f t="shared" si="6"/>
        <v>29</v>
      </c>
      <c r="S29" s="1959">
        <f t="shared" si="6"/>
        <v>33</v>
      </c>
      <c r="T29" s="1959">
        <f t="shared" si="6"/>
        <v>37</v>
      </c>
      <c r="U29" s="1952">
        <f t="shared" si="6"/>
        <v>42</v>
      </c>
      <c r="V29" s="1804" t="s">
        <v>900</v>
      </c>
      <c r="W29" s="1812">
        <v>30</v>
      </c>
      <c r="X29" s="1951">
        <f t="shared" si="4"/>
        <v>1</v>
      </c>
      <c r="Y29" s="1959">
        <f t="shared" si="4"/>
        <v>2</v>
      </c>
      <c r="Z29" s="1959">
        <f t="shared" si="4"/>
        <v>3</v>
      </c>
      <c r="AA29" s="1959">
        <f t="shared" si="4"/>
        <v>4</v>
      </c>
      <c r="AB29" s="1959">
        <f t="shared" si="4"/>
        <v>4</v>
      </c>
      <c r="AC29" s="1959">
        <f t="shared" si="4"/>
        <v>5</v>
      </c>
      <c r="AD29" s="1959">
        <f t="shared" si="4"/>
        <v>6</v>
      </c>
      <c r="AE29" s="1959">
        <f t="shared" si="4"/>
        <v>7</v>
      </c>
      <c r="AF29" s="1959">
        <f t="shared" si="4"/>
        <v>8</v>
      </c>
      <c r="AG29" s="1959">
        <f t="shared" si="4"/>
        <v>9</v>
      </c>
      <c r="AH29" s="1959">
        <f t="shared" si="4"/>
        <v>13</v>
      </c>
      <c r="AI29" s="1959">
        <f t="shared" si="4"/>
        <v>17</v>
      </c>
      <c r="AJ29" s="1959">
        <f t="shared" si="4"/>
        <v>21</v>
      </c>
      <c r="AK29" s="1959">
        <f t="shared" si="4"/>
        <v>25</v>
      </c>
      <c r="AL29" s="1959">
        <f t="shared" si="4"/>
        <v>29</v>
      </c>
      <c r="AM29" s="1959">
        <f t="shared" si="4"/>
        <v>34</v>
      </c>
      <c r="AN29" s="1959">
        <f t="shared" si="7"/>
        <v>38</v>
      </c>
      <c r="AO29" s="1952">
        <f t="shared" si="7"/>
        <v>42</v>
      </c>
      <c r="AP29" s="1804" t="s">
        <v>900</v>
      </c>
      <c r="AQ29" s="1812">
        <v>30</v>
      </c>
      <c r="AR29" s="1951">
        <f t="shared" si="5"/>
        <v>2</v>
      </c>
      <c r="AS29" s="1959">
        <f t="shared" si="5"/>
        <v>3</v>
      </c>
      <c r="AT29" s="1959">
        <f t="shared" si="5"/>
        <v>4</v>
      </c>
      <c r="AU29" s="1959">
        <f t="shared" si="5"/>
        <v>5</v>
      </c>
      <c r="AV29" s="1959">
        <f t="shared" si="5"/>
        <v>5</v>
      </c>
      <c r="AW29" s="1959">
        <f t="shared" si="5"/>
        <v>6</v>
      </c>
      <c r="AX29" s="1959">
        <f t="shared" si="5"/>
        <v>7</v>
      </c>
      <c r="AY29" s="1959">
        <f t="shared" si="5"/>
        <v>8</v>
      </c>
      <c r="AZ29" s="1959">
        <f t="shared" si="5"/>
        <v>9</v>
      </c>
      <c r="BA29" s="1959">
        <f t="shared" si="5"/>
        <v>10</v>
      </c>
      <c r="BB29" s="1959">
        <f t="shared" si="5"/>
        <v>14</v>
      </c>
      <c r="BC29" s="1959">
        <f t="shared" si="5"/>
        <v>18</v>
      </c>
      <c r="BD29" s="1959">
        <f t="shared" si="5"/>
        <v>22</v>
      </c>
      <c r="BE29" s="1959">
        <f t="shared" si="5"/>
        <v>26</v>
      </c>
      <c r="BF29" s="1959">
        <f t="shared" si="5"/>
        <v>30</v>
      </c>
      <c r="BG29" s="1959">
        <f t="shared" si="5"/>
        <v>35</v>
      </c>
      <c r="BH29" s="1959">
        <f t="shared" si="8"/>
        <v>39</v>
      </c>
      <c r="BI29" s="1952">
        <f t="shared" si="8"/>
        <v>43</v>
      </c>
    </row>
    <row r="30" spans="2:61" ht="12.95" customHeight="1" outlineLevel="1">
      <c r="B30" s="1802" t="s">
        <v>3445</v>
      </c>
      <c r="C30" s="1813">
        <v>55</v>
      </c>
      <c r="D30" s="1823">
        <f t="shared" si="3"/>
        <v>0</v>
      </c>
      <c r="E30" s="1963">
        <f t="shared" si="6"/>
        <v>1</v>
      </c>
      <c r="F30" s="1963">
        <f t="shared" si="6"/>
        <v>1</v>
      </c>
      <c r="G30" s="1963">
        <f t="shared" si="6"/>
        <v>2</v>
      </c>
      <c r="H30" s="1963">
        <f t="shared" si="6"/>
        <v>2</v>
      </c>
      <c r="I30" s="1963">
        <f t="shared" si="6"/>
        <v>2</v>
      </c>
      <c r="J30" s="1963">
        <f t="shared" si="6"/>
        <v>3</v>
      </c>
      <c r="K30" s="1963">
        <f t="shared" si="6"/>
        <v>3</v>
      </c>
      <c r="L30" s="1963">
        <f t="shared" si="6"/>
        <v>4</v>
      </c>
      <c r="M30" s="1963">
        <f t="shared" si="6"/>
        <v>4</v>
      </c>
      <c r="N30" s="1963">
        <f t="shared" si="6"/>
        <v>7</v>
      </c>
      <c r="O30" s="1963">
        <f t="shared" si="6"/>
        <v>9</v>
      </c>
      <c r="P30" s="1963">
        <f t="shared" si="6"/>
        <v>11</v>
      </c>
      <c r="Q30" s="1963">
        <f t="shared" si="6"/>
        <v>13</v>
      </c>
      <c r="R30" s="1963">
        <f t="shared" si="6"/>
        <v>16</v>
      </c>
      <c r="S30" s="1963">
        <f t="shared" si="6"/>
        <v>18</v>
      </c>
      <c r="T30" s="1963">
        <f t="shared" si="6"/>
        <v>20</v>
      </c>
      <c r="U30" s="1950">
        <f t="shared" si="6"/>
        <v>22</v>
      </c>
      <c r="V30" s="1802" t="s">
        <v>3445</v>
      </c>
      <c r="W30" s="1813">
        <v>55</v>
      </c>
      <c r="X30" s="1823">
        <f t="shared" si="4"/>
        <v>0</v>
      </c>
      <c r="Y30" s="1963">
        <f t="shared" si="4"/>
        <v>1</v>
      </c>
      <c r="Z30" s="1963">
        <f t="shared" si="4"/>
        <v>1</v>
      </c>
      <c r="AA30" s="1963">
        <f t="shared" si="4"/>
        <v>2</v>
      </c>
      <c r="AB30" s="1963">
        <f t="shared" si="4"/>
        <v>2</v>
      </c>
      <c r="AC30" s="1963">
        <f t="shared" si="4"/>
        <v>3</v>
      </c>
      <c r="AD30" s="1963">
        <f t="shared" si="4"/>
        <v>3</v>
      </c>
      <c r="AE30" s="1963">
        <f t="shared" si="4"/>
        <v>4</v>
      </c>
      <c r="AF30" s="1963">
        <f t="shared" si="4"/>
        <v>4</v>
      </c>
      <c r="AG30" s="1963">
        <f t="shared" si="4"/>
        <v>4</v>
      </c>
      <c r="AH30" s="1963">
        <f t="shared" si="4"/>
        <v>7</v>
      </c>
      <c r="AI30" s="1963">
        <f t="shared" si="4"/>
        <v>9</v>
      </c>
      <c r="AJ30" s="1963">
        <f t="shared" si="4"/>
        <v>11</v>
      </c>
      <c r="AK30" s="1963">
        <f t="shared" si="4"/>
        <v>14</v>
      </c>
      <c r="AL30" s="1963">
        <f t="shared" si="4"/>
        <v>16</v>
      </c>
      <c r="AM30" s="1963">
        <f t="shared" si="4"/>
        <v>18</v>
      </c>
      <c r="AN30" s="1963">
        <f t="shared" si="7"/>
        <v>20</v>
      </c>
      <c r="AO30" s="1950">
        <f t="shared" si="7"/>
        <v>23</v>
      </c>
      <c r="AP30" s="1802" t="s">
        <v>3445</v>
      </c>
      <c r="AQ30" s="1813">
        <v>55</v>
      </c>
      <c r="AR30" s="1949">
        <f t="shared" si="5"/>
        <v>1</v>
      </c>
      <c r="AS30" s="1963">
        <f t="shared" si="5"/>
        <v>1</v>
      </c>
      <c r="AT30" s="1963">
        <f t="shared" si="5"/>
        <v>2</v>
      </c>
      <c r="AU30" s="1963">
        <f t="shared" si="5"/>
        <v>2</v>
      </c>
      <c r="AV30" s="1963">
        <f t="shared" si="5"/>
        <v>3</v>
      </c>
      <c r="AW30" s="1963">
        <f t="shared" si="5"/>
        <v>3</v>
      </c>
      <c r="AX30" s="1963">
        <f t="shared" si="5"/>
        <v>4</v>
      </c>
      <c r="AY30" s="1963">
        <f t="shared" si="5"/>
        <v>4</v>
      </c>
      <c r="AZ30" s="1963">
        <f t="shared" si="5"/>
        <v>5</v>
      </c>
      <c r="BA30" s="1963">
        <f t="shared" si="5"/>
        <v>5</v>
      </c>
      <c r="BB30" s="1963">
        <f t="shared" si="5"/>
        <v>7</v>
      </c>
      <c r="BC30" s="1963">
        <f t="shared" si="5"/>
        <v>10</v>
      </c>
      <c r="BD30" s="1963">
        <f t="shared" si="5"/>
        <v>12</v>
      </c>
      <c r="BE30" s="1963">
        <f t="shared" si="5"/>
        <v>14</v>
      </c>
      <c r="BF30" s="1963">
        <f t="shared" si="5"/>
        <v>16</v>
      </c>
      <c r="BG30" s="1963">
        <f t="shared" si="5"/>
        <v>19</v>
      </c>
      <c r="BH30" s="1963">
        <f t="shared" si="8"/>
        <v>21</v>
      </c>
      <c r="BI30" s="1950">
        <f t="shared" si="8"/>
        <v>23</v>
      </c>
    </row>
    <row r="31" spans="2:61" ht="12.95" customHeight="1" outlineLevel="1">
      <c r="B31" s="1804" t="s">
        <v>3446</v>
      </c>
      <c r="C31" s="1812">
        <v>65</v>
      </c>
      <c r="D31" s="1824">
        <f t="shared" si="3"/>
        <v>0</v>
      </c>
      <c r="E31" s="1829">
        <f t="shared" si="6"/>
        <v>0</v>
      </c>
      <c r="F31" s="1959">
        <f t="shared" si="6"/>
        <v>1</v>
      </c>
      <c r="G31" s="1959">
        <f t="shared" si="6"/>
        <v>1</v>
      </c>
      <c r="H31" s="1959">
        <f t="shared" si="6"/>
        <v>2</v>
      </c>
      <c r="I31" s="1959">
        <f t="shared" si="6"/>
        <v>2</v>
      </c>
      <c r="J31" s="1959">
        <f t="shared" si="6"/>
        <v>2</v>
      </c>
      <c r="K31" s="1959">
        <f t="shared" si="6"/>
        <v>3</v>
      </c>
      <c r="L31" s="1959">
        <f t="shared" si="6"/>
        <v>3</v>
      </c>
      <c r="M31" s="1959">
        <f t="shared" si="6"/>
        <v>4</v>
      </c>
      <c r="N31" s="1959">
        <f t="shared" si="6"/>
        <v>5</v>
      </c>
      <c r="O31" s="1959">
        <f t="shared" si="6"/>
        <v>7</v>
      </c>
      <c r="P31" s="1959">
        <f t="shared" si="6"/>
        <v>9</v>
      </c>
      <c r="Q31" s="1959">
        <f t="shared" si="6"/>
        <v>11</v>
      </c>
      <c r="R31" s="1959">
        <f t="shared" si="6"/>
        <v>13</v>
      </c>
      <c r="S31" s="1959">
        <f t="shared" si="6"/>
        <v>15</v>
      </c>
      <c r="T31" s="1959">
        <f t="shared" si="6"/>
        <v>17</v>
      </c>
      <c r="U31" s="1952">
        <f t="shared" si="6"/>
        <v>19</v>
      </c>
      <c r="V31" s="1804" t="s">
        <v>3446</v>
      </c>
      <c r="W31" s="1812">
        <v>65</v>
      </c>
      <c r="X31" s="1824">
        <f t="shared" si="4"/>
        <v>0</v>
      </c>
      <c r="Y31" s="1959">
        <f t="shared" si="4"/>
        <v>1</v>
      </c>
      <c r="Z31" s="1959">
        <f t="shared" si="4"/>
        <v>1</v>
      </c>
      <c r="AA31" s="1959">
        <f t="shared" si="4"/>
        <v>1</v>
      </c>
      <c r="AB31" s="1959">
        <f t="shared" si="4"/>
        <v>2</v>
      </c>
      <c r="AC31" s="1959">
        <f t="shared" si="4"/>
        <v>2</v>
      </c>
      <c r="AD31" s="1959">
        <f t="shared" si="4"/>
        <v>3</v>
      </c>
      <c r="AE31" s="1959">
        <f t="shared" si="4"/>
        <v>3</v>
      </c>
      <c r="AF31" s="1959">
        <f t="shared" si="4"/>
        <v>3</v>
      </c>
      <c r="AG31" s="1959">
        <f t="shared" si="4"/>
        <v>4</v>
      </c>
      <c r="AH31" s="1959">
        <f t="shared" si="4"/>
        <v>6</v>
      </c>
      <c r="AI31" s="1959">
        <f t="shared" si="4"/>
        <v>8</v>
      </c>
      <c r="AJ31" s="1959">
        <f t="shared" si="4"/>
        <v>9</v>
      </c>
      <c r="AK31" s="1959">
        <f t="shared" si="4"/>
        <v>11</v>
      </c>
      <c r="AL31" s="1959">
        <f t="shared" si="4"/>
        <v>13</v>
      </c>
      <c r="AM31" s="1959">
        <f t="shared" si="4"/>
        <v>15</v>
      </c>
      <c r="AN31" s="1959">
        <f t="shared" si="7"/>
        <v>17</v>
      </c>
      <c r="AO31" s="1952">
        <f t="shared" si="7"/>
        <v>19</v>
      </c>
      <c r="AP31" s="1804" t="s">
        <v>3446</v>
      </c>
      <c r="AQ31" s="1812">
        <v>65</v>
      </c>
      <c r="AR31" s="1951">
        <f t="shared" si="5"/>
        <v>1</v>
      </c>
      <c r="AS31" s="1959">
        <f t="shared" si="5"/>
        <v>1</v>
      </c>
      <c r="AT31" s="1959">
        <f t="shared" si="5"/>
        <v>1</v>
      </c>
      <c r="AU31" s="1959">
        <f t="shared" si="5"/>
        <v>2</v>
      </c>
      <c r="AV31" s="1959">
        <f t="shared" si="5"/>
        <v>2</v>
      </c>
      <c r="AW31" s="1959">
        <f t="shared" si="5"/>
        <v>3</v>
      </c>
      <c r="AX31" s="1959">
        <f t="shared" si="5"/>
        <v>3</v>
      </c>
      <c r="AY31" s="1959">
        <f t="shared" si="5"/>
        <v>3</v>
      </c>
      <c r="AZ31" s="1959">
        <f t="shared" si="5"/>
        <v>4</v>
      </c>
      <c r="BA31" s="1959">
        <f t="shared" si="5"/>
        <v>4</v>
      </c>
      <c r="BB31" s="1959">
        <f t="shared" si="5"/>
        <v>6</v>
      </c>
      <c r="BC31" s="1959">
        <f t="shared" si="5"/>
        <v>8</v>
      </c>
      <c r="BD31" s="1959">
        <f t="shared" si="5"/>
        <v>10</v>
      </c>
      <c r="BE31" s="1959">
        <f t="shared" si="5"/>
        <v>12</v>
      </c>
      <c r="BF31" s="1959">
        <f t="shared" si="5"/>
        <v>14</v>
      </c>
      <c r="BG31" s="1959">
        <f t="shared" si="5"/>
        <v>16</v>
      </c>
      <c r="BH31" s="1959">
        <f t="shared" si="8"/>
        <v>18</v>
      </c>
      <c r="BI31" s="1952">
        <f t="shared" si="8"/>
        <v>20</v>
      </c>
    </row>
    <row r="32" spans="2:61" ht="12.95" customHeight="1" outlineLevel="1">
      <c r="B32" s="1802" t="s">
        <v>1052</v>
      </c>
      <c r="C32" s="1813">
        <v>90</v>
      </c>
      <c r="D32" s="1823">
        <f t="shared" si="3"/>
        <v>0</v>
      </c>
      <c r="E32" s="1826">
        <f t="shared" si="6"/>
        <v>0</v>
      </c>
      <c r="F32" s="1826">
        <f t="shared" si="6"/>
        <v>0</v>
      </c>
      <c r="G32" s="1963">
        <f t="shared" si="6"/>
        <v>1</v>
      </c>
      <c r="H32" s="1963">
        <f t="shared" si="6"/>
        <v>1</v>
      </c>
      <c r="I32" s="1963">
        <f t="shared" si="6"/>
        <v>1</v>
      </c>
      <c r="J32" s="1963">
        <f t="shared" si="6"/>
        <v>2</v>
      </c>
      <c r="K32" s="1963">
        <f t="shared" si="6"/>
        <v>2</v>
      </c>
      <c r="L32" s="1963">
        <f t="shared" si="6"/>
        <v>2</v>
      </c>
      <c r="M32" s="1963">
        <f t="shared" si="6"/>
        <v>2</v>
      </c>
      <c r="N32" s="1963">
        <f t="shared" si="6"/>
        <v>4</v>
      </c>
      <c r="O32" s="1963">
        <f t="shared" si="6"/>
        <v>5</v>
      </c>
      <c r="P32" s="1963">
        <f t="shared" si="6"/>
        <v>7</v>
      </c>
      <c r="Q32" s="1963">
        <f t="shared" si="6"/>
        <v>8</v>
      </c>
      <c r="R32" s="1963">
        <f t="shared" si="6"/>
        <v>9</v>
      </c>
      <c r="S32" s="1963">
        <f t="shared" si="6"/>
        <v>11</v>
      </c>
      <c r="T32" s="1963">
        <f t="shared" si="6"/>
        <v>12</v>
      </c>
      <c r="U32" s="1950">
        <f t="shared" si="6"/>
        <v>14</v>
      </c>
      <c r="V32" s="1802" t="s">
        <v>1052</v>
      </c>
      <c r="W32" s="1813">
        <v>90</v>
      </c>
      <c r="X32" s="1823">
        <f t="shared" si="4"/>
        <v>0</v>
      </c>
      <c r="Y32" s="1826">
        <f t="shared" si="4"/>
        <v>0</v>
      </c>
      <c r="Z32" s="1963">
        <f t="shared" si="4"/>
        <v>1</v>
      </c>
      <c r="AA32" s="1963">
        <f t="shared" si="4"/>
        <v>1</v>
      </c>
      <c r="AB32" s="1963">
        <f t="shared" si="4"/>
        <v>1</v>
      </c>
      <c r="AC32" s="1963">
        <f t="shared" si="4"/>
        <v>1</v>
      </c>
      <c r="AD32" s="1963">
        <f t="shared" si="4"/>
        <v>2</v>
      </c>
      <c r="AE32" s="1963">
        <f t="shared" si="4"/>
        <v>2</v>
      </c>
      <c r="AF32" s="1963">
        <f t="shared" si="4"/>
        <v>2</v>
      </c>
      <c r="AG32" s="1963">
        <f t="shared" si="4"/>
        <v>3</v>
      </c>
      <c r="AH32" s="1963">
        <f t="shared" si="4"/>
        <v>4</v>
      </c>
      <c r="AI32" s="1963">
        <f t="shared" si="4"/>
        <v>5</v>
      </c>
      <c r="AJ32" s="1963">
        <f t="shared" si="4"/>
        <v>7</v>
      </c>
      <c r="AK32" s="1963">
        <f t="shared" si="4"/>
        <v>8</v>
      </c>
      <c r="AL32" s="1963">
        <f t="shared" si="4"/>
        <v>9</v>
      </c>
      <c r="AM32" s="1963">
        <f t="shared" si="4"/>
        <v>11</v>
      </c>
      <c r="AN32" s="1963">
        <f t="shared" si="7"/>
        <v>12</v>
      </c>
      <c r="AO32" s="1950">
        <f t="shared" si="7"/>
        <v>14</v>
      </c>
      <c r="AP32" s="1802" t="s">
        <v>1052</v>
      </c>
      <c r="AQ32" s="1813">
        <v>90</v>
      </c>
      <c r="AR32" s="1823">
        <f t="shared" si="5"/>
        <v>0</v>
      </c>
      <c r="AS32" s="1963">
        <f t="shared" si="5"/>
        <v>1</v>
      </c>
      <c r="AT32" s="1963">
        <f t="shared" si="5"/>
        <v>1</v>
      </c>
      <c r="AU32" s="1963">
        <f t="shared" si="5"/>
        <v>1</v>
      </c>
      <c r="AV32" s="1963">
        <f t="shared" si="5"/>
        <v>1</v>
      </c>
      <c r="AW32" s="1963">
        <f t="shared" si="5"/>
        <v>2</v>
      </c>
      <c r="AX32" s="1963">
        <f t="shared" si="5"/>
        <v>2</v>
      </c>
      <c r="AY32" s="1963">
        <f t="shared" si="5"/>
        <v>2</v>
      </c>
      <c r="AZ32" s="1963">
        <f t="shared" si="5"/>
        <v>3</v>
      </c>
      <c r="BA32" s="1963">
        <f t="shared" si="5"/>
        <v>3</v>
      </c>
      <c r="BB32" s="1963">
        <f t="shared" si="5"/>
        <v>4</v>
      </c>
      <c r="BC32" s="1963">
        <f t="shared" si="5"/>
        <v>6</v>
      </c>
      <c r="BD32" s="1963">
        <f t="shared" si="5"/>
        <v>7</v>
      </c>
      <c r="BE32" s="1963">
        <f t="shared" si="5"/>
        <v>8</v>
      </c>
      <c r="BF32" s="1963">
        <f t="shared" si="5"/>
        <v>10</v>
      </c>
      <c r="BG32" s="1963">
        <f t="shared" si="5"/>
        <v>11</v>
      </c>
      <c r="BH32" s="1963">
        <f t="shared" si="8"/>
        <v>13</v>
      </c>
      <c r="BI32" s="1950">
        <f t="shared" si="8"/>
        <v>14</v>
      </c>
    </row>
    <row r="33" spans="2:61" ht="12.95" customHeight="1" outlineLevel="1" thickBot="1">
      <c r="B33" s="1810" t="s">
        <v>841</v>
      </c>
      <c r="C33" s="1814">
        <v>110</v>
      </c>
      <c r="D33" s="1828">
        <f t="shared" si="3"/>
        <v>0</v>
      </c>
      <c r="E33" s="1830">
        <f t="shared" si="6"/>
        <v>0</v>
      </c>
      <c r="F33" s="1830">
        <f t="shared" si="6"/>
        <v>0</v>
      </c>
      <c r="G33" s="1974">
        <f t="shared" si="6"/>
        <v>1</v>
      </c>
      <c r="H33" s="1974">
        <f t="shared" si="6"/>
        <v>1</v>
      </c>
      <c r="I33" s="1974">
        <f t="shared" si="6"/>
        <v>1</v>
      </c>
      <c r="J33" s="1974">
        <f t="shared" si="6"/>
        <v>1</v>
      </c>
      <c r="K33" s="1974">
        <f t="shared" si="6"/>
        <v>1</v>
      </c>
      <c r="L33" s="1974">
        <f t="shared" si="6"/>
        <v>2</v>
      </c>
      <c r="M33" s="1974">
        <f t="shared" si="6"/>
        <v>2</v>
      </c>
      <c r="N33" s="1974">
        <f t="shared" si="6"/>
        <v>3</v>
      </c>
      <c r="O33" s="1974">
        <f t="shared" si="6"/>
        <v>4</v>
      </c>
      <c r="P33" s="1974">
        <f t="shared" si="6"/>
        <v>5</v>
      </c>
      <c r="Q33" s="1974">
        <f t="shared" si="6"/>
        <v>6</v>
      </c>
      <c r="R33" s="1974">
        <f t="shared" si="6"/>
        <v>8</v>
      </c>
      <c r="S33" s="1974">
        <f t="shared" si="6"/>
        <v>9</v>
      </c>
      <c r="T33" s="1974">
        <f t="shared" si="6"/>
        <v>10</v>
      </c>
      <c r="U33" s="1948">
        <f t="shared" si="6"/>
        <v>11</v>
      </c>
      <c r="V33" s="1810" t="s">
        <v>841</v>
      </c>
      <c r="W33" s="1814">
        <v>110</v>
      </c>
      <c r="X33" s="1828">
        <f t="shared" si="4"/>
        <v>0</v>
      </c>
      <c r="Y33" s="1830">
        <f t="shared" si="4"/>
        <v>0</v>
      </c>
      <c r="Z33" s="1830">
        <f t="shared" si="4"/>
        <v>0</v>
      </c>
      <c r="AA33" s="1974">
        <f t="shared" si="4"/>
        <v>1</v>
      </c>
      <c r="AB33" s="1974">
        <f t="shared" si="4"/>
        <v>1</v>
      </c>
      <c r="AC33" s="1974">
        <f t="shared" si="4"/>
        <v>1</v>
      </c>
      <c r="AD33" s="1974">
        <f t="shared" si="4"/>
        <v>1</v>
      </c>
      <c r="AE33" s="1974">
        <f t="shared" si="4"/>
        <v>2</v>
      </c>
      <c r="AF33" s="1974">
        <f t="shared" si="4"/>
        <v>2</v>
      </c>
      <c r="AG33" s="1974">
        <f t="shared" si="4"/>
        <v>2</v>
      </c>
      <c r="AH33" s="1974">
        <f t="shared" si="4"/>
        <v>3</v>
      </c>
      <c r="AI33" s="1974">
        <f t="shared" si="4"/>
        <v>4</v>
      </c>
      <c r="AJ33" s="1974">
        <f t="shared" si="4"/>
        <v>5</v>
      </c>
      <c r="AK33" s="1974">
        <f t="shared" si="4"/>
        <v>7</v>
      </c>
      <c r="AL33" s="1974">
        <f t="shared" si="4"/>
        <v>8</v>
      </c>
      <c r="AM33" s="1974">
        <f t="shared" si="4"/>
        <v>9</v>
      </c>
      <c r="AN33" s="1974">
        <f t="shared" si="7"/>
        <v>10</v>
      </c>
      <c r="AO33" s="1948">
        <f t="shared" si="7"/>
        <v>11</v>
      </c>
      <c r="AP33" s="1810" t="s">
        <v>841</v>
      </c>
      <c r="AQ33" s="1814">
        <v>110</v>
      </c>
      <c r="AR33" s="1828">
        <f t="shared" si="5"/>
        <v>0</v>
      </c>
      <c r="AS33" s="1830">
        <f t="shared" si="5"/>
        <v>0</v>
      </c>
      <c r="AT33" s="1974">
        <f t="shared" si="5"/>
        <v>1</v>
      </c>
      <c r="AU33" s="1974">
        <f t="shared" si="5"/>
        <v>1</v>
      </c>
      <c r="AV33" s="1974">
        <f t="shared" si="5"/>
        <v>1</v>
      </c>
      <c r="AW33" s="1974">
        <f t="shared" si="5"/>
        <v>1</v>
      </c>
      <c r="AX33" s="1974">
        <f t="shared" si="5"/>
        <v>2</v>
      </c>
      <c r="AY33" s="1974">
        <f t="shared" si="5"/>
        <v>2</v>
      </c>
      <c r="AZ33" s="1974">
        <f t="shared" si="5"/>
        <v>2</v>
      </c>
      <c r="BA33" s="1974">
        <f t="shared" si="5"/>
        <v>2</v>
      </c>
      <c r="BB33" s="1974">
        <f t="shared" si="5"/>
        <v>3</v>
      </c>
      <c r="BC33" s="1974">
        <f t="shared" si="5"/>
        <v>5</v>
      </c>
      <c r="BD33" s="1974">
        <f t="shared" si="5"/>
        <v>6</v>
      </c>
      <c r="BE33" s="1974">
        <f t="shared" si="5"/>
        <v>7</v>
      </c>
      <c r="BF33" s="1974">
        <f t="shared" si="5"/>
        <v>8</v>
      </c>
      <c r="BG33" s="1974">
        <f t="shared" si="5"/>
        <v>9</v>
      </c>
      <c r="BH33" s="1974">
        <f t="shared" si="8"/>
        <v>10</v>
      </c>
      <c r="BI33" s="1948">
        <f t="shared" si="8"/>
        <v>11</v>
      </c>
    </row>
    <row r="34" spans="2:61" ht="12.95" customHeight="1">
      <c r="B34" s="1809" t="s">
        <v>1532</v>
      </c>
      <c r="C34" s="1811">
        <v>4</v>
      </c>
      <c r="D34" s="1971">
        <f t="shared" si="3"/>
        <v>8</v>
      </c>
      <c r="E34" s="1972">
        <f t="shared" si="6"/>
        <v>15</v>
      </c>
      <c r="F34" s="1972">
        <f t="shared" si="6"/>
        <v>21</v>
      </c>
      <c r="G34" s="1972">
        <f t="shared" si="6"/>
        <v>27</v>
      </c>
      <c r="H34" s="1972">
        <f t="shared" si="6"/>
        <v>33</v>
      </c>
      <c r="I34" s="1972">
        <f t="shared" si="6"/>
        <v>40</v>
      </c>
      <c r="J34" s="1972">
        <f t="shared" si="6"/>
        <v>46</v>
      </c>
      <c r="K34" s="1972">
        <f t="shared" si="6"/>
        <v>52</v>
      </c>
      <c r="L34" s="1972">
        <f t="shared" si="6"/>
        <v>58</v>
      </c>
      <c r="M34" s="1972">
        <f t="shared" si="6"/>
        <v>65</v>
      </c>
      <c r="N34" s="1972">
        <f t="shared" si="6"/>
        <v>96</v>
      </c>
      <c r="O34" s="1972">
        <f t="shared" si="6"/>
        <v>127</v>
      </c>
      <c r="P34" s="1972">
        <f t="shared" si="6"/>
        <v>158</v>
      </c>
      <c r="Q34" s="1972">
        <f t="shared" si="6"/>
        <v>190</v>
      </c>
      <c r="R34" s="1972">
        <f t="shared" si="6"/>
        <v>221</v>
      </c>
      <c r="S34" s="1972">
        <f t="shared" si="6"/>
        <v>252</v>
      </c>
      <c r="T34" s="1972">
        <f t="shared" si="6"/>
        <v>283</v>
      </c>
      <c r="U34" s="1973">
        <f t="shared" si="6"/>
        <v>315</v>
      </c>
      <c r="V34" s="1809" t="s">
        <v>1532</v>
      </c>
      <c r="W34" s="1811">
        <v>4</v>
      </c>
      <c r="X34" s="1971">
        <f t="shared" si="4"/>
        <v>11</v>
      </c>
      <c r="Y34" s="1972">
        <f t="shared" si="4"/>
        <v>17</v>
      </c>
      <c r="Z34" s="1972">
        <f t="shared" si="4"/>
        <v>23</v>
      </c>
      <c r="AA34" s="1972">
        <f t="shared" si="4"/>
        <v>30</v>
      </c>
      <c r="AB34" s="1972">
        <f t="shared" si="4"/>
        <v>36</v>
      </c>
      <c r="AC34" s="1972">
        <f t="shared" si="4"/>
        <v>42</v>
      </c>
      <c r="AD34" s="1972">
        <f t="shared" si="4"/>
        <v>48</v>
      </c>
      <c r="AE34" s="1972">
        <f t="shared" si="4"/>
        <v>55</v>
      </c>
      <c r="AF34" s="1972">
        <f t="shared" si="4"/>
        <v>61</v>
      </c>
      <c r="AG34" s="1972">
        <f t="shared" si="4"/>
        <v>67</v>
      </c>
      <c r="AH34" s="1972">
        <f t="shared" si="4"/>
        <v>98</v>
      </c>
      <c r="AI34" s="1972">
        <f t="shared" si="4"/>
        <v>130</v>
      </c>
      <c r="AJ34" s="1972">
        <f t="shared" si="4"/>
        <v>161</v>
      </c>
      <c r="AK34" s="1972">
        <f t="shared" si="4"/>
        <v>192</v>
      </c>
      <c r="AL34" s="1972">
        <f t="shared" si="4"/>
        <v>223</v>
      </c>
      <c r="AM34" s="1972">
        <f t="shared" si="4"/>
        <v>255</v>
      </c>
      <c r="AN34" s="1972">
        <f t="shared" si="7"/>
        <v>286</v>
      </c>
      <c r="AO34" s="1973">
        <f t="shared" si="7"/>
        <v>317</v>
      </c>
      <c r="AP34" s="1809" t="s">
        <v>1532</v>
      </c>
      <c r="AQ34" s="1811">
        <v>4</v>
      </c>
      <c r="AR34" s="1971">
        <f t="shared" si="5"/>
        <v>18</v>
      </c>
      <c r="AS34" s="1972">
        <f t="shared" si="5"/>
        <v>25</v>
      </c>
      <c r="AT34" s="1972">
        <f t="shared" si="5"/>
        <v>31</v>
      </c>
      <c r="AU34" s="1972">
        <f t="shared" si="5"/>
        <v>37</v>
      </c>
      <c r="AV34" s="1972">
        <f t="shared" si="5"/>
        <v>43</v>
      </c>
      <c r="AW34" s="1972">
        <f t="shared" si="5"/>
        <v>50</v>
      </c>
      <c r="AX34" s="1972">
        <f t="shared" si="5"/>
        <v>56</v>
      </c>
      <c r="AY34" s="1972">
        <f t="shared" si="5"/>
        <v>62</v>
      </c>
      <c r="AZ34" s="1972">
        <f t="shared" si="5"/>
        <v>68</v>
      </c>
      <c r="BA34" s="1972">
        <f t="shared" si="5"/>
        <v>75</v>
      </c>
      <c r="BB34" s="1972">
        <f t="shared" si="5"/>
        <v>106</v>
      </c>
      <c r="BC34" s="1972">
        <f t="shared" si="5"/>
        <v>137</v>
      </c>
      <c r="BD34" s="1972">
        <f t="shared" si="5"/>
        <v>168</v>
      </c>
      <c r="BE34" s="1972">
        <f t="shared" si="5"/>
        <v>200</v>
      </c>
      <c r="BF34" s="1972">
        <f t="shared" si="5"/>
        <v>231</v>
      </c>
      <c r="BG34" s="1972">
        <f t="shared" si="5"/>
        <v>262</v>
      </c>
      <c r="BH34" s="1972">
        <f t="shared" si="8"/>
        <v>293</v>
      </c>
      <c r="BI34" s="1973">
        <f t="shared" si="8"/>
        <v>325</v>
      </c>
    </row>
    <row r="35" spans="2:61" ht="12.95" customHeight="1" outlineLevel="1">
      <c r="B35" s="1804" t="s">
        <v>1533</v>
      </c>
      <c r="C35" s="1812">
        <v>4</v>
      </c>
      <c r="D35" s="1951">
        <f t="shared" si="3"/>
        <v>8</v>
      </c>
      <c r="E35" s="1959">
        <f t="shared" si="6"/>
        <v>15</v>
      </c>
      <c r="F35" s="1959">
        <f t="shared" si="6"/>
        <v>21</v>
      </c>
      <c r="G35" s="1959">
        <f t="shared" si="6"/>
        <v>27</v>
      </c>
      <c r="H35" s="1959">
        <f t="shared" si="6"/>
        <v>33</v>
      </c>
      <c r="I35" s="1959">
        <f t="shared" si="6"/>
        <v>40</v>
      </c>
      <c r="J35" s="1959">
        <f t="shared" si="6"/>
        <v>46</v>
      </c>
      <c r="K35" s="1959">
        <f t="shared" si="6"/>
        <v>52</v>
      </c>
      <c r="L35" s="1959">
        <f t="shared" si="6"/>
        <v>58</v>
      </c>
      <c r="M35" s="1959">
        <f t="shared" si="6"/>
        <v>65</v>
      </c>
      <c r="N35" s="1959">
        <f t="shared" si="6"/>
        <v>96</v>
      </c>
      <c r="O35" s="1959">
        <f t="shared" si="6"/>
        <v>127</v>
      </c>
      <c r="P35" s="1959">
        <f t="shared" si="6"/>
        <v>158</v>
      </c>
      <c r="Q35" s="1959">
        <f t="shared" si="6"/>
        <v>190</v>
      </c>
      <c r="R35" s="1959">
        <f t="shared" si="6"/>
        <v>221</v>
      </c>
      <c r="S35" s="1959">
        <f t="shared" si="6"/>
        <v>252</v>
      </c>
      <c r="T35" s="1959">
        <f t="shared" si="6"/>
        <v>283</v>
      </c>
      <c r="U35" s="1952">
        <f t="shared" si="6"/>
        <v>315</v>
      </c>
      <c r="V35" s="1804" t="s">
        <v>1533</v>
      </c>
      <c r="W35" s="1812">
        <v>4</v>
      </c>
      <c r="X35" s="1951">
        <f t="shared" si="4"/>
        <v>11</v>
      </c>
      <c r="Y35" s="1959">
        <f t="shared" si="4"/>
        <v>17</v>
      </c>
      <c r="Z35" s="1959">
        <f t="shared" si="4"/>
        <v>23</v>
      </c>
      <c r="AA35" s="1959">
        <f t="shared" si="4"/>
        <v>30</v>
      </c>
      <c r="AB35" s="1959">
        <f t="shared" si="4"/>
        <v>36</v>
      </c>
      <c r="AC35" s="1959">
        <f t="shared" si="4"/>
        <v>42</v>
      </c>
      <c r="AD35" s="1959">
        <f t="shared" si="4"/>
        <v>48</v>
      </c>
      <c r="AE35" s="1959">
        <f t="shared" si="4"/>
        <v>55</v>
      </c>
      <c r="AF35" s="1959">
        <f t="shared" si="4"/>
        <v>61</v>
      </c>
      <c r="AG35" s="1959">
        <f t="shared" si="4"/>
        <v>67</v>
      </c>
      <c r="AH35" s="1959">
        <f t="shared" si="4"/>
        <v>98</v>
      </c>
      <c r="AI35" s="1959">
        <f t="shared" si="4"/>
        <v>130</v>
      </c>
      <c r="AJ35" s="1959">
        <f t="shared" si="4"/>
        <v>161</v>
      </c>
      <c r="AK35" s="1959">
        <f t="shared" si="4"/>
        <v>192</v>
      </c>
      <c r="AL35" s="1959">
        <f t="shared" si="4"/>
        <v>223</v>
      </c>
      <c r="AM35" s="1959">
        <f t="shared" si="4"/>
        <v>255</v>
      </c>
      <c r="AN35" s="1959">
        <f t="shared" si="7"/>
        <v>286</v>
      </c>
      <c r="AO35" s="1952">
        <f t="shared" si="7"/>
        <v>317</v>
      </c>
      <c r="AP35" s="1804" t="s">
        <v>1533</v>
      </c>
      <c r="AQ35" s="1812">
        <v>4</v>
      </c>
      <c r="AR35" s="1951">
        <f t="shared" si="5"/>
        <v>18</v>
      </c>
      <c r="AS35" s="1959">
        <f t="shared" si="5"/>
        <v>25</v>
      </c>
      <c r="AT35" s="1959">
        <f t="shared" si="5"/>
        <v>31</v>
      </c>
      <c r="AU35" s="1959">
        <f t="shared" si="5"/>
        <v>37</v>
      </c>
      <c r="AV35" s="1959">
        <f t="shared" si="5"/>
        <v>43</v>
      </c>
      <c r="AW35" s="1959">
        <f t="shared" si="5"/>
        <v>50</v>
      </c>
      <c r="AX35" s="1959">
        <f t="shared" si="5"/>
        <v>56</v>
      </c>
      <c r="AY35" s="1959">
        <f t="shared" si="5"/>
        <v>62</v>
      </c>
      <c r="AZ35" s="1959">
        <f t="shared" si="5"/>
        <v>68</v>
      </c>
      <c r="BA35" s="1959">
        <f t="shared" si="5"/>
        <v>75</v>
      </c>
      <c r="BB35" s="1959">
        <f t="shared" si="5"/>
        <v>106</v>
      </c>
      <c r="BC35" s="1959">
        <f t="shared" si="5"/>
        <v>137</v>
      </c>
      <c r="BD35" s="1959">
        <f t="shared" si="5"/>
        <v>168</v>
      </c>
      <c r="BE35" s="1959">
        <f t="shared" si="5"/>
        <v>200</v>
      </c>
      <c r="BF35" s="1959">
        <f t="shared" si="5"/>
        <v>231</v>
      </c>
      <c r="BG35" s="1959">
        <f t="shared" si="5"/>
        <v>262</v>
      </c>
      <c r="BH35" s="1959">
        <f t="shared" si="8"/>
        <v>293</v>
      </c>
      <c r="BI35" s="1952">
        <f t="shared" si="8"/>
        <v>325</v>
      </c>
    </row>
    <row r="36" spans="2:61" ht="12.95" customHeight="1" outlineLevel="1">
      <c r="B36" s="1802" t="s">
        <v>3448</v>
      </c>
      <c r="C36" s="1813">
        <v>16</v>
      </c>
      <c r="D36" s="1949">
        <f t="shared" si="3"/>
        <v>2</v>
      </c>
      <c r="E36" s="1963">
        <f t="shared" si="6"/>
        <v>3</v>
      </c>
      <c r="F36" s="1963">
        <f t="shared" si="6"/>
        <v>5</v>
      </c>
      <c r="G36" s="1963">
        <f t="shared" si="6"/>
        <v>6</v>
      </c>
      <c r="H36" s="1963">
        <f t="shared" si="6"/>
        <v>8</v>
      </c>
      <c r="I36" s="1963">
        <f t="shared" si="6"/>
        <v>10</v>
      </c>
      <c r="J36" s="1963">
        <f t="shared" si="6"/>
        <v>11</v>
      </c>
      <c r="K36" s="1963">
        <f t="shared" si="6"/>
        <v>13</v>
      </c>
      <c r="L36" s="1963">
        <f t="shared" si="6"/>
        <v>14</v>
      </c>
      <c r="M36" s="1963">
        <f t="shared" si="6"/>
        <v>16</v>
      </c>
      <c r="N36" s="1963">
        <f t="shared" si="6"/>
        <v>24</v>
      </c>
      <c r="O36" s="1963">
        <f t="shared" si="6"/>
        <v>31</v>
      </c>
      <c r="P36" s="1963">
        <f t="shared" si="6"/>
        <v>39</v>
      </c>
      <c r="Q36" s="1963">
        <f t="shared" si="6"/>
        <v>47</v>
      </c>
      <c r="R36" s="1963">
        <f t="shared" si="6"/>
        <v>55</v>
      </c>
      <c r="S36" s="1963">
        <f t="shared" si="6"/>
        <v>63</v>
      </c>
      <c r="T36" s="1963">
        <f t="shared" si="6"/>
        <v>70</v>
      </c>
      <c r="U36" s="1950">
        <f t="shared" si="6"/>
        <v>78</v>
      </c>
      <c r="V36" s="1802" t="s">
        <v>3448</v>
      </c>
      <c r="W36" s="1813">
        <v>16</v>
      </c>
      <c r="X36" s="1949">
        <f t="shared" si="4"/>
        <v>2</v>
      </c>
      <c r="Y36" s="1963">
        <f t="shared" si="4"/>
        <v>4</v>
      </c>
      <c r="Z36" s="1963">
        <f t="shared" si="4"/>
        <v>5</v>
      </c>
      <c r="AA36" s="1963">
        <f t="shared" si="4"/>
        <v>7</v>
      </c>
      <c r="AB36" s="1963">
        <f t="shared" si="4"/>
        <v>9</v>
      </c>
      <c r="AC36" s="1963">
        <f t="shared" si="4"/>
        <v>10</v>
      </c>
      <c r="AD36" s="1963">
        <f t="shared" si="4"/>
        <v>12</v>
      </c>
      <c r="AE36" s="1963">
        <f t="shared" si="4"/>
        <v>13</v>
      </c>
      <c r="AF36" s="1963">
        <f t="shared" si="4"/>
        <v>15</v>
      </c>
      <c r="AG36" s="1963">
        <f t="shared" si="4"/>
        <v>16</v>
      </c>
      <c r="AH36" s="1963">
        <f t="shared" si="4"/>
        <v>24</v>
      </c>
      <c r="AI36" s="1963">
        <f t="shared" si="4"/>
        <v>32</v>
      </c>
      <c r="AJ36" s="1963">
        <f t="shared" si="4"/>
        <v>40</v>
      </c>
      <c r="AK36" s="1963">
        <f t="shared" si="4"/>
        <v>48</v>
      </c>
      <c r="AL36" s="1963">
        <f t="shared" si="4"/>
        <v>55</v>
      </c>
      <c r="AM36" s="1963">
        <f t="shared" si="4"/>
        <v>63</v>
      </c>
      <c r="AN36" s="1963">
        <f t="shared" si="7"/>
        <v>71</v>
      </c>
      <c r="AO36" s="1950">
        <f t="shared" si="7"/>
        <v>79</v>
      </c>
      <c r="AP36" s="1802" t="s">
        <v>3448</v>
      </c>
      <c r="AQ36" s="1813">
        <v>16</v>
      </c>
      <c r="AR36" s="1949">
        <f t="shared" si="5"/>
        <v>4</v>
      </c>
      <c r="AS36" s="1963">
        <f t="shared" si="5"/>
        <v>6</v>
      </c>
      <c r="AT36" s="1963">
        <f t="shared" si="5"/>
        <v>7</v>
      </c>
      <c r="AU36" s="1963">
        <f t="shared" si="5"/>
        <v>9</v>
      </c>
      <c r="AV36" s="1963">
        <f t="shared" si="5"/>
        <v>10</v>
      </c>
      <c r="AW36" s="1963">
        <f t="shared" si="5"/>
        <v>12</v>
      </c>
      <c r="AX36" s="1963">
        <f t="shared" si="5"/>
        <v>14</v>
      </c>
      <c r="AY36" s="1963">
        <f t="shared" si="5"/>
        <v>15</v>
      </c>
      <c r="AZ36" s="1963">
        <f t="shared" si="5"/>
        <v>17</v>
      </c>
      <c r="BA36" s="1963">
        <f t="shared" si="5"/>
        <v>18</v>
      </c>
      <c r="BB36" s="1963">
        <f t="shared" si="5"/>
        <v>26</v>
      </c>
      <c r="BC36" s="1963">
        <f t="shared" si="5"/>
        <v>34</v>
      </c>
      <c r="BD36" s="1963">
        <f t="shared" si="5"/>
        <v>42</v>
      </c>
      <c r="BE36" s="1963">
        <f t="shared" si="5"/>
        <v>50</v>
      </c>
      <c r="BF36" s="1963">
        <f t="shared" si="5"/>
        <v>57</v>
      </c>
      <c r="BG36" s="1963">
        <f t="shared" si="5"/>
        <v>65</v>
      </c>
      <c r="BH36" s="1963">
        <f t="shared" si="8"/>
        <v>73</v>
      </c>
      <c r="BI36" s="1950">
        <f t="shared" si="8"/>
        <v>81</v>
      </c>
    </row>
    <row r="37" spans="2:61" ht="12.95" customHeight="1" outlineLevel="1">
      <c r="B37" s="1804" t="s">
        <v>3449</v>
      </c>
      <c r="C37" s="1812">
        <v>16</v>
      </c>
      <c r="D37" s="1951">
        <f t="shared" si="3"/>
        <v>2</v>
      </c>
      <c r="E37" s="1959">
        <f t="shared" si="6"/>
        <v>3</v>
      </c>
      <c r="F37" s="1959">
        <f t="shared" si="6"/>
        <v>5</v>
      </c>
      <c r="G37" s="1959">
        <f t="shared" si="6"/>
        <v>6</v>
      </c>
      <c r="H37" s="1959">
        <f t="shared" si="6"/>
        <v>8</v>
      </c>
      <c r="I37" s="1959">
        <f t="shared" si="6"/>
        <v>10</v>
      </c>
      <c r="J37" s="1959">
        <f t="shared" si="6"/>
        <v>11</v>
      </c>
      <c r="K37" s="1959">
        <f t="shared" si="6"/>
        <v>13</v>
      </c>
      <c r="L37" s="1959">
        <f t="shared" si="6"/>
        <v>14</v>
      </c>
      <c r="M37" s="1959">
        <f t="shared" si="6"/>
        <v>16</v>
      </c>
      <c r="N37" s="1959">
        <f t="shared" si="6"/>
        <v>24</v>
      </c>
      <c r="O37" s="1959">
        <f t="shared" si="6"/>
        <v>31</v>
      </c>
      <c r="P37" s="1959">
        <f t="shared" si="6"/>
        <v>39</v>
      </c>
      <c r="Q37" s="1959">
        <f t="shared" si="6"/>
        <v>47</v>
      </c>
      <c r="R37" s="1959">
        <f t="shared" si="6"/>
        <v>55</v>
      </c>
      <c r="S37" s="1959">
        <f t="shared" si="6"/>
        <v>63</v>
      </c>
      <c r="T37" s="1959">
        <f t="shared" si="6"/>
        <v>70</v>
      </c>
      <c r="U37" s="1952">
        <f t="shared" ref="E37:U52" si="9">FLOOR((U$7*25+10)/$C37,1)</f>
        <v>78</v>
      </c>
      <c r="V37" s="1804" t="s">
        <v>3449</v>
      </c>
      <c r="W37" s="1812">
        <v>16</v>
      </c>
      <c r="X37" s="1951">
        <f t="shared" si="4"/>
        <v>2</v>
      </c>
      <c r="Y37" s="1959">
        <f t="shared" si="4"/>
        <v>4</v>
      </c>
      <c r="Z37" s="1959">
        <f t="shared" si="4"/>
        <v>5</v>
      </c>
      <c r="AA37" s="1959">
        <f t="shared" si="4"/>
        <v>7</v>
      </c>
      <c r="AB37" s="1959">
        <f t="shared" si="4"/>
        <v>9</v>
      </c>
      <c r="AC37" s="1959">
        <f t="shared" si="4"/>
        <v>10</v>
      </c>
      <c r="AD37" s="1959">
        <f t="shared" si="4"/>
        <v>12</v>
      </c>
      <c r="AE37" s="1959">
        <f t="shared" si="4"/>
        <v>13</v>
      </c>
      <c r="AF37" s="1959">
        <f t="shared" si="4"/>
        <v>15</v>
      </c>
      <c r="AG37" s="1959">
        <f t="shared" si="4"/>
        <v>16</v>
      </c>
      <c r="AH37" s="1959">
        <f t="shared" si="4"/>
        <v>24</v>
      </c>
      <c r="AI37" s="1959">
        <f t="shared" si="4"/>
        <v>32</v>
      </c>
      <c r="AJ37" s="1959">
        <f t="shared" si="4"/>
        <v>40</v>
      </c>
      <c r="AK37" s="1959">
        <f t="shared" si="4"/>
        <v>48</v>
      </c>
      <c r="AL37" s="1959">
        <f t="shared" si="4"/>
        <v>55</v>
      </c>
      <c r="AM37" s="1959">
        <f t="shared" si="4"/>
        <v>63</v>
      </c>
      <c r="AN37" s="1959">
        <f t="shared" si="7"/>
        <v>71</v>
      </c>
      <c r="AO37" s="1952">
        <f t="shared" si="7"/>
        <v>79</v>
      </c>
      <c r="AP37" s="1804" t="s">
        <v>3449</v>
      </c>
      <c r="AQ37" s="1812">
        <v>16</v>
      </c>
      <c r="AR37" s="1951">
        <f t="shared" si="5"/>
        <v>4</v>
      </c>
      <c r="AS37" s="1959">
        <f t="shared" si="5"/>
        <v>6</v>
      </c>
      <c r="AT37" s="1959">
        <f t="shared" si="5"/>
        <v>7</v>
      </c>
      <c r="AU37" s="1959">
        <f t="shared" si="5"/>
        <v>9</v>
      </c>
      <c r="AV37" s="1959">
        <f t="shared" si="5"/>
        <v>10</v>
      </c>
      <c r="AW37" s="1959">
        <f t="shared" si="5"/>
        <v>12</v>
      </c>
      <c r="AX37" s="1959">
        <f t="shared" si="5"/>
        <v>14</v>
      </c>
      <c r="AY37" s="1959">
        <f t="shared" si="5"/>
        <v>15</v>
      </c>
      <c r="AZ37" s="1959">
        <f t="shared" si="5"/>
        <v>17</v>
      </c>
      <c r="BA37" s="1959">
        <f t="shared" si="5"/>
        <v>18</v>
      </c>
      <c r="BB37" s="1959">
        <f t="shared" si="5"/>
        <v>26</v>
      </c>
      <c r="BC37" s="1959">
        <f t="shared" si="5"/>
        <v>34</v>
      </c>
      <c r="BD37" s="1959">
        <f t="shared" si="5"/>
        <v>42</v>
      </c>
      <c r="BE37" s="1959">
        <f t="shared" si="5"/>
        <v>50</v>
      </c>
      <c r="BF37" s="1959">
        <f t="shared" si="5"/>
        <v>57</v>
      </c>
      <c r="BG37" s="1959">
        <f t="shared" si="5"/>
        <v>65</v>
      </c>
      <c r="BH37" s="1959">
        <f t="shared" si="8"/>
        <v>73</v>
      </c>
      <c r="BI37" s="1952">
        <f t="shared" si="8"/>
        <v>81</v>
      </c>
    </row>
    <row r="38" spans="2:61" ht="12.95" customHeight="1" outlineLevel="1">
      <c r="B38" s="1802" t="s">
        <v>1817</v>
      </c>
      <c r="C38" s="1813">
        <v>25</v>
      </c>
      <c r="D38" s="1949">
        <f t="shared" si="3"/>
        <v>1</v>
      </c>
      <c r="E38" s="1963">
        <f t="shared" si="9"/>
        <v>2</v>
      </c>
      <c r="F38" s="1963">
        <f t="shared" si="9"/>
        <v>3</v>
      </c>
      <c r="G38" s="1963">
        <f t="shared" si="9"/>
        <v>4</v>
      </c>
      <c r="H38" s="1963">
        <f t="shared" si="9"/>
        <v>5</v>
      </c>
      <c r="I38" s="1963">
        <f t="shared" si="9"/>
        <v>6</v>
      </c>
      <c r="J38" s="1963">
        <f t="shared" si="9"/>
        <v>7</v>
      </c>
      <c r="K38" s="1963">
        <f t="shared" si="9"/>
        <v>8</v>
      </c>
      <c r="L38" s="1963">
        <f t="shared" si="9"/>
        <v>9</v>
      </c>
      <c r="M38" s="1963">
        <f t="shared" si="9"/>
        <v>10</v>
      </c>
      <c r="N38" s="1963">
        <f t="shared" si="9"/>
        <v>15</v>
      </c>
      <c r="O38" s="1963">
        <f t="shared" si="9"/>
        <v>20</v>
      </c>
      <c r="P38" s="1963">
        <f t="shared" si="9"/>
        <v>25</v>
      </c>
      <c r="Q38" s="1963">
        <f t="shared" si="9"/>
        <v>30</v>
      </c>
      <c r="R38" s="1963">
        <f t="shared" si="9"/>
        <v>35</v>
      </c>
      <c r="S38" s="1963">
        <f t="shared" si="9"/>
        <v>40</v>
      </c>
      <c r="T38" s="1963">
        <f t="shared" si="9"/>
        <v>45</v>
      </c>
      <c r="U38" s="1950">
        <f t="shared" si="9"/>
        <v>50</v>
      </c>
      <c r="V38" s="1802" t="s">
        <v>1817</v>
      </c>
      <c r="W38" s="1813">
        <v>25</v>
      </c>
      <c r="X38" s="1949">
        <f t="shared" si="4"/>
        <v>1</v>
      </c>
      <c r="Y38" s="1963">
        <f t="shared" ref="Y38:AN53" si="10">FLOOR((Y$7*25+20)/$C38,1)</f>
        <v>2</v>
      </c>
      <c r="Z38" s="1963">
        <f t="shared" si="10"/>
        <v>3</v>
      </c>
      <c r="AA38" s="1963">
        <f t="shared" si="10"/>
        <v>4</v>
      </c>
      <c r="AB38" s="1963">
        <f t="shared" si="10"/>
        <v>5</v>
      </c>
      <c r="AC38" s="1963">
        <f t="shared" si="10"/>
        <v>6</v>
      </c>
      <c r="AD38" s="1963">
        <f t="shared" si="10"/>
        <v>7</v>
      </c>
      <c r="AE38" s="1963">
        <f t="shared" si="10"/>
        <v>8</v>
      </c>
      <c r="AF38" s="1963">
        <f t="shared" si="10"/>
        <v>9</v>
      </c>
      <c r="AG38" s="1963">
        <f t="shared" si="10"/>
        <v>10</v>
      </c>
      <c r="AH38" s="1963">
        <f t="shared" si="10"/>
        <v>15</v>
      </c>
      <c r="AI38" s="1963">
        <f t="shared" si="10"/>
        <v>20</v>
      </c>
      <c r="AJ38" s="1963">
        <f t="shared" si="10"/>
        <v>25</v>
      </c>
      <c r="AK38" s="1963">
        <f t="shared" si="10"/>
        <v>30</v>
      </c>
      <c r="AL38" s="1963">
        <f t="shared" si="10"/>
        <v>35</v>
      </c>
      <c r="AM38" s="1963">
        <f t="shared" si="10"/>
        <v>40</v>
      </c>
      <c r="AN38" s="1963">
        <f t="shared" si="10"/>
        <v>45</v>
      </c>
      <c r="AO38" s="1950">
        <f t="shared" si="7"/>
        <v>50</v>
      </c>
      <c r="AP38" s="1802" t="s">
        <v>1817</v>
      </c>
      <c r="AQ38" s="1813">
        <v>25</v>
      </c>
      <c r="AR38" s="1949">
        <f t="shared" si="5"/>
        <v>3</v>
      </c>
      <c r="AS38" s="1963">
        <f t="shared" ref="AS38:BH53" si="11">FLOOR((AS$7*25+50)/$C38,1)</f>
        <v>4</v>
      </c>
      <c r="AT38" s="1963">
        <f t="shared" si="11"/>
        <v>5</v>
      </c>
      <c r="AU38" s="1963">
        <f t="shared" si="11"/>
        <v>6</v>
      </c>
      <c r="AV38" s="1963">
        <f t="shared" si="11"/>
        <v>7</v>
      </c>
      <c r="AW38" s="1963">
        <f t="shared" si="11"/>
        <v>8</v>
      </c>
      <c r="AX38" s="1963">
        <f t="shared" si="11"/>
        <v>9</v>
      </c>
      <c r="AY38" s="1963">
        <f t="shared" si="11"/>
        <v>10</v>
      </c>
      <c r="AZ38" s="1963">
        <f t="shared" si="11"/>
        <v>11</v>
      </c>
      <c r="BA38" s="1963">
        <f t="shared" si="11"/>
        <v>12</v>
      </c>
      <c r="BB38" s="1963">
        <f t="shared" si="11"/>
        <v>17</v>
      </c>
      <c r="BC38" s="1963">
        <f t="shared" si="11"/>
        <v>22</v>
      </c>
      <c r="BD38" s="1963">
        <f t="shared" si="11"/>
        <v>27</v>
      </c>
      <c r="BE38" s="1963">
        <f t="shared" si="11"/>
        <v>32</v>
      </c>
      <c r="BF38" s="1963">
        <f t="shared" si="11"/>
        <v>37</v>
      </c>
      <c r="BG38" s="1963">
        <f t="shared" si="11"/>
        <v>42</v>
      </c>
      <c r="BH38" s="1963">
        <f t="shared" si="11"/>
        <v>47</v>
      </c>
      <c r="BI38" s="1950">
        <f t="shared" si="8"/>
        <v>52</v>
      </c>
    </row>
    <row r="39" spans="2:61" ht="12.95" customHeight="1" outlineLevel="1">
      <c r="B39" s="1804" t="s">
        <v>3451</v>
      </c>
      <c r="C39" s="1812">
        <v>30</v>
      </c>
      <c r="D39" s="1951">
        <f t="shared" si="3"/>
        <v>1</v>
      </c>
      <c r="E39" s="1959">
        <f t="shared" si="9"/>
        <v>2</v>
      </c>
      <c r="F39" s="1959">
        <f t="shared" si="9"/>
        <v>2</v>
      </c>
      <c r="G39" s="1959">
        <f t="shared" si="9"/>
        <v>3</v>
      </c>
      <c r="H39" s="1959">
        <f t="shared" si="9"/>
        <v>4</v>
      </c>
      <c r="I39" s="1959">
        <f t="shared" si="9"/>
        <v>5</v>
      </c>
      <c r="J39" s="1959">
        <f t="shared" si="9"/>
        <v>6</v>
      </c>
      <c r="K39" s="1959">
        <f t="shared" si="9"/>
        <v>7</v>
      </c>
      <c r="L39" s="1959">
        <f t="shared" si="9"/>
        <v>7</v>
      </c>
      <c r="M39" s="1959">
        <f t="shared" si="9"/>
        <v>8</v>
      </c>
      <c r="N39" s="1959">
        <f t="shared" si="9"/>
        <v>12</v>
      </c>
      <c r="O39" s="1959">
        <f t="shared" si="9"/>
        <v>17</v>
      </c>
      <c r="P39" s="1959">
        <f t="shared" si="9"/>
        <v>21</v>
      </c>
      <c r="Q39" s="1959">
        <f t="shared" si="9"/>
        <v>25</v>
      </c>
      <c r="R39" s="1959">
        <f t="shared" si="9"/>
        <v>29</v>
      </c>
      <c r="S39" s="1959">
        <f t="shared" si="9"/>
        <v>33</v>
      </c>
      <c r="T39" s="1959">
        <f t="shared" si="9"/>
        <v>37</v>
      </c>
      <c r="U39" s="1952">
        <f t="shared" si="9"/>
        <v>42</v>
      </c>
      <c r="V39" s="1804" t="s">
        <v>3451</v>
      </c>
      <c r="W39" s="1812">
        <v>30</v>
      </c>
      <c r="X39" s="1951">
        <f t="shared" ref="X39:AM68" si="12">FLOOR((X$7*25+20)/$C39,1)</f>
        <v>1</v>
      </c>
      <c r="Y39" s="1959">
        <f t="shared" si="10"/>
        <v>2</v>
      </c>
      <c r="Z39" s="1959">
        <f t="shared" si="10"/>
        <v>3</v>
      </c>
      <c r="AA39" s="1959">
        <f t="shared" si="10"/>
        <v>4</v>
      </c>
      <c r="AB39" s="1959">
        <f t="shared" si="10"/>
        <v>4</v>
      </c>
      <c r="AC39" s="1959">
        <f t="shared" si="10"/>
        <v>5</v>
      </c>
      <c r="AD39" s="1959">
        <f t="shared" si="10"/>
        <v>6</v>
      </c>
      <c r="AE39" s="1959">
        <f t="shared" si="10"/>
        <v>7</v>
      </c>
      <c r="AF39" s="1959">
        <f t="shared" si="10"/>
        <v>8</v>
      </c>
      <c r="AG39" s="1959">
        <f t="shared" si="10"/>
        <v>9</v>
      </c>
      <c r="AH39" s="2139">
        <f t="shared" ref="AH39:AH102" si="13">FLOOR((AH$7*25+20)/$C39,1)</f>
        <v>13</v>
      </c>
      <c r="AI39" s="1959">
        <f t="shared" si="10"/>
        <v>17</v>
      </c>
      <c r="AJ39" s="1959">
        <f t="shared" si="10"/>
        <v>21</v>
      </c>
      <c r="AK39" s="1959">
        <f t="shared" si="10"/>
        <v>25</v>
      </c>
      <c r="AL39" s="1959">
        <f t="shared" si="10"/>
        <v>29</v>
      </c>
      <c r="AM39" s="1959">
        <f t="shared" si="10"/>
        <v>34</v>
      </c>
      <c r="AN39" s="1959">
        <f t="shared" si="10"/>
        <v>38</v>
      </c>
      <c r="AO39" s="1952">
        <f t="shared" si="7"/>
        <v>42</v>
      </c>
      <c r="AP39" s="1804" t="s">
        <v>3451</v>
      </c>
      <c r="AQ39" s="1812">
        <v>30</v>
      </c>
      <c r="AR39" s="1951">
        <f t="shared" ref="AR39:BG68" si="14">FLOOR((AR$7*25+50)/$C39,1)</f>
        <v>2</v>
      </c>
      <c r="AS39" s="1959">
        <f t="shared" si="11"/>
        <v>3</v>
      </c>
      <c r="AT39" s="1959">
        <f t="shared" si="11"/>
        <v>4</v>
      </c>
      <c r="AU39" s="1959">
        <f t="shared" si="11"/>
        <v>5</v>
      </c>
      <c r="AV39" s="1959">
        <f t="shared" si="11"/>
        <v>5</v>
      </c>
      <c r="AW39" s="1959">
        <f t="shared" si="11"/>
        <v>6</v>
      </c>
      <c r="AX39" s="1959">
        <f t="shared" si="11"/>
        <v>7</v>
      </c>
      <c r="AY39" s="1959">
        <f t="shared" si="11"/>
        <v>8</v>
      </c>
      <c r="AZ39" s="1959">
        <f t="shared" si="11"/>
        <v>9</v>
      </c>
      <c r="BA39" s="1959">
        <f t="shared" si="11"/>
        <v>10</v>
      </c>
      <c r="BB39" s="1959">
        <f t="shared" si="11"/>
        <v>14</v>
      </c>
      <c r="BC39" s="1959">
        <f t="shared" si="11"/>
        <v>18</v>
      </c>
      <c r="BD39" s="1959">
        <f t="shared" si="11"/>
        <v>22</v>
      </c>
      <c r="BE39" s="1959">
        <f t="shared" si="11"/>
        <v>26</v>
      </c>
      <c r="BF39" s="1959">
        <f t="shared" si="11"/>
        <v>30</v>
      </c>
      <c r="BG39" s="1959">
        <f t="shared" si="11"/>
        <v>35</v>
      </c>
      <c r="BH39" s="1959">
        <f t="shared" si="11"/>
        <v>39</v>
      </c>
      <c r="BI39" s="1952">
        <f t="shared" si="8"/>
        <v>43</v>
      </c>
    </row>
    <row r="40" spans="2:61" ht="12.95" customHeight="1" outlineLevel="1">
      <c r="B40" s="1802" t="s">
        <v>3062</v>
      </c>
      <c r="C40" s="1813">
        <v>40</v>
      </c>
      <c r="D40" s="1823">
        <f t="shared" si="3"/>
        <v>0</v>
      </c>
      <c r="E40" s="1963">
        <f t="shared" si="9"/>
        <v>1</v>
      </c>
      <c r="F40" s="1963">
        <f t="shared" si="9"/>
        <v>2</v>
      </c>
      <c r="G40" s="1963">
        <f t="shared" si="9"/>
        <v>2</v>
      </c>
      <c r="H40" s="1963">
        <f t="shared" si="9"/>
        <v>3</v>
      </c>
      <c r="I40" s="1963">
        <f t="shared" si="9"/>
        <v>4</v>
      </c>
      <c r="J40" s="1963">
        <f t="shared" si="9"/>
        <v>4</v>
      </c>
      <c r="K40" s="1963">
        <f t="shared" si="9"/>
        <v>5</v>
      </c>
      <c r="L40" s="1963">
        <f t="shared" si="9"/>
        <v>5</v>
      </c>
      <c r="M40" s="1963">
        <f t="shared" si="9"/>
        <v>6</v>
      </c>
      <c r="N40" s="1963">
        <f t="shared" si="9"/>
        <v>9</v>
      </c>
      <c r="O40" s="1963">
        <f t="shared" si="9"/>
        <v>12</v>
      </c>
      <c r="P40" s="1963">
        <f t="shared" si="9"/>
        <v>15</v>
      </c>
      <c r="Q40" s="1963">
        <f t="shared" si="9"/>
        <v>19</v>
      </c>
      <c r="R40" s="1963">
        <f t="shared" si="9"/>
        <v>22</v>
      </c>
      <c r="S40" s="1963">
        <f t="shared" si="9"/>
        <v>25</v>
      </c>
      <c r="T40" s="1963">
        <f t="shared" si="9"/>
        <v>28</v>
      </c>
      <c r="U40" s="1950">
        <f t="shared" si="9"/>
        <v>31</v>
      </c>
      <c r="V40" s="1802" t="s">
        <v>3062</v>
      </c>
      <c r="W40" s="1813">
        <v>40</v>
      </c>
      <c r="X40" s="1949">
        <f t="shared" si="12"/>
        <v>1</v>
      </c>
      <c r="Y40" s="1963">
        <f t="shared" si="10"/>
        <v>1</v>
      </c>
      <c r="Z40" s="1963">
        <f t="shared" si="10"/>
        <v>2</v>
      </c>
      <c r="AA40" s="1963">
        <f t="shared" si="10"/>
        <v>3</v>
      </c>
      <c r="AB40" s="1963">
        <f t="shared" si="10"/>
        <v>3</v>
      </c>
      <c r="AC40" s="1963">
        <f t="shared" si="10"/>
        <v>4</v>
      </c>
      <c r="AD40" s="1963">
        <f t="shared" si="10"/>
        <v>4</v>
      </c>
      <c r="AE40" s="1963">
        <f t="shared" si="10"/>
        <v>5</v>
      </c>
      <c r="AF40" s="1963">
        <f t="shared" si="10"/>
        <v>6</v>
      </c>
      <c r="AG40" s="1963">
        <f t="shared" si="10"/>
        <v>6</v>
      </c>
      <c r="AH40" s="2139">
        <f t="shared" si="13"/>
        <v>9</v>
      </c>
      <c r="AI40" s="1963">
        <f t="shared" si="10"/>
        <v>13</v>
      </c>
      <c r="AJ40" s="1963">
        <f t="shared" si="10"/>
        <v>16</v>
      </c>
      <c r="AK40" s="1963">
        <f t="shared" si="10"/>
        <v>19</v>
      </c>
      <c r="AL40" s="1963">
        <f t="shared" si="10"/>
        <v>22</v>
      </c>
      <c r="AM40" s="1963">
        <f t="shared" si="10"/>
        <v>25</v>
      </c>
      <c r="AN40" s="1963">
        <f t="shared" si="10"/>
        <v>28</v>
      </c>
      <c r="AO40" s="1950">
        <f t="shared" si="7"/>
        <v>31</v>
      </c>
      <c r="AP40" s="1802" t="s">
        <v>3062</v>
      </c>
      <c r="AQ40" s="1813">
        <v>40</v>
      </c>
      <c r="AR40" s="1949">
        <f t="shared" si="14"/>
        <v>1</v>
      </c>
      <c r="AS40" s="1963">
        <f t="shared" si="11"/>
        <v>2</v>
      </c>
      <c r="AT40" s="1963">
        <f t="shared" si="11"/>
        <v>3</v>
      </c>
      <c r="AU40" s="1963">
        <f t="shared" si="11"/>
        <v>3</v>
      </c>
      <c r="AV40" s="1963">
        <f t="shared" si="11"/>
        <v>4</v>
      </c>
      <c r="AW40" s="1963">
        <f t="shared" si="11"/>
        <v>5</v>
      </c>
      <c r="AX40" s="1963">
        <f t="shared" si="11"/>
        <v>5</v>
      </c>
      <c r="AY40" s="1963">
        <f t="shared" si="11"/>
        <v>6</v>
      </c>
      <c r="AZ40" s="1963">
        <f t="shared" si="11"/>
        <v>6</v>
      </c>
      <c r="BA40" s="1963">
        <f t="shared" si="11"/>
        <v>7</v>
      </c>
      <c r="BB40" s="1963">
        <f t="shared" si="11"/>
        <v>10</v>
      </c>
      <c r="BC40" s="1963">
        <f t="shared" si="11"/>
        <v>13</v>
      </c>
      <c r="BD40" s="1963">
        <f t="shared" si="11"/>
        <v>16</v>
      </c>
      <c r="BE40" s="1963">
        <f t="shared" si="11"/>
        <v>20</v>
      </c>
      <c r="BF40" s="1963">
        <f t="shared" si="11"/>
        <v>23</v>
      </c>
      <c r="BG40" s="1963">
        <f t="shared" si="11"/>
        <v>26</v>
      </c>
      <c r="BH40" s="1963">
        <f t="shared" si="11"/>
        <v>29</v>
      </c>
      <c r="BI40" s="1950">
        <f t="shared" si="8"/>
        <v>32</v>
      </c>
    </row>
    <row r="41" spans="2:61" ht="12.95" customHeight="1" outlineLevel="1">
      <c r="B41" s="1804" t="s">
        <v>3452</v>
      </c>
      <c r="C41" s="1812">
        <v>40</v>
      </c>
      <c r="D41" s="1824">
        <f t="shared" si="3"/>
        <v>0</v>
      </c>
      <c r="E41" s="1959">
        <f t="shared" si="9"/>
        <v>1</v>
      </c>
      <c r="F41" s="1959">
        <f t="shared" si="9"/>
        <v>2</v>
      </c>
      <c r="G41" s="1959">
        <f t="shared" si="9"/>
        <v>2</v>
      </c>
      <c r="H41" s="1959">
        <f t="shared" si="9"/>
        <v>3</v>
      </c>
      <c r="I41" s="1959">
        <f t="shared" si="9"/>
        <v>4</v>
      </c>
      <c r="J41" s="1959">
        <f t="shared" si="9"/>
        <v>4</v>
      </c>
      <c r="K41" s="1959">
        <f t="shared" si="9"/>
        <v>5</v>
      </c>
      <c r="L41" s="1959">
        <f t="shared" si="9"/>
        <v>5</v>
      </c>
      <c r="M41" s="1959">
        <f t="shared" si="9"/>
        <v>6</v>
      </c>
      <c r="N41" s="1959">
        <f t="shared" si="9"/>
        <v>9</v>
      </c>
      <c r="O41" s="1959">
        <f t="shared" si="9"/>
        <v>12</v>
      </c>
      <c r="P41" s="1959">
        <f t="shared" si="9"/>
        <v>15</v>
      </c>
      <c r="Q41" s="1959">
        <f t="shared" si="9"/>
        <v>19</v>
      </c>
      <c r="R41" s="1959">
        <f t="shared" si="9"/>
        <v>22</v>
      </c>
      <c r="S41" s="1959">
        <f t="shared" si="9"/>
        <v>25</v>
      </c>
      <c r="T41" s="1959">
        <f t="shared" si="9"/>
        <v>28</v>
      </c>
      <c r="U41" s="1952">
        <f t="shared" si="9"/>
        <v>31</v>
      </c>
      <c r="V41" s="1804" t="s">
        <v>3452</v>
      </c>
      <c r="W41" s="1812">
        <v>40</v>
      </c>
      <c r="X41" s="1951">
        <f t="shared" si="12"/>
        <v>1</v>
      </c>
      <c r="Y41" s="1959">
        <f t="shared" si="10"/>
        <v>1</v>
      </c>
      <c r="Z41" s="1959">
        <f t="shared" si="10"/>
        <v>2</v>
      </c>
      <c r="AA41" s="1959">
        <f t="shared" si="10"/>
        <v>3</v>
      </c>
      <c r="AB41" s="1959">
        <f t="shared" si="10"/>
        <v>3</v>
      </c>
      <c r="AC41" s="1959">
        <f t="shared" si="10"/>
        <v>4</v>
      </c>
      <c r="AD41" s="1959">
        <f t="shared" si="10"/>
        <v>4</v>
      </c>
      <c r="AE41" s="1959">
        <f t="shared" si="10"/>
        <v>5</v>
      </c>
      <c r="AF41" s="1959">
        <f t="shared" si="10"/>
        <v>6</v>
      </c>
      <c r="AG41" s="1959">
        <f t="shared" si="10"/>
        <v>6</v>
      </c>
      <c r="AH41" s="2139">
        <f t="shared" si="13"/>
        <v>9</v>
      </c>
      <c r="AI41" s="1959">
        <f t="shared" si="10"/>
        <v>13</v>
      </c>
      <c r="AJ41" s="1959">
        <f t="shared" si="10"/>
        <v>16</v>
      </c>
      <c r="AK41" s="1959">
        <f t="shared" si="10"/>
        <v>19</v>
      </c>
      <c r="AL41" s="1959">
        <f t="shared" si="10"/>
        <v>22</v>
      </c>
      <c r="AM41" s="1959">
        <f t="shared" si="10"/>
        <v>25</v>
      </c>
      <c r="AN41" s="1959">
        <f t="shared" si="10"/>
        <v>28</v>
      </c>
      <c r="AO41" s="1952">
        <f t="shared" si="7"/>
        <v>31</v>
      </c>
      <c r="AP41" s="1804" t="s">
        <v>3452</v>
      </c>
      <c r="AQ41" s="1812">
        <v>40</v>
      </c>
      <c r="AR41" s="1951">
        <f t="shared" si="14"/>
        <v>1</v>
      </c>
      <c r="AS41" s="1959">
        <f t="shared" si="11"/>
        <v>2</v>
      </c>
      <c r="AT41" s="1959">
        <f t="shared" si="11"/>
        <v>3</v>
      </c>
      <c r="AU41" s="1959">
        <f t="shared" si="11"/>
        <v>3</v>
      </c>
      <c r="AV41" s="1959">
        <f t="shared" si="11"/>
        <v>4</v>
      </c>
      <c r="AW41" s="1959">
        <f t="shared" si="11"/>
        <v>5</v>
      </c>
      <c r="AX41" s="1959">
        <f t="shared" si="11"/>
        <v>5</v>
      </c>
      <c r="AY41" s="1959">
        <f t="shared" si="11"/>
        <v>6</v>
      </c>
      <c r="AZ41" s="1959">
        <f t="shared" si="11"/>
        <v>6</v>
      </c>
      <c r="BA41" s="1959">
        <f t="shared" si="11"/>
        <v>7</v>
      </c>
      <c r="BB41" s="1959">
        <f t="shared" si="11"/>
        <v>10</v>
      </c>
      <c r="BC41" s="1959">
        <f t="shared" si="11"/>
        <v>13</v>
      </c>
      <c r="BD41" s="1959">
        <f t="shared" si="11"/>
        <v>16</v>
      </c>
      <c r="BE41" s="1959">
        <f t="shared" si="11"/>
        <v>20</v>
      </c>
      <c r="BF41" s="1959">
        <f t="shared" si="11"/>
        <v>23</v>
      </c>
      <c r="BG41" s="1959">
        <f t="shared" si="11"/>
        <v>26</v>
      </c>
      <c r="BH41" s="1959">
        <f t="shared" si="11"/>
        <v>29</v>
      </c>
      <c r="BI41" s="1952">
        <f t="shared" si="8"/>
        <v>32</v>
      </c>
    </row>
    <row r="42" spans="2:61" ht="12.95" customHeight="1" outlineLevel="1">
      <c r="B42" s="1802" t="s">
        <v>566</v>
      </c>
      <c r="C42" s="1813">
        <v>110</v>
      </c>
      <c r="D42" s="1823">
        <f t="shared" si="3"/>
        <v>0</v>
      </c>
      <c r="E42" s="1826">
        <f t="shared" si="9"/>
        <v>0</v>
      </c>
      <c r="F42" s="1826">
        <f t="shared" si="9"/>
        <v>0</v>
      </c>
      <c r="G42" s="1963">
        <f t="shared" si="9"/>
        <v>1</v>
      </c>
      <c r="H42" s="1963">
        <f t="shared" si="9"/>
        <v>1</v>
      </c>
      <c r="I42" s="1963">
        <f t="shared" si="9"/>
        <v>1</v>
      </c>
      <c r="J42" s="1963">
        <f t="shared" si="9"/>
        <v>1</v>
      </c>
      <c r="K42" s="1963">
        <f t="shared" si="9"/>
        <v>1</v>
      </c>
      <c r="L42" s="1963">
        <f t="shared" si="9"/>
        <v>2</v>
      </c>
      <c r="M42" s="1963">
        <f t="shared" si="9"/>
        <v>2</v>
      </c>
      <c r="N42" s="1963">
        <f t="shared" si="9"/>
        <v>3</v>
      </c>
      <c r="O42" s="1963">
        <f t="shared" si="9"/>
        <v>4</v>
      </c>
      <c r="P42" s="1963">
        <f t="shared" si="9"/>
        <v>5</v>
      </c>
      <c r="Q42" s="1963">
        <f t="shared" si="9"/>
        <v>6</v>
      </c>
      <c r="R42" s="1963">
        <f t="shared" si="9"/>
        <v>8</v>
      </c>
      <c r="S42" s="1963">
        <f t="shared" si="9"/>
        <v>9</v>
      </c>
      <c r="T42" s="1963">
        <f t="shared" si="9"/>
        <v>10</v>
      </c>
      <c r="U42" s="1950">
        <f t="shared" si="9"/>
        <v>11</v>
      </c>
      <c r="V42" s="1802" t="s">
        <v>566</v>
      </c>
      <c r="W42" s="1813">
        <v>110</v>
      </c>
      <c r="X42" s="1823">
        <f t="shared" si="12"/>
        <v>0</v>
      </c>
      <c r="Y42" s="1826">
        <f t="shared" si="10"/>
        <v>0</v>
      </c>
      <c r="Z42" s="1826">
        <f t="shared" si="10"/>
        <v>0</v>
      </c>
      <c r="AA42" s="1963">
        <f t="shared" si="10"/>
        <v>1</v>
      </c>
      <c r="AB42" s="1963">
        <f t="shared" si="10"/>
        <v>1</v>
      </c>
      <c r="AC42" s="1963">
        <f t="shared" si="10"/>
        <v>1</v>
      </c>
      <c r="AD42" s="1963">
        <f t="shared" si="10"/>
        <v>1</v>
      </c>
      <c r="AE42" s="1963">
        <f t="shared" si="10"/>
        <v>2</v>
      </c>
      <c r="AF42" s="1963">
        <f t="shared" si="10"/>
        <v>2</v>
      </c>
      <c r="AG42" s="1963">
        <f t="shared" si="10"/>
        <v>2</v>
      </c>
      <c r="AH42" s="2139">
        <f t="shared" si="13"/>
        <v>3</v>
      </c>
      <c r="AI42" s="1963">
        <f t="shared" si="10"/>
        <v>4</v>
      </c>
      <c r="AJ42" s="1963">
        <f t="shared" si="10"/>
        <v>5</v>
      </c>
      <c r="AK42" s="1963">
        <f t="shared" si="10"/>
        <v>7</v>
      </c>
      <c r="AL42" s="1963">
        <f t="shared" si="10"/>
        <v>8</v>
      </c>
      <c r="AM42" s="1963">
        <f t="shared" si="10"/>
        <v>9</v>
      </c>
      <c r="AN42" s="1963">
        <f t="shared" si="10"/>
        <v>10</v>
      </c>
      <c r="AO42" s="1950">
        <f t="shared" si="7"/>
        <v>11</v>
      </c>
      <c r="AP42" s="1802" t="s">
        <v>566</v>
      </c>
      <c r="AQ42" s="1813">
        <v>110</v>
      </c>
      <c r="AR42" s="1823">
        <f t="shared" si="14"/>
        <v>0</v>
      </c>
      <c r="AS42" s="1826">
        <f t="shared" si="11"/>
        <v>0</v>
      </c>
      <c r="AT42" s="1963">
        <f t="shared" si="11"/>
        <v>1</v>
      </c>
      <c r="AU42" s="1963">
        <f t="shared" si="11"/>
        <v>1</v>
      </c>
      <c r="AV42" s="1963">
        <f t="shared" si="11"/>
        <v>1</v>
      </c>
      <c r="AW42" s="1963">
        <f t="shared" si="11"/>
        <v>1</v>
      </c>
      <c r="AX42" s="1963">
        <f t="shared" si="11"/>
        <v>2</v>
      </c>
      <c r="AY42" s="1963">
        <f t="shared" si="11"/>
        <v>2</v>
      </c>
      <c r="AZ42" s="1963">
        <f t="shared" si="11"/>
        <v>2</v>
      </c>
      <c r="BA42" s="1963">
        <f t="shared" si="11"/>
        <v>2</v>
      </c>
      <c r="BB42" s="1963">
        <f t="shared" si="11"/>
        <v>3</v>
      </c>
      <c r="BC42" s="1963">
        <f t="shared" si="11"/>
        <v>5</v>
      </c>
      <c r="BD42" s="1963">
        <f t="shared" si="11"/>
        <v>6</v>
      </c>
      <c r="BE42" s="1963">
        <f t="shared" si="11"/>
        <v>7</v>
      </c>
      <c r="BF42" s="1963">
        <f t="shared" si="11"/>
        <v>8</v>
      </c>
      <c r="BG42" s="1963">
        <f t="shared" si="11"/>
        <v>9</v>
      </c>
      <c r="BH42" s="1963">
        <f t="shared" si="11"/>
        <v>10</v>
      </c>
      <c r="BI42" s="1950">
        <f t="shared" si="8"/>
        <v>11</v>
      </c>
    </row>
    <row r="43" spans="2:61" ht="12.95" customHeight="1" outlineLevel="1" thickBot="1">
      <c r="B43" s="1810" t="s">
        <v>3453</v>
      </c>
      <c r="C43" s="1814">
        <v>110</v>
      </c>
      <c r="D43" s="1828">
        <f t="shared" si="3"/>
        <v>0</v>
      </c>
      <c r="E43" s="1830">
        <f t="shared" si="9"/>
        <v>0</v>
      </c>
      <c r="F43" s="1830">
        <f t="shared" si="9"/>
        <v>0</v>
      </c>
      <c r="G43" s="1974">
        <f t="shared" si="9"/>
        <v>1</v>
      </c>
      <c r="H43" s="1974">
        <f t="shared" si="9"/>
        <v>1</v>
      </c>
      <c r="I43" s="1974">
        <f t="shared" si="9"/>
        <v>1</v>
      </c>
      <c r="J43" s="1974">
        <f t="shared" si="9"/>
        <v>1</v>
      </c>
      <c r="K43" s="1974">
        <f t="shared" si="9"/>
        <v>1</v>
      </c>
      <c r="L43" s="1974">
        <f t="shared" si="9"/>
        <v>2</v>
      </c>
      <c r="M43" s="1974">
        <f t="shared" si="9"/>
        <v>2</v>
      </c>
      <c r="N43" s="1974">
        <f t="shared" si="9"/>
        <v>3</v>
      </c>
      <c r="O43" s="1974">
        <f t="shared" si="9"/>
        <v>4</v>
      </c>
      <c r="P43" s="1974">
        <f t="shared" si="9"/>
        <v>5</v>
      </c>
      <c r="Q43" s="1974">
        <f t="shared" si="9"/>
        <v>6</v>
      </c>
      <c r="R43" s="1974">
        <f t="shared" si="9"/>
        <v>8</v>
      </c>
      <c r="S43" s="1974">
        <f t="shared" si="9"/>
        <v>9</v>
      </c>
      <c r="T43" s="1974">
        <f t="shared" si="9"/>
        <v>10</v>
      </c>
      <c r="U43" s="1948">
        <f t="shared" si="9"/>
        <v>11</v>
      </c>
      <c r="V43" s="1810" t="s">
        <v>3453</v>
      </c>
      <c r="W43" s="1814">
        <v>110</v>
      </c>
      <c r="X43" s="1825">
        <f t="shared" si="12"/>
        <v>0</v>
      </c>
      <c r="Y43" s="1827">
        <f t="shared" si="10"/>
        <v>0</v>
      </c>
      <c r="Z43" s="1827">
        <f t="shared" si="10"/>
        <v>0</v>
      </c>
      <c r="AA43" s="1821">
        <f t="shared" si="10"/>
        <v>1</v>
      </c>
      <c r="AB43" s="1821">
        <f t="shared" si="10"/>
        <v>1</v>
      </c>
      <c r="AC43" s="1821">
        <f t="shared" si="10"/>
        <v>1</v>
      </c>
      <c r="AD43" s="1821">
        <f t="shared" si="10"/>
        <v>1</v>
      </c>
      <c r="AE43" s="1821">
        <f t="shared" si="10"/>
        <v>2</v>
      </c>
      <c r="AF43" s="1821">
        <f t="shared" si="10"/>
        <v>2</v>
      </c>
      <c r="AG43" s="1821">
        <f t="shared" si="10"/>
        <v>2</v>
      </c>
      <c r="AH43" s="2147">
        <f t="shared" si="13"/>
        <v>3</v>
      </c>
      <c r="AI43" s="1821">
        <f t="shared" si="10"/>
        <v>4</v>
      </c>
      <c r="AJ43" s="1821">
        <f t="shared" si="10"/>
        <v>5</v>
      </c>
      <c r="AK43" s="1821">
        <f t="shared" si="10"/>
        <v>7</v>
      </c>
      <c r="AL43" s="1821">
        <f t="shared" si="10"/>
        <v>8</v>
      </c>
      <c r="AM43" s="1821">
        <f t="shared" si="10"/>
        <v>9</v>
      </c>
      <c r="AN43" s="1821">
        <f t="shared" si="10"/>
        <v>10</v>
      </c>
      <c r="AO43" s="1822">
        <f t="shared" si="7"/>
        <v>11</v>
      </c>
      <c r="AP43" s="1810" t="s">
        <v>3453</v>
      </c>
      <c r="AQ43" s="1814">
        <v>110</v>
      </c>
      <c r="AR43" s="1828">
        <f t="shared" si="14"/>
        <v>0</v>
      </c>
      <c r="AS43" s="1830">
        <f t="shared" si="11"/>
        <v>0</v>
      </c>
      <c r="AT43" s="1974">
        <f t="shared" si="11"/>
        <v>1</v>
      </c>
      <c r="AU43" s="1974">
        <f t="shared" si="11"/>
        <v>1</v>
      </c>
      <c r="AV43" s="1974">
        <f t="shared" si="11"/>
        <v>1</v>
      </c>
      <c r="AW43" s="1974">
        <f t="shared" si="11"/>
        <v>1</v>
      </c>
      <c r="AX43" s="1974">
        <f t="shared" si="11"/>
        <v>2</v>
      </c>
      <c r="AY43" s="1974">
        <f t="shared" si="11"/>
        <v>2</v>
      </c>
      <c r="AZ43" s="1974">
        <f t="shared" si="11"/>
        <v>2</v>
      </c>
      <c r="BA43" s="1974">
        <f t="shared" si="11"/>
        <v>2</v>
      </c>
      <c r="BB43" s="1974">
        <f t="shared" si="11"/>
        <v>3</v>
      </c>
      <c r="BC43" s="1974">
        <f t="shared" si="11"/>
        <v>5</v>
      </c>
      <c r="BD43" s="1974">
        <f t="shared" si="11"/>
        <v>6</v>
      </c>
      <c r="BE43" s="1974">
        <f t="shared" si="11"/>
        <v>7</v>
      </c>
      <c r="BF43" s="1974">
        <f t="shared" si="11"/>
        <v>8</v>
      </c>
      <c r="BG43" s="1974">
        <f t="shared" si="11"/>
        <v>9</v>
      </c>
      <c r="BH43" s="1974">
        <f t="shared" si="11"/>
        <v>10</v>
      </c>
      <c r="BI43" s="1948">
        <f t="shared" si="8"/>
        <v>11</v>
      </c>
    </row>
    <row r="44" spans="2:61" ht="12.95" customHeight="1">
      <c r="B44" s="1807" t="s">
        <v>1537</v>
      </c>
      <c r="C44" s="1815">
        <v>5</v>
      </c>
      <c r="D44" s="1971">
        <f t="shared" si="3"/>
        <v>7</v>
      </c>
      <c r="E44" s="1972">
        <f t="shared" si="9"/>
        <v>12</v>
      </c>
      <c r="F44" s="1972">
        <f t="shared" si="9"/>
        <v>17</v>
      </c>
      <c r="G44" s="1972">
        <f t="shared" si="9"/>
        <v>22</v>
      </c>
      <c r="H44" s="1972">
        <f t="shared" si="9"/>
        <v>27</v>
      </c>
      <c r="I44" s="1972">
        <f t="shared" si="9"/>
        <v>32</v>
      </c>
      <c r="J44" s="1972">
        <f t="shared" si="9"/>
        <v>37</v>
      </c>
      <c r="K44" s="1972">
        <f t="shared" si="9"/>
        <v>42</v>
      </c>
      <c r="L44" s="1972">
        <f t="shared" si="9"/>
        <v>47</v>
      </c>
      <c r="M44" s="1972">
        <f t="shared" si="9"/>
        <v>52</v>
      </c>
      <c r="N44" s="1972">
        <f t="shared" si="9"/>
        <v>77</v>
      </c>
      <c r="O44" s="1972">
        <f t="shared" si="9"/>
        <v>102</v>
      </c>
      <c r="P44" s="1972">
        <f t="shared" si="9"/>
        <v>127</v>
      </c>
      <c r="Q44" s="1972">
        <f t="shared" si="9"/>
        <v>152</v>
      </c>
      <c r="R44" s="1972">
        <f t="shared" si="9"/>
        <v>177</v>
      </c>
      <c r="S44" s="1972">
        <f t="shared" si="9"/>
        <v>202</v>
      </c>
      <c r="T44" s="1972">
        <f t="shared" si="9"/>
        <v>227</v>
      </c>
      <c r="U44" s="1973">
        <f t="shared" si="9"/>
        <v>252</v>
      </c>
      <c r="V44" s="1807" t="s">
        <v>1537</v>
      </c>
      <c r="W44" s="1815">
        <v>5</v>
      </c>
      <c r="X44" s="2143">
        <f t="shared" si="12"/>
        <v>9</v>
      </c>
      <c r="Y44" s="2145">
        <f t="shared" si="10"/>
        <v>14</v>
      </c>
      <c r="Z44" s="2145">
        <f t="shared" si="10"/>
        <v>19</v>
      </c>
      <c r="AA44" s="2145">
        <f t="shared" si="10"/>
        <v>24</v>
      </c>
      <c r="AB44" s="2145">
        <f t="shared" si="10"/>
        <v>29</v>
      </c>
      <c r="AC44" s="2145">
        <f t="shared" si="10"/>
        <v>34</v>
      </c>
      <c r="AD44" s="2145">
        <f t="shared" si="10"/>
        <v>39</v>
      </c>
      <c r="AE44" s="2145">
        <f t="shared" si="10"/>
        <v>44</v>
      </c>
      <c r="AF44" s="2145">
        <f t="shared" si="10"/>
        <v>49</v>
      </c>
      <c r="AG44" s="2145">
        <f t="shared" si="10"/>
        <v>54</v>
      </c>
      <c r="AH44" s="2145">
        <f t="shared" si="13"/>
        <v>79</v>
      </c>
      <c r="AI44" s="2145">
        <f t="shared" si="10"/>
        <v>104</v>
      </c>
      <c r="AJ44" s="2145">
        <f t="shared" si="10"/>
        <v>129</v>
      </c>
      <c r="AK44" s="2145">
        <f t="shared" si="10"/>
        <v>154</v>
      </c>
      <c r="AL44" s="2145">
        <f t="shared" si="10"/>
        <v>179</v>
      </c>
      <c r="AM44" s="2145">
        <f t="shared" si="10"/>
        <v>204</v>
      </c>
      <c r="AN44" s="2145">
        <f t="shared" si="10"/>
        <v>229</v>
      </c>
      <c r="AO44" s="2146">
        <f t="shared" si="7"/>
        <v>254</v>
      </c>
      <c r="AP44" s="1807" t="s">
        <v>1537</v>
      </c>
      <c r="AQ44" s="1815">
        <v>5</v>
      </c>
      <c r="AR44" s="1971">
        <f t="shared" si="14"/>
        <v>15</v>
      </c>
      <c r="AS44" s="1972">
        <f t="shared" si="11"/>
        <v>20</v>
      </c>
      <c r="AT44" s="1972">
        <f t="shared" si="11"/>
        <v>25</v>
      </c>
      <c r="AU44" s="1972">
        <f t="shared" si="11"/>
        <v>30</v>
      </c>
      <c r="AV44" s="1972">
        <f t="shared" si="11"/>
        <v>35</v>
      </c>
      <c r="AW44" s="1972">
        <f t="shared" si="11"/>
        <v>40</v>
      </c>
      <c r="AX44" s="1972">
        <f t="shared" si="11"/>
        <v>45</v>
      </c>
      <c r="AY44" s="1972">
        <f t="shared" si="11"/>
        <v>50</v>
      </c>
      <c r="AZ44" s="1972">
        <f t="shared" si="11"/>
        <v>55</v>
      </c>
      <c r="BA44" s="1972">
        <f t="shared" si="11"/>
        <v>60</v>
      </c>
      <c r="BB44" s="1972">
        <f t="shared" si="11"/>
        <v>85</v>
      </c>
      <c r="BC44" s="1972">
        <f t="shared" si="11"/>
        <v>110</v>
      </c>
      <c r="BD44" s="1972">
        <f t="shared" si="11"/>
        <v>135</v>
      </c>
      <c r="BE44" s="1972">
        <f t="shared" si="11"/>
        <v>160</v>
      </c>
      <c r="BF44" s="1972">
        <f t="shared" si="11"/>
        <v>185</v>
      </c>
      <c r="BG44" s="1972">
        <f t="shared" si="11"/>
        <v>210</v>
      </c>
      <c r="BH44" s="1972">
        <f t="shared" si="11"/>
        <v>235</v>
      </c>
      <c r="BI44" s="1973">
        <f t="shared" si="8"/>
        <v>260</v>
      </c>
    </row>
    <row r="45" spans="2:61" ht="12.95" customHeight="1" outlineLevel="1">
      <c r="B45" s="1804" t="s">
        <v>1721</v>
      </c>
      <c r="C45" s="1812">
        <v>6</v>
      </c>
      <c r="D45" s="1951">
        <f t="shared" si="3"/>
        <v>5</v>
      </c>
      <c r="E45" s="1959">
        <f t="shared" si="9"/>
        <v>10</v>
      </c>
      <c r="F45" s="1959">
        <f t="shared" si="9"/>
        <v>14</v>
      </c>
      <c r="G45" s="1959">
        <f t="shared" si="9"/>
        <v>18</v>
      </c>
      <c r="H45" s="1959">
        <f t="shared" si="9"/>
        <v>22</v>
      </c>
      <c r="I45" s="1959">
        <f t="shared" si="9"/>
        <v>26</v>
      </c>
      <c r="J45" s="1959">
        <f t="shared" si="9"/>
        <v>30</v>
      </c>
      <c r="K45" s="1959">
        <f t="shared" si="9"/>
        <v>35</v>
      </c>
      <c r="L45" s="1959">
        <f t="shared" si="9"/>
        <v>39</v>
      </c>
      <c r="M45" s="1959">
        <f t="shared" si="9"/>
        <v>43</v>
      </c>
      <c r="N45" s="1959">
        <f t="shared" si="9"/>
        <v>64</v>
      </c>
      <c r="O45" s="1959">
        <f t="shared" si="9"/>
        <v>85</v>
      </c>
      <c r="P45" s="1959">
        <f t="shared" si="9"/>
        <v>105</v>
      </c>
      <c r="Q45" s="1959">
        <f t="shared" si="9"/>
        <v>126</v>
      </c>
      <c r="R45" s="1959">
        <f t="shared" si="9"/>
        <v>147</v>
      </c>
      <c r="S45" s="1959">
        <f t="shared" si="9"/>
        <v>168</v>
      </c>
      <c r="T45" s="1959">
        <f t="shared" si="9"/>
        <v>189</v>
      </c>
      <c r="U45" s="1952">
        <f t="shared" si="9"/>
        <v>210</v>
      </c>
      <c r="V45" s="1804" t="s">
        <v>1721</v>
      </c>
      <c r="W45" s="1812">
        <v>6</v>
      </c>
      <c r="X45" s="2133">
        <f t="shared" si="12"/>
        <v>7</v>
      </c>
      <c r="Y45" s="2138">
        <f t="shared" si="10"/>
        <v>11</v>
      </c>
      <c r="Z45" s="2138">
        <f t="shared" si="10"/>
        <v>15</v>
      </c>
      <c r="AA45" s="2138">
        <f t="shared" si="10"/>
        <v>20</v>
      </c>
      <c r="AB45" s="2138">
        <f t="shared" si="10"/>
        <v>24</v>
      </c>
      <c r="AC45" s="2138">
        <f t="shared" si="10"/>
        <v>28</v>
      </c>
      <c r="AD45" s="2138">
        <f t="shared" si="10"/>
        <v>32</v>
      </c>
      <c r="AE45" s="2138">
        <f t="shared" si="10"/>
        <v>36</v>
      </c>
      <c r="AF45" s="2138">
        <f t="shared" si="10"/>
        <v>40</v>
      </c>
      <c r="AG45" s="2138">
        <f t="shared" si="10"/>
        <v>45</v>
      </c>
      <c r="AH45" s="2139">
        <f t="shared" si="13"/>
        <v>65</v>
      </c>
      <c r="AI45" s="2138">
        <f t="shared" si="10"/>
        <v>86</v>
      </c>
      <c r="AJ45" s="2138">
        <f t="shared" si="10"/>
        <v>107</v>
      </c>
      <c r="AK45" s="2138">
        <f t="shared" si="10"/>
        <v>128</v>
      </c>
      <c r="AL45" s="2138">
        <f t="shared" si="10"/>
        <v>149</v>
      </c>
      <c r="AM45" s="2138">
        <f t="shared" si="10"/>
        <v>170</v>
      </c>
      <c r="AN45" s="2138">
        <f t="shared" si="10"/>
        <v>190</v>
      </c>
      <c r="AO45" s="2134">
        <f t="shared" si="7"/>
        <v>211</v>
      </c>
      <c r="AP45" s="1804" t="s">
        <v>1721</v>
      </c>
      <c r="AQ45" s="1812">
        <v>6</v>
      </c>
      <c r="AR45" s="1951">
        <f t="shared" si="14"/>
        <v>12</v>
      </c>
      <c r="AS45" s="1959">
        <f t="shared" si="11"/>
        <v>16</v>
      </c>
      <c r="AT45" s="1959">
        <f t="shared" si="11"/>
        <v>20</v>
      </c>
      <c r="AU45" s="1959">
        <f t="shared" si="11"/>
        <v>25</v>
      </c>
      <c r="AV45" s="1959">
        <f t="shared" si="11"/>
        <v>29</v>
      </c>
      <c r="AW45" s="1959">
        <f t="shared" si="11"/>
        <v>33</v>
      </c>
      <c r="AX45" s="1959">
        <f t="shared" si="11"/>
        <v>37</v>
      </c>
      <c r="AY45" s="1959">
        <f t="shared" si="11"/>
        <v>41</v>
      </c>
      <c r="AZ45" s="1959">
        <f t="shared" si="11"/>
        <v>45</v>
      </c>
      <c r="BA45" s="1959">
        <f t="shared" si="11"/>
        <v>50</v>
      </c>
      <c r="BB45" s="1959">
        <f t="shared" si="11"/>
        <v>70</v>
      </c>
      <c r="BC45" s="1959">
        <f t="shared" si="11"/>
        <v>91</v>
      </c>
      <c r="BD45" s="1959">
        <f t="shared" si="11"/>
        <v>112</v>
      </c>
      <c r="BE45" s="1959">
        <f t="shared" si="11"/>
        <v>133</v>
      </c>
      <c r="BF45" s="1959">
        <f t="shared" si="11"/>
        <v>154</v>
      </c>
      <c r="BG45" s="1959">
        <f t="shared" si="11"/>
        <v>175</v>
      </c>
      <c r="BH45" s="1959">
        <f t="shared" si="11"/>
        <v>195</v>
      </c>
      <c r="BI45" s="1952">
        <f t="shared" si="8"/>
        <v>216</v>
      </c>
    </row>
    <row r="46" spans="2:61" ht="12.95" customHeight="1" outlineLevel="1">
      <c r="B46" s="1802" t="s">
        <v>377</v>
      </c>
      <c r="C46" s="1813">
        <v>14</v>
      </c>
      <c r="D46" s="1949">
        <f t="shared" si="3"/>
        <v>2</v>
      </c>
      <c r="E46" s="1963">
        <f t="shared" si="9"/>
        <v>4</v>
      </c>
      <c r="F46" s="1963">
        <f t="shared" si="9"/>
        <v>6</v>
      </c>
      <c r="G46" s="1963">
        <f t="shared" si="9"/>
        <v>7</v>
      </c>
      <c r="H46" s="1963">
        <f t="shared" si="9"/>
        <v>9</v>
      </c>
      <c r="I46" s="1963">
        <f t="shared" si="9"/>
        <v>11</v>
      </c>
      <c r="J46" s="1963">
        <f t="shared" si="9"/>
        <v>13</v>
      </c>
      <c r="K46" s="1963">
        <f t="shared" si="9"/>
        <v>15</v>
      </c>
      <c r="L46" s="1963">
        <f t="shared" si="9"/>
        <v>16</v>
      </c>
      <c r="M46" s="1963">
        <f t="shared" si="9"/>
        <v>18</v>
      </c>
      <c r="N46" s="1963">
        <f t="shared" si="9"/>
        <v>27</v>
      </c>
      <c r="O46" s="1963">
        <f t="shared" si="9"/>
        <v>36</v>
      </c>
      <c r="P46" s="1963">
        <f t="shared" si="9"/>
        <v>45</v>
      </c>
      <c r="Q46" s="1963">
        <f t="shared" si="9"/>
        <v>54</v>
      </c>
      <c r="R46" s="1963">
        <f t="shared" si="9"/>
        <v>63</v>
      </c>
      <c r="S46" s="1963">
        <f t="shared" si="9"/>
        <v>72</v>
      </c>
      <c r="T46" s="1963">
        <f t="shared" si="9"/>
        <v>81</v>
      </c>
      <c r="U46" s="1950">
        <f t="shared" si="9"/>
        <v>90</v>
      </c>
      <c r="V46" s="1802" t="s">
        <v>377</v>
      </c>
      <c r="W46" s="1813">
        <v>14</v>
      </c>
      <c r="X46" s="2135">
        <f t="shared" si="12"/>
        <v>3</v>
      </c>
      <c r="Y46" s="2139">
        <f t="shared" si="10"/>
        <v>5</v>
      </c>
      <c r="Z46" s="2139">
        <f t="shared" si="10"/>
        <v>6</v>
      </c>
      <c r="AA46" s="2139">
        <f t="shared" si="10"/>
        <v>8</v>
      </c>
      <c r="AB46" s="2139">
        <f t="shared" si="10"/>
        <v>10</v>
      </c>
      <c r="AC46" s="2139">
        <f t="shared" si="10"/>
        <v>12</v>
      </c>
      <c r="AD46" s="2139">
        <f t="shared" si="10"/>
        <v>13</v>
      </c>
      <c r="AE46" s="2139">
        <f t="shared" si="10"/>
        <v>15</v>
      </c>
      <c r="AF46" s="2139">
        <f t="shared" si="10"/>
        <v>17</v>
      </c>
      <c r="AG46" s="2139">
        <f t="shared" si="10"/>
        <v>19</v>
      </c>
      <c r="AH46" s="2139">
        <f t="shared" si="13"/>
        <v>28</v>
      </c>
      <c r="AI46" s="2139">
        <f t="shared" si="10"/>
        <v>37</v>
      </c>
      <c r="AJ46" s="2139">
        <f t="shared" si="10"/>
        <v>46</v>
      </c>
      <c r="AK46" s="2139">
        <f t="shared" si="10"/>
        <v>55</v>
      </c>
      <c r="AL46" s="2139">
        <f t="shared" si="10"/>
        <v>63</v>
      </c>
      <c r="AM46" s="2139">
        <f t="shared" si="10"/>
        <v>72</v>
      </c>
      <c r="AN46" s="2139">
        <f t="shared" si="10"/>
        <v>81</v>
      </c>
      <c r="AO46" s="2136">
        <f t="shared" si="7"/>
        <v>90</v>
      </c>
      <c r="AP46" s="1802" t="s">
        <v>377</v>
      </c>
      <c r="AQ46" s="1813">
        <v>14</v>
      </c>
      <c r="AR46" s="1949">
        <f t="shared" si="14"/>
        <v>5</v>
      </c>
      <c r="AS46" s="1963">
        <f t="shared" si="11"/>
        <v>7</v>
      </c>
      <c r="AT46" s="1963">
        <f t="shared" si="11"/>
        <v>8</v>
      </c>
      <c r="AU46" s="1963">
        <f t="shared" si="11"/>
        <v>10</v>
      </c>
      <c r="AV46" s="1963">
        <f t="shared" si="11"/>
        <v>12</v>
      </c>
      <c r="AW46" s="1963">
        <f t="shared" si="11"/>
        <v>14</v>
      </c>
      <c r="AX46" s="1963">
        <f t="shared" si="11"/>
        <v>16</v>
      </c>
      <c r="AY46" s="1963">
        <f t="shared" si="11"/>
        <v>17</v>
      </c>
      <c r="AZ46" s="1963">
        <f t="shared" si="11"/>
        <v>19</v>
      </c>
      <c r="BA46" s="1963">
        <f t="shared" si="11"/>
        <v>21</v>
      </c>
      <c r="BB46" s="1963">
        <f t="shared" si="11"/>
        <v>30</v>
      </c>
      <c r="BC46" s="1963">
        <f t="shared" si="11"/>
        <v>39</v>
      </c>
      <c r="BD46" s="1963">
        <f t="shared" si="11"/>
        <v>48</v>
      </c>
      <c r="BE46" s="1963">
        <f t="shared" si="11"/>
        <v>57</v>
      </c>
      <c r="BF46" s="1963">
        <f t="shared" si="11"/>
        <v>66</v>
      </c>
      <c r="BG46" s="1963">
        <f t="shared" si="11"/>
        <v>75</v>
      </c>
      <c r="BH46" s="1963">
        <f t="shared" si="11"/>
        <v>83</v>
      </c>
      <c r="BI46" s="1950">
        <f t="shared" si="8"/>
        <v>92</v>
      </c>
    </row>
    <row r="47" spans="2:61" ht="12.95" customHeight="1" outlineLevel="1">
      <c r="B47" s="1804" t="s">
        <v>3458</v>
      </c>
      <c r="C47" s="1812">
        <v>14</v>
      </c>
      <c r="D47" s="1951">
        <f t="shared" si="3"/>
        <v>2</v>
      </c>
      <c r="E47" s="1959">
        <f t="shared" si="9"/>
        <v>4</v>
      </c>
      <c r="F47" s="1959">
        <f t="shared" si="9"/>
        <v>6</v>
      </c>
      <c r="G47" s="1959">
        <f t="shared" si="9"/>
        <v>7</v>
      </c>
      <c r="H47" s="1959">
        <f t="shared" si="9"/>
        <v>9</v>
      </c>
      <c r="I47" s="1959">
        <f t="shared" si="9"/>
        <v>11</v>
      </c>
      <c r="J47" s="1959">
        <f t="shared" si="9"/>
        <v>13</v>
      </c>
      <c r="K47" s="1959">
        <f t="shared" si="9"/>
        <v>15</v>
      </c>
      <c r="L47" s="1959">
        <f t="shared" si="9"/>
        <v>16</v>
      </c>
      <c r="M47" s="1959">
        <f t="shared" si="9"/>
        <v>18</v>
      </c>
      <c r="N47" s="1959">
        <f t="shared" si="9"/>
        <v>27</v>
      </c>
      <c r="O47" s="1959">
        <f t="shared" si="9"/>
        <v>36</v>
      </c>
      <c r="P47" s="1959">
        <f t="shared" si="9"/>
        <v>45</v>
      </c>
      <c r="Q47" s="1959">
        <f t="shared" si="9"/>
        <v>54</v>
      </c>
      <c r="R47" s="1959">
        <f t="shared" si="9"/>
        <v>63</v>
      </c>
      <c r="S47" s="1959">
        <f t="shared" si="9"/>
        <v>72</v>
      </c>
      <c r="T47" s="1959">
        <f t="shared" si="9"/>
        <v>81</v>
      </c>
      <c r="U47" s="1952">
        <f t="shared" si="9"/>
        <v>90</v>
      </c>
      <c r="V47" s="1804" t="s">
        <v>3458</v>
      </c>
      <c r="W47" s="1812">
        <v>14</v>
      </c>
      <c r="X47" s="2133">
        <f t="shared" si="12"/>
        <v>3</v>
      </c>
      <c r="Y47" s="2138">
        <f t="shared" si="10"/>
        <v>5</v>
      </c>
      <c r="Z47" s="2138">
        <f t="shared" si="10"/>
        <v>6</v>
      </c>
      <c r="AA47" s="2138">
        <f t="shared" si="10"/>
        <v>8</v>
      </c>
      <c r="AB47" s="2138">
        <f t="shared" si="10"/>
        <v>10</v>
      </c>
      <c r="AC47" s="2138">
        <f t="shared" si="10"/>
        <v>12</v>
      </c>
      <c r="AD47" s="2138">
        <f t="shared" si="10"/>
        <v>13</v>
      </c>
      <c r="AE47" s="2138">
        <f t="shared" si="10"/>
        <v>15</v>
      </c>
      <c r="AF47" s="2138">
        <f t="shared" si="10"/>
        <v>17</v>
      </c>
      <c r="AG47" s="2138">
        <f t="shared" si="10"/>
        <v>19</v>
      </c>
      <c r="AH47" s="2139">
        <f t="shared" si="13"/>
        <v>28</v>
      </c>
      <c r="AI47" s="2138">
        <f t="shared" si="10"/>
        <v>37</v>
      </c>
      <c r="AJ47" s="2138">
        <f t="shared" si="10"/>
        <v>46</v>
      </c>
      <c r="AK47" s="2138">
        <f t="shared" si="10"/>
        <v>55</v>
      </c>
      <c r="AL47" s="2138">
        <f t="shared" si="10"/>
        <v>63</v>
      </c>
      <c r="AM47" s="2138">
        <f t="shared" si="10"/>
        <v>72</v>
      </c>
      <c r="AN47" s="2138">
        <f t="shared" si="10"/>
        <v>81</v>
      </c>
      <c r="AO47" s="2134">
        <f t="shared" si="7"/>
        <v>90</v>
      </c>
      <c r="AP47" s="1804" t="s">
        <v>3458</v>
      </c>
      <c r="AQ47" s="1812">
        <v>14</v>
      </c>
      <c r="AR47" s="1951">
        <f t="shared" si="14"/>
        <v>5</v>
      </c>
      <c r="AS47" s="1959">
        <f t="shared" si="11"/>
        <v>7</v>
      </c>
      <c r="AT47" s="1959">
        <f t="shared" si="11"/>
        <v>8</v>
      </c>
      <c r="AU47" s="1959">
        <f t="shared" si="11"/>
        <v>10</v>
      </c>
      <c r="AV47" s="1959">
        <f t="shared" si="11"/>
        <v>12</v>
      </c>
      <c r="AW47" s="1959">
        <f t="shared" si="11"/>
        <v>14</v>
      </c>
      <c r="AX47" s="1959">
        <f t="shared" si="11"/>
        <v>16</v>
      </c>
      <c r="AY47" s="1959">
        <f t="shared" si="11"/>
        <v>17</v>
      </c>
      <c r="AZ47" s="1959">
        <f t="shared" si="11"/>
        <v>19</v>
      </c>
      <c r="BA47" s="1959">
        <f t="shared" si="11"/>
        <v>21</v>
      </c>
      <c r="BB47" s="1959">
        <f t="shared" si="11"/>
        <v>30</v>
      </c>
      <c r="BC47" s="1959">
        <f t="shared" si="11"/>
        <v>39</v>
      </c>
      <c r="BD47" s="1959">
        <f t="shared" si="11"/>
        <v>48</v>
      </c>
      <c r="BE47" s="1959">
        <f t="shared" si="11"/>
        <v>57</v>
      </c>
      <c r="BF47" s="1959">
        <f t="shared" si="11"/>
        <v>66</v>
      </c>
      <c r="BG47" s="1959">
        <f t="shared" si="11"/>
        <v>75</v>
      </c>
      <c r="BH47" s="1959">
        <f t="shared" si="11"/>
        <v>83</v>
      </c>
      <c r="BI47" s="1952">
        <f t="shared" si="8"/>
        <v>92</v>
      </c>
    </row>
    <row r="48" spans="2:61" ht="12.95" customHeight="1" outlineLevel="1">
      <c r="B48" s="1802" t="s">
        <v>2325</v>
      </c>
      <c r="C48" s="1813">
        <v>22</v>
      </c>
      <c r="D48" s="1949">
        <f t="shared" si="3"/>
        <v>1</v>
      </c>
      <c r="E48" s="1963">
        <f t="shared" si="9"/>
        <v>2</v>
      </c>
      <c r="F48" s="1963">
        <f t="shared" si="9"/>
        <v>3</v>
      </c>
      <c r="G48" s="1963">
        <f t="shared" si="9"/>
        <v>5</v>
      </c>
      <c r="H48" s="1963">
        <f t="shared" si="9"/>
        <v>6</v>
      </c>
      <c r="I48" s="1963">
        <f t="shared" si="9"/>
        <v>7</v>
      </c>
      <c r="J48" s="1963">
        <f t="shared" si="9"/>
        <v>8</v>
      </c>
      <c r="K48" s="1963">
        <f t="shared" si="9"/>
        <v>9</v>
      </c>
      <c r="L48" s="1963">
        <f t="shared" si="9"/>
        <v>10</v>
      </c>
      <c r="M48" s="1963">
        <f t="shared" si="9"/>
        <v>11</v>
      </c>
      <c r="N48" s="1963">
        <f t="shared" si="9"/>
        <v>17</v>
      </c>
      <c r="O48" s="1963">
        <f t="shared" si="9"/>
        <v>23</v>
      </c>
      <c r="P48" s="1963">
        <f t="shared" si="9"/>
        <v>28</v>
      </c>
      <c r="Q48" s="1963">
        <f t="shared" si="9"/>
        <v>34</v>
      </c>
      <c r="R48" s="1963">
        <f t="shared" si="9"/>
        <v>40</v>
      </c>
      <c r="S48" s="1963">
        <f t="shared" si="9"/>
        <v>45</v>
      </c>
      <c r="T48" s="1963">
        <f t="shared" si="9"/>
        <v>51</v>
      </c>
      <c r="U48" s="1950">
        <f t="shared" si="9"/>
        <v>57</v>
      </c>
      <c r="V48" s="1802" t="s">
        <v>2325</v>
      </c>
      <c r="W48" s="1813">
        <v>22</v>
      </c>
      <c r="X48" s="2135">
        <f t="shared" si="12"/>
        <v>2</v>
      </c>
      <c r="Y48" s="2139">
        <f t="shared" si="10"/>
        <v>3</v>
      </c>
      <c r="Z48" s="2139">
        <f t="shared" si="10"/>
        <v>4</v>
      </c>
      <c r="AA48" s="2139">
        <f t="shared" si="10"/>
        <v>5</v>
      </c>
      <c r="AB48" s="2139">
        <f t="shared" si="10"/>
        <v>6</v>
      </c>
      <c r="AC48" s="2139">
        <f t="shared" si="10"/>
        <v>7</v>
      </c>
      <c r="AD48" s="2139">
        <f t="shared" si="10"/>
        <v>8</v>
      </c>
      <c r="AE48" s="2139">
        <f t="shared" si="10"/>
        <v>10</v>
      </c>
      <c r="AF48" s="2139">
        <f t="shared" si="10"/>
        <v>11</v>
      </c>
      <c r="AG48" s="2139">
        <f t="shared" si="10"/>
        <v>12</v>
      </c>
      <c r="AH48" s="2139">
        <f t="shared" si="13"/>
        <v>17</v>
      </c>
      <c r="AI48" s="2139">
        <f t="shared" si="10"/>
        <v>23</v>
      </c>
      <c r="AJ48" s="2139">
        <f t="shared" si="10"/>
        <v>29</v>
      </c>
      <c r="AK48" s="2139">
        <f t="shared" si="10"/>
        <v>35</v>
      </c>
      <c r="AL48" s="2139">
        <f t="shared" si="10"/>
        <v>40</v>
      </c>
      <c r="AM48" s="2139">
        <f t="shared" si="10"/>
        <v>46</v>
      </c>
      <c r="AN48" s="2139">
        <f t="shared" si="10"/>
        <v>52</v>
      </c>
      <c r="AO48" s="2136">
        <f t="shared" si="7"/>
        <v>57</v>
      </c>
      <c r="AP48" s="1802" t="s">
        <v>2325</v>
      </c>
      <c r="AQ48" s="1813">
        <v>22</v>
      </c>
      <c r="AR48" s="1949">
        <f t="shared" si="14"/>
        <v>3</v>
      </c>
      <c r="AS48" s="1963">
        <f t="shared" si="11"/>
        <v>4</v>
      </c>
      <c r="AT48" s="1963">
        <f t="shared" si="11"/>
        <v>5</v>
      </c>
      <c r="AU48" s="1963">
        <f t="shared" si="11"/>
        <v>6</v>
      </c>
      <c r="AV48" s="1963">
        <f t="shared" si="11"/>
        <v>7</v>
      </c>
      <c r="AW48" s="1963">
        <f t="shared" si="11"/>
        <v>9</v>
      </c>
      <c r="AX48" s="1963">
        <f t="shared" si="11"/>
        <v>10</v>
      </c>
      <c r="AY48" s="1963">
        <f t="shared" si="11"/>
        <v>11</v>
      </c>
      <c r="AZ48" s="1963">
        <f t="shared" si="11"/>
        <v>12</v>
      </c>
      <c r="BA48" s="1963">
        <f t="shared" si="11"/>
        <v>13</v>
      </c>
      <c r="BB48" s="1963">
        <f t="shared" si="11"/>
        <v>19</v>
      </c>
      <c r="BC48" s="1963">
        <f t="shared" si="11"/>
        <v>25</v>
      </c>
      <c r="BD48" s="1963">
        <f t="shared" si="11"/>
        <v>30</v>
      </c>
      <c r="BE48" s="1963">
        <f t="shared" si="11"/>
        <v>36</v>
      </c>
      <c r="BF48" s="1963">
        <f t="shared" si="11"/>
        <v>42</v>
      </c>
      <c r="BG48" s="1963">
        <f t="shared" si="11"/>
        <v>47</v>
      </c>
      <c r="BH48" s="1963">
        <f t="shared" si="11"/>
        <v>53</v>
      </c>
      <c r="BI48" s="1950">
        <f t="shared" si="8"/>
        <v>59</v>
      </c>
    </row>
    <row r="49" spans="2:61" ht="12.95" customHeight="1" outlineLevel="1">
      <c r="B49" s="1804" t="s">
        <v>3459</v>
      </c>
      <c r="C49" s="1812">
        <v>22</v>
      </c>
      <c r="D49" s="1951">
        <f t="shared" si="3"/>
        <v>1</v>
      </c>
      <c r="E49" s="1959">
        <f t="shared" si="9"/>
        <v>2</v>
      </c>
      <c r="F49" s="1959">
        <f t="shared" si="9"/>
        <v>3</v>
      </c>
      <c r="G49" s="1959">
        <f t="shared" si="9"/>
        <v>5</v>
      </c>
      <c r="H49" s="1959">
        <f t="shared" si="9"/>
        <v>6</v>
      </c>
      <c r="I49" s="1959">
        <f t="shared" si="9"/>
        <v>7</v>
      </c>
      <c r="J49" s="1959">
        <f t="shared" si="9"/>
        <v>8</v>
      </c>
      <c r="K49" s="1959">
        <f t="shared" si="9"/>
        <v>9</v>
      </c>
      <c r="L49" s="1959">
        <f t="shared" si="9"/>
        <v>10</v>
      </c>
      <c r="M49" s="1959">
        <f t="shared" si="9"/>
        <v>11</v>
      </c>
      <c r="N49" s="1959">
        <f t="shared" si="9"/>
        <v>17</v>
      </c>
      <c r="O49" s="1959">
        <f t="shared" si="9"/>
        <v>23</v>
      </c>
      <c r="P49" s="1959">
        <f t="shared" si="9"/>
        <v>28</v>
      </c>
      <c r="Q49" s="1959">
        <f t="shared" si="9"/>
        <v>34</v>
      </c>
      <c r="R49" s="1959">
        <f t="shared" si="9"/>
        <v>40</v>
      </c>
      <c r="S49" s="1959">
        <f t="shared" si="9"/>
        <v>45</v>
      </c>
      <c r="T49" s="1959">
        <f t="shared" si="9"/>
        <v>51</v>
      </c>
      <c r="U49" s="1952">
        <f t="shared" si="9"/>
        <v>57</v>
      </c>
      <c r="V49" s="1804" t="s">
        <v>3459</v>
      </c>
      <c r="W49" s="1812">
        <v>22</v>
      </c>
      <c r="X49" s="2133">
        <f t="shared" si="12"/>
        <v>2</v>
      </c>
      <c r="Y49" s="2138">
        <f t="shared" si="10"/>
        <v>3</v>
      </c>
      <c r="Z49" s="2138">
        <f t="shared" si="10"/>
        <v>4</v>
      </c>
      <c r="AA49" s="2138">
        <f t="shared" si="10"/>
        <v>5</v>
      </c>
      <c r="AB49" s="2138">
        <f t="shared" si="10"/>
        <v>6</v>
      </c>
      <c r="AC49" s="2138">
        <f t="shared" si="10"/>
        <v>7</v>
      </c>
      <c r="AD49" s="2138">
        <f t="shared" si="10"/>
        <v>8</v>
      </c>
      <c r="AE49" s="2138">
        <f t="shared" si="10"/>
        <v>10</v>
      </c>
      <c r="AF49" s="2138">
        <f t="shared" si="10"/>
        <v>11</v>
      </c>
      <c r="AG49" s="2138">
        <f t="shared" si="10"/>
        <v>12</v>
      </c>
      <c r="AH49" s="2139">
        <f t="shared" si="13"/>
        <v>17</v>
      </c>
      <c r="AI49" s="2138">
        <f t="shared" si="10"/>
        <v>23</v>
      </c>
      <c r="AJ49" s="2138">
        <f t="shared" si="10"/>
        <v>29</v>
      </c>
      <c r="AK49" s="2138">
        <f t="shared" si="10"/>
        <v>35</v>
      </c>
      <c r="AL49" s="2138">
        <f t="shared" si="10"/>
        <v>40</v>
      </c>
      <c r="AM49" s="2138">
        <f t="shared" si="10"/>
        <v>46</v>
      </c>
      <c r="AN49" s="2138">
        <f t="shared" si="10"/>
        <v>52</v>
      </c>
      <c r="AO49" s="2134">
        <f t="shared" si="7"/>
        <v>57</v>
      </c>
      <c r="AP49" s="1804" t="s">
        <v>3459</v>
      </c>
      <c r="AQ49" s="1812">
        <v>22</v>
      </c>
      <c r="AR49" s="1951">
        <f t="shared" si="14"/>
        <v>3</v>
      </c>
      <c r="AS49" s="1959">
        <f t="shared" si="11"/>
        <v>4</v>
      </c>
      <c r="AT49" s="1959">
        <f t="shared" si="11"/>
        <v>5</v>
      </c>
      <c r="AU49" s="1959">
        <f t="shared" si="11"/>
        <v>6</v>
      </c>
      <c r="AV49" s="1959">
        <f t="shared" si="11"/>
        <v>7</v>
      </c>
      <c r="AW49" s="1959">
        <f t="shared" si="11"/>
        <v>9</v>
      </c>
      <c r="AX49" s="1959">
        <f t="shared" si="11"/>
        <v>10</v>
      </c>
      <c r="AY49" s="1959">
        <f t="shared" si="11"/>
        <v>11</v>
      </c>
      <c r="AZ49" s="1959">
        <f t="shared" si="11"/>
        <v>12</v>
      </c>
      <c r="BA49" s="1959">
        <f t="shared" si="11"/>
        <v>13</v>
      </c>
      <c r="BB49" s="1959">
        <f t="shared" si="11"/>
        <v>19</v>
      </c>
      <c r="BC49" s="1959">
        <f t="shared" si="11"/>
        <v>25</v>
      </c>
      <c r="BD49" s="1959">
        <f t="shared" si="11"/>
        <v>30</v>
      </c>
      <c r="BE49" s="1959">
        <f t="shared" si="11"/>
        <v>36</v>
      </c>
      <c r="BF49" s="1959">
        <f t="shared" si="11"/>
        <v>42</v>
      </c>
      <c r="BG49" s="1959">
        <f t="shared" si="11"/>
        <v>47</v>
      </c>
      <c r="BH49" s="1959">
        <f t="shared" si="11"/>
        <v>53</v>
      </c>
      <c r="BI49" s="1952">
        <f t="shared" si="8"/>
        <v>59</v>
      </c>
    </row>
    <row r="50" spans="2:61" ht="12.95" customHeight="1" outlineLevel="1">
      <c r="B50" s="1802" t="s">
        <v>490</v>
      </c>
      <c r="C50" s="1813">
        <v>25</v>
      </c>
      <c r="D50" s="1949">
        <f t="shared" si="3"/>
        <v>1</v>
      </c>
      <c r="E50" s="1963">
        <f t="shared" si="9"/>
        <v>2</v>
      </c>
      <c r="F50" s="1963">
        <f t="shared" si="9"/>
        <v>3</v>
      </c>
      <c r="G50" s="1963">
        <f t="shared" si="9"/>
        <v>4</v>
      </c>
      <c r="H50" s="1963">
        <f t="shared" si="9"/>
        <v>5</v>
      </c>
      <c r="I50" s="1963">
        <f t="shared" si="9"/>
        <v>6</v>
      </c>
      <c r="J50" s="1963">
        <f t="shared" si="9"/>
        <v>7</v>
      </c>
      <c r="K50" s="1963">
        <f t="shared" si="9"/>
        <v>8</v>
      </c>
      <c r="L50" s="1963">
        <f t="shared" si="9"/>
        <v>9</v>
      </c>
      <c r="M50" s="1963">
        <f t="shared" si="9"/>
        <v>10</v>
      </c>
      <c r="N50" s="1963">
        <f t="shared" si="9"/>
        <v>15</v>
      </c>
      <c r="O50" s="1963">
        <f t="shared" si="9"/>
        <v>20</v>
      </c>
      <c r="P50" s="1963">
        <f t="shared" si="9"/>
        <v>25</v>
      </c>
      <c r="Q50" s="1963">
        <f t="shared" si="9"/>
        <v>30</v>
      </c>
      <c r="R50" s="1963">
        <f t="shared" si="9"/>
        <v>35</v>
      </c>
      <c r="S50" s="1963">
        <f t="shared" si="9"/>
        <v>40</v>
      </c>
      <c r="T50" s="1963">
        <f t="shared" si="9"/>
        <v>45</v>
      </c>
      <c r="U50" s="1950">
        <f t="shared" si="9"/>
        <v>50</v>
      </c>
      <c r="V50" s="1802" t="s">
        <v>490</v>
      </c>
      <c r="W50" s="1813">
        <v>25</v>
      </c>
      <c r="X50" s="2135">
        <f t="shared" si="12"/>
        <v>1</v>
      </c>
      <c r="Y50" s="2139">
        <f t="shared" si="10"/>
        <v>2</v>
      </c>
      <c r="Z50" s="2139">
        <f t="shared" si="10"/>
        <v>3</v>
      </c>
      <c r="AA50" s="2139">
        <f t="shared" si="10"/>
        <v>4</v>
      </c>
      <c r="AB50" s="2139">
        <f t="shared" si="10"/>
        <v>5</v>
      </c>
      <c r="AC50" s="2139">
        <f t="shared" si="10"/>
        <v>6</v>
      </c>
      <c r="AD50" s="2139">
        <f t="shared" si="10"/>
        <v>7</v>
      </c>
      <c r="AE50" s="2139">
        <f t="shared" si="10"/>
        <v>8</v>
      </c>
      <c r="AF50" s="2139">
        <f t="shared" si="10"/>
        <v>9</v>
      </c>
      <c r="AG50" s="2139">
        <f t="shared" si="10"/>
        <v>10</v>
      </c>
      <c r="AH50" s="2139">
        <f t="shared" si="13"/>
        <v>15</v>
      </c>
      <c r="AI50" s="2139">
        <f t="shared" si="10"/>
        <v>20</v>
      </c>
      <c r="AJ50" s="2139">
        <f t="shared" si="10"/>
        <v>25</v>
      </c>
      <c r="AK50" s="2139">
        <f t="shared" si="10"/>
        <v>30</v>
      </c>
      <c r="AL50" s="2139">
        <f t="shared" si="10"/>
        <v>35</v>
      </c>
      <c r="AM50" s="2139">
        <f t="shared" si="10"/>
        <v>40</v>
      </c>
      <c r="AN50" s="2139">
        <f t="shared" si="10"/>
        <v>45</v>
      </c>
      <c r="AO50" s="2136">
        <f t="shared" si="7"/>
        <v>50</v>
      </c>
      <c r="AP50" s="1802" t="s">
        <v>490</v>
      </c>
      <c r="AQ50" s="1813">
        <v>25</v>
      </c>
      <c r="AR50" s="1949">
        <f t="shared" si="14"/>
        <v>3</v>
      </c>
      <c r="AS50" s="1963">
        <f t="shared" si="11"/>
        <v>4</v>
      </c>
      <c r="AT50" s="1963">
        <f t="shared" si="11"/>
        <v>5</v>
      </c>
      <c r="AU50" s="1963">
        <f t="shared" si="11"/>
        <v>6</v>
      </c>
      <c r="AV50" s="1963">
        <f t="shared" si="11"/>
        <v>7</v>
      </c>
      <c r="AW50" s="1963">
        <f t="shared" si="11"/>
        <v>8</v>
      </c>
      <c r="AX50" s="1963">
        <f t="shared" si="11"/>
        <v>9</v>
      </c>
      <c r="AY50" s="1963">
        <f t="shared" si="11"/>
        <v>10</v>
      </c>
      <c r="AZ50" s="1963">
        <f t="shared" si="11"/>
        <v>11</v>
      </c>
      <c r="BA50" s="1963">
        <f t="shared" si="11"/>
        <v>12</v>
      </c>
      <c r="BB50" s="1963">
        <f t="shared" si="11"/>
        <v>17</v>
      </c>
      <c r="BC50" s="1963">
        <f t="shared" si="11"/>
        <v>22</v>
      </c>
      <c r="BD50" s="1963">
        <f t="shared" si="11"/>
        <v>27</v>
      </c>
      <c r="BE50" s="1963">
        <f t="shared" si="11"/>
        <v>32</v>
      </c>
      <c r="BF50" s="1963">
        <f t="shared" si="11"/>
        <v>37</v>
      </c>
      <c r="BG50" s="1963">
        <f t="shared" si="11"/>
        <v>42</v>
      </c>
      <c r="BH50" s="1963">
        <f t="shared" si="11"/>
        <v>47</v>
      </c>
      <c r="BI50" s="1950">
        <f t="shared" si="8"/>
        <v>52</v>
      </c>
    </row>
    <row r="51" spans="2:61" ht="12.95" customHeight="1" outlineLevel="1">
      <c r="B51" s="1804" t="s">
        <v>3460</v>
      </c>
      <c r="C51" s="1812">
        <v>30</v>
      </c>
      <c r="D51" s="1951">
        <f t="shared" si="3"/>
        <v>1</v>
      </c>
      <c r="E51" s="1959">
        <f t="shared" si="9"/>
        <v>2</v>
      </c>
      <c r="F51" s="1959">
        <f t="shared" si="9"/>
        <v>2</v>
      </c>
      <c r="G51" s="1959">
        <f t="shared" si="9"/>
        <v>3</v>
      </c>
      <c r="H51" s="1959">
        <f t="shared" si="9"/>
        <v>4</v>
      </c>
      <c r="I51" s="1959">
        <f t="shared" si="9"/>
        <v>5</v>
      </c>
      <c r="J51" s="1959">
        <f t="shared" si="9"/>
        <v>6</v>
      </c>
      <c r="K51" s="1959">
        <f t="shared" si="9"/>
        <v>7</v>
      </c>
      <c r="L51" s="1959">
        <f t="shared" si="9"/>
        <v>7</v>
      </c>
      <c r="M51" s="1959">
        <f t="shared" si="9"/>
        <v>8</v>
      </c>
      <c r="N51" s="1959">
        <f t="shared" si="9"/>
        <v>12</v>
      </c>
      <c r="O51" s="1959">
        <f t="shared" si="9"/>
        <v>17</v>
      </c>
      <c r="P51" s="1959">
        <f t="shared" si="9"/>
        <v>21</v>
      </c>
      <c r="Q51" s="1959">
        <f t="shared" si="9"/>
        <v>25</v>
      </c>
      <c r="R51" s="1959">
        <f t="shared" si="9"/>
        <v>29</v>
      </c>
      <c r="S51" s="1959">
        <f t="shared" si="9"/>
        <v>33</v>
      </c>
      <c r="T51" s="1959">
        <f t="shared" si="9"/>
        <v>37</v>
      </c>
      <c r="U51" s="1952">
        <f t="shared" si="9"/>
        <v>42</v>
      </c>
      <c r="V51" s="1804" t="s">
        <v>3460</v>
      </c>
      <c r="W51" s="1812">
        <v>30</v>
      </c>
      <c r="X51" s="2133">
        <f t="shared" si="12"/>
        <v>1</v>
      </c>
      <c r="Y51" s="2138">
        <f t="shared" si="10"/>
        <v>2</v>
      </c>
      <c r="Z51" s="2138">
        <f t="shared" si="10"/>
        <v>3</v>
      </c>
      <c r="AA51" s="2138">
        <f t="shared" si="10"/>
        <v>4</v>
      </c>
      <c r="AB51" s="2138">
        <f t="shared" si="10"/>
        <v>4</v>
      </c>
      <c r="AC51" s="2138">
        <f t="shared" si="10"/>
        <v>5</v>
      </c>
      <c r="AD51" s="2138">
        <f t="shared" si="10"/>
        <v>6</v>
      </c>
      <c r="AE51" s="2138">
        <f t="shared" si="10"/>
        <v>7</v>
      </c>
      <c r="AF51" s="2138">
        <f t="shared" si="10"/>
        <v>8</v>
      </c>
      <c r="AG51" s="2138">
        <f t="shared" si="10"/>
        <v>9</v>
      </c>
      <c r="AH51" s="2139">
        <f t="shared" si="13"/>
        <v>13</v>
      </c>
      <c r="AI51" s="2138">
        <f t="shared" si="10"/>
        <v>17</v>
      </c>
      <c r="AJ51" s="2138">
        <f t="shared" si="10"/>
        <v>21</v>
      </c>
      <c r="AK51" s="2138">
        <f t="shared" si="10"/>
        <v>25</v>
      </c>
      <c r="AL51" s="2138">
        <f t="shared" si="10"/>
        <v>29</v>
      </c>
      <c r="AM51" s="2138">
        <f t="shared" si="10"/>
        <v>34</v>
      </c>
      <c r="AN51" s="2138">
        <f t="shared" si="10"/>
        <v>38</v>
      </c>
      <c r="AO51" s="2134">
        <f t="shared" si="7"/>
        <v>42</v>
      </c>
      <c r="AP51" s="1804" t="s">
        <v>3460</v>
      </c>
      <c r="AQ51" s="1812">
        <v>30</v>
      </c>
      <c r="AR51" s="1951">
        <f t="shared" si="14"/>
        <v>2</v>
      </c>
      <c r="AS51" s="1959">
        <f t="shared" si="11"/>
        <v>3</v>
      </c>
      <c r="AT51" s="1959">
        <f t="shared" si="11"/>
        <v>4</v>
      </c>
      <c r="AU51" s="1959">
        <f t="shared" si="11"/>
        <v>5</v>
      </c>
      <c r="AV51" s="1959">
        <f t="shared" si="11"/>
        <v>5</v>
      </c>
      <c r="AW51" s="1959">
        <f t="shared" si="11"/>
        <v>6</v>
      </c>
      <c r="AX51" s="1959">
        <f t="shared" si="11"/>
        <v>7</v>
      </c>
      <c r="AY51" s="1959">
        <f t="shared" si="11"/>
        <v>8</v>
      </c>
      <c r="AZ51" s="1959">
        <f t="shared" si="11"/>
        <v>9</v>
      </c>
      <c r="BA51" s="1959">
        <f t="shared" si="11"/>
        <v>10</v>
      </c>
      <c r="BB51" s="1959">
        <f t="shared" si="11"/>
        <v>14</v>
      </c>
      <c r="BC51" s="1959">
        <f t="shared" si="11"/>
        <v>18</v>
      </c>
      <c r="BD51" s="1959">
        <f t="shared" si="11"/>
        <v>22</v>
      </c>
      <c r="BE51" s="1959">
        <f t="shared" si="11"/>
        <v>26</v>
      </c>
      <c r="BF51" s="1959">
        <f t="shared" si="11"/>
        <v>30</v>
      </c>
      <c r="BG51" s="1959">
        <f t="shared" si="11"/>
        <v>35</v>
      </c>
      <c r="BH51" s="1959">
        <f t="shared" si="11"/>
        <v>39</v>
      </c>
      <c r="BI51" s="1952">
        <f t="shared" si="8"/>
        <v>43</v>
      </c>
    </row>
    <row r="52" spans="2:61" ht="12.95" customHeight="1" outlineLevel="1">
      <c r="B52" s="1802" t="s">
        <v>643</v>
      </c>
      <c r="C52" s="1813">
        <v>50</v>
      </c>
      <c r="D52" s="1823">
        <f t="shared" si="3"/>
        <v>0</v>
      </c>
      <c r="E52" s="1963">
        <f t="shared" si="9"/>
        <v>1</v>
      </c>
      <c r="F52" s="1963">
        <f t="shared" si="9"/>
        <v>1</v>
      </c>
      <c r="G52" s="1963">
        <f t="shared" si="9"/>
        <v>2</v>
      </c>
      <c r="H52" s="1963">
        <f t="shared" si="9"/>
        <v>2</v>
      </c>
      <c r="I52" s="1963">
        <f t="shared" si="9"/>
        <v>3</v>
      </c>
      <c r="J52" s="1963">
        <f t="shared" si="9"/>
        <v>3</v>
      </c>
      <c r="K52" s="1963">
        <f t="shared" si="9"/>
        <v>4</v>
      </c>
      <c r="L52" s="1963">
        <f t="shared" si="9"/>
        <v>4</v>
      </c>
      <c r="M52" s="1963">
        <f t="shared" si="9"/>
        <v>5</v>
      </c>
      <c r="N52" s="1963">
        <f t="shared" si="9"/>
        <v>7</v>
      </c>
      <c r="O52" s="1963">
        <f t="shared" si="9"/>
        <v>10</v>
      </c>
      <c r="P52" s="1963">
        <f t="shared" si="9"/>
        <v>12</v>
      </c>
      <c r="Q52" s="1963">
        <f t="shared" si="9"/>
        <v>15</v>
      </c>
      <c r="R52" s="1963">
        <f t="shared" si="9"/>
        <v>17</v>
      </c>
      <c r="S52" s="1963">
        <f t="shared" si="9"/>
        <v>20</v>
      </c>
      <c r="T52" s="1963">
        <f t="shared" si="9"/>
        <v>22</v>
      </c>
      <c r="U52" s="1950">
        <f t="shared" ref="E52:U67" si="15">FLOOR((U$7*25+10)/$C52,1)</f>
        <v>25</v>
      </c>
      <c r="V52" s="1802" t="s">
        <v>643</v>
      </c>
      <c r="W52" s="1813">
        <v>50</v>
      </c>
      <c r="X52" s="1823">
        <f t="shared" si="12"/>
        <v>0</v>
      </c>
      <c r="Y52" s="2139">
        <f t="shared" si="10"/>
        <v>1</v>
      </c>
      <c r="Z52" s="2139">
        <f t="shared" si="10"/>
        <v>1</v>
      </c>
      <c r="AA52" s="2139">
        <f t="shared" si="10"/>
        <v>2</v>
      </c>
      <c r="AB52" s="2139">
        <f t="shared" si="10"/>
        <v>2</v>
      </c>
      <c r="AC52" s="2139">
        <f t="shared" si="10"/>
        <v>3</v>
      </c>
      <c r="AD52" s="2139">
        <f t="shared" si="10"/>
        <v>3</v>
      </c>
      <c r="AE52" s="2139">
        <f t="shared" si="10"/>
        <v>4</v>
      </c>
      <c r="AF52" s="2139">
        <f t="shared" si="10"/>
        <v>4</v>
      </c>
      <c r="AG52" s="2139">
        <f t="shared" si="10"/>
        <v>5</v>
      </c>
      <c r="AH52" s="2139">
        <f t="shared" si="13"/>
        <v>7</v>
      </c>
      <c r="AI52" s="2139">
        <f t="shared" si="10"/>
        <v>10</v>
      </c>
      <c r="AJ52" s="2139">
        <f t="shared" si="10"/>
        <v>12</v>
      </c>
      <c r="AK52" s="2139">
        <f t="shared" si="10"/>
        <v>15</v>
      </c>
      <c r="AL52" s="2139">
        <f t="shared" si="10"/>
        <v>17</v>
      </c>
      <c r="AM52" s="2139">
        <f t="shared" si="10"/>
        <v>20</v>
      </c>
      <c r="AN52" s="2139">
        <f t="shared" si="10"/>
        <v>22</v>
      </c>
      <c r="AO52" s="2136">
        <f t="shared" si="7"/>
        <v>25</v>
      </c>
      <c r="AP52" s="1802" t="s">
        <v>643</v>
      </c>
      <c r="AQ52" s="1813">
        <v>50</v>
      </c>
      <c r="AR52" s="1949">
        <f t="shared" si="14"/>
        <v>1</v>
      </c>
      <c r="AS52" s="1963">
        <f t="shared" si="11"/>
        <v>2</v>
      </c>
      <c r="AT52" s="1963">
        <f t="shared" si="11"/>
        <v>2</v>
      </c>
      <c r="AU52" s="1963">
        <f t="shared" si="11"/>
        <v>3</v>
      </c>
      <c r="AV52" s="1963">
        <f t="shared" si="11"/>
        <v>3</v>
      </c>
      <c r="AW52" s="1963">
        <f t="shared" si="11"/>
        <v>4</v>
      </c>
      <c r="AX52" s="1963">
        <f t="shared" si="11"/>
        <v>4</v>
      </c>
      <c r="AY52" s="1963">
        <f t="shared" si="11"/>
        <v>5</v>
      </c>
      <c r="AZ52" s="1963">
        <f t="shared" si="11"/>
        <v>5</v>
      </c>
      <c r="BA52" s="1963">
        <f t="shared" si="11"/>
        <v>6</v>
      </c>
      <c r="BB52" s="1963">
        <f t="shared" si="11"/>
        <v>8</v>
      </c>
      <c r="BC52" s="1963">
        <f t="shared" si="11"/>
        <v>11</v>
      </c>
      <c r="BD52" s="1963">
        <f t="shared" si="11"/>
        <v>13</v>
      </c>
      <c r="BE52" s="1963">
        <f t="shared" si="11"/>
        <v>16</v>
      </c>
      <c r="BF52" s="1963">
        <f t="shared" si="11"/>
        <v>18</v>
      </c>
      <c r="BG52" s="1963">
        <f t="shared" si="11"/>
        <v>21</v>
      </c>
      <c r="BH52" s="1963">
        <f t="shared" si="11"/>
        <v>23</v>
      </c>
      <c r="BI52" s="1950">
        <f t="shared" si="8"/>
        <v>26</v>
      </c>
    </row>
    <row r="53" spans="2:61" ht="12.95" customHeight="1" outlineLevel="1">
      <c r="B53" s="1804" t="s">
        <v>3461</v>
      </c>
      <c r="C53" s="1812">
        <v>50</v>
      </c>
      <c r="D53" s="1824">
        <f t="shared" si="3"/>
        <v>0</v>
      </c>
      <c r="E53" s="1959">
        <f t="shared" si="15"/>
        <v>1</v>
      </c>
      <c r="F53" s="1959">
        <f t="shared" si="15"/>
        <v>1</v>
      </c>
      <c r="G53" s="1959">
        <f t="shared" si="15"/>
        <v>2</v>
      </c>
      <c r="H53" s="1959">
        <f t="shared" si="15"/>
        <v>2</v>
      </c>
      <c r="I53" s="1959">
        <f t="shared" si="15"/>
        <v>3</v>
      </c>
      <c r="J53" s="1959">
        <f t="shared" si="15"/>
        <v>3</v>
      </c>
      <c r="K53" s="1959">
        <f t="shared" si="15"/>
        <v>4</v>
      </c>
      <c r="L53" s="1959">
        <f t="shared" si="15"/>
        <v>4</v>
      </c>
      <c r="M53" s="1959">
        <f t="shared" si="15"/>
        <v>5</v>
      </c>
      <c r="N53" s="1959">
        <f t="shared" si="15"/>
        <v>7</v>
      </c>
      <c r="O53" s="1959">
        <f t="shared" si="15"/>
        <v>10</v>
      </c>
      <c r="P53" s="1959">
        <f t="shared" si="15"/>
        <v>12</v>
      </c>
      <c r="Q53" s="1959">
        <f t="shared" si="15"/>
        <v>15</v>
      </c>
      <c r="R53" s="1959">
        <f t="shared" si="15"/>
        <v>17</v>
      </c>
      <c r="S53" s="1959">
        <f t="shared" si="15"/>
        <v>20</v>
      </c>
      <c r="T53" s="1959">
        <f t="shared" si="15"/>
        <v>22</v>
      </c>
      <c r="U53" s="1952">
        <f t="shared" si="15"/>
        <v>25</v>
      </c>
      <c r="V53" s="1804" t="s">
        <v>3461</v>
      </c>
      <c r="W53" s="1812">
        <v>50</v>
      </c>
      <c r="X53" s="1824">
        <f t="shared" si="12"/>
        <v>0</v>
      </c>
      <c r="Y53" s="2138">
        <f t="shared" si="10"/>
        <v>1</v>
      </c>
      <c r="Z53" s="2138">
        <f t="shared" si="10"/>
        <v>1</v>
      </c>
      <c r="AA53" s="2138">
        <f t="shared" si="10"/>
        <v>2</v>
      </c>
      <c r="AB53" s="2138">
        <f t="shared" si="10"/>
        <v>2</v>
      </c>
      <c r="AC53" s="2138">
        <f t="shared" si="10"/>
        <v>3</v>
      </c>
      <c r="AD53" s="2138">
        <f t="shared" si="10"/>
        <v>3</v>
      </c>
      <c r="AE53" s="2138">
        <f t="shared" si="10"/>
        <v>4</v>
      </c>
      <c r="AF53" s="2138">
        <f t="shared" si="10"/>
        <v>4</v>
      </c>
      <c r="AG53" s="2138">
        <f t="shared" si="10"/>
        <v>5</v>
      </c>
      <c r="AH53" s="2139">
        <f t="shared" si="13"/>
        <v>7</v>
      </c>
      <c r="AI53" s="2138">
        <f t="shared" si="10"/>
        <v>10</v>
      </c>
      <c r="AJ53" s="2138">
        <f t="shared" si="10"/>
        <v>12</v>
      </c>
      <c r="AK53" s="2138">
        <f t="shared" si="10"/>
        <v>15</v>
      </c>
      <c r="AL53" s="2138">
        <f t="shared" si="10"/>
        <v>17</v>
      </c>
      <c r="AM53" s="2138">
        <f t="shared" si="10"/>
        <v>20</v>
      </c>
      <c r="AN53" s="2138">
        <f t="shared" ref="AN53:AO83" si="16">FLOOR((AN$7*25+20)/$C53,1)</f>
        <v>22</v>
      </c>
      <c r="AO53" s="2134">
        <f t="shared" si="16"/>
        <v>25</v>
      </c>
      <c r="AP53" s="1804" t="s">
        <v>3461</v>
      </c>
      <c r="AQ53" s="1812">
        <v>50</v>
      </c>
      <c r="AR53" s="1951">
        <f t="shared" si="14"/>
        <v>1</v>
      </c>
      <c r="AS53" s="1959">
        <f t="shared" si="11"/>
        <v>2</v>
      </c>
      <c r="AT53" s="1959">
        <f t="shared" si="11"/>
        <v>2</v>
      </c>
      <c r="AU53" s="1959">
        <f t="shared" si="11"/>
        <v>3</v>
      </c>
      <c r="AV53" s="1959">
        <f t="shared" si="11"/>
        <v>3</v>
      </c>
      <c r="AW53" s="1959">
        <f t="shared" si="11"/>
        <v>4</v>
      </c>
      <c r="AX53" s="1959">
        <f t="shared" si="11"/>
        <v>4</v>
      </c>
      <c r="AY53" s="1959">
        <f t="shared" si="11"/>
        <v>5</v>
      </c>
      <c r="AZ53" s="1959">
        <f t="shared" si="11"/>
        <v>5</v>
      </c>
      <c r="BA53" s="1959">
        <f t="shared" si="11"/>
        <v>6</v>
      </c>
      <c r="BB53" s="1959">
        <f t="shared" si="11"/>
        <v>8</v>
      </c>
      <c r="BC53" s="1959">
        <f t="shared" si="11"/>
        <v>11</v>
      </c>
      <c r="BD53" s="1959">
        <f t="shared" si="11"/>
        <v>13</v>
      </c>
      <c r="BE53" s="1959">
        <f t="shared" si="11"/>
        <v>16</v>
      </c>
      <c r="BF53" s="1959">
        <f t="shared" si="11"/>
        <v>18</v>
      </c>
      <c r="BG53" s="1959">
        <f t="shared" si="11"/>
        <v>21</v>
      </c>
      <c r="BH53" s="1959">
        <f t="shared" ref="BH53:BI83" si="17">FLOOR((BH$7*25+50)/$C53,1)</f>
        <v>23</v>
      </c>
      <c r="BI53" s="1952">
        <f t="shared" si="17"/>
        <v>26</v>
      </c>
    </row>
    <row r="54" spans="2:61" ht="12.95" customHeight="1" outlineLevel="1">
      <c r="B54" s="1802" t="s">
        <v>1054</v>
      </c>
      <c r="C54" s="1813">
        <v>80</v>
      </c>
      <c r="D54" s="1823">
        <f t="shared" si="3"/>
        <v>0</v>
      </c>
      <c r="E54" s="1826">
        <f t="shared" si="15"/>
        <v>0</v>
      </c>
      <c r="F54" s="1963">
        <f t="shared" si="15"/>
        <v>1</v>
      </c>
      <c r="G54" s="1963">
        <f t="shared" si="15"/>
        <v>1</v>
      </c>
      <c r="H54" s="1963">
        <f t="shared" si="15"/>
        <v>1</v>
      </c>
      <c r="I54" s="1963">
        <f t="shared" si="15"/>
        <v>2</v>
      </c>
      <c r="J54" s="1963">
        <f t="shared" si="15"/>
        <v>2</v>
      </c>
      <c r="K54" s="1963">
        <f t="shared" si="15"/>
        <v>2</v>
      </c>
      <c r="L54" s="1963">
        <f t="shared" si="15"/>
        <v>2</v>
      </c>
      <c r="M54" s="1963">
        <f t="shared" si="15"/>
        <v>3</v>
      </c>
      <c r="N54" s="1963">
        <f t="shared" si="15"/>
        <v>4</v>
      </c>
      <c r="O54" s="1963">
        <f t="shared" si="15"/>
        <v>6</v>
      </c>
      <c r="P54" s="1963">
        <f t="shared" si="15"/>
        <v>7</v>
      </c>
      <c r="Q54" s="1963">
        <f t="shared" si="15"/>
        <v>9</v>
      </c>
      <c r="R54" s="1963">
        <f t="shared" si="15"/>
        <v>11</v>
      </c>
      <c r="S54" s="1963">
        <f t="shared" si="15"/>
        <v>12</v>
      </c>
      <c r="T54" s="1963">
        <f t="shared" si="15"/>
        <v>14</v>
      </c>
      <c r="U54" s="1950">
        <f t="shared" si="15"/>
        <v>15</v>
      </c>
      <c r="V54" s="1802" t="s">
        <v>1054</v>
      </c>
      <c r="W54" s="1813">
        <v>80</v>
      </c>
      <c r="X54" s="1823">
        <f t="shared" si="12"/>
        <v>0</v>
      </c>
      <c r="Y54" s="1826">
        <f t="shared" si="12"/>
        <v>0</v>
      </c>
      <c r="Z54" s="2139">
        <f t="shared" si="12"/>
        <v>1</v>
      </c>
      <c r="AA54" s="2139">
        <f t="shared" si="12"/>
        <v>1</v>
      </c>
      <c r="AB54" s="2139">
        <f t="shared" si="12"/>
        <v>1</v>
      </c>
      <c r="AC54" s="2139">
        <f t="shared" si="12"/>
        <v>2</v>
      </c>
      <c r="AD54" s="2139">
        <f t="shared" si="12"/>
        <v>2</v>
      </c>
      <c r="AE54" s="2139">
        <f t="shared" si="12"/>
        <v>2</v>
      </c>
      <c r="AF54" s="2139">
        <f t="shared" si="12"/>
        <v>3</v>
      </c>
      <c r="AG54" s="2139">
        <f t="shared" si="12"/>
        <v>3</v>
      </c>
      <c r="AH54" s="2139">
        <f t="shared" si="13"/>
        <v>4</v>
      </c>
      <c r="AI54" s="2139">
        <f t="shared" si="12"/>
        <v>6</v>
      </c>
      <c r="AJ54" s="2139">
        <f t="shared" si="12"/>
        <v>8</v>
      </c>
      <c r="AK54" s="2139">
        <f t="shared" si="12"/>
        <v>9</v>
      </c>
      <c r="AL54" s="2139">
        <f t="shared" si="12"/>
        <v>11</v>
      </c>
      <c r="AM54" s="2139">
        <f t="shared" si="12"/>
        <v>12</v>
      </c>
      <c r="AN54" s="2139">
        <f t="shared" si="16"/>
        <v>14</v>
      </c>
      <c r="AO54" s="2136">
        <f t="shared" si="16"/>
        <v>15</v>
      </c>
      <c r="AP54" s="1802" t="s">
        <v>1054</v>
      </c>
      <c r="AQ54" s="1813">
        <v>80</v>
      </c>
      <c r="AR54" s="1823">
        <f t="shared" si="14"/>
        <v>0</v>
      </c>
      <c r="AS54" s="1963">
        <f t="shared" si="14"/>
        <v>1</v>
      </c>
      <c r="AT54" s="1963">
        <f t="shared" si="14"/>
        <v>1</v>
      </c>
      <c r="AU54" s="1963">
        <f t="shared" si="14"/>
        <v>1</v>
      </c>
      <c r="AV54" s="1963">
        <f t="shared" si="14"/>
        <v>2</v>
      </c>
      <c r="AW54" s="1963">
        <f t="shared" si="14"/>
        <v>2</v>
      </c>
      <c r="AX54" s="1963">
        <f t="shared" si="14"/>
        <v>2</v>
      </c>
      <c r="AY54" s="1963">
        <f t="shared" si="14"/>
        <v>3</v>
      </c>
      <c r="AZ54" s="1963">
        <f t="shared" si="14"/>
        <v>3</v>
      </c>
      <c r="BA54" s="1963">
        <f t="shared" si="14"/>
        <v>3</v>
      </c>
      <c r="BB54" s="1963">
        <f t="shared" si="14"/>
        <v>5</v>
      </c>
      <c r="BC54" s="1963">
        <f t="shared" si="14"/>
        <v>6</v>
      </c>
      <c r="BD54" s="1963">
        <f t="shared" si="14"/>
        <v>8</v>
      </c>
      <c r="BE54" s="1963">
        <f t="shared" si="14"/>
        <v>10</v>
      </c>
      <c r="BF54" s="1963">
        <f t="shared" si="14"/>
        <v>11</v>
      </c>
      <c r="BG54" s="1963">
        <f t="shared" si="14"/>
        <v>13</v>
      </c>
      <c r="BH54" s="1963">
        <f t="shared" si="17"/>
        <v>14</v>
      </c>
      <c r="BI54" s="1950">
        <f t="shared" si="17"/>
        <v>16</v>
      </c>
    </row>
    <row r="55" spans="2:61" ht="12.95" customHeight="1" outlineLevel="1" thickBot="1">
      <c r="B55" s="1808" t="s">
        <v>1053</v>
      </c>
      <c r="C55" s="1816">
        <v>80</v>
      </c>
      <c r="D55" s="1828">
        <f t="shared" si="3"/>
        <v>0</v>
      </c>
      <c r="E55" s="1830">
        <f t="shared" si="15"/>
        <v>0</v>
      </c>
      <c r="F55" s="1974">
        <f t="shared" si="15"/>
        <v>1</v>
      </c>
      <c r="G55" s="1974">
        <f t="shared" si="15"/>
        <v>1</v>
      </c>
      <c r="H55" s="1974">
        <f t="shared" si="15"/>
        <v>1</v>
      </c>
      <c r="I55" s="1974">
        <f t="shared" si="15"/>
        <v>2</v>
      </c>
      <c r="J55" s="1974">
        <f t="shared" si="15"/>
        <v>2</v>
      </c>
      <c r="K55" s="1974">
        <f t="shared" si="15"/>
        <v>2</v>
      </c>
      <c r="L55" s="1974">
        <f t="shared" si="15"/>
        <v>2</v>
      </c>
      <c r="M55" s="1974">
        <f t="shared" si="15"/>
        <v>3</v>
      </c>
      <c r="N55" s="1974">
        <f t="shared" si="15"/>
        <v>4</v>
      </c>
      <c r="O55" s="1974">
        <f t="shared" si="15"/>
        <v>6</v>
      </c>
      <c r="P55" s="1974">
        <f t="shared" si="15"/>
        <v>7</v>
      </c>
      <c r="Q55" s="1974">
        <f t="shared" si="15"/>
        <v>9</v>
      </c>
      <c r="R55" s="1974">
        <f t="shared" si="15"/>
        <v>11</v>
      </c>
      <c r="S55" s="1974">
        <f t="shared" si="15"/>
        <v>12</v>
      </c>
      <c r="T55" s="1974">
        <f t="shared" si="15"/>
        <v>14</v>
      </c>
      <c r="U55" s="1948">
        <f t="shared" si="15"/>
        <v>15</v>
      </c>
      <c r="V55" s="1808" t="s">
        <v>1053</v>
      </c>
      <c r="W55" s="1816">
        <v>80</v>
      </c>
      <c r="X55" s="1828">
        <f t="shared" si="12"/>
        <v>0</v>
      </c>
      <c r="Y55" s="1830">
        <f t="shared" si="12"/>
        <v>0</v>
      </c>
      <c r="Z55" s="2144">
        <f t="shared" si="12"/>
        <v>1</v>
      </c>
      <c r="AA55" s="2144">
        <f t="shared" si="12"/>
        <v>1</v>
      </c>
      <c r="AB55" s="2144">
        <f t="shared" si="12"/>
        <v>1</v>
      </c>
      <c r="AC55" s="2144">
        <f t="shared" si="12"/>
        <v>2</v>
      </c>
      <c r="AD55" s="2144">
        <f t="shared" si="12"/>
        <v>2</v>
      </c>
      <c r="AE55" s="2144">
        <f t="shared" si="12"/>
        <v>2</v>
      </c>
      <c r="AF55" s="2144">
        <f t="shared" si="12"/>
        <v>3</v>
      </c>
      <c r="AG55" s="2144">
        <f t="shared" si="12"/>
        <v>3</v>
      </c>
      <c r="AH55" s="2140">
        <f t="shared" si="13"/>
        <v>4</v>
      </c>
      <c r="AI55" s="2144">
        <f t="shared" si="12"/>
        <v>6</v>
      </c>
      <c r="AJ55" s="2144">
        <f t="shared" si="12"/>
        <v>8</v>
      </c>
      <c r="AK55" s="2144">
        <f t="shared" si="12"/>
        <v>9</v>
      </c>
      <c r="AL55" s="2144">
        <f t="shared" si="12"/>
        <v>11</v>
      </c>
      <c r="AM55" s="2144">
        <f t="shared" si="12"/>
        <v>12</v>
      </c>
      <c r="AN55" s="2144">
        <f t="shared" si="16"/>
        <v>14</v>
      </c>
      <c r="AO55" s="2137">
        <f t="shared" si="16"/>
        <v>15</v>
      </c>
      <c r="AP55" s="1808" t="s">
        <v>1053</v>
      </c>
      <c r="AQ55" s="1816">
        <v>80</v>
      </c>
      <c r="AR55" s="1828">
        <f t="shared" si="14"/>
        <v>0</v>
      </c>
      <c r="AS55" s="1974">
        <f t="shared" si="14"/>
        <v>1</v>
      </c>
      <c r="AT55" s="1974">
        <f t="shared" si="14"/>
        <v>1</v>
      </c>
      <c r="AU55" s="1974">
        <f t="shared" si="14"/>
        <v>1</v>
      </c>
      <c r="AV55" s="1974">
        <f t="shared" si="14"/>
        <v>2</v>
      </c>
      <c r="AW55" s="1974">
        <f t="shared" si="14"/>
        <v>2</v>
      </c>
      <c r="AX55" s="1974">
        <f t="shared" si="14"/>
        <v>2</v>
      </c>
      <c r="AY55" s="1974">
        <f t="shared" si="14"/>
        <v>3</v>
      </c>
      <c r="AZ55" s="1974">
        <f t="shared" si="14"/>
        <v>3</v>
      </c>
      <c r="BA55" s="1974">
        <f t="shared" si="14"/>
        <v>3</v>
      </c>
      <c r="BB55" s="1974">
        <f t="shared" si="14"/>
        <v>5</v>
      </c>
      <c r="BC55" s="1974">
        <f t="shared" si="14"/>
        <v>6</v>
      </c>
      <c r="BD55" s="1974">
        <f t="shared" si="14"/>
        <v>8</v>
      </c>
      <c r="BE55" s="1974">
        <f t="shared" si="14"/>
        <v>10</v>
      </c>
      <c r="BF55" s="1974">
        <f t="shared" si="14"/>
        <v>11</v>
      </c>
      <c r="BG55" s="1974">
        <f t="shared" si="14"/>
        <v>13</v>
      </c>
      <c r="BH55" s="1974">
        <f t="shared" si="17"/>
        <v>14</v>
      </c>
      <c r="BI55" s="1948">
        <f t="shared" si="17"/>
        <v>16</v>
      </c>
    </row>
    <row r="56" spans="2:61" ht="12.95" customHeight="1">
      <c r="B56" s="1809" t="s">
        <v>1534</v>
      </c>
      <c r="C56" s="1811">
        <v>4</v>
      </c>
      <c r="D56" s="1953">
        <f t="shared" si="3"/>
        <v>8</v>
      </c>
      <c r="E56" s="1960">
        <f t="shared" si="15"/>
        <v>15</v>
      </c>
      <c r="F56" s="1960">
        <f t="shared" si="15"/>
        <v>21</v>
      </c>
      <c r="G56" s="1960">
        <f t="shared" si="15"/>
        <v>27</v>
      </c>
      <c r="H56" s="1960">
        <f t="shared" si="15"/>
        <v>33</v>
      </c>
      <c r="I56" s="1960">
        <f t="shared" si="15"/>
        <v>40</v>
      </c>
      <c r="J56" s="1960">
        <f t="shared" si="15"/>
        <v>46</v>
      </c>
      <c r="K56" s="1960">
        <f t="shared" si="15"/>
        <v>52</v>
      </c>
      <c r="L56" s="1960">
        <f t="shared" si="15"/>
        <v>58</v>
      </c>
      <c r="M56" s="1960">
        <f t="shared" si="15"/>
        <v>65</v>
      </c>
      <c r="N56" s="1960">
        <f t="shared" si="15"/>
        <v>96</v>
      </c>
      <c r="O56" s="1960">
        <f t="shared" si="15"/>
        <v>127</v>
      </c>
      <c r="P56" s="1960">
        <f t="shared" si="15"/>
        <v>158</v>
      </c>
      <c r="Q56" s="1960">
        <f t="shared" si="15"/>
        <v>190</v>
      </c>
      <c r="R56" s="1960">
        <f t="shared" si="15"/>
        <v>221</v>
      </c>
      <c r="S56" s="1960">
        <f t="shared" si="15"/>
        <v>252</v>
      </c>
      <c r="T56" s="1960">
        <f t="shared" si="15"/>
        <v>283</v>
      </c>
      <c r="U56" s="1954">
        <f t="shared" si="15"/>
        <v>315</v>
      </c>
      <c r="V56" s="1809" t="s">
        <v>1534</v>
      </c>
      <c r="W56" s="1811">
        <v>4</v>
      </c>
      <c r="X56" s="2143">
        <f t="shared" si="12"/>
        <v>11</v>
      </c>
      <c r="Y56" s="2145">
        <f t="shared" si="12"/>
        <v>17</v>
      </c>
      <c r="Z56" s="2145">
        <f t="shared" si="12"/>
        <v>23</v>
      </c>
      <c r="AA56" s="2145">
        <f t="shared" si="12"/>
        <v>30</v>
      </c>
      <c r="AB56" s="2145">
        <f t="shared" si="12"/>
        <v>36</v>
      </c>
      <c r="AC56" s="2145">
        <f t="shared" si="12"/>
        <v>42</v>
      </c>
      <c r="AD56" s="2145">
        <f t="shared" si="12"/>
        <v>48</v>
      </c>
      <c r="AE56" s="2145">
        <f t="shared" si="12"/>
        <v>55</v>
      </c>
      <c r="AF56" s="2145">
        <f t="shared" si="12"/>
        <v>61</v>
      </c>
      <c r="AG56" s="2145">
        <f t="shared" si="12"/>
        <v>67</v>
      </c>
      <c r="AH56" s="2145">
        <f t="shared" si="13"/>
        <v>98</v>
      </c>
      <c r="AI56" s="2145">
        <f t="shared" si="12"/>
        <v>130</v>
      </c>
      <c r="AJ56" s="2145">
        <f t="shared" si="12"/>
        <v>161</v>
      </c>
      <c r="AK56" s="2145">
        <f t="shared" si="12"/>
        <v>192</v>
      </c>
      <c r="AL56" s="2145">
        <f t="shared" si="12"/>
        <v>223</v>
      </c>
      <c r="AM56" s="2145">
        <f t="shared" si="12"/>
        <v>255</v>
      </c>
      <c r="AN56" s="2145">
        <f t="shared" si="16"/>
        <v>286</v>
      </c>
      <c r="AO56" s="2146">
        <f t="shared" si="16"/>
        <v>317</v>
      </c>
      <c r="AP56" s="1809" t="s">
        <v>1534</v>
      </c>
      <c r="AQ56" s="1811">
        <v>4</v>
      </c>
      <c r="AR56" s="1953">
        <f t="shared" si="14"/>
        <v>18</v>
      </c>
      <c r="AS56" s="1960">
        <f t="shared" si="14"/>
        <v>25</v>
      </c>
      <c r="AT56" s="1960">
        <f t="shared" si="14"/>
        <v>31</v>
      </c>
      <c r="AU56" s="1960">
        <f t="shared" si="14"/>
        <v>37</v>
      </c>
      <c r="AV56" s="1960">
        <f t="shared" si="14"/>
        <v>43</v>
      </c>
      <c r="AW56" s="1960">
        <f t="shared" si="14"/>
        <v>50</v>
      </c>
      <c r="AX56" s="1960">
        <f t="shared" si="14"/>
        <v>56</v>
      </c>
      <c r="AY56" s="1960">
        <f t="shared" si="14"/>
        <v>62</v>
      </c>
      <c r="AZ56" s="1960">
        <f t="shared" si="14"/>
        <v>68</v>
      </c>
      <c r="BA56" s="1960">
        <f t="shared" si="14"/>
        <v>75</v>
      </c>
      <c r="BB56" s="1960">
        <f t="shared" si="14"/>
        <v>106</v>
      </c>
      <c r="BC56" s="1960">
        <f t="shared" si="14"/>
        <v>137</v>
      </c>
      <c r="BD56" s="1960">
        <f t="shared" si="14"/>
        <v>168</v>
      </c>
      <c r="BE56" s="1960">
        <f t="shared" si="14"/>
        <v>200</v>
      </c>
      <c r="BF56" s="1960">
        <f t="shared" si="14"/>
        <v>231</v>
      </c>
      <c r="BG56" s="1960">
        <f t="shared" si="14"/>
        <v>262</v>
      </c>
      <c r="BH56" s="1960">
        <f t="shared" si="17"/>
        <v>293</v>
      </c>
      <c r="BI56" s="1954">
        <f t="shared" si="17"/>
        <v>325</v>
      </c>
    </row>
    <row r="57" spans="2:61" ht="12.95" customHeight="1" outlineLevel="1">
      <c r="B57" s="1804" t="s">
        <v>1535</v>
      </c>
      <c r="C57" s="1812">
        <v>4</v>
      </c>
      <c r="D57" s="1951">
        <f t="shared" si="3"/>
        <v>8</v>
      </c>
      <c r="E57" s="1959">
        <f t="shared" si="15"/>
        <v>15</v>
      </c>
      <c r="F57" s="1959">
        <f t="shared" si="15"/>
        <v>21</v>
      </c>
      <c r="G57" s="1959">
        <f t="shared" si="15"/>
        <v>27</v>
      </c>
      <c r="H57" s="1959">
        <f t="shared" si="15"/>
        <v>33</v>
      </c>
      <c r="I57" s="1959">
        <f t="shared" si="15"/>
        <v>40</v>
      </c>
      <c r="J57" s="1959">
        <f t="shared" si="15"/>
        <v>46</v>
      </c>
      <c r="K57" s="1959">
        <f t="shared" si="15"/>
        <v>52</v>
      </c>
      <c r="L57" s="1959">
        <f t="shared" si="15"/>
        <v>58</v>
      </c>
      <c r="M57" s="1959">
        <f t="shared" si="15"/>
        <v>65</v>
      </c>
      <c r="N57" s="1959">
        <f t="shared" si="15"/>
        <v>96</v>
      </c>
      <c r="O57" s="1959">
        <f t="shared" si="15"/>
        <v>127</v>
      </c>
      <c r="P57" s="1959">
        <f t="shared" si="15"/>
        <v>158</v>
      </c>
      <c r="Q57" s="1959">
        <f t="shared" si="15"/>
        <v>190</v>
      </c>
      <c r="R57" s="1959">
        <f t="shared" si="15"/>
        <v>221</v>
      </c>
      <c r="S57" s="1959">
        <f t="shared" si="15"/>
        <v>252</v>
      </c>
      <c r="T57" s="1959">
        <f t="shared" si="15"/>
        <v>283</v>
      </c>
      <c r="U57" s="1952">
        <f t="shared" si="15"/>
        <v>315</v>
      </c>
      <c r="V57" s="1804" t="s">
        <v>1535</v>
      </c>
      <c r="W57" s="1812">
        <v>4</v>
      </c>
      <c r="X57" s="2133">
        <f t="shared" si="12"/>
        <v>11</v>
      </c>
      <c r="Y57" s="2138">
        <f t="shared" si="12"/>
        <v>17</v>
      </c>
      <c r="Z57" s="2138">
        <f t="shared" si="12"/>
        <v>23</v>
      </c>
      <c r="AA57" s="2138">
        <f t="shared" si="12"/>
        <v>30</v>
      </c>
      <c r="AB57" s="2138">
        <f t="shared" si="12"/>
        <v>36</v>
      </c>
      <c r="AC57" s="2138">
        <f t="shared" si="12"/>
        <v>42</v>
      </c>
      <c r="AD57" s="2138">
        <f t="shared" si="12"/>
        <v>48</v>
      </c>
      <c r="AE57" s="2138">
        <f t="shared" si="12"/>
        <v>55</v>
      </c>
      <c r="AF57" s="2138">
        <f t="shared" si="12"/>
        <v>61</v>
      </c>
      <c r="AG57" s="2138">
        <f t="shared" si="12"/>
        <v>67</v>
      </c>
      <c r="AH57" s="2139">
        <f t="shared" si="13"/>
        <v>98</v>
      </c>
      <c r="AI57" s="2138">
        <f t="shared" si="12"/>
        <v>130</v>
      </c>
      <c r="AJ57" s="2138">
        <f t="shared" si="12"/>
        <v>161</v>
      </c>
      <c r="AK57" s="2138">
        <f t="shared" si="12"/>
        <v>192</v>
      </c>
      <c r="AL57" s="2138">
        <f t="shared" si="12"/>
        <v>223</v>
      </c>
      <c r="AM57" s="2138">
        <f t="shared" si="12"/>
        <v>255</v>
      </c>
      <c r="AN57" s="2138">
        <f t="shared" si="16"/>
        <v>286</v>
      </c>
      <c r="AO57" s="2134">
        <f t="shared" si="16"/>
        <v>317</v>
      </c>
      <c r="AP57" s="1804" t="s">
        <v>1535</v>
      </c>
      <c r="AQ57" s="1812">
        <v>4</v>
      </c>
      <c r="AR57" s="1951">
        <f t="shared" si="14"/>
        <v>18</v>
      </c>
      <c r="AS57" s="1959">
        <f t="shared" si="14"/>
        <v>25</v>
      </c>
      <c r="AT57" s="1959">
        <f t="shared" si="14"/>
        <v>31</v>
      </c>
      <c r="AU57" s="1959">
        <f t="shared" si="14"/>
        <v>37</v>
      </c>
      <c r="AV57" s="1959">
        <f t="shared" si="14"/>
        <v>43</v>
      </c>
      <c r="AW57" s="1959">
        <f t="shared" si="14"/>
        <v>50</v>
      </c>
      <c r="AX57" s="1959">
        <f t="shared" si="14"/>
        <v>56</v>
      </c>
      <c r="AY57" s="1959">
        <f t="shared" si="14"/>
        <v>62</v>
      </c>
      <c r="AZ57" s="1959">
        <f t="shared" si="14"/>
        <v>68</v>
      </c>
      <c r="BA57" s="1959">
        <f t="shared" si="14"/>
        <v>75</v>
      </c>
      <c r="BB57" s="1959">
        <f t="shared" si="14"/>
        <v>106</v>
      </c>
      <c r="BC57" s="1959">
        <f t="shared" si="14"/>
        <v>137</v>
      </c>
      <c r="BD57" s="1959">
        <f t="shared" si="14"/>
        <v>168</v>
      </c>
      <c r="BE57" s="1959">
        <f t="shared" si="14"/>
        <v>200</v>
      </c>
      <c r="BF57" s="1959">
        <f t="shared" si="14"/>
        <v>231</v>
      </c>
      <c r="BG57" s="1959">
        <f t="shared" si="14"/>
        <v>262</v>
      </c>
      <c r="BH57" s="1959">
        <f t="shared" si="17"/>
        <v>293</v>
      </c>
      <c r="BI57" s="1952">
        <f t="shared" si="17"/>
        <v>325</v>
      </c>
    </row>
    <row r="58" spans="2:61" ht="12.95" customHeight="1" outlineLevel="1">
      <c r="B58" s="1802" t="s">
        <v>375</v>
      </c>
      <c r="C58" s="1813">
        <v>13</v>
      </c>
      <c r="D58" s="1949">
        <f t="shared" si="3"/>
        <v>2</v>
      </c>
      <c r="E58" s="1963">
        <f t="shared" si="15"/>
        <v>4</v>
      </c>
      <c r="F58" s="1963">
        <f t="shared" si="15"/>
        <v>6</v>
      </c>
      <c r="G58" s="1963">
        <f t="shared" si="15"/>
        <v>8</v>
      </c>
      <c r="H58" s="1963">
        <f t="shared" si="15"/>
        <v>10</v>
      </c>
      <c r="I58" s="1963">
        <f t="shared" si="15"/>
        <v>12</v>
      </c>
      <c r="J58" s="1963">
        <f t="shared" si="15"/>
        <v>14</v>
      </c>
      <c r="K58" s="1963">
        <f t="shared" si="15"/>
        <v>16</v>
      </c>
      <c r="L58" s="1963">
        <f t="shared" si="15"/>
        <v>18</v>
      </c>
      <c r="M58" s="1963">
        <f t="shared" si="15"/>
        <v>20</v>
      </c>
      <c r="N58" s="1963">
        <f t="shared" si="15"/>
        <v>29</v>
      </c>
      <c r="O58" s="1963">
        <f t="shared" si="15"/>
        <v>39</v>
      </c>
      <c r="P58" s="1963">
        <f t="shared" si="15"/>
        <v>48</v>
      </c>
      <c r="Q58" s="1963">
        <f t="shared" si="15"/>
        <v>58</v>
      </c>
      <c r="R58" s="1963">
        <f t="shared" si="15"/>
        <v>68</v>
      </c>
      <c r="S58" s="1963">
        <f t="shared" si="15"/>
        <v>77</v>
      </c>
      <c r="T58" s="1963">
        <f t="shared" si="15"/>
        <v>87</v>
      </c>
      <c r="U58" s="1950">
        <f t="shared" si="15"/>
        <v>96</v>
      </c>
      <c r="V58" s="1802" t="s">
        <v>375</v>
      </c>
      <c r="W58" s="1813">
        <v>13</v>
      </c>
      <c r="X58" s="2135">
        <f t="shared" si="12"/>
        <v>3</v>
      </c>
      <c r="Y58" s="2139">
        <f t="shared" si="12"/>
        <v>5</v>
      </c>
      <c r="Z58" s="2139">
        <f t="shared" si="12"/>
        <v>7</v>
      </c>
      <c r="AA58" s="2139">
        <f t="shared" si="12"/>
        <v>9</v>
      </c>
      <c r="AB58" s="2139">
        <f t="shared" si="12"/>
        <v>11</v>
      </c>
      <c r="AC58" s="2139">
        <f t="shared" si="12"/>
        <v>13</v>
      </c>
      <c r="AD58" s="2139">
        <f t="shared" si="12"/>
        <v>15</v>
      </c>
      <c r="AE58" s="2139">
        <f t="shared" si="12"/>
        <v>16</v>
      </c>
      <c r="AF58" s="2139">
        <f t="shared" si="12"/>
        <v>18</v>
      </c>
      <c r="AG58" s="2139">
        <f t="shared" si="12"/>
        <v>20</v>
      </c>
      <c r="AH58" s="2139">
        <f t="shared" si="13"/>
        <v>30</v>
      </c>
      <c r="AI58" s="2139">
        <f t="shared" si="12"/>
        <v>40</v>
      </c>
      <c r="AJ58" s="2139">
        <f t="shared" si="12"/>
        <v>49</v>
      </c>
      <c r="AK58" s="2139">
        <f t="shared" si="12"/>
        <v>59</v>
      </c>
      <c r="AL58" s="2139">
        <f t="shared" si="12"/>
        <v>68</v>
      </c>
      <c r="AM58" s="2139">
        <f t="shared" si="12"/>
        <v>78</v>
      </c>
      <c r="AN58" s="2139">
        <f t="shared" si="16"/>
        <v>88</v>
      </c>
      <c r="AO58" s="2136">
        <f t="shared" si="16"/>
        <v>97</v>
      </c>
      <c r="AP58" s="1802" t="s">
        <v>375</v>
      </c>
      <c r="AQ58" s="1813">
        <v>13</v>
      </c>
      <c r="AR58" s="1949">
        <f t="shared" si="14"/>
        <v>5</v>
      </c>
      <c r="AS58" s="1963">
        <f t="shared" si="14"/>
        <v>7</v>
      </c>
      <c r="AT58" s="1963">
        <f t="shared" si="14"/>
        <v>9</v>
      </c>
      <c r="AU58" s="1963">
        <f t="shared" si="14"/>
        <v>11</v>
      </c>
      <c r="AV58" s="1963">
        <f t="shared" si="14"/>
        <v>13</v>
      </c>
      <c r="AW58" s="1963">
        <f t="shared" si="14"/>
        <v>15</v>
      </c>
      <c r="AX58" s="1963">
        <f t="shared" si="14"/>
        <v>17</v>
      </c>
      <c r="AY58" s="1963">
        <f t="shared" si="14"/>
        <v>19</v>
      </c>
      <c r="AZ58" s="1963">
        <f t="shared" si="14"/>
        <v>21</v>
      </c>
      <c r="BA58" s="1963">
        <f t="shared" si="14"/>
        <v>23</v>
      </c>
      <c r="BB58" s="1963">
        <f t="shared" si="14"/>
        <v>32</v>
      </c>
      <c r="BC58" s="1963">
        <f t="shared" si="14"/>
        <v>42</v>
      </c>
      <c r="BD58" s="1963">
        <f t="shared" si="14"/>
        <v>51</v>
      </c>
      <c r="BE58" s="1963">
        <f t="shared" si="14"/>
        <v>61</v>
      </c>
      <c r="BF58" s="1963">
        <f t="shared" si="14"/>
        <v>71</v>
      </c>
      <c r="BG58" s="1963">
        <f t="shared" si="14"/>
        <v>80</v>
      </c>
      <c r="BH58" s="1963">
        <f t="shared" si="17"/>
        <v>90</v>
      </c>
      <c r="BI58" s="1950">
        <f t="shared" si="17"/>
        <v>100</v>
      </c>
    </row>
    <row r="59" spans="2:61" ht="12.95" customHeight="1" outlineLevel="1">
      <c r="B59" s="1804" t="s">
        <v>1593</v>
      </c>
      <c r="C59" s="1812">
        <v>13</v>
      </c>
      <c r="D59" s="1951">
        <f t="shared" si="3"/>
        <v>2</v>
      </c>
      <c r="E59" s="1959">
        <f t="shared" si="15"/>
        <v>4</v>
      </c>
      <c r="F59" s="1959">
        <f t="shared" si="15"/>
        <v>6</v>
      </c>
      <c r="G59" s="1959">
        <f t="shared" si="15"/>
        <v>8</v>
      </c>
      <c r="H59" s="1959">
        <f t="shared" si="15"/>
        <v>10</v>
      </c>
      <c r="I59" s="1959">
        <f t="shared" si="15"/>
        <v>12</v>
      </c>
      <c r="J59" s="1959">
        <f t="shared" si="15"/>
        <v>14</v>
      </c>
      <c r="K59" s="1959">
        <f t="shared" si="15"/>
        <v>16</v>
      </c>
      <c r="L59" s="1959">
        <f t="shared" si="15"/>
        <v>18</v>
      </c>
      <c r="M59" s="1959">
        <f t="shared" si="15"/>
        <v>20</v>
      </c>
      <c r="N59" s="1959">
        <f t="shared" si="15"/>
        <v>29</v>
      </c>
      <c r="O59" s="1959">
        <f t="shared" si="15"/>
        <v>39</v>
      </c>
      <c r="P59" s="1959">
        <f t="shared" si="15"/>
        <v>48</v>
      </c>
      <c r="Q59" s="1959">
        <f t="shared" si="15"/>
        <v>58</v>
      </c>
      <c r="R59" s="1959">
        <f t="shared" si="15"/>
        <v>68</v>
      </c>
      <c r="S59" s="1959">
        <f t="shared" si="15"/>
        <v>77</v>
      </c>
      <c r="T59" s="1959">
        <f t="shared" si="15"/>
        <v>87</v>
      </c>
      <c r="U59" s="1952">
        <f t="shared" si="15"/>
        <v>96</v>
      </c>
      <c r="V59" s="1804" t="s">
        <v>1593</v>
      </c>
      <c r="W59" s="1812">
        <v>13</v>
      </c>
      <c r="X59" s="2133">
        <f t="shared" si="12"/>
        <v>3</v>
      </c>
      <c r="Y59" s="2138">
        <f t="shared" si="12"/>
        <v>5</v>
      </c>
      <c r="Z59" s="2138">
        <f t="shared" si="12"/>
        <v>7</v>
      </c>
      <c r="AA59" s="2138">
        <f t="shared" si="12"/>
        <v>9</v>
      </c>
      <c r="AB59" s="2138">
        <f t="shared" si="12"/>
        <v>11</v>
      </c>
      <c r="AC59" s="2138">
        <f t="shared" si="12"/>
        <v>13</v>
      </c>
      <c r="AD59" s="2138">
        <f t="shared" si="12"/>
        <v>15</v>
      </c>
      <c r="AE59" s="2138">
        <f t="shared" si="12"/>
        <v>16</v>
      </c>
      <c r="AF59" s="2138">
        <f t="shared" si="12"/>
        <v>18</v>
      </c>
      <c r="AG59" s="2138">
        <f t="shared" si="12"/>
        <v>20</v>
      </c>
      <c r="AH59" s="2139">
        <f t="shared" si="13"/>
        <v>30</v>
      </c>
      <c r="AI59" s="2138">
        <f t="shared" si="12"/>
        <v>40</v>
      </c>
      <c r="AJ59" s="2138">
        <f t="shared" si="12"/>
        <v>49</v>
      </c>
      <c r="AK59" s="2138">
        <f t="shared" si="12"/>
        <v>59</v>
      </c>
      <c r="AL59" s="2138">
        <f t="shared" si="12"/>
        <v>68</v>
      </c>
      <c r="AM59" s="2138">
        <f t="shared" si="12"/>
        <v>78</v>
      </c>
      <c r="AN59" s="2138">
        <f t="shared" si="16"/>
        <v>88</v>
      </c>
      <c r="AO59" s="2134">
        <f t="shared" si="16"/>
        <v>97</v>
      </c>
      <c r="AP59" s="1804" t="s">
        <v>1593</v>
      </c>
      <c r="AQ59" s="1812">
        <v>13</v>
      </c>
      <c r="AR59" s="1951">
        <f t="shared" si="14"/>
        <v>5</v>
      </c>
      <c r="AS59" s="1959">
        <f t="shared" si="14"/>
        <v>7</v>
      </c>
      <c r="AT59" s="1959">
        <f t="shared" si="14"/>
        <v>9</v>
      </c>
      <c r="AU59" s="1959">
        <f t="shared" si="14"/>
        <v>11</v>
      </c>
      <c r="AV59" s="1959">
        <f t="shared" si="14"/>
        <v>13</v>
      </c>
      <c r="AW59" s="1959">
        <f t="shared" si="14"/>
        <v>15</v>
      </c>
      <c r="AX59" s="1959">
        <f t="shared" si="14"/>
        <v>17</v>
      </c>
      <c r="AY59" s="1959">
        <f t="shared" si="14"/>
        <v>19</v>
      </c>
      <c r="AZ59" s="1959">
        <f t="shared" si="14"/>
        <v>21</v>
      </c>
      <c r="BA59" s="1959">
        <f t="shared" si="14"/>
        <v>23</v>
      </c>
      <c r="BB59" s="1959">
        <f t="shared" si="14"/>
        <v>32</v>
      </c>
      <c r="BC59" s="1959">
        <f t="shared" si="14"/>
        <v>42</v>
      </c>
      <c r="BD59" s="1959">
        <f t="shared" si="14"/>
        <v>51</v>
      </c>
      <c r="BE59" s="1959">
        <f t="shared" si="14"/>
        <v>61</v>
      </c>
      <c r="BF59" s="1959">
        <f t="shared" si="14"/>
        <v>71</v>
      </c>
      <c r="BG59" s="1959">
        <f t="shared" si="14"/>
        <v>80</v>
      </c>
      <c r="BH59" s="1959">
        <f t="shared" si="17"/>
        <v>90</v>
      </c>
      <c r="BI59" s="1952">
        <f t="shared" si="17"/>
        <v>100</v>
      </c>
    </row>
    <row r="60" spans="2:61" ht="12.95" customHeight="1" outlineLevel="1">
      <c r="B60" s="1802" t="s">
        <v>1518</v>
      </c>
      <c r="C60" s="1813">
        <v>25</v>
      </c>
      <c r="D60" s="1949">
        <f t="shared" si="3"/>
        <v>1</v>
      </c>
      <c r="E60" s="1963">
        <f t="shared" si="15"/>
        <v>2</v>
      </c>
      <c r="F60" s="1963">
        <f t="shared" si="15"/>
        <v>3</v>
      </c>
      <c r="G60" s="1963">
        <f t="shared" si="15"/>
        <v>4</v>
      </c>
      <c r="H60" s="1963">
        <f t="shared" si="15"/>
        <v>5</v>
      </c>
      <c r="I60" s="1963">
        <f t="shared" si="15"/>
        <v>6</v>
      </c>
      <c r="J60" s="1963">
        <f t="shared" si="15"/>
        <v>7</v>
      </c>
      <c r="K60" s="1963">
        <f t="shared" si="15"/>
        <v>8</v>
      </c>
      <c r="L60" s="1963">
        <f t="shared" si="15"/>
        <v>9</v>
      </c>
      <c r="M60" s="1963">
        <f t="shared" si="15"/>
        <v>10</v>
      </c>
      <c r="N60" s="1963">
        <f t="shared" si="15"/>
        <v>15</v>
      </c>
      <c r="O60" s="1963">
        <f t="shared" si="15"/>
        <v>20</v>
      </c>
      <c r="P60" s="1963">
        <f t="shared" si="15"/>
        <v>25</v>
      </c>
      <c r="Q60" s="1963">
        <f t="shared" si="15"/>
        <v>30</v>
      </c>
      <c r="R60" s="1963">
        <f t="shared" si="15"/>
        <v>35</v>
      </c>
      <c r="S60" s="1963">
        <f t="shared" si="15"/>
        <v>40</v>
      </c>
      <c r="T60" s="1963">
        <f t="shared" si="15"/>
        <v>45</v>
      </c>
      <c r="U60" s="1950">
        <f t="shared" si="15"/>
        <v>50</v>
      </c>
      <c r="V60" s="1802" t="s">
        <v>1518</v>
      </c>
      <c r="W60" s="1813">
        <v>25</v>
      </c>
      <c r="X60" s="2135">
        <f t="shared" si="12"/>
        <v>1</v>
      </c>
      <c r="Y60" s="2139">
        <f t="shared" si="12"/>
        <v>2</v>
      </c>
      <c r="Z60" s="2139">
        <f t="shared" si="12"/>
        <v>3</v>
      </c>
      <c r="AA60" s="2139">
        <f t="shared" si="12"/>
        <v>4</v>
      </c>
      <c r="AB60" s="2139">
        <f t="shared" si="12"/>
        <v>5</v>
      </c>
      <c r="AC60" s="2139">
        <f t="shared" si="12"/>
        <v>6</v>
      </c>
      <c r="AD60" s="2139">
        <f t="shared" si="12"/>
        <v>7</v>
      </c>
      <c r="AE60" s="2139">
        <f t="shared" si="12"/>
        <v>8</v>
      </c>
      <c r="AF60" s="2139">
        <f t="shared" si="12"/>
        <v>9</v>
      </c>
      <c r="AG60" s="2139">
        <f t="shared" si="12"/>
        <v>10</v>
      </c>
      <c r="AH60" s="2139">
        <f t="shared" si="13"/>
        <v>15</v>
      </c>
      <c r="AI60" s="2139">
        <f t="shared" si="12"/>
        <v>20</v>
      </c>
      <c r="AJ60" s="2139">
        <f t="shared" si="12"/>
        <v>25</v>
      </c>
      <c r="AK60" s="2139">
        <f t="shared" si="12"/>
        <v>30</v>
      </c>
      <c r="AL60" s="2139">
        <f t="shared" si="12"/>
        <v>35</v>
      </c>
      <c r="AM60" s="2139">
        <f t="shared" si="12"/>
        <v>40</v>
      </c>
      <c r="AN60" s="2139">
        <f t="shared" si="16"/>
        <v>45</v>
      </c>
      <c r="AO60" s="2136">
        <f t="shared" si="16"/>
        <v>50</v>
      </c>
      <c r="AP60" s="1802" t="s">
        <v>1518</v>
      </c>
      <c r="AQ60" s="1813">
        <v>25</v>
      </c>
      <c r="AR60" s="1949">
        <f t="shared" si="14"/>
        <v>3</v>
      </c>
      <c r="AS60" s="1963">
        <f t="shared" si="14"/>
        <v>4</v>
      </c>
      <c r="AT60" s="1963">
        <f t="shared" si="14"/>
        <v>5</v>
      </c>
      <c r="AU60" s="1963">
        <f t="shared" si="14"/>
        <v>6</v>
      </c>
      <c r="AV60" s="1963">
        <f t="shared" si="14"/>
        <v>7</v>
      </c>
      <c r="AW60" s="1963">
        <f t="shared" si="14"/>
        <v>8</v>
      </c>
      <c r="AX60" s="1963">
        <f t="shared" si="14"/>
        <v>9</v>
      </c>
      <c r="AY60" s="1963">
        <f t="shared" si="14"/>
        <v>10</v>
      </c>
      <c r="AZ60" s="1963">
        <f t="shared" si="14"/>
        <v>11</v>
      </c>
      <c r="BA60" s="1963">
        <f t="shared" si="14"/>
        <v>12</v>
      </c>
      <c r="BB60" s="1963">
        <f t="shared" si="14"/>
        <v>17</v>
      </c>
      <c r="BC60" s="1963">
        <f t="shared" si="14"/>
        <v>22</v>
      </c>
      <c r="BD60" s="1963">
        <f t="shared" si="14"/>
        <v>27</v>
      </c>
      <c r="BE60" s="1963">
        <f t="shared" si="14"/>
        <v>32</v>
      </c>
      <c r="BF60" s="1963">
        <f t="shared" si="14"/>
        <v>37</v>
      </c>
      <c r="BG60" s="1963">
        <f t="shared" si="14"/>
        <v>42</v>
      </c>
      <c r="BH60" s="1963">
        <f t="shared" si="17"/>
        <v>47</v>
      </c>
      <c r="BI60" s="1950">
        <f t="shared" si="17"/>
        <v>52</v>
      </c>
    </row>
    <row r="61" spans="2:61" ht="12.95" customHeight="1" outlineLevel="1">
      <c r="B61" s="1804" t="s">
        <v>2323</v>
      </c>
      <c r="C61" s="1812">
        <v>25</v>
      </c>
      <c r="D61" s="1951">
        <f t="shared" si="3"/>
        <v>1</v>
      </c>
      <c r="E61" s="1959">
        <f t="shared" si="15"/>
        <v>2</v>
      </c>
      <c r="F61" s="1959">
        <f t="shared" si="15"/>
        <v>3</v>
      </c>
      <c r="G61" s="1959">
        <f t="shared" si="15"/>
        <v>4</v>
      </c>
      <c r="H61" s="1959">
        <f t="shared" si="15"/>
        <v>5</v>
      </c>
      <c r="I61" s="1959">
        <f t="shared" si="15"/>
        <v>6</v>
      </c>
      <c r="J61" s="1959">
        <f t="shared" si="15"/>
        <v>7</v>
      </c>
      <c r="K61" s="1959">
        <f t="shared" si="15"/>
        <v>8</v>
      </c>
      <c r="L61" s="1959">
        <f t="shared" si="15"/>
        <v>9</v>
      </c>
      <c r="M61" s="1959">
        <f t="shared" si="15"/>
        <v>10</v>
      </c>
      <c r="N61" s="1959">
        <f t="shared" si="15"/>
        <v>15</v>
      </c>
      <c r="O61" s="1959">
        <f t="shared" si="15"/>
        <v>20</v>
      </c>
      <c r="P61" s="1959">
        <f t="shared" si="15"/>
        <v>25</v>
      </c>
      <c r="Q61" s="1959">
        <f t="shared" si="15"/>
        <v>30</v>
      </c>
      <c r="R61" s="1959">
        <f t="shared" si="15"/>
        <v>35</v>
      </c>
      <c r="S61" s="1959">
        <f t="shared" si="15"/>
        <v>40</v>
      </c>
      <c r="T61" s="1959">
        <f t="shared" si="15"/>
        <v>45</v>
      </c>
      <c r="U61" s="1952">
        <f t="shared" si="15"/>
        <v>50</v>
      </c>
      <c r="V61" s="1804" t="s">
        <v>2323</v>
      </c>
      <c r="W61" s="1812">
        <v>25</v>
      </c>
      <c r="X61" s="2133">
        <f t="shared" si="12"/>
        <v>1</v>
      </c>
      <c r="Y61" s="2138">
        <f t="shared" si="12"/>
        <v>2</v>
      </c>
      <c r="Z61" s="2138">
        <f t="shared" si="12"/>
        <v>3</v>
      </c>
      <c r="AA61" s="2138">
        <f t="shared" si="12"/>
        <v>4</v>
      </c>
      <c r="AB61" s="2138">
        <f t="shared" si="12"/>
        <v>5</v>
      </c>
      <c r="AC61" s="2138">
        <f t="shared" si="12"/>
        <v>6</v>
      </c>
      <c r="AD61" s="2138">
        <f t="shared" si="12"/>
        <v>7</v>
      </c>
      <c r="AE61" s="2138">
        <f t="shared" si="12"/>
        <v>8</v>
      </c>
      <c r="AF61" s="2138">
        <f t="shared" si="12"/>
        <v>9</v>
      </c>
      <c r="AG61" s="2138">
        <f t="shared" si="12"/>
        <v>10</v>
      </c>
      <c r="AH61" s="2139">
        <f t="shared" si="13"/>
        <v>15</v>
      </c>
      <c r="AI61" s="2138">
        <f t="shared" si="12"/>
        <v>20</v>
      </c>
      <c r="AJ61" s="2138">
        <f t="shared" si="12"/>
        <v>25</v>
      </c>
      <c r="AK61" s="2138">
        <f t="shared" si="12"/>
        <v>30</v>
      </c>
      <c r="AL61" s="2138">
        <f t="shared" si="12"/>
        <v>35</v>
      </c>
      <c r="AM61" s="2138">
        <f t="shared" si="12"/>
        <v>40</v>
      </c>
      <c r="AN61" s="2138">
        <f t="shared" si="16"/>
        <v>45</v>
      </c>
      <c r="AO61" s="2134">
        <f t="shared" si="16"/>
        <v>50</v>
      </c>
      <c r="AP61" s="1804" t="s">
        <v>2323</v>
      </c>
      <c r="AQ61" s="1812">
        <v>25</v>
      </c>
      <c r="AR61" s="1951">
        <f t="shared" si="14"/>
        <v>3</v>
      </c>
      <c r="AS61" s="1959">
        <f t="shared" si="14"/>
        <v>4</v>
      </c>
      <c r="AT61" s="1959">
        <f t="shared" si="14"/>
        <v>5</v>
      </c>
      <c r="AU61" s="1959">
        <f t="shared" si="14"/>
        <v>6</v>
      </c>
      <c r="AV61" s="1959">
        <f t="shared" si="14"/>
        <v>7</v>
      </c>
      <c r="AW61" s="1959">
        <f t="shared" si="14"/>
        <v>8</v>
      </c>
      <c r="AX61" s="1959">
        <f t="shared" si="14"/>
        <v>9</v>
      </c>
      <c r="AY61" s="1959">
        <f t="shared" si="14"/>
        <v>10</v>
      </c>
      <c r="AZ61" s="1959">
        <f t="shared" si="14"/>
        <v>11</v>
      </c>
      <c r="BA61" s="1959">
        <f t="shared" si="14"/>
        <v>12</v>
      </c>
      <c r="BB61" s="1959">
        <f t="shared" si="14"/>
        <v>17</v>
      </c>
      <c r="BC61" s="1959">
        <f t="shared" si="14"/>
        <v>22</v>
      </c>
      <c r="BD61" s="1959">
        <f t="shared" si="14"/>
        <v>27</v>
      </c>
      <c r="BE61" s="1959">
        <f t="shared" si="14"/>
        <v>32</v>
      </c>
      <c r="BF61" s="1959">
        <f t="shared" si="14"/>
        <v>37</v>
      </c>
      <c r="BG61" s="1959">
        <f t="shared" si="14"/>
        <v>42</v>
      </c>
      <c r="BH61" s="1959">
        <f t="shared" si="17"/>
        <v>47</v>
      </c>
      <c r="BI61" s="1952">
        <f t="shared" si="17"/>
        <v>52</v>
      </c>
    </row>
    <row r="62" spans="2:61" ht="12.95" customHeight="1" outlineLevel="1">
      <c r="B62" s="1802" t="s">
        <v>1686</v>
      </c>
      <c r="C62" s="1813">
        <v>35</v>
      </c>
      <c r="D62" s="1949">
        <f t="shared" si="3"/>
        <v>1</v>
      </c>
      <c r="E62" s="1963">
        <f t="shared" si="15"/>
        <v>1</v>
      </c>
      <c r="F62" s="1963">
        <f t="shared" si="15"/>
        <v>2</v>
      </c>
      <c r="G62" s="1963">
        <f t="shared" si="15"/>
        <v>3</v>
      </c>
      <c r="H62" s="1963">
        <f t="shared" si="15"/>
        <v>3</v>
      </c>
      <c r="I62" s="1963">
        <f t="shared" si="15"/>
        <v>4</v>
      </c>
      <c r="J62" s="1963">
        <f t="shared" si="15"/>
        <v>5</v>
      </c>
      <c r="K62" s="1963">
        <f t="shared" si="15"/>
        <v>6</v>
      </c>
      <c r="L62" s="1963">
        <f t="shared" si="15"/>
        <v>6</v>
      </c>
      <c r="M62" s="1963">
        <f t="shared" si="15"/>
        <v>7</v>
      </c>
      <c r="N62" s="1963">
        <f t="shared" si="15"/>
        <v>11</v>
      </c>
      <c r="O62" s="1963">
        <f t="shared" si="15"/>
        <v>14</v>
      </c>
      <c r="P62" s="1963">
        <f t="shared" si="15"/>
        <v>18</v>
      </c>
      <c r="Q62" s="1963">
        <f t="shared" si="15"/>
        <v>21</v>
      </c>
      <c r="R62" s="1963">
        <f t="shared" si="15"/>
        <v>25</v>
      </c>
      <c r="S62" s="1963">
        <f t="shared" si="15"/>
        <v>28</v>
      </c>
      <c r="T62" s="1963">
        <f t="shared" si="15"/>
        <v>32</v>
      </c>
      <c r="U62" s="1950">
        <f t="shared" si="15"/>
        <v>36</v>
      </c>
      <c r="V62" s="1802" t="s">
        <v>1686</v>
      </c>
      <c r="W62" s="1813">
        <v>35</v>
      </c>
      <c r="X62" s="2135">
        <f t="shared" si="12"/>
        <v>1</v>
      </c>
      <c r="Y62" s="2139">
        <f t="shared" si="12"/>
        <v>2</v>
      </c>
      <c r="Z62" s="2139">
        <f t="shared" si="12"/>
        <v>2</v>
      </c>
      <c r="AA62" s="2139">
        <f t="shared" si="12"/>
        <v>3</v>
      </c>
      <c r="AB62" s="2139">
        <f t="shared" si="12"/>
        <v>4</v>
      </c>
      <c r="AC62" s="2139">
        <f t="shared" si="12"/>
        <v>4</v>
      </c>
      <c r="AD62" s="2139">
        <f t="shared" si="12"/>
        <v>5</v>
      </c>
      <c r="AE62" s="2139">
        <f t="shared" si="12"/>
        <v>6</v>
      </c>
      <c r="AF62" s="2139">
        <f t="shared" si="12"/>
        <v>7</v>
      </c>
      <c r="AG62" s="2139">
        <f t="shared" si="12"/>
        <v>7</v>
      </c>
      <c r="AH62" s="2139">
        <f t="shared" si="13"/>
        <v>11</v>
      </c>
      <c r="AI62" s="2139">
        <f t="shared" si="12"/>
        <v>14</v>
      </c>
      <c r="AJ62" s="2139">
        <f t="shared" si="12"/>
        <v>18</v>
      </c>
      <c r="AK62" s="2139">
        <f t="shared" si="12"/>
        <v>22</v>
      </c>
      <c r="AL62" s="2139">
        <f t="shared" si="12"/>
        <v>25</v>
      </c>
      <c r="AM62" s="2139">
        <f t="shared" si="12"/>
        <v>29</v>
      </c>
      <c r="AN62" s="2139">
        <f t="shared" si="16"/>
        <v>32</v>
      </c>
      <c r="AO62" s="2136">
        <f t="shared" si="16"/>
        <v>36</v>
      </c>
      <c r="AP62" s="1802" t="s">
        <v>1686</v>
      </c>
      <c r="AQ62" s="1813">
        <v>35</v>
      </c>
      <c r="AR62" s="1949">
        <f t="shared" si="14"/>
        <v>2</v>
      </c>
      <c r="AS62" s="1963">
        <f t="shared" si="14"/>
        <v>2</v>
      </c>
      <c r="AT62" s="1963">
        <f t="shared" si="14"/>
        <v>3</v>
      </c>
      <c r="AU62" s="1963">
        <f t="shared" si="14"/>
        <v>4</v>
      </c>
      <c r="AV62" s="1963">
        <f t="shared" si="14"/>
        <v>5</v>
      </c>
      <c r="AW62" s="1963">
        <f t="shared" si="14"/>
        <v>5</v>
      </c>
      <c r="AX62" s="1963">
        <f t="shared" si="14"/>
        <v>6</v>
      </c>
      <c r="AY62" s="1963">
        <f t="shared" si="14"/>
        <v>7</v>
      </c>
      <c r="AZ62" s="1963">
        <f t="shared" si="14"/>
        <v>7</v>
      </c>
      <c r="BA62" s="1963">
        <f t="shared" si="14"/>
        <v>8</v>
      </c>
      <c r="BB62" s="1963">
        <f t="shared" si="14"/>
        <v>12</v>
      </c>
      <c r="BC62" s="1963">
        <f t="shared" si="14"/>
        <v>15</v>
      </c>
      <c r="BD62" s="1963">
        <f t="shared" si="14"/>
        <v>19</v>
      </c>
      <c r="BE62" s="1963">
        <f t="shared" si="14"/>
        <v>22</v>
      </c>
      <c r="BF62" s="1963">
        <f t="shared" si="14"/>
        <v>26</v>
      </c>
      <c r="BG62" s="1963">
        <f t="shared" si="14"/>
        <v>30</v>
      </c>
      <c r="BH62" s="1963">
        <f t="shared" si="17"/>
        <v>33</v>
      </c>
      <c r="BI62" s="1950">
        <f t="shared" si="17"/>
        <v>37</v>
      </c>
    </row>
    <row r="63" spans="2:61" ht="12.95" customHeight="1" outlineLevel="1">
      <c r="B63" s="1804" t="s">
        <v>1519</v>
      </c>
      <c r="C63" s="1812">
        <v>40</v>
      </c>
      <c r="D63" s="1824">
        <f t="shared" si="3"/>
        <v>0</v>
      </c>
      <c r="E63" s="1959">
        <f t="shared" si="15"/>
        <v>1</v>
      </c>
      <c r="F63" s="1959">
        <f t="shared" si="15"/>
        <v>2</v>
      </c>
      <c r="G63" s="1959">
        <f t="shared" si="15"/>
        <v>2</v>
      </c>
      <c r="H63" s="1959">
        <f t="shared" si="15"/>
        <v>3</v>
      </c>
      <c r="I63" s="1959">
        <f t="shared" si="15"/>
        <v>4</v>
      </c>
      <c r="J63" s="1959">
        <f t="shared" si="15"/>
        <v>4</v>
      </c>
      <c r="K63" s="1959">
        <f t="shared" si="15"/>
        <v>5</v>
      </c>
      <c r="L63" s="1959">
        <f t="shared" si="15"/>
        <v>5</v>
      </c>
      <c r="M63" s="1959">
        <f t="shared" si="15"/>
        <v>6</v>
      </c>
      <c r="N63" s="1959">
        <f t="shared" si="15"/>
        <v>9</v>
      </c>
      <c r="O63" s="1959">
        <f t="shared" si="15"/>
        <v>12</v>
      </c>
      <c r="P63" s="1959">
        <f t="shared" si="15"/>
        <v>15</v>
      </c>
      <c r="Q63" s="1959">
        <f t="shared" si="15"/>
        <v>19</v>
      </c>
      <c r="R63" s="1959">
        <f t="shared" si="15"/>
        <v>22</v>
      </c>
      <c r="S63" s="1959">
        <f t="shared" si="15"/>
        <v>25</v>
      </c>
      <c r="T63" s="1959">
        <f t="shared" si="15"/>
        <v>28</v>
      </c>
      <c r="U63" s="1952">
        <f t="shared" si="15"/>
        <v>31</v>
      </c>
      <c r="V63" s="1804" t="s">
        <v>1519</v>
      </c>
      <c r="W63" s="1812">
        <v>40</v>
      </c>
      <c r="X63" s="2133">
        <f t="shared" si="12"/>
        <v>1</v>
      </c>
      <c r="Y63" s="2138">
        <f t="shared" si="12"/>
        <v>1</v>
      </c>
      <c r="Z63" s="2138">
        <f t="shared" si="12"/>
        <v>2</v>
      </c>
      <c r="AA63" s="2138">
        <f t="shared" si="12"/>
        <v>3</v>
      </c>
      <c r="AB63" s="2138">
        <f t="shared" si="12"/>
        <v>3</v>
      </c>
      <c r="AC63" s="2138">
        <f t="shared" si="12"/>
        <v>4</v>
      </c>
      <c r="AD63" s="2138">
        <f t="shared" si="12"/>
        <v>4</v>
      </c>
      <c r="AE63" s="2138">
        <f t="shared" si="12"/>
        <v>5</v>
      </c>
      <c r="AF63" s="2138">
        <f t="shared" si="12"/>
        <v>6</v>
      </c>
      <c r="AG63" s="2138">
        <f t="shared" si="12"/>
        <v>6</v>
      </c>
      <c r="AH63" s="2139">
        <f t="shared" si="13"/>
        <v>9</v>
      </c>
      <c r="AI63" s="2138">
        <f t="shared" si="12"/>
        <v>13</v>
      </c>
      <c r="AJ63" s="2138">
        <f t="shared" si="12"/>
        <v>16</v>
      </c>
      <c r="AK63" s="2138">
        <f t="shared" si="12"/>
        <v>19</v>
      </c>
      <c r="AL63" s="2138">
        <f t="shared" si="12"/>
        <v>22</v>
      </c>
      <c r="AM63" s="2138">
        <f t="shared" si="12"/>
        <v>25</v>
      </c>
      <c r="AN63" s="2138">
        <f t="shared" si="16"/>
        <v>28</v>
      </c>
      <c r="AO63" s="2134">
        <f t="shared" si="16"/>
        <v>31</v>
      </c>
      <c r="AP63" s="1804" t="s">
        <v>1519</v>
      </c>
      <c r="AQ63" s="1812">
        <v>40</v>
      </c>
      <c r="AR63" s="1951">
        <f t="shared" si="14"/>
        <v>1</v>
      </c>
      <c r="AS63" s="1959">
        <f t="shared" si="14"/>
        <v>2</v>
      </c>
      <c r="AT63" s="1959">
        <f t="shared" si="14"/>
        <v>3</v>
      </c>
      <c r="AU63" s="1959">
        <f t="shared" si="14"/>
        <v>3</v>
      </c>
      <c r="AV63" s="1959">
        <f t="shared" si="14"/>
        <v>4</v>
      </c>
      <c r="AW63" s="1959">
        <f t="shared" si="14"/>
        <v>5</v>
      </c>
      <c r="AX63" s="1959">
        <f t="shared" si="14"/>
        <v>5</v>
      </c>
      <c r="AY63" s="1959">
        <f t="shared" si="14"/>
        <v>6</v>
      </c>
      <c r="AZ63" s="1959">
        <f t="shared" si="14"/>
        <v>6</v>
      </c>
      <c r="BA63" s="1959">
        <f t="shared" si="14"/>
        <v>7</v>
      </c>
      <c r="BB63" s="1959">
        <f t="shared" si="14"/>
        <v>10</v>
      </c>
      <c r="BC63" s="1959">
        <f t="shared" si="14"/>
        <v>13</v>
      </c>
      <c r="BD63" s="1959">
        <f t="shared" si="14"/>
        <v>16</v>
      </c>
      <c r="BE63" s="1959">
        <f t="shared" si="14"/>
        <v>20</v>
      </c>
      <c r="BF63" s="1959">
        <f t="shared" si="14"/>
        <v>23</v>
      </c>
      <c r="BG63" s="1959">
        <f t="shared" si="14"/>
        <v>26</v>
      </c>
      <c r="BH63" s="1959">
        <f t="shared" si="17"/>
        <v>29</v>
      </c>
      <c r="BI63" s="1952">
        <f t="shared" si="17"/>
        <v>32</v>
      </c>
    </row>
    <row r="64" spans="2:61" ht="12.95" customHeight="1" outlineLevel="1">
      <c r="B64" s="1802" t="s">
        <v>1520</v>
      </c>
      <c r="C64" s="1813">
        <v>45</v>
      </c>
      <c r="D64" s="1823">
        <f t="shared" si="3"/>
        <v>0</v>
      </c>
      <c r="E64" s="1963">
        <f t="shared" si="15"/>
        <v>1</v>
      </c>
      <c r="F64" s="1963">
        <f t="shared" si="15"/>
        <v>1</v>
      </c>
      <c r="G64" s="1963">
        <f t="shared" si="15"/>
        <v>2</v>
      </c>
      <c r="H64" s="1963">
        <f t="shared" si="15"/>
        <v>3</v>
      </c>
      <c r="I64" s="1963">
        <f t="shared" si="15"/>
        <v>3</v>
      </c>
      <c r="J64" s="1963">
        <f t="shared" si="15"/>
        <v>4</v>
      </c>
      <c r="K64" s="1963">
        <f t="shared" si="15"/>
        <v>4</v>
      </c>
      <c r="L64" s="1963">
        <f t="shared" si="15"/>
        <v>5</v>
      </c>
      <c r="M64" s="1963">
        <f t="shared" si="15"/>
        <v>5</v>
      </c>
      <c r="N64" s="1963">
        <f t="shared" si="15"/>
        <v>8</v>
      </c>
      <c r="O64" s="1963">
        <f t="shared" si="15"/>
        <v>11</v>
      </c>
      <c r="P64" s="1963">
        <f t="shared" si="15"/>
        <v>14</v>
      </c>
      <c r="Q64" s="1963">
        <f t="shared" si="15"/>
        <v>16</v>
      </c>
      <c r="R64" s="1963">
        <f t="shared" si="15"/>
        <v>19</v>
      </c>
      <c r="S64" s="1963">
        <f t="shared" si="15"/>
        <v>22</v>
      </c>
      <c r="T64" s="1963">
        <f t="shared" si="15"/>
        <v>25</v>
      </c>
      <c r="U64" s="1950">
        <f t="shared" si="15"/>
        <v>28</v>
      </c>
      <c r="V64" s="1802" t="s">
        <v>1520</v>
      </c>
      <c r="W64" s="1813">
        <v>45</v>
      </c>
      <c r="X64" s="2135">
        <f t="shared" si="12"/>
        <v>1</v>
      </c>
      <c r="Y64" s="2139">
        <f t="shared" si="12"/>
        <v>1</v>
      </c>
      <c r="Z64" s="2139">
        <f t="shared" si="12"/>
        <v>2</v>
      </c>
      <c r="AA64" s="2139">
        <f t="shared" si="12"/>
        <v>2</v>
      </c>
      <c r="AB64" s="2139">
        <f t="shared" si="12"/>
        <v>3</v>
      </c>
      <c r="AC64" s="2139">
        <f t="shared" si="12"/>
        <v>3</v>
      </c>
      <c r="AD64" s="2139">
        <f t="shared" si="12"/>
        <v>4</v>
      </c>
      <c r="AE64" s="2139">
        <f t="shared" si="12"/>
        <v>4</v>
      </c>
      <c r="AF64" s="2139">
        <f t="shared" si="12"/>
        <v>5</v>
      </c>
      <c r="AG64" s="2139">
        <f t="shared" si="12"/>
        <v>6</v>
      </c>
      <c r="AH64" s="2139">
        <f t="shared" si="13"/>
        <v>8</v>
      </c>
      <c r="AI64" s="2139">
        <f t="shared" si="12"/>
        <v>11</v>
      </c>
      <c r="AJ64" s="2139">
        <f t="shared" si="12"/>
        <v>14</v>
      </c>
      <c r="AK64" s="2139">
        <f t="shared" si="12"/>
        <v>17</v>
      </c>
      <c r="AL64" s="2139">
        <f t="shared" si="12"/>
        <v>19</v>
      </c>
      <c r="AM64" s="2139">
        <f t="shared" si="12"/>
        <v>22</v>
      </c>
      <c r="AN64" s="2139">
        <f t="shared" si="16"/>
        <v>25</v>
      </c>
      <c r="AO64" s="2136">
        <f t="shared" si="16"/>
        <v>28</v>
      </c>
      <c r="AP64" s="1802" t="s">
        <v>1520</v>
      </c>
      <c r="AQ64" s="1813">
        <v>45</v>
      </c>
      <c r="AR64" s="1949">
        <f t="shared" si="14"/>
        <v>1</v>
      </c>
      <c r="AS64" s="1963">
        <f t="shared" si="14"/>
        <v>2</v>
      </c>
      <c r="AT64" s="1963">
        <f t="shared" si="14"/>
        <v>2</v>
      </c>
      <c r="AU64" s="1963">
        <f t="shared" si="14"/>
        <v>3</v>
      </c>
      <c r="AV64" s="1963">
        <f t="shared" si="14"/>
        <v>3</v>
      </c>
      <c r="AW64" s="1963">
        <f t="shared" si="14"/>
        <v>4</v>
      </c>
      <c r="AX64" s="1963">
        <f t="shared" si="14"/>
        <v>5</v>
      </c>
      <c r="AY64" s="1963">
        <f t="shared" si="14"/>
        <v>5</v>
      </c>
      <c r="AZ64" s="1963">
        <f t="shared" si="14"/>
        <v>6</v>
      </c>
      <c r="BA64" s="1963">
        <f t="shared" si="14"/>
        <v>6</v>
      </c>
      <c r="BB64" s="1963">
        <f t="shared" si="14"/>
        <v>9</v>
      </c>
      <c r="BC64" s="1963">
        <f t="shared" si="14"/>
        <v>12</v>
      </c>
      <c r="BD64" s="1963">
        <f t="shared" si="14"/>
        <v>15</v>
      </c>
      <c r="BE64" s="1963">
        <f t="shared" si="14"/>
        <v>17</v>
      </c>
      <c r="BF64" s="1963">
        <f t="shared" si="14"/>
        <v>20</v>
      </c>
      <c r="BG64" s="1963">
        <f t="shared" si="14"/>
        <v>23</v>
      </c>
      <c r="BH64" s="1963">
        <f t="shared" si="17"/>
        <v>26</v>
      </c>
      <c r="BI64" s="1950">
        <f t="shared" si="17"/>
        <v>28</v>
      </c>
    </row>
    <row r="65" spans="2:61" ht="12.95" customHeight="1" outlineLevel="1">
      <c r="B65" s="1804" t="s">
        <v>1521</v>
      </c>
      <c r="C65" s="1812">
        <v>45</v>
      </c>
      <c r="D65" s="1824">
        <f t="shared" si="3"/>
        <v>0</v>
      </c>
      <c r="E65" s="1959">
        <f t="shared" si="15"/>
        <v>1</v>
      </c>
      <c r="F65" s="1959">
        <f t="shared" si="15"/>
        <v>1</v>
      </c>
      <c r="G65" s="1959">
        <f t="shared" si="15"/>
        <v>2</v>
      </c>
      <c r="H65" s="1959">
        <f t="shared" si="15"/>
        <v>3</v>
      </c>
      <c r="I65" s="1959">
        <f t="shared" si="15"/>
        <v>3</v>
      </c>
      <c r="J65" s="1959">
        <f t="shared" si="15"/>
        <v>4</v>
      </c>
      <c r="K65" s="1959">
        <f t="shared" si="15"/>
        <v>4</v>
      </c>
      <c r="L65" s="1959">
        <f t="shared" si="15"/>
        <v>5</v>
      </c>
      <c r="M65" s="1959">
        <f t="shared" si="15"/>
        <v>5</v>
      </c>
      <c r="N65" s="1959">
        <f t="shared" si="15"/>
        <v>8</v>
      </c>
      <c r="O65" s="1959">
        <f t="shared" si="15"/>
        <v>11</v>
      </c>
      <c r="P65" s="1959">
        <f t="shared" si="15"/>
        <v>14</v>
      </c>
      <c r="Q65" s="1959">
        <f t="shared" si="15"/>
        <v>16</v>
      </c>
      <c r="R65" s="1959">
        <f t="shared" si="15"/>
        <v>19</v>
      </c>
      <c r="S65" s="1959">
        <f t="shared" si="15"/>
        <v>22</v>
      </c>
      <c r="T65" s="1959">
        <f t="shared" si="15"/>
        <v>25</v>
      </c>
      <c r="U65" s="1952">
        <f t="shared" si="15"/>
        <v>28</v>
      </c>
      <c r="V65" s="1804" t="s">
        <v>1521</v>
      </c>
      <c r="W65" s="1812">
        <v>45</v>
      </c>
      <c r="X65" s="2133">
        <f t="shared" si="12"/>
        <v>1</v>
      </c>
      <c r="Y65" s="2138">
        <f t="shared" si="12"/>
        <v>1</v>
      </c>
      <c r="Z65" s="2138">
        <f t="shared" si="12"/>
        <v>2</v>
      </c>
      <c r="AA65" s="2138">
        <f t="shared" si="12"/>
        <v>2</v>
      </c>
      <c r="AB65" s="2138">
        <f t="shared" si="12"/>
        <v>3</v>
      </c>
      <c r="AC65" s="2138">
        <f t="shared" si="12"/>
        <v>3</v>
      </c>
      <c r="AD65" s="2138">
        <f t="shared" si="12"/>
        <v>4</v>
      </c>
      <c r="AE65" s="2138">
        <f t="shared" si="12"/>
        <v>4</v>
      </c>
      <c r="AF65" s="2138">
        <f t="shared" si="12"/>
        <v>5</v>
      </c>
      <c r="AG65" s="2138">
        <f t="shared" si="12"/>
        <v>6</v>
      </c>
      <c r="AH65" s="2139">
        <f t="shared" si="13"/>
        <v>8</v>
      </c>
      <c r="AI65" s="2138">
        <f t="shared" si="12"/>
        <v>11</v>
      </c>
      <c r="AJ65" s="2138">
        <f t="shared" si="12"/>
        <v>14</v>
      </c>
      <c r="AK65" s="2138">
        <f t="shared" si="12"/>
        <v>17</v>
      </c>
      <c r="AL65" s="2138">
        <f t="shared" si="12"/>
        <v>19</v>
      </c>
      <c r="AM65" s="2138">
        <f t="shared" si="12"/>
        <v>22</v>
      </c>
      <c r="AN65" s="2138">
        <f t="shared" si="16"/>
        <v>25</v>
      </c>
      <c r="AO65" s="2134">
        <f t="shared" si="16"/>
        <v>28</v>
      </c>
      <c r="AP65" s="1804" t="s">
        <v>1521</v>
      </c>
      <c r="AQ65" s="1812">
        <v>45</v>
      </c>
      <c r="AR65" s="1951">
        <f t="shared" si="14"/>
        <v>1</v>
      </c>
      <c r="AS65" s="1959">
        <f t="shared" si="14"/>
        <v>2</v>
      </c>
      <c r="AT65" s="1959">
        <f t="shared" si="14"/>
        <v>2</v>
      </c>
      <c r="AU65" s="1959">
        <f t="shared" si="14"/>
        <v>3</v>
      </c>
      <c r="AV65" s="1959">
        <f t="shared" si="14"/>
        <v>3</v>
      </c>
      <c r="AW65" s="1959">
        <f t="shared" si="14"/>
        <v>4</v>
      </c>
      <c r="AX65" s="1959">
        <f t="shared" si="14"/>
        <v>5</v>
      </c>
      <c r="AY65" s="1959">
        <f t="shared" si="14"/>
        <v>5</v>
      </c>
      <c r="AZ65" s="1959">
        <f t="shared" si="14"/>
        <v>6</v>
      </c>
      <c r="BA65" s="1959">
        <f t="shared" si="14"/>
        <v>6</v>
      </c>
      <c r="BB65" s="1959">
        <f t="shared" si="14"/>
        <v>9</v>
      </c>
      <c r="BC65" s="1959">
        <f t="shared" si="14"/>
        <v>12</v>
      </c>
      <c r="BD65" s="1959">
        <f t="shared" si="14"/>
        <v>15</v>
      </c>
      <c r="BE65" s="1959">
        <f t="shared" si="14"/>
        <v>17</v>
      </c>
      <c r="BF65" s="1959">
        <f t="shared" si="14"/>
        <v>20</v>
      </c>
      <c r="BG65" s="1959">
        <f t="shared" si="14"/>
        <v>23</v>
      </c>
      <c r="BH65" s="1959">
        <f t="shared" si="17"/>
        <v>26</v>
      </c>
      <c r="BI65" s="1952">
        <f t="shared" si="17"/>
        <v>28</v>
      </c>
    </row>
    <row r="66" spans="2:61" ht="12.95" customHeight="1" outlineLevel="1">
      <c r="B66" s="1802" t="s">
        <v>3063</v>
      </c>
      <c r="C66" s="1813">
        <v>90</v>
      </c>
      <c r="D66" s="1823">
        <f t="shared" si="3"/>
        <v>0</v>
      </c>
      <c r="E66" s="1826">
        <f t="shared" si="15"/>
        <v>0</v>
      </c>
      <c r="F66" s="1826">
        <f t="shared" si="15"/>
        <v>0</v>
      </c>
      <c r="G66" s="1963">
        <f t="shared" si="15"/>
        <v>1</v>
      </c>
      <c r="H66" s="1963">
        <f t="shared" si="15"/>
        <v>1</v>
      </c>
      <c r="I66" s="1963">
        <f t="shared" si="15"/>
        <v>1</v>
      </c>
      <c r="J66" s="1963">
        <f t="shared" si="15"/>
        <v>2</v>
      </c>
      <c r="K66" s="1963">
        <f t="shared" si="15"/>
        <v>2</v>
      </c>
      <c r="L66" s="1963">
        <f t="shared" si="15"/>
        <v>2</v>
      </c>
      <c r="M66" s="1963">
        <f t="shared" si="15"/>
        <v>2</v>
      </c>
      <c r="N66" s="1963">
        <f t="shared" si="15"/>
        <v>4</v>
      </c>
      <c r="O66" s="1963">
        <f t="shared" si="15"/>
        <v>5</v>
      </c>
      <c r="P66" s="1963">
        <f t="shared" si="15"/>
        <v>7</v>
      </c>
      <c r="Q66" s="1963">
        <f t="shared" si="15"/>
        <v>8</v>
      </c>
      <c r="R66" s="1963">
        <f t="shared" si="15"/>
        <v>9</v>
      </c>
      <c r="S66" s="1963">
        <f t="shared" si="15"/>
        <v>11</v>
      </c>
      <c r="T66" s="1963">
        <f t="shared" si="15"/>
        <v>12</v>
      </c>
      <c r="U66" s="1950">
        <f t="shared" si="15"/>
        <v>14</v>
      </c>
      <c r="V66" s="1802" t="s">
        <v>3063</v>
      </c>
      <c r="W66" s="1813">
        <v>90</v>
      </c>
      <c r="X66" s="1823">
        <f t="shared" si="12"/>
        <v>0</v>
      </c>
      <c r="Y66" s="1826">
        <f t="shared" si="12"/>
        <v>0</v>
      </c>
      <c r="Z66" s="2139">
        <f t="shared" si="12"/>
        <v>1</v>
      </c>
      <c r="AA66" s="2139">
        <f t="shared" si="12"/>
        <v>1</v>
      </c>
      <c r="AB66" s="2139">
        <f t="shared" si="12"/>
        <v>1</v>
      </c>
      <c r="AC66" s="2139">
        <f t="shared" si="12"/>
        <v>1</v>
      </c>
      <c r="AD66" s="2139">
        <f t="shared" si="12"/>
        <v>2</v>
      </c>
      <c r="AE66" s="2139">
        <f t="shared" si="12"/>
        <v>2</v>
      </c>
      <c r="AF66" s="2139">
        <f t="shared" si="12"/>
        <v>2</v>
      </c>
      <c r="AG66" s="2139">
        <f t="shared" si="12"/>
        <v>3</v>
      </c>
      <c r="AH66" s="2139">
        <f t="shared" si="13"/>
        <v>4</v>
      </c>
      <c r="AI66" s="2139">
        <f t="shared" si="12"/>
        <v>5</v>
      </c>
      <c r="AJ66" s="2139">
        <f t="shared" si="12"/>
        <v>7</v>
      </c>
      <c r="AK66" s="2139">
        <f t="shared" si="12"/>
        <v>8</v>
      </c>
      <c r="AL66" s="2139">
        <f t="shared" si="12"/>
        <v>9</v>
      </c>
      <c r="AM66" s="2139">
        <f t="shared" si="12"/>
        <v>11</v>
      </c>
      <c r="AN66" s="2139">
        <f t="shared" si="16"/>
        <v>12</v>
      </c>
      <c r="AO66" s="2136">
        <f t="shared" si="16"/>
        <v>14</v>
      </c>
      <c r="AP66" s="1802" t="s">
        <v>3063</v>
      </c>
      <c r="AQ66" s="1813">
        <v>90</v>
      </c>
      <c r="AR66" s="1823">
        <f t="shared" si="14"/>
        <v>0</v>
      </c>
      <c r="AS66" s="1963">
        <f t="shared" si="14"/>
        <v>1</v>
      </c>
      <c r="AT66" s="1963">
        <f t="shared" si="14"/>
        <v>1</v>
      </c>
      <c r="AU66" s="1963">
        <f t="shared" si="14"/>
        <v>1</v>
      </c>
      <c r="AV66" s="1963">
        <f t="shared" si="14"/>
        <v>1</v>
      </c>
      <c r="AW66" s="1963">
        <f t="shared" si="14"/>
        <v>2</v>
      </c>
      <c r="AX66" s="1963">
        <f t="shared" si="14"/>
        <v>2</v>
      </c>
      <c r="AY66" s="1963">
        <f t="shared" si="14"/>
        <v>2</v>
      </c>
      <c r="AZ66" s="1963">
        <f t="shared" si="14"/>
        <v>3</v>
      </c>
      <c r="BA66" s="1963">
        <f t="shared" si="14"/>
        <v>3</v>
      </c>
      <c r="BB66" s="1963">
        <f t="shared" si="14"/>
        <v>4</v>
      </c>
      <c r="BC66" s="1963">
        <f t="shared" si="14"/>
        <v>6</v>
      </c>
      <c r="BD66" s="1963">
        <f t="shared" si="14"/>
        <v>7</v>
      </c>
      <c r="BE66" s="1963">
        <f t="shared" si="14"/>
        <v>8</v>
      </c>
      <c r="BF66" s="1963">
        <f t="shared" si="14"/>
        <v>10</v>
      </c>
      <c r="BG66" s="1963">
        <f t="shared" si="14"/>
        <v>11</v>
      </c>
      <c r="BH66" s="1963">
        <f t="shared" si="17"/>
        <v>13</v>
      </c>
      <c r="BI66" s="1950">
        <f t="shared" si="17"/>
        <v>14</v>
      </c>
    </row>
    <row r="67" spans="2:61" ht="12.95" customHeight="1" outlineLevel="1">
      <c r="B67" s="1804" t="s">
        <v>3463</v>
      </c>
      <c r="C67" s="1812">
        <v>90</v>
      </c>
      <c r="D67" s="1824">
        <f t="shared" si="3"/>
        <v>0</v>
      </c>
      <c r="E67" s="1829">
        <f t="shared" si="15"/>
        <v>0</v>
      </c>
      <c r="F67" s="1829">
        <f t="shared" si="15"/>
        <v>0</v>
      </c>
      <c r="G67" s="1959">
        <f t="shared" si="15"/>
        <v>1</v>
      </c>
      <c r="H67" s="1959">
        <f t="shared" si="15"/>
        <v>1</v>
      </c>
      <c r="I67" s="1959">
        <f t="shared" si="15"/>
        <v>1</v>
      </c>
      <c r="J67" s="1959">
        <f t="shared" si="15"/>
        <v>2</v>
      </c>
      <c r="K67" s="1959">
        <f t="shared" si="15"/>
        <v>2</v>
      </c>
      <c r="L67" s="1959">
        <f t="shared" si="15"/>
        <v>2</v>
      </c>
      <c r="M67" s="1959">
        <f t="shared" si="15"/>
        <v>2</v>
      </c>
      <c r="N67" s="1959">
        <f t="shared" si="15"/>
        <v>4</v>
      </c>
      <c r="O67" s="1959">
        <f t="shared" si="15"/>
        <v>5</v>
      </c>
      <c r="P67" s="1959">
        <f t="shared" si="15"/>
        <v>7</v>
      </c>
      <c r="Q67" s="1959">
        <f t="shared" si="15"/>
        <v>8</v>
      </c>
      <c r="R67" s="1959">
        <f t="shared" si="15"/>
        <v>9</v>
      </c>
      <c r="S67" s="1959">
        <f t="shared" si="15"/>
        <v>11</v>
      </c>
      <c r="T67" s="1959">
        <f t="shared" si="15"/>
        <v>12</v>
      </c>
      <c r="U67" s="1952">
        <f t="shared" ref="E67:U82" si="18">FLOOR((U$7*25+10)/$C67,1)</f>
        <v>14</v>
      </c>
      <c r="V67" s="1804" t="s">
        <v>3463</v>
      </c>
      <c r="W67" s="1812">
        <v>90</v>
      </c>
      <c r="X67" s="1824">
        <f t="shared" si="12"/>
        <v>0</v>
      </c>
      <c r="Y67" s="1829">
        <f t="shared" si="12"/>
        <v>0</v>
      </c>
      <c r="Z67" s="2138">
        <f t="shared" si="12"/>
        <v>1</v>
      </c>
      <c r="AA67" s="2138">
        <f t="shared" si="12"/>
        <v>1</v>
      </c>
      <c r="AB67" s="2138">
        <f t="shared" si="12"/>
        <v>1</v>
      </c>
      <c r="AC67" s="2138">
        <f t="shared" si="12"/>
        <v>1</v>
      </c>
      <c r="AD67" s="2138">
        <f t="shared" si="12"/>
        <v>2</v>
      </c>
      <c r="AE67" s="2138">
        <f t="shared" si="12"/>
        <v>2</v>
      </c>
      <c r="AF67" s="2138">
        <f t="shared" si="12"/>
        <v>2</v>
      </c>
      <c r="AG67" s="2138">
        <f t="shared" si="12"/>
        <v>3</v>
      </c>
      <c r="AH67" s="2139">
        <f t="shared" si="13"/>
        <v>4</v>
      </c>
      <c r="AI67" s="2138">
        <f t="shared" si="12"/>
        <v>5</v>
      </c>
      <c r="AJ67" s="2138">
        <f t="shared" si="12"/>
        <v>7</v>
      </c>
      <c r="AK67" s="2138">
        <f t="shared" si="12"/>
        <v>8</v>
      </c>
      <c r="AL67" s="2138">
        <f t="shared" si="12"/>
        <v>9</v>
      </c>
      <c r="AM67" s="2138">
        <f t="shared" si="12"/>
        <v>11</v>
      </c>
      <c r="AN67" s="2138">
        <f t="shared" si="16"/>
        <v>12</v>
      </c>
      <c r="AO67" s="2134">
        <f t="shared" si="16"/>
        <v>14</v>
      </c>
      <c r="AP67" s="1804" t="s">
        <v>3463</v>
      </c>
      <c r="AQ67" s="1812">
        <v>90</v>
      </c>
      <c r="AR67" s="1824">
        <f t="shared" si="14"/>
        <v>0</v>
      </c>
      <c r="AS67" s="1959">
        <f t="shared" si="14"/>
        <v>1</v>
      </c>
      <c r="AT67" s="1959">
        <f t="shared" si="14"/>
        <v>1</v>
      </c>
      <c r="AU67" s="1959">
        <f t="shared" si="14"/>
        <v>1</v>
      </c>
      <c r="AV67" s="1959">
        <f t="shared" si="14"/>
        <v>1</v>
      </c>
      <c r="AW67" s="1959">
        <f t="shared" si="14"/>
        <v>2</v>
      </c>
      <c r="AX67" s="1959">
        <f t="shared" si="14"/>
        <v>2</v>
      </c>
      <c r="AY67" s="1959">
        <f t="shared" si="14"/>
        <v>2</v>
      </c>
      <c r="AZ67" s="1959">
        <f t="shared" si="14"/>
        <v>3</v>
      </c>
      <c r="BA67" s="1959">
        <f t="shared" si="14"/>
        <v>3</v>
      </c>
      <c r="BB67" s="1959">
        <f t="shared" si="14"/>
        <v>4</v>
      </c>
      <c r="BC67" s="1959">
        <f t="shared" si="14"/>
        <v>6</v>
      </c>
      <c r="BD67" s="1959">
        <f t="shared" si="14"/>
        <v>7</v>
      </c>
      <c r="BE67" s="1959">
        <f t="shared" si="14"/>
        <v>8</v>
      </c>
      <c r="BF67" s="1959">
        <f t="shared" si="14"/>
        <v>10</v>
      </c>
      <c r="BG67" s="1959">
        <f t="shared" si="14"/>
        <v>11</v>
      </c>
      <c r="BH67" s="1959">
        <f t="shared" si="17"/>
        <v>13</v>
      </c>
      <c r="BI67" s="1952">
        <f t="shared" si="17"/>
        <v>14</v>
      </c>
    </row>
    <row r="68" spans="2:61" ht="12.95" customHeight="1" outlineLevel="1">
      <c r="B68" s="1802" t="s">
        <v>1941</v>
      </c>
      <c r="C68" s="1813">
        <v>160</v>
      </c>
      <c r="D68" s="1823">
        <f t="shared" si="3"/>
        <v>0</v>
      </c>
      <c r="E68" s="1826">
        <f t="shared" si="18"/>
        <v>0</v>
      </c>
      <c r="F68" s="1826">
        <f t="shared" si="18"/>
        <v>0</v>
      </c>
      <c r="G68" s="1826">
        <f t="shared" si="18"/>
        <v>0</v>
      </c>
      <c r="H68" s="1826">
        <f t="shared" si="18"/>
        <v>0</v>
      </c>
      <c r="I68" s="1963">
        <f t="shared" si="18"/>
        <v>1</v>
      </c>
      <c r="J68" s="1963">
        <f t="shared" si="18"/>
        <v>1</v>
      </c>
      <c r="K68" s="1963">
        <f t="shared" si="18"/>
        <v>1</v>
      </c>
      <c r="L68" s="1963">
        <f t="shared" si="18"/>
        <v>1</v>
      </c>
      <c r="M68" s="1963">
        <f t="shared" si="18"/>
        <v>1</v>
      </c>
      <c r="N68" s="1963">
        <f t="shared" si="18"/>
        <v>2</v>
      </c>
      <c r="O68" s="1963">
        <f t="shared" si="18"/>
        <v>3</v>
      </c>
      <c r="P68" s="1963">
        <f t="shared" si="18"/>
        <v>3</v>
      </c>
      <c r="Q68" s="1963">
        <f t="shared" si="18"/>
        <v>4</v>
      </c>
      <c r="R68" s="1963">
        <f t="shared" si="18"/>
        <v>5</v>
      </c>
      <c r="S68" s="1963">
        <f t="shared" si="18"/>
        <v>6</v>
      </c>
      <c r="T68" s="1963">
        <f t="shared" si="18"/>
        <v>7</v>
      </c>
      <c r="U68" s="1950">
        <f t="shared" si="18"/>
        <v>7</v>
      </c>
      <c r="V68" s="1802" t="s">
        <v>1941</v>
      </c>
      <c r="W68" s="1813">
        <v>160</v>
      </c>
      <c r="X68" s="1823">
        <f t="shared" si="12"/>
        <v>0</v>
      </c>
      <c r="Y68" s="1826">
        <f t="shared" si="12"/>
        <v>0</v>
      </c>
      <c r="Z68" s="1826">
        <f t="shared" si="12"/>
        <v>0</v>
      </c>
      <c r="AA68" s="1826">
        <f t="shared" si="12"/>
        <v>0</v>
      </c>
      <c r="AB68" s="1826">
        <f t="shared" si="12"/>
        <v>0</v>
      </c>
      <c r="AC68" s="2139">
        <f t="shared" si="12"/>
        <v>1</v>
      </c>
      <c r="AD68" s="2139">
        <f t="shared" si="12"/>
        <v>1</v>
      </c>
      <c r="AE68" s="2139">
        <f t="shared" si="12"/>
        <v>1</v>
      </c>
      <c r="AF68" s="2139">
        <f t="shared" si="12"/>
        <v>1</v>
      </c>
      <c r="AG68" s="2139">
        <f t="shared" si="12"/>
        <v>1</v>
      </c>
      <c r="AH68" s="2139">
        <f t="shared" si="13"/>
        <v>2</v>
      </c>
      <c r="AI68" s="2139">
        <f t="shared" si="12"/>
        <v>3</v>
      </c>
      <c r="AJ68" s="2139">
        <f t="shared" si="12"/>
        <v>4</v>
      </c>
      <c r="AK68" s="2139">
        <f t="shared" si="12"/>
        <v>4</v>
      </c>
      <c r="AL68" s="2139">
        <f t="shared" si="12"/>
        <v>5</v>
      </c>
      <c r="AM68" s="2139">
        <f t="shared" si="12"/>
        <v>6</v>
      </c>
      <c r="AN68" s="2139">
        <f t="shared" si="16"/>
        <v>7</v>
      </c>
      <c r="AO68" s="2136">
        <f t="shared" si="16"/>
        <v>7</v>
      </c>
      <c r="AP68" s="1802" t="s">
        <v>1941</v>
      </c>
      <c r="AQ68" s="1813">
        <v>160</v>
      </c>
      <c r="AR68" s="1823">
        <f t="shared" si="14"/>
        <v>0</v>
      </c>
      <c r="AS68" s="1826">
        <f t="shared" si="14"/>
        <v>0</v>
      </c>
      <c r="AT68" s="1826">
        <f t="shared" si="14"/>
        <v>0</v>
      </c>
      <c r="AU68" s="1826">
        <f t="shared" si="14"/>
        <v>0</v>
      </c>
      <c r="AV68" s="1963">
        <f t="shared" si="14"/>
        <v>1</v>
      </c>
      <c r="AW68" s="1963">
        <f t="shared" si="14"/>
        <v>1</v>
      </c>
      <c r="AX68" s="1963">
        <f t="shared" si="14"/>
        <v>1</v>
      </c>
      <c r="AY68" s="1963">
        <f t="shared" si="14"/>
        <v>1</v>
      </c>
      <c r="AZ68" s="1963">
        <f t="shared" si="14"/>
        <v>1</v>
      </c>
      <c r="BA68" s="1963">
        <f t="shared" si="14"/>
        <v>1</v>
      </c>
      <c r="BB68" s="1963">
        <f t="shared" si="14"/>
        <v>2</v>
      </c>
      <c r="BC68" s="1963">
        <f t="shared" si="14"/>
        <v>3</v>
      </c>
      <c r="BD68" s="1963">
        <f t="shared" si="14"/>
        <v>4</v>
      </c>
      <c r="BE68" s="1963">
        <f t="shared" si="14"/>
        <v>5</v>
      </c>
      <c r="BF68" s="1963">
        <f t="shared" si="14"/>
        <v>5</v>
      </c>
      <c r="BG68" s="1963">
        <f t="shared" si="14"/>
        <v>6</v>
      </c>
      <c r="BH68" s="1963">
        <f t="shared" si="17"/>
        <v>7</v>
      </c>
      <c r="BI68" s="1950">
        <f t="shared" si="17"/>
        <v>8</v>
      </c>
    </row>
    <row r="69" spans="2:61" ht="12.95" customHeight="1" outlineLevel="1" thickBot="1">
      <c r="B69" s="1810" t="s">
        <v>1222</v>
      </c>
      <c r="C69" s="1814">
        <v>200</v>
      </c>
      <c r="D69" s="1828">
        <f t="shared" si="3"/>
        <v>0</v>
      </c>
      <c r="E69" s="1830">
        <f t="shared" si="18"/>
        <v>0</v>
      </c>
      <c r="F69" s="1830">
        <f t="shared" si="18"/>
        <v>0</v>
      </c>
      <c r="G69" s="1830">
        <f t="shared" si="18"/>
        <v>0</v>
      </c>
      <c r="H69" s="1830">
        <f t="shared" si="18"/>
        <v>0</v>
      </c>
      <c r="I69" s="1830">
        <f t="shared" si="18"/>
        <v>0</v>
      </c>
      <c r="J69" s="1830">
        <f t="shared" si="18"/>
        <v>0</v>
      </c>
      <c r="K69" s="1974">
        <f t="shared" si="18"/>
        <v>1</v>
      </c>
      <c r="L69" s="1974">
        <f t="shared" si="18"/>
        <v>1</v>
      </c>
      <c r="M69" s="1974">
        <f t="shared" si="18"/>
        <v>1</v>
      </c>
      <c r="N69" s="1974">
        <f t="shared" si="18"/>
        <v>1</v>
      </c>
      <c r="O69" s="1974">
        <f t="shared" si="18"/>
        <v>2</v>
      </c>
      <c r="P69" s="1974">
        <f t="shared" si="18"/>
        <v>3</v>
      </c>
      <c r="Q69" s="1974">
        <f t="shared" si="18"/>
        <v>3</v>
      </c>
      <c r="R69" s="1974">
        <f t="shared" si="18"/>
        <v>4</v>
      </c>
      <c r="S69" s="1974">
        <f t="shared" si="18"/>
        <v>5</v>
      </c>
      <c r="T69" s="1974">
        <f t="shared" si="18"/>
        <v>5</v>
      </c>
      <c r="U69" s="1948">
        <f t="shared" si="18"/>
        <v>6</v>
      </c>
      <c r="V69" s="1810" t="s">
        <v>1222</v>
      </c>
      <c r="W69" s="1814">
        <v>200</v>
      </c>
      <c r="X69" s="1828">
        <f t="shared" ref="X69:AM84" si="19">FLOOR((X$7*25+20)/$C69,1)</f>
        <v>0</v>
      </c>
      <c r="Y69" s="1830">
        <f t="shared" si="19"/>
        <v>0</v>
      </c>
      <c r="Z69" s="1830">
        <f t="shared" si="19"/>
        <v>0</v>
      </c>
      <c r="AA69" s="1830">
        <f t="shared" si="19"/>
        <v>0</v>
      </c>
      <c r="AB69" s="1830">
        <f t="shared" si="19"/>
        <v>0</v>
      </c>
      <c r="AC69" s="1830">
        <f t="shared" si="19"/>
        <v>0</v>
      </c>
      <c r="AD69" s="1830">
        <f t="shared" si="19"/>
        <v>0</v>
      </c>
      <c r="AE69" s="2144">
        <f t="shared" si="19"/>
        <v>1</v>
      </c>
      <c r="AF69" s="2144">
        <f t="shared" si="19"/>
        <v>1</v>
      </c>
      <c r="AG69" s="2144">
        <f t="shared" si="19"/>
        <v>1</v>
      </c>
      <c r="AH69" s="2140">
        <f t="shared" si="13"/>
        <v>1</v>
      </c>
      <c r="AI69" s="2144">
        <f t="shared" si="19"/>
        <v>2</v>
      </c>
      <c r="AJ69" s="2144">
        <f t="shared" si="19"/>
        <v>3</v>
      </c>
      <c r="AK69" s="2144">
        <f t="shared" si="19"/>
        <v>3</v>
      </c>
      <c r="AL69" s="2144">
        <f t="shared" si="19"/>
        <v>4</v>
      </c>
      <c r="AM69" s="2144">
        <f t="shared" si="19"/>
        <v>5</v>
      </c>
      <c r="AN69" s="2144">
        <f t="shared" si="16"/>
        <v>5</v>
      </c>
      <c r="AO69" s="2137">
        <f t="shared" si="16"/>
        <v>6</v>
      </c>
      <c r="AP69" s="1810" t="s">
        <v>1222</v>
      </c>
      <c r="AQ69" s="1814">
        <v>200</v>
      </c>
      <c r="AR69" s="1828">
        <f t="shared" ref="AR69:BG84" si="20">FLOOR((AR$7*25+50)/$C69,1)</f>
        <v>0</v>
      </c>
      <c r="AS69" s="1830">
        <f t="shared" si="20"/>
        <v>0</v>
      </c>
      <c r="AT69" s="1830">
        <f t="shared" si="20"/>
        <v>0</v>
      </c>
      <c r="AU69" s="1830">
        <f t="shared" si="20"/>
        <v>0</v>
      </c>
      <c r="AV69" s="1830">
        <f t="shared" si="20"/>
        <v>0</v>
      </c>
      <c r="AW69" s="1974">
        <f t="shared" si="20"/>
        <v>1</v>
      </c>
      <c r="AX69" s="1974">
        <f t="shared" si="20"/>
        <v>1</v>
      </c>
      <c r="AY69" s="1974">
        <f t="shared" si="20"/>
        <v>1</v>
      </c>
      <c r="AZ69" s="1974">
        <f t="shared" si="20"/>
        <v>1</v>
      </c>
      <c r="BA69" s="1974">
        <f t="shared" si="20"/>
        <v>1</v>
      </c>
      <c r="BB69" s="1974">
        <f t="shared" si="20"/>
        <v>2</v>
      </c>
      <c r="BC69" s="1974">
        <f t="shared" si="20"/>
        <v>2</v>
      </c>
      <c r="BD69" s="1974">
        <f t="shared" si="20"/>
        <v>3</v>
      </c>
      <c r="BE69" s="1974">
        <f t="shared" si="20"/>
        <v>4</v>
      </c>
      <c r="BF69" s="1974">
        <f t="shared" si="20"/>
        <v>4</v>
      </c>
      <c r="BG69" s="1974">
        <f t="shared" si="20"/>
        <v>5</v>
      </c>
      <c r="BH69" s="1974">
        <f t="shared" si="17"/>
        <v>5</v>
      </c>
      <c r="BI69" s="1948">
        <f t="shared" si="17"/>
        <v>6</v>
      </c>
    </row>
    <row r="70" spans="2:61" ht="12.95" customHeight="1">
      <c r="B70" s="1809" t="s">
        <v>1540</v>
      </c>
      <c r="C70" s="1811">
        <v>6</v>
      </c>
      <c r="D70" s="1971">
        <f t="shared" si="3"/>
        <v>5</v>
      </c>
      <c r="E70" s="1972">
        <f t="shared" si="18"/>
        <v>10</v>
      </c>
      <c r="F70" s="1972">
        <f t="shared" si="18"/>
        <v>14</v>
      </c>
      <c r="G70" s="1972">
        <f t="shared" si="18"/>
        <v>18</v>
      </c>
      <c r="H70" s="1972">
        <f t="shared" si="18"/>
        <v>22</v>
      </c>
      <c r="I70" s="1972">
        <f t="shared" si="18"/>
        <v>26</v>
      </c>
      <c r="J70" s="1972">
        <f t="shared" si="18"/>
        <v>30</v>
      </c>
      <c r="K70" s="1972">
        <f t="shared" si="18"/>
        <v>35</v>
      </c>
      <c r="L70" s="1972">
        <f t="shared" si="18"/>
        <v>39</v>
      </c>
      <c r="M70" s="1972">
        <f t="shared" si="18"/>
        <v>43</v>
      </c>
      <c r="N70" s="1972">
        <f t="shared" si="18"/>
        <v>64</v>
      </c>
      <c r="O70" s="1972">
        <f t="shared" si="18"/>
        <v>85</v>
      </c>
      <c r="P70" s="1972">
        <f t="shared" si="18"/>
        <v>105</v>
      </c>
      <c r="Q70" s="1972">
        <f t="shared" si="18"/>
        <v>126</v>
      </c>
      <c r="R70" s="1972">
        <f t="shared" si="18"/>
        <v>147</v>
      </c>
      <c r="S70" s="1972">
        <f t="shared" si="18"/>
        <v>168</v>
      </c>
      <c r="T70" s="1972">
        <f t="shared" si="18"/>
        <v>189</v>
      </c>
      <c r="U70" s="1973">
        <f t="shared" si="18"/>
        <v>210</v>
      </c>
      <c r="V70" s="1809" t="s">
        <v>1540</v>
      </c>
      <c r="W70" s="1811">
        <v>6</v>
      </c>
      <c r="X70" s="2143">
        <f t="shared" si="19"/>
        <v>7</v>
      </c>
      <c r="Y70" s="2145">
        <f t="shared" si="19"/>
        <v>11</v>
      </c>
      <c r="Z70" s="2145">
        <f t="shared" si="19"/>
        <v>15</v>
      </c>
      <c r="AA70" s="2145">
        <f t="shared" si="19"/>
        <v>20</v>
      </c>
      <c r="AB70" s="2145">
        <f t="shared" si="19"/>
        <v>24</v>
      </c>
      <c r="AC70" s="2145">
        <f t="shared" si="19"/>
        <v>28</v>
      </c>
      <c r="AD70" s="2145">
        <f t="shared" si="19"/>
        <v>32</v>
      </c>
      <c r="AE70" s="2145">
        <f t="shared" si="19"/>
        <v>36</v>
      </c>
      <c r="AF70" s="2145">
        <f t="shared" si="19"/>
        <v>40</v>
      </c>
      <c r="AG70" s="2145">
        <f t="shared" si="19"/>
        <v>45</v>
      </c>
      <c r="AH70" s="2145">
        <f t="shared" si="13"/>
        <v>65</v>
      </c>
      <c r="AI70" s="2145">
        <f t="shared" si="19"/>
        <v>86</v>
      </c>
      <c r="AJ70" s="2145">
        <f t="shared" si="19"/>
        <v>107</v>
      </c>
      <c r="AK70" s="2145">
        <f t="shared" si="19"/>
        <v>128</v>
      </c>
      <c r="AL70" s="2145">
        <f t="shared" si="19"/>
        <v>149</v>
      </c>
      <c r="AM70" s="2145">
        <f t="shared" si="19"/>
        <v>170</v>
      </c>
      <c r="AN70" s="2145">
        <f t="shared" si="16"/>
        <v>190</v>
      </c>
      <c r="AO70" s="2146">
        <f t="shared" si="16"/>
        <v>211</v>
      </c>
      <c r="AP70" s="1809" t="s">
        <v>1540</v>
      </c>
      <c r="AQ70" s="1811">
        <v>6</v>
      </c>
      <c r="AR70" s="1971">
        <f t="shared" si="20"/>
        <v>12</v>
      </c>
      <c r="AS70" s="1972">
        <f t="shared" si="20"/>
        <v>16</v>
      </c>
      <c r="AT70" s="1972">
        <f t="shared" si="20"/>
        <v>20</v>
      </c>
      <c r="AU70" s="1972">
        <f t="shared" si="20"/>
        <v>25</v>
      </c>
      <c r="AV70" s="1972">
        <f t="shared" si="20"/>
        <v>29</v>
      </c>
      <c r="AW70" s="1972">
        <f t="shared" si="20"/>
        <v>33</v>
      </c>
      <c r="AX70" s="1972">
        <f t="shared" si="20"/>
        <v>37</v>
      </c>
      <c r="AY70" s="1972">
        <f t="shared" si="20"/>
        <v>41</v>
      </c>
      <c r="AZ70" s="1972">
        <f t="shared" si="20"/>
        <v>45</v>
      </c>
      <c r="BA70" s="1972">
        <f t="shared" si="20"/>
        <v>50</v>
      </c>
      <c r="BB70" s="1972">
        <f t="shared" si="20"/>
        <v>70</v>
      </c>
      <c r="BC70" s="1972">
        <f t="shared" si="20"/>
        <v>91</v>
      </c>
      <c r="BD70" s="1972">
        <f t="shared" si="20"/>
        <v>112</v>
      </c>
      <c r="BE70" s="1972">
        <f t="shared" si="20"/>
        <v>133</v>
      </c>
      <c r="BF70" s="1972">
        <f t="shared" si="20"/>
        <v>154</v>
      </c>
      <c r="BG70" s="1972">
        <f t="shared" si="20"/>
        <v>175</v>
      </c>
      <c r="BH70" s="1972">
        <f t="shared" si="17"/>
        <v>195</v>
      </c>
      <c r="BI70" s="1973">
        <f t="shared" si="17"/>
        <v>216</v>
      </c>
    </row>
    <row r="71" spans="2:61" ht="12.95" customHeight="1" outlineLevel="1">
      <c r="B71" s="1804" t="s">
        <v>3464</v>
      </c>
      <c r="C71" s="1812">
        <v>6</v>
      </c>
      <c r="D71" s="1951">
        <f t="shared" si="3"/>
        <v>5</v>
      </c>
      <c r="E71" s="1959">
        <f t="shared" si="18"/>
        <v>10</v>
      </c>
      <c r="F71" s="1959">
        <f t="shared" si="18"/>
        <v>14</v>
      </c>
      <c r="G71" s="1959">
        <f t="shared" si="18"/>
        <v>18</v>
      </c>
      <c r="H71" s="1959">
        <f t="shared" si="18"/>
        <v>22</v>
      </c>
      <c r="I71" s="1959">
        <f t="shared" si="18"/>
        <v>26</v>
      </c>
      <c r="J71" s="1959">
        <f t="shared" si="18"/>
        <v>30</v>
      </c>
      <c r="K71" s="1959">
        <f t="shared" si="18"/>
        <v>35</v>
      </c>
      <c r="L71" s="1959">
        <f t="shared" si="18"/>
        <v>39</v>
      </c>
      <c r="M71" s="1959">
        <f t="shared" si="18"/>
        <v>43</v>
      </c>
      <c r="N71" s="1959">
        <f t="shared" si="18"/>
        <v>64</v>
      </c>
      <c r="O71" s="1959">
        <f t="shared" si="18"/>
        <v>85</v>
      </c>
      <c r="P71" s="1959">
        <f t="shared" si="18"/>
        <v>105</v>
      </c>
      <c r="Q71" s="1959">
        <f t="shared" si="18"/>
        <v>126</v>
      </c>
      <c r="R71" s="1959">
        <f t="shared" si="18"/>
        <v>147</v>
      </c>
      <c r="S71" s="1959">
        <f t="shared" si="18"/>
        <v>168</v>
      </c>
      <c r="T71" s="1959">
        <f t="shared" si="18"/>
        <v>189</v>
      </c>
      <c r="U71" s="1952">
        <f t="shared" si="18"/>
        <v>210</v>
      </c>
      <c r="V71" s="1804" t="s">
        <v>3464</v>
      </c>
      <c r="W71" s="1812">
        <v>6</v>
      </c>
      <c r="X71" s="2133">
        <f t="shared" si="19"/>
        <v>7</v>
      </c>
      <c r="Y71" s="2138">
        <f t="shared" si="19"/>
        <v>11</v>
      </c>
      <c r="Z71" s="2138">
        <f t="shared" si="19"/>
        <v>15</v>
      </c>
      <c r="AA71" s="2138">
        <f t="shared" si="19"/>
        <v>20</v>
      </c>
      <c r="AB71" s="2138">
        <f t="shared" si="19"/>
        <v>24</v>
      </c>
      <c r="AC71" s="2138">
        <f t="shared" si="19"/>
        <v>28</v>
      </c>
      <c r="AD71" s="2138">
        <f t="shared" si="19"/>
        <v>32</v>
      </c>
      <c r="AE71" s="2138">
        <f t="shared" si="19"/>
        <v>36</v>
      </c>
      <c r="AF71" s="2138">
        <f t="shared" si="19"/>
        <v>40</v>
      </c>
      <c r="AG71" s="2138">
        <f t="shared" si="19"/>
        <v>45</v>
      </c>
      <c r="AH71" s="2139">
        <f t="shared" si="13"/>
        <v>65</v>
      </c>
      <c r="AI71" s="2138">
        <f t="shared" si="19"/>
        <v>86</v>
      </c>
      <c r="AJ71" s="2138">
        <f t="shared" si="19"/>
        <v>107</v>
      </c>
      <c r="AK71" s="2138">
        <f t="shared" si="19"/>
        <v>128</v>
      </c>
      <c r="AL71" s="2138">
        <f t="shared" si="19"/>
        <v>149</v>
      </c>
      <c r="AM71" s="2138">
        <f t="shared" si="19"/>
        <v>170</v>
      </c>
      <c r="AN71" s="2138">
        <f t="shared" si="16"/>
        <v>190</v>
      </c>
      <c r="AO71" s="2134">
        <f t="shared" si="16"/>
        <v>211</v>
      </c>
      <c r="AP71" s="1804" t="s">
        <v>3464</v>
      </c>
      <c r="AQ71" s="1812">
        <v>6</v>
      </c>
      <c r="AR71" s="1951">
        <f t="shared" si="20"/>
        <v>12</v>
      </c>
      <c r="AS71" s="1959">
        <f t="shared" si="20"/>
        <v>16</v>
      </c>
      <c r="AT71" s="1959">
        <f t="shared" si="20"/>
        <v>20</v>
      </c>
      <c r="AU71" s="1959">
        <f t="shared" si="20"/>
        <v>25</v>
      </c>
      <c r="AV71" s="1959">
        <f t="shared" si="20"/>
        <v>29</v>
      </c>
      <c r="AW71" s="1959">
        <f t="shared" si="20"/>
        <v>33</v>
      </c>
      <c r="AX71" s="1959">
        <f t="shared" si="20"/>
        <v>37</v>
      </c>
      <c r="AY71" s="1959">
        <f t="shared" si="20"/>
        <v>41</v>
      </c>
      <c r="AZ71" s="1959">
        <f t="shared" si="20"/>
        <v>45</v>
      </c>
      <c r="BA71" s="1959">
        <f t="shared" si="20"/>
        <v>50</v>
      </c>
      <c r="BB71" s="1959">
        <f t="shared" si="20"/>
        <v>70</v>
      </c>
      <c r="BC71" s="1959">
        <f t="shared" si="20"/>
        <v>91</v>
      </c>
      <c r="BD71" s="1959">
        <f t="shared" si="20"/>
        <v>112</v>
      </c>
      <c r="BE71" s="1959">
        <f t="shared" si="20"/>
        <v>133</v>
      </c>
      <c r="BF71" s="1959">
        <f t="shared" si="20"/>
        <v>154</v>
      </c>
      <c r="BG71" s="1959">
        <f t="shared" si="20"/>
        <v>175</v>
      </c>
      <c r="BH71" s="1959">
        <f t="shared" si="17"/>
        <v>195</v>
      </c>
      <c r="BI71" s="1952">
        <f t="shared" si="17"/>
        <v>216</v>
      </c>
    </row>
    <row r="72" spans="2:61" ht="12.95" customHeight="1" outlineLevel="1">
      <c r="B72" s="1802" t="s">
        <v>378</v>
      </c>
      <c r="C72" s="1813">
        <v>14</v>
      </c>
      <c r="D72" s="1949">
        <f t="shared" si="3"/>
        <v>2</v>
      </c>
      <c r="E72" s="1963">
        <f t="shared" si="18"/>
        <v>4</v>
      </c>
      <c r="F72" s="1963">
        <f t="shared" si="18"/>
        <v>6</v>
      </c>
      <c r="G72" s="1963">
        <f t="shared" si="18"/>
        <v>7</v>
      </c>
      <c r="H72" s="1963">
        <f t="shared" si="18"/>
        <v>9</v>
      </c>
      <c r="I72" s="1963">
        <f t="shared" si="18"/>
        <v>11</v>
      </c>
      <c r="J72" s="1963">
        <f t="shared" si="18"/>
        <v>13</v>
      </c>
      <c r="K72" s="1963">
        <f t="shared" si="18"/>
        <v>15</v>
      </c>
      <c r="L72" s="1963">
        <f t="shared" si="18"/>
        <v>16</v>
      </c>
      <c r="M72" s="1963">
        <f t="shared" si="18"/>
        <v>18</v>
      </c>
      <c r="N72" s="1963">
        <f t="shared" si="18"/>
        <v>27</v>
      </c>
      <c r="O72" s="1963">
        <f t="shared" si="18"/>
        <v>36</v>
      </c>
      <c r="P72" s="1963">
        <f t="shared" si="18"/>
        <v>45</v>
      </c>
      <c r="Q72" s="1963">
        <f t="shared" si="18"/>
        <v>54</v>
      </c>
      <c r="R72" s="1963">
        <f t="shared" si="18"/>
        <v>63</v>
      </c>
      <c r="S72" s="1963">
        <f t="shared" si="18"/>
        <v>72</v>
      </c>
      <c r="T72" s="1963">
        <f t="shared" si="18"/>
        <v>81</v>
      </c>
      <c r="U72" s="1950">
        <f t="shared" si="18"/>
        <v>90</v>
      </c>
      <c r="V72" s="1802" t="s">
        <v>378</v>
      </c>
      <c r="W72" s="1813">
        <v>14</v>
      </c>
      <c r="X72" s="2135">
        <f t="shared" si="19"/>
        <v>3</v>
      </c>
      <c r="Y72" s="2139">
        <f t="shared" si="19"/>
        <v>5</v>
      </c>
      <c r="Z72" s="2139">
        <f t="shared" si="19"/>
        <v>6</v>
      </c>
      <c r="AA72" s="2139">
        <f t="shared" si="19"/>
        <v>8</v>
      </c>
      <c r="AB72" s="2139">
        <f t="shared" si="19"/>
        <v>10</v>
      </c>
      <c r="AC72" s="2139">
        <f t="shared" si="19"/>
        <v>12</v>
      </c>
      <c r="AD72" s="2139">
        <f t="shared" si="19"/>
        <v>13</v>
      </c>
      <c r="AE72" s="2139">
        <f t="shared" si="19"/>
        <v>15</v>
      </c>
      <c r="AF72" s="2139">
        <f t="shared" si="19"/>
        <v>17</v>
      </c>
      <c r="AG72" s="2139">
        <f t="shared" si="19"/>
        <v>19</v>
      </c>
      <c r="AH72" s="2139">
        <f t="shared" si="13"/>
        <v>28</v>
      </c>
      <c r="AI72" s="2139">
        <f t="shared" si="19"/>
        <v>37</v>
      </c>
      <c r="AJ72" s="2139">
        <f t="shared" si="19"/>
        <v>46</v>
      </c>
      <c r="AK72" s="2139">
        <f t="shared" si="19"/>
        <v>55</v>
      </c>
      <c r="AL72" s="2139">
        <f t="shared" si="19"/>
        <v>63</v>
      </c>
      <c r="AM72" s="2139">
        <f t="shared" si="19"/>
        <v>72</v>
      </c>
      <c r="AN72" s="2139">
        <f t="shared" si="16"/>
        <v>81</v>
      </c>
      <c r="AO72" s="2136">
        <f t="shared" si="16"/>
        <v>90</v>
      </c>
      <c r="AP72" s="1802" t="s">
        <v>378</v>
      </c>
      <c r="AQ72" s="1813">
        <v>14</v>
      </c>
      <c r="AR72" s="1949">
        <f t="shared" si="20"/>
        <v>5</v>
      </c>
      <c r="AS72" s="1963">
        <f t="shared" si="20"/>
        <v>7</v>
      </c>
      <c r="AT72" s="1963">
        <f t="shared" si="20"/>
        <v>8</v>
      </c>
      <c r="AU72" s="1963">
        <f t="shared" si="20"/>
        <v>10</v>
      </c>
      <c r="AV72" s="1963">
        <f t="shared" si="20"/>
        <v>12</v>
      </c>
      <c r="AW72" s="1963">
        <f t="shared" si="20"/>
        <v>14</v>
      </c>
      <c r="AX72" s="1963">
        <f t="shared" si="20"/>
        <v>16</v>
      </c>
      <c r="AY72" s="1963">
        <f t="shared" si="20"/>
        <v>17</v>
      </c>
      <c r="AZ72" s="1963">
        <f t="shared" si="20"/>
        <v>19</v>
      </c>
      <c r="BA72" s="1963">
        <f t="shared" si="20"/>
        <v>21</v>
      </c>
      <c r="BB72" s="1963">
        <f t="shared" si="20"/>
        <v>30</v>
      </c>
      <c r="BC72" s="1963">
        <f t="shared" si="20"/>
        <v>39</v>
      </c>
      <c r="BD72" s="1963">
        <f t="shared" si="20"/>
        <v>48</v>
      </c>
      <c r="BE72" s="1963">
        <f t="shared" si="20"/>
        <v>57</v>
      </c>
      <c r="BF72" s="1963">
        <f t="shared" si="20"/>
        <v>66</v>
      </c>
      <c r="BG72" s="1963">
        <f t="shared" si="20"/>
        <v>75</v>
      </c>
      <c r="BH72" s="1963">
        <f t="shared" si="17"/>
        <v>83</v>
      </c>
      <c r="BI72" s="1950">
        <f t="shared" si="17"/>
        <v>92</v>
      </c>
    </row>
    <row r="73" spans="2:61" ht="12.95" customHeight="1" outlineLevel="1">
      <c r="B73" s="1804" t="s">
        <v>3465</v>
      </c>
      <c r="C73" s="1812">
        <v>15</v>
      </c>
      <c r="D73" s="1951">
        <f t="shared" ref="D73:D112" si="21">FLOOR((D$7*25+10)/$C73,1)</f>
        <v>2</v>
      </c>
      <c r="E73" s="1959">
        <f t="shared" si="18"/>
        <v>4</v>
      </c>
      <c r="F73" s="1959">
        <f t="shared" si="18"/>
        <v>5</v>
      </c>
      <c r="G73" s="1959">
        <f t="shared" si="18"/>
        <v>7</v>
      </c>
      <c r="H73" s="1959">
        <f t="shared" si="18"/>
        <v>9</v>
      </c>
      <c r="I73" s="1959">
        <f t="shared" si="18"/>
        <v>10</v>
      </c>
      <c r="J73" s="1959">
        <f t="shared" si="18"/>
        <v>12</v>
      </c>
      <c r="K73" s="1959">
        <f t="shared" si="18"/>
        <v>14</v>
      </c>
      <c r="L73" s="1959">
        <f t="shared" si="18"/>
        <v>15</v>
      </c>
      <c r="M73" s="1959">
        <f t="shared" si="18"/>
        <v>17</v>
      </c>
      <c r="N73" s="1959">
        <f t="shared" si="18"/>
        <v>25</v>
      </c>
      <c r="O73" s="1959">
        <f t="shared" si="18"/>
        <v>34</v>
      </c>
      <c r="P73" s="1959">
        <f t="shared" si="18"/>
        <v>42</v>
      </c>
      <c r="Q73" s="1959">
        <f t="shared" si="18"/>
        <v>50</v>
      </c>
      <c r="R73" s="1959">
        <f t="shared" si="18"/>
        <v>59</v>
      </c>
      <c r="S73" s="1959">
        <f t="shared" si="18"/>
        <v>67</v>
      </c>
      <c r="T73" s="1959">
        <f t="shared" si="18"/>
        <v>75</v>
      </c>
      <c r="U73" s="1952">
        <f t="shared" si="18"/>
        <v>84</v>
      </c>
      <c r="V73" s="1804" t="s">
        <v>3465</v>
      </c>
      <c r="W73" s="1812">
        <v>15</v>
      </c>
      <c r="X73" s="2133">
        <f t="shared" si="19"/>
        <v>3</v>
      </c>
      <c r="Y73" s="2138">
        <f t="shared" si="19"/>
        <v>4</v>
      </c>
      <c r="Z73" s="2138">
        <f t="shared" si="19"/>
        <v>6</v>
      </c>
      <c r="AA73" s="2138">
        <f t="shared" si="19"/>
        <v>8</v>
      </c>
      <c r="AB73" s="2138">
        <f t="shared" si="19"/>
        <v>9</v>
      </c>
      <c r="AC73" s="2138">
        <f t="shared" si="19"/>
        <v>11</v>
      </c>
      <c r="AD73" s="2138">
        <f t="shared" si="19"/>
        <v>13</v>
      </c>
      <c r="AE73" s="2138">
        <f t="shared" si="19"/>
        <v>14</v>
      </c>
      <c r="AF73" s="2138">
        <f t="shared" si="19"/>
        <v>16</v>
      </c>
      <c r="AG73" s="2138">
        <f t="shared" si="19"/>
        <v>18</v>
      </c>
      <c r="AH73" s="2139">
        <f t="shared" si="13"/>
        <v>26</v>
      </c>
      <c r="AI73" s="2138">
        <f t="shared" si="19"/>
        <v>34</v>
      </c>
      <c r="AJ73" s="2138">
        <f t="shared" si="19"/>
        <v>43</v>
      </c>
      <c r="AK73" s="2138">
        <f t="shared" si="19"/>
        <v>51</v>
      </c>
      <c r="AL73" s="2138">
        <f t="shared" si="19"/>
        <v>59</v>
      </c>
      <c r="AM73" s="2138">
        <f t="shared" si="19"/>
        <v>68</v>
      </c>
      <c r="AN73" s="2138">
        <f t="shared" si="16"/>
        <v>76</v>
      </c>
      <c r="AO73" s="2134">
        <f t="shared" si="16"/>
        <v>84</v>
      </c>
      <c r="AP73" s="1804" t="s">
        <v>3465</v>
      </c>
      <c r="AQ73" s="1812">
        <v>15</v>
      </c>
      <c r="AR73" s="1951">
        <f t="shared" si="20"/>
        <v>5</v>
      </c>
      <c r="AS73" s="1959">
        <f t="shared" si="20"/>
        <v>6</v>
      </c>
      <c r="AT73" s="1959">
        <f t="shared" si="20"/>
        <v>8</v>
      </c>
      <c r="AU73" s="1959">
        <f t="shared" si="20"/>
        <v>10</v>
      </c>
      <c r="AV73" s="1959">
        <f t="shared" si="20"/>
        <v>11</v>
      </c>
      <c r="AW73" s="1959">
        <f t="shared" si="20"/>
        <v>13</v>
      </c>
      <c r="AX73" s="1959">
        <f t="shared" si="20"/>
        <v>15</v>
      </c>
      <c r="AY73" s="1959">
        <f t="shared" si="20"/>
        <v>16</v>
      </c>
      <c r="AZ73" s="1959">
        <f t="shared" si="20"/>
        <v>18</v>
      </c>
      <c r="BA73" s="1959">
        <f t="shared" si="20"/>
        <v>20</v>
      </c>
      <c r="BB73" s="1959">
        <f t="shared" si="20"/>
        <v>28</v>
      </c>
      <c r="BC73" s="1959">
        <f t="shared" si="20"/>
        <v>36</v>
      </c>
      <c r="BD73" s="1959">
        <f t="shared" si="20"/>
        <v>45</v>
      </c>
      <c r="BE73" s="1959">
        <f t="shared" si="20"/>
        <v>53</v>
      </c>
      <c r="BF73" s="1959">
        <f t="shared" si="20"/>
        <v>61</v>
      </c>
      <c r="BG73" s="1959">
        <f t="shared" si="20"/>
        <v>70</v>
      </c>
      <c r="BH73" s="1959">
        <f t="shared" si="17"/>
        <v>78</v>
      </c>
      <c r="BI73" s="1952">
        <f t="shared" si="17"/>
        <v>86</v>
      </c>
    </row>
    <row r="74" spans="2:61" ht="12.95" customHeight="1" outlineLevel="1">
      <c r="B74" s="1802" t="s">
        <v>1595</v>
      </c>
      <c r="C74" s="1813">
        <v>20</v>
      </c>
      <c r="D74" s="1949">
        <f t="shared" si="21"/>
        <v>1</v>
      </c>
      <c r="E74" s="1963">
        <f t="shared" si="18"/>
        <v>3</v>
      </c>
      <c r="F74" s="1963">
        <f t="shared" si="18"/>
        <v>4</v>
      </c>
      <c r="G74" s="1963">
        <f t="shared" si="18"/>
        <v>5</v>
      </c>
      <c r="H74" s="1963">
        <f t="shared" si="18"/>
        <v>6</v>
      </c>
      <c r="I74" s="1963">
        <f t="shared" si="18"/>
        <v>8</v>
      </c>
      <c r="J74" s="1963">
        <f t="shared" si="18"/>
        <v>9</v>
      </c>
      <c r="K74" s="1963">
        <f t="shared" si="18"/>
        <v>10</v>
      </c>
      <c r="L74" s="1963">
        <f t="shared" si="18"/>
        <v>11</v>
      </c>
      <c r="M74" s="1963">
        <f t="shared" si="18"/>
        <v>13</v>
      </c>
      <c r="N74" s="1963">
        <f t="shared" si="18"/>
        <v>19</v>
      </c>
      <c r="O74" s="1963">
        <f t="shared" si="18"/>
        <v>25</v>
      </c>
      <c r="P74" s="1963">
        <f t="shared" si="18"/>
        <v>31</v>
      </c>
      <c r="Q74" s="1963">
        <f t="shared" si="18"/>
        <v>38</v>
      </c>
      <c r="R74" s="1963">
        <f t="shared" si="18"/>
        <v>44</v>
      </c>
      <c r="S74" s="1963">
        <f t="shared" si="18"/>
        <v>50</v>
      </c>
      <c r="T74" s="1963">
        <f t="shared" si="18"/>
        <v>56</v>
      </c>
      <c r="U74" s="1950">
        <f t="shared" si="18"/>
        <v>63</v>
      </c>
      <c r="V74" s="1802" t="s">
        <v>1595</v>
      </c>
      <c r="W74" s="1813">
        <v>20</v>
      </c>
      <c r="X74" s="2135">
        <f t="shared" si="19"/>
        <v>2</v>
      </c>
      <c r="Y74" s="2139">
        <f t="shared" si="19"/>
        <v>3</v>
      </c>
      <c r="Z74" s="2139">
        <f t="shared" si="19"/>
        <v>4</v>
      </c>
      <c r="AA74" s="2139">
        <f t="shared" si="19"/>
        <v>6</v>
      </c>
      <c r="AB74" s="2139">
        <f t="shared" si="19"/>
        <v>7</v>
      </c>
      <c r="AC74" s="2139">
        <f t="shared" si="19"/>
        <v>8</v>
      </c>
      <c r="AD74" s="2139">
        <f t="shared" si="19"/>
        <v>9</v>
      </c>
      <c r="AE74" s="2139">
        <f t="shared" si="19"/>
        <v>11</v>
      </c>
      <c r="AF74" s="2139">
        <f t="shared" si="19"/>
        <v>12</v>
      </c>
      <c r="AG74" s="2139">
        <f t="shared" si="19"/>
        <v>13</v>
      </c>
      <c r="AH74" s="2139">
        <f t="shared" si="13"/>
        <v>19</v>
      </c>
      <c r="AI74" s="2139">
        <f t="shared" si="19"/>
        <v>26</v>
      </c>
      <c r="AJ74" s="2139">
        <f t="shared" si="19"/>
        <v>32</v>
      </c>
      <c r="AK74" s="2139">
        <f t="shared" si="19"/>
        <v>38</v>
      </c>
      <c r="AL74" s="2139">
        <f t="shared" si="19"/>
        <v>44</v>
      </c>
      <c r="AM74" s="2139">
        <f t="shared" si="19"/>
        <v>51</v>
      </c>
      <c r="AN74" s="2139">
        <f t="shared" si="16"/>
        <v>57</v>
      </c>
      <c r="AO74" s="2136">
        <f t="shared" si="16"/>
        <v>63</v>
      </c>
      <c r="AP74" s="1802" t="s">
        <v>1595</v>
      </c>
      <c r="AQ74" s="1813">
        <v>20</v>
      </c>
      <c r="AR74" s="1949">
        <f t="shared" si="20"/>
        <v>3</v>
      </c>
      <c r="AS74" s="1963">
        <f t="shared" si="20"/>
        <v>5</v>
      </c>
      <c r="AT74" s="1963">
        <f t="shared" si="20"/>
        <v>6</v>
      </c>
      <c r="AU74" s="1963">
        <f t="shared" si="20"/>
        <v>7</v>
      </c>
      <c r="AV74" s="1963">
        <f t="shared" si="20"/>
        <v>8</v>
      </c>
      <c r="AW74" s="1963">
        <f t="shared" si="20"/>
        <v>10</v>
      </c>
      <c r="AX74" s="1963">
        <f t="shared" si="20"/>
        <v>11</v>
      </c>
      <c r="AY74" s="1963">
        <f t="shared" si="20"/>
        <v>12</v>
      </c>
      <c r="AZ74" s="1963">
        <f t="shared" si="20"/>
        <v>13</v>
      </c>
      <c r="BA74" s="1963">
        <f t="shared" si="20"/>
        <v>15</v>
      </c>
      <c r="BB74" s="1963">
        <f t="shared" si="20"/>
        <v>21</v>
      </c>
      <c r="BC74" s="1963">
        <f t="shared" si="20"/>
        <v>27</v>
      </c>
      <c r="BD74" s="1963">
        <f t="shared" si="20"/>
        <v>33</v>
      </c>
      <c r="BE74" s="1963">
        <f t="shared" si="20"/>
        <v>40</v>
      </c>
      <c r="BF74" s="1963">
        <f t="shared" si="20"/>
        <v>46</v>
      </c>
      <c r="BG74" s="1963">
        <f t="shared" si="20"/>
        <v>52</v>
      </c>
      <c r="BH74" s="1963">
        <f t="shared" si="17"/>
        <v>58</v>
      </c>
      <c r="BI74" s="1950">
        <f t="shared" si="17"/>
        <v>65</v>
      </c>
    </row>
    <row r="75" spans="2:61" ht="12.95" customHeight="1" outlineLevel="1">
      <c r="B75" s="1804" t="s">
        <v>612</v>
      </c>
      <c r="C75" s="1812">
        <v>20</v>
      </c>
      <c r="D75" s="1951">
        <f t="shared" si="21"/>
        <v>1</v>
      </c>
      <c r="E75" s="1959">
        <f t="shared" si="18"/>
        <v>3</v>
      </c>
      <c r="F75" s="1959">
        <f t="shared" si="18"/>
        <v>4</v>
      </c>
      <c r="G75" s="1959">
        <f t="shared" si="18"/>
        <v>5</v>
      </c>
      <c r="H75" s="1959">
        <f t="shared" si="18"/>
        <v>6</v>
      </c>
      <c r="I75" s="1959">
        <f t="shared" si="18"/>
        <v>8</v>
      </c>
      <c r="J75" s="1959">
        <f t="shared" si="18"/>
        <v>9</v>
      </c>
      <c r="K75" s="1959">
        <f t="shared" si="18"/>
        <v>10</v>
      </c>
      <c r="L75" s="1959">
        <f t="shared" si="18"/>
        <v>11</v>
      </c>
      <c r="M75" s="1959">
        <f t="shared" si="18"/>
        <v>13</v>
      </c>
      <c r="N75" s="1959">
        <f t="shared" si="18"/>
        <v>19</v>
      </c>
      <c r="O75" s="1959">
        <f t="shared" si="18"/>
        <v>25</v>
      </c>
      <c r="P75" s="1959">
        <f t="shared" si="18"/>
        <v>31</v>
      </c>
      <c r="Q75" s="1959">
        <f t="shared" si="18"/>
        <v>38</v>
      </c>
      <c r="R75" s="1959">
        <f t="shared" si="18"/>
        <v>44</v>
      </c>
      <c r="S75" s="1959">
        <f t="shared" si="18"/>
        <v>50</v>
      </c>
      <c r="T75" s="1959">
        <f t="shared" si="18"/>
        <v>56</v>
      </c>
      <c r="U75" s="1952">
        <f t="shared" si="18"/>
        <v>63</v>
      </c>
      <c r="V75" s="1804" t="s">
        <v>612</v>
      </c>
      <c r="W75" s="1812">
        <v>20</v>
      </c>
      <c r="X75" s="2133">
        <f t="shared" si="19"/>
        <v>2</v>
      </c>
      <c r="Y75" s="2138">
        <f t="shared" si="19"/>
        <v>3</v>
      </c>
      <c r="Z75" s="2138">
        <f t="shared" si="19"/>
        <v>4</v>
      </c>
      <c r="AA75" s="2138">
        <f t="shared" si="19"/>
        <v>6</v>
      </c>
      <c r="AB75" s="2138">
        <f t="shared" si="19"/>
        <v>7</v>
      </c>
      <c r="AC75" s="2138">
        <f t="shared" si="19"/>
        <v>8</v>
      </c>
      <c r="AD75" s="2138">
        <f t="shared" si="19"/>
        <v>9</v>
      </c>
      <c r="AE75" s="2138">
        <f t="shared" si="19"/>
        <v>11</v>
      </c>
      <c r="AF75" s="2138">
        <f t="shared" si="19"/>
        <v>12</v>
      </c>
      <c r="AG75" s="2138">
        <f t="shared" si="19"/>
        <v>13</v>
      </c>
      <c r="AH75" s="2139">
        <f t="shared" si="13"/>
        <v>19</v>
      </c>
      <c r="AI75" s="2138">
        <f t="shared" si="19"/>
        <v>26</v>
      </c>
      <c r="AJ75" s="2138">
        <f t="shared" si="19"/>
        <v>32</v>
      </c>
      <c r="AK75" s="2138">
        <f t="shared" si="19"/>
        <v>38</v>
      </c>
      <c r="AL75" s="2138">
        <f t="shared" si="19"/>
        <v>44</v>
      </c>
      <c r="AM75" s="2138">
        <f t="shared" si="19"/>
        <v>51</v>
      </c>
      <c r="AN75" s="2138">
        <f t="shared" si="16"/>
        <v>57</v>
      </c>
      <c r="AO75" s="2134">
        <f t="shared" si="16"/>
        <v>63</v>
      </c>
      <c r="AP75" s="1804" t="s">
        <v>612</v>
      </c>
      <c r="AQ75" s="1812">
        <v>20</v>
      </c>
      <c r="AR75" s="1951">
        <f t="shared" si="20"/>
        <v>3</v>
      </c>
      <c r="AS75" s="1959">
        <f t="shared" si="20"/>
        <v>5</v>
      </c>
      <c r="AT75" s="1959">
        <f t="shared" si="20"/>
        <v>6</v>
      </c>
      <c r="AU75" s="1959">
        <f t="shared" si="20"/>
        <v>7</v>
      </c>
      <c r="AV75" s="1959">
        <f t="shared" si="20"/>
        <v>8</v>
      </c>
      <c r="AW75" s="1959">
        <f t="shared" si="20"/>
        <v>10</v>
      </c>
      <c r="AX75" s="1959">
        <f t="shared" si="20"/>
        <v>11</v>
      </c>
      <c r="AY75" s="1959">
        <f t="shared" si="20"/>
        <v>12</v>
      </c>
      <c r="AZ75" s="1959">
        <f t="shared" si="20"/>
        <v>13</v>
      </c>
      <c r="BA75" s="1959">
        <f t="shared" si="20"/>
        <v>15</v>
      </c>
      <c r="BB75" s="1959">
        <f t="shared" si="20"/>
        <v>21</v>
      </c>
      <c r="BC75" s="1959">
        <f t="shared" si="20"/>
        <v>27</v>
      </c>
      <c r="BD75" s="1959">
        <f t="shared" si="20"/>
        <v>33</v>
      </c>
      <c r="BE75" s="1959">
        <f t="shared" si="20"/>
        <v>40</v>
      </c>
      <c r="BF75" s="1959">
        <f t="shared" si="20"/>
        <v>46</v>
      </c>
      <c r="BG75" s="1959">
        <f t="shared" si="20"/>
        <v>52</v>
      </c>
      <c r="BH75" s="1959">
        <f t="shared" si="17"/>
        <v>58</v>
      </c>
      <c r="BI75" s="1952">
        <f t="shared" si="17"/>
        <v>65</v>
      </c>
    </row>
    <row r="76" spans="2:61" ht="12.95" customHeight="1" outlineLevel="1">
      <c r="B76" s="1802" t="s">
        <v>1947</v>
      </c>
      <c r="C76" s="1813">
        <v>35</v>
      </c>
      <c r="D76" s="1949">
        <f t="shared" si="21"/>
        <v>1</v>
      </c>
      <c r="E76" s="1963">
        <f t="shared" si="18"/>
        <v>1</v>
      </c>
      <c r="F76" s="1963">
        <f t="shared" si="18"/>
        <v>2</v>
      </c>
      <c r="G76" s="1963">
        <f t="shared" si="18"/>
        <v>3</v>
      </c>
      <c r="H76" s="1963">
        <f t="shared" si="18"/>
        <v>3</v>
      </c>
      <c r="I76" s="1963">
        <f t="shared" si="18"/>
        <v>4</v>
      </c>
      <c r="J76" s="1963">
        <f t="shared" si="18"/>
        <v>5</v>
      </c>
      <c r="K76" s="1963">
        <f t="shared" si="18"/>
        <v>6</v>
      </c>
      <c r="L76" s="1963">
        <f t="shared" si="18"/>
        <v>6</v>
      </c>
      <c r="M76" s="1963">
        <f t="shared" si="18"/>
        <v>7</v>
      </c>
      <c r="N76" s="1963">
        <f t="shared" si="18"/>
        <v>11</v>
      </c>
      <c r="O76" s="1963">
        <f t="shared" si="18"/>
        <v>14</v>
      </c>
      <c r="P76" s="1963">
        <f t="shared" si="18"/>
        <v>18</v>
      </c>
      <c r="Q76" s="1963">
        <f t="shared" si="18"/>
        <v>21</v>
      </c>
      <c r="R76" s="1963">
        <f t="shared" si="18"/>
        <v>25</v>
      </c>
      <c r="S76" s="1963">
        <f t="shared" si="18"/>
        <v>28</v>
      </c>
      <c r="T76" s="1963">
        <f t="shared" si="18"/>
        <v>32</v>
      </c>
      <c r="U76" s="1950">
        <f t="shared" si="18"/>
        <v>36</v>
      </c>
      <c r="V76" s="1802" t="s">
        <v>1947</v>
      </c>
      <c r="W76" s="1813">
        <v>35</v>
      </c>
      <c r="X76" s="2135">
        <f t="shared" si="19"/>
        <v>1</v>
      </c>
      <c r="Y76" s="2139">
        <f t="shared" si="19"/>
        <v>2</v>
      </c>
      <c r="Z76" s="2139">
        <f t="shared" si="19"/>
        <v>2</v>
      </c>
      <c r="AA76" s="2139">
        <f t="shared" si="19"/>
        <v>3</v>
      </c>
      <c r="AB76" s="2139">
        <f t="shared" si="19"/>
        <v>4</v>
      </c>
      <c r="AC76" s="2139">
        <f t="shared" si="19"/>
        <v>4</v>
      </c>
      <c r="AD76" s="2139">
        <f t="shared" si="19"/>
        <v>5</v>
      </c>
      <c r="AE76" s="2139">
        <f t="shared" si="19"/>
        <v>6</v>
      </c>
      <c r="AF76" s="2139">
        <f t="shared" si="19"/>
        <v>7</v>
      </c>
      <c r="AG76" s="2139">
        <f t="shared" si="19"/>
        <v>7</v>
      </c>
      <c r="AH76" s="2139">
        <f t="shared" si="13"/>
        <v>11</v>
      </c>
      <c r="AI76" s="2139">
        <f t="shared" si="19"/>
        <v>14</v>
      </c>
      <c r="AJ76" s="2139">
        <f t="shared" si="19"/>
        <v>18</v>
      </c>
      <c r="AK76" s="2139">
        <f t="shared" si="19"/>
        <v>22</v>
      </c>
      <c r="AL76" s="2139">
        <f t="shared" si="19"/>
        <v>25</v>
      </c>
      <c r="AM76" s="2139">
        <f t="shared" si="19"/>
        <v>29</v>
      </c>
      <c r="AN76" s="2139">
        <f t="shared" si="16"/>
        <v>32</v>
      </c>
      <c r="AO76" s="2136">
        <f t="shared" si="16"/>
        <v>36</v>
      </c>
      <c r="AP76" s="1802" t="s">
        <v>1947</v>
      </c>
      <c r="AQ76" s="1813">
        <v>35</v>
      </c>
      <c r="AR76" s="1949">
        <f t="shared" si="20"/>
        <v>2</v>
      </c>
      <c r="AS76" s="1963">
        <f t="shared" si="20"/>
        <v>2</v>
      </c>
      <c r="AT76" s="1963">
        <f t="shared" si="20"/>
        <v>3</v>
      </c>
      <c r="AU76" s="1963">
        <f t="shared" si="20"/>
        <v>4</v>
      </c>
      <c r="AV76" s="1963">
        <f t="shared" si="20"/>
        <v>5</v>
      </c>
      <c r="AW76" s="1963">
        <f t="shared" si="20"/>
        <v>5</v>
      </c>
      <c r="AX76" s="1963">
        <f t="shared" si="20"/>
        <v>6</v>
      </c>
      <c r="AY76" s="1963">
        <f t="shared" si="20"/>
        <v>7</v>
      </c>
      <c r="AZ76" s="1963">
        <f t="shared" si="20"/>
        <v>7</v>
      </c>
      <c r="BA76" s="1963">
        <f t="shared" si="20"/>
        <v>8</v>
      </c>
      <c r="BB76" s="1963">
        <f t="shared" si="20"/>
        <v>12</v>
      </c>
      <c r="BC76" s="1963">
        <f t="shared" si="20"/>
        <v>15</v>
      </c>
      <c r="BD76" s="1963">
        <f t="shared" si="20"/>
        <v>19</v>
      </c>
      <c r="BE76" s="1963">
        <f t="shared" si="20"/>
        <v>22</v>
      </c>
      <c r="BF76" s="1963">
        <f t="shared" si="20"/>
        <v>26</v>
      </c>
      <c r="BG76" s="1963">
        <f t="shared" si="20"/>
        <v>30</v>
      </c>
      <c r="BH76" s="1963">
        <f t="shared" si="17"/>
        <v>33</v>
      </c>
      <c r="BI76" s="1950">
        <f t="shared" si="17"/>
        <v>37</v>
      </c>
    </row>
    <row r="77" spans="2:61" ht="12.95" customHeight="1" outlineLevel="1">
      <c r="B77" s="1804" t="s">
        <v>2545</v>
      </c>
      <c r="C77" s="1812">
        <v>40</v>
      </c>
      <c r="D77" s="1824">
        <f t="shared" si="21"/>
        <v>0</v>
      </c>
      <c r="E77" s="1959">
        <f t="shared" si="18"/>
        <v>1</v>
      </c>
      <c r="F77" s="1959">
        <f t="shared" si="18"/>
        <v>2</v>
      </c>
      <c r="G77" s="1959">
        <f t="shared" si="18"/>
        <v>2</v>
      </c>
      <c r="H77" s="1959">
        <f t="shared" si="18"/>
        <v>3</v>
      </c>
      <c r="I77" s="1959">
        <f t="shared" si="18"/>
        <v>4</v>
      </c>
      <c r="J77" s="1959">
        <f t="shared" si="18"/>
        <v>4</v>
      </c>
      <c r="K77" s="1959">
        <f t="shared" si="18"/>
        <v>5</v>
      </c>
      <c r="L77" s="1959">
        <f t="shared" si="18"/>
        <v>5</v>
      </c>
      <c r="M77" s="1959">
        <f t="shared" si="18"/>
        <v>6</v>
      </c>
      <c r="N77" s="1959">
        <f t="shared" si="18"/>
        <v>9</v>
      </c>
      <c r="O77" s="1959">
        <f t="shared" si="18"/>
        <v>12</v>
      </c>
      <c r="P77" s="1959">
        <f t="shared" si="18"/>
        <v>15</v>
      </c>
      <c r="Q77" s="1959">
        <f t="shared" si="18"/>
        <v>19</v>
      </c>
      <c r="R77" s="1959">
        <f t="shared" si="18"/>
        <v>22</v>
      </c>
      <c r="S77" s="1959">
        <f t="shared" si="18"/>
        <v>25</v>
      </c>
      <c r="T77" s="1959">
        <f t="shared" si="18"/>
        <v>28</v>
      </c>
      <c r="U77" s="1952">
        <f t="shared" si="18"/>
        <v>31</v>
      </c>
      <c r="V77" s="1804" t="s">
        <v>2545</v>
      </c>
      <c r="W77" s="1812">
        <v>40</v>
      </c>
      <c r="X77" s="2133">
        <f t="shared" si="19"/>
        <v>1</v>
      </c>
      <c r="Y77" s="2138">
        <f t="shared" si="19"/>
        <v>1</v>
      </c>
      <c r="Z77" s="2138">
        <f t="shared" si="19"/>
        <v>2</v>
      </c>
      <c r="AA77" s="2138">
        <f t="shared" si="19"/>
        <v>3</v>
      </c>
      <c r="AB77" s="2138">
        <f t="shared" si="19"/>
        <v>3</v>
      </c>
      <c r="AC77" s="2138">
        <f t="shared" si="19"/>
        <v>4</v>
      </c>
      <c r="AD77" s="2138">
        <f t="shared" si="19"/>
        <v>4</v>
      </c>
      <c r="AE77" s="2138">
        <f t="shared" si="19"/>
        <v>5</v>
      </c>
      <c r="AF77" s="2138">
        <f t="shared" si="19"/>
        <v>6</v>
      </c>
      <c r="AG77" s="2138">
        <f t="shared" si="19"/>
        <v>6</v>
      </c>
      <c r="AH77" s="2139">
        <f t="shared" si="13"/>
        <v>9</v>
      </c>
      <c r="AI77" s="2138">
        <f t="shared" si="19"/>
        <v>13</v>
      </c>
      <c r="AJ77" s="2138">
        <f t="shared" si="19"/>
        <v>16</v>
      </c>
      <c r="AK77" s="2138">
        <f t="shared" si="19"/>
        <v>19</v>
      </c>
      <c r="AL77" s="2138">
        <f t="shared" si="19"/>
        <v>22</v>
      </c>
      <c r="AM77" s="2138">
        <f t="shared" si="19"/>
        <v>25</v>
      </c>
      <c r="AN77" s="2138">
        <f t="shared" si="16"/>
        <v>28</v>
      </c>
      <c r="AO77" s="2134">
        <f t="shared" si="16"/>
        <v>31</v>
      </c>
      <c r="AP77" s="1804" t="s">
        <v>2545</v>
      </c>
      <c r="AQ77" s="1812">
        <v>40</v>
      </c>
      <c r="AR77" s="1951">
        <f t="shared" si="20"/>
        <v>1</v>
      </c>
      <c r="AS77" s="1959">
        <f t="shared" si="20"/>
        <v>2</v>
      </c>
      <c r="AT77" s="1959">
        <f t="shared" si="20"/>
        <v>3</v>
      </c>
      <c r="AU77" s="1959">
        <f t="shared" si="20"/>
        <v>3</v>
      </c>
      <c r="AV77" s="1959">
        <f t="shared" si="20"/>
        <v>4</v>
      </c>
      <c r="AW77" s="1959">
        <f t="shared" si="20"/>
        <v>5</v>
      </c>
      <c r="AX77" s="1959">
        <f t="shared" si="20"/>
        <v>5</v>
      </c>
      <c r="AY77" s="1959">
        <f t="shared" si="20"/>
        <v>6</v>
      </c>
      <c r="AZ77" s="1959">
        <f t="shared" si="20"/>
        <v>6</v>
      </c>
      <c r="BA77" s="1959">
        <f t="shared" si="20"/>
        <v>7</v>
      </c>
      <c r="BB77" s="1959">
        <f t="shared" si="20"/>
        <v>10</v>
      </c>
      <c r="BC77" s="1959">
        <f t="shared" si="20"/>
        <v>13</v>
      </c>
      <c r="BD77" s="1959">
        <f t="shared" si="20"/>
        <v>16</v>
      </c>
      <c r="BE77" s="1959">
        <f t="shared" si="20"/>
        <v>20</v>
      </c>
      <c r="BF77" s="1959">
        <f t="shared" si="20"/>
        <v>23</v>
      </c>
      <c r="BG77" s="1959">
        <f t="shared" si="20"/>
        <v>26</v>
      </c>
      <c r="BH77" s="1959">
        <f t="shared" si="17"/>
        <v>29</v>
      </c>
      <c r="BI77" s="1952">
        <f t="shared" si="17"/>
        <v>32</v>
      </c>
    </row>
    <row r="78" spans="2:61" ht="12.95" customHeight="1" outlineLevel="1">
      <c r="B78" s="1802" t="s">
        <v>641</v>
      </c>
      <c r="C78" s="1813">
        <v>70</v>
      </c>
      <c r="D78" s="1823">
        <f t="shared" si="21"/>
        <v>0</v>
      </c>
      <c r="E78" s="1826">
        <f t="shared" si="18"/>
        <v>0</v>
      </c>
      <c r="F78" s="1963">
        <f t="shared" si="18"/>
        <v>1</v>
      </c>
      <c r="G78" s="1963">
        <f t="shared" si="18"/>
        <v>1</v>
      </c>
      <c r="H78" s="1963">
        <f t="shared" si="18"/>
        <v>1</v>
      </c>
      <c r="I78" s="1963">
        <f t="shared" si="18"/>
        <v>2</v>
      </c>
      <c r="J78" s="1963">
        <f t="shared" si="18"/>
        <v>2</v>
      </c>
      <c r="K78" s="1963">
        <f t="shared" si="18"/>
        <v>3</v>
      </c>
      <c r="L78" s="1963">
        <f t="shared" si="18"/>
        <v>3</v>
      </c>
      <c r="M78" s="1963">
        <f t="shared" si="18"/>
        <v>3</v>
      </c>
      <c r="N78" s="1963">
        <f t="shared" si="18"/>
        <v>5</v>
      </c>
      <c r="O78" s="1963">
        <f t="shared" si="18"/>
        <v>7</v>
      </c>
      <c r="P78" s="1963">
        <f t="shared" si="18"/>
        <v>9</v>
      </c>
      <c r="Q78" s="1963">
        <f t="shared" si="18"/>
        <v>10</v>
      </c>
      <c r="R78" s="1963">
        <f t="shared" si="18"/>
        <v>12</v>
      </c>
      <c r="S78" s="1963">
        <f t="shared" si="18"/>
        <v>14</v>
      </c>
      <c r="T78" s="1963">
        <f t="shared" si="18"/>
        <v>16</v>
      </c>
      <c r="U78" s="1950">
        <f t="shared" si="18"/>
        <v>18</v>
      </c>
      <c r="V78" s="1802" t="s">
        <v>641</v>
      </c>
      <c r="W78" s="1813">
        <v>70</v>
      </c>
      <c r="X78" s="1823">
        <f t="shared" si="19"/>
        <v>0</v>
      </c>
      <c r="Y78" s="2139">
        <f t="shared" si="19"/>
        <v>1</v>
      </c>
      <c r="Z78" s="2139">
        <f t="shared" si="19"/>
        <v>1</v>
      </c>
      <c r="AA78" s="2139">
        <f t="shared" si="19"/>
        <v>1</v>
      </c>
      <c r="AB78" s="2139">
        <f t="shared" si="19"/>
        <v>2</v>
      </c>
      <c r="AC78" s="2139">
        <f t="shared" si="19"/>
        <v>2</v>
      </c>
      <c r="AD78" s="2139">
        <f t="shared" si="19"/>
        <v>2</v>
      </c>
      <c r="AE78" s="2139">
        <f t="shared" si="19"/>
        <v>3</v>
      </c>
      <c r="AF78" s="2139">
        <f t="shared" si="19"/>
        <v>3</v>
      </c>
      <c r="AG78" s="2139">
        <f t="shared" si="19"/>
        <v>3</v>
      </c>
      <c r="AH78" s="2139">
        <f t="shared" si="13"/>
        <v>5</v>
      </c>
      <c r="AI78" s="2139">
        <f t="shared" si="19"/>
        <v>7</v>
      </c>
      <c r="AJ78" s="2139">
        <f t="shared" si="19"/>
        <v>9</v>
      </c>
      <c r="AK78" s="2139">
        <f t="shared" si="19"/>
        <v>11</v>
      </c>
      <c r="AL78" s="2139">
        <f t="shared" si="19"/>
        <v>12</v>
      </c>
      <c r="AM78" s="2139">
        <f t="shared" si="19"/>
        <v>14</v>
      </c>
      <c r="AN78" s="2139">
        <f t="shared" si="16"/>
        <v>16</v>
      </c>
      <c r="AO78" s="2136">
        <f t="shared" si="16"/>
        <v>18</v>
      </c>
      <c r="AP78" s="1802" t="s">
        <v>641</v>
      </c>
      <c r="AQ78" s="1813">
        <v>70</v>
      </c>
      <c r="AR78" s="1949">
        <f t="shared" si="20"/>
        <v>1</v>
      </c>
      <c r="AS78" s="1963">
        <f t="shared" si="20"/>
        <v>1</v>
      </c>
      <c r="AT78" s="1963">
        <f t="shared" si="20"/>
        <v>1</v>
      </c>
      <c r="AU78" s="1963">
        <f t="shared" si="20"/>
        <v>2</v>
      </c>
      <c r="AV78" s="1963">
        <f t="shared" si="20"/>
        <v>2</v>
      </c>
      <c r="AW78" s="1963">
        <f t="shared" si="20"/>
        <v>2</v>
      </c>
      <c r="AX78" s="1963">
        <f t="shared" si="20"/>
        <v>3</v>
      </c>
      <c r="AY78" s="1963">
        <f t="shared" si="20"/>
        <v>3</v>
      </c>
      <c r="AZ78" s="1963">
        <f t="shared" si="20"/>
        <v>3</v>
      </c>
      <c r="BA78" s="1963">
        <f t="shared" si="20"/>
        <v>4</v>
      </c>
      <c r="BB78" s="1963">
        <f t="shared" si="20"/>
        <v>6</v>
      </c>
      <c r="BC78" s="1963">
        <f t="shared" si="20"/>
        <v>7</v>
      </c>
      <c r="BD78" s="1963">
        <f t="shared" si="20"/>
        <v>9</v>
      </c>
      <c r="BE78" s="1963">
        <f t="shared" si="20"/>
        <v>11</v>
      </c>
      <c r="BF78" s="1963">
        <f t="shared" si="20"/>
        <v>13</v>
      </c>
      <c r="BG78" s="1963">
        <f t="shared" si="20"/>
        <v>15</v>
      </c>
      <c r="BH78" s="1963">
        <f t="shared" si="17"/>
        <v>16</v>
      </c>
      <c r="BI78" s="1950">
        <f t="shared" si="17"/>
        <v>18</v>
      </c>
    </row>
    <row r="79" spans="2:61" ht="12.95" customHeight="1" outlineLevel="1">
      <c r="B79" s="1804" t="s">
        <v>613</v>
      </c>
      <c r="C79" s="1812">
        <v>70</v>
      </c>
      <c r="D79" s="1824">
        <f t="shared" si="21"/>
        <v>0</v>
      </c>
      <c r="E79" s="1829">
        <f t="shared" si="18"/>
        <v>0</v>
      </c>
      <c r="F79" s="1959">
        <f t="shared" si="18"/>
        <v>1</v>
      </c>
      <c r="G79" s="1959">
        <f t="shared" si="18"/>
        <v>1</v>
      </c>
      <c r="H79" s="1959">
        <f t="shared" si="18"/>
        <v>1</v>
      </c>
      <c r="I79" s="1959">
        <f t="shared" si="18"/>
        <v>2</v>
      </c>
      <c r="J79" s="1959">
        <f t="shared" si="18"/>
        <v>2</v>
      </c>
      <c r="K79" s="1959">
        <f t="shared" si="18"/>
        <v>3</v>
      </c>
      <c r="L79" s="1959">
        <f t="shared" si="18"/>
        <v>3</v>
      </c>
      <c r="M79" s="1959">
        <f t="shared" si="18"/>
        <v>3</v>
      </c>
      <c r="N79" s="1959">
        <f t="shared" si="18"/>
        <v>5</v>
      </c>
      <c r="O79" s="1959">
        <f t="shared" si="18"/>
        <v>7</v>
      </c>
      <c r="P79" s="1959">
        <f t="shared" si="18"/>
        <v>9</v>
      </c>
      <c r="Q79" s="1959">
        <f t="shared" si="18"/>
        <v>10</v>
      </c>
      <c r="R79" s="1959">
        <f t="shared" si="18"/>
        <v>12</v>
      </c>
      <c r="S79" s="1959">
        <f t="shared" si="18"/>
        <v>14</v>
      </c>
      <c r="T79" s="1959">
        <f t="shared" si="18"/>
        <v>16</v>
      </c>
      <c r="U79" s="1952">
        <f t="shared" si="18"/>
        <v>18</v>
      </c>
      <c r="V79" s="1804" t="s">
        <v>613</v>
      </c>
      <c r="W79" s="1812">
        <v>70</v>
      </c>
      <c r="X79" s="1824">
        <f t="shared" si="19"/>
        <v>0</v>
      </c>
      <c r="Y79" s="2138">
        <f t="shared" si="19"/>
        <v>1</v>
      </c>
      <c r="Z79" s="2138">
        <f t="shared" si="19"/>
        <v>1</v>
      </c>
      <c r="AA79" s="2138">
        <f t="shared" si="19"/>
        <v>1</v>
      </c>
      <c r="AB79" s="2138">
        <f t="shared" si="19"/>
        <v>2</v>
      </c>
      <c r="AC79" s="2138">
        <f t="shared" si="19"/>
        <v>2</v>
      </c>
      <c r="AD79" s="2138">
        <f t="shared" si="19"/>
        <v>2</v>
      </c>
      <c r="AE79" s="2138">
        <f t="shared" si="19"/>
        <v>3</v>
      </c>
      <c r="AF79" s="2138">
        <f t="shared" si="19"/>
        <v>3</v>
      </c>
      <c r="AG79" s="2138">
        <f t="shared" si="19"/>
        <v>3</v>
      </c>
      <c r="AH79" s="2139">
        <f t="shared" si="13"/>
        <v>5</v>
      </c>
      <c r="AI79" s="2138">
        <f t="shared" si="19"/>
        <v>7</v>
      </c>
      <c r="AJ79" s="2138">
        <f t="shared" si="19"/>
        <v>9</v>
      </c>
      <c r="AK79" s="2138">
        <f t="shared" si="19"/>
        <v>11</v>
      </c>
      <c r="AL79" s="2138">
        <f t="shared" si="19"/>
        <v>12</v>
      </c>
      <c r="AM79" s="2138">
        <f t="shared" si="19"/>
        <v>14</v>
      </c>
      <c r="AN79" s="2138">
        <f t="shared" si="16"/>
        <v>16</v>
      </c>
      <c r="AO79" s="2134">
        <f t="shared" si="16"/>
        <v>18</v>
      </c>
      <c r="AP79" s="1804" t="s">
        <v>613</v>
      </c>
      <c r="AQ79" s="1812">
        <v>70</v>
      </c>
      <c r="AR79" s="1951">
        <f t="shared" si="20"/>
        <v>1</v>
      </c>
      <c r="AS79" s="1959">
        <f t="shared" si="20"/>
        <v>1</v>
      </c>
      <c r="AT79" s="1959">
        <f t="shared" si="20"/>
        <v>1</v>
      </c>
      <c r="AU79" s="1959">
        <f t="shared" si="20"/>
        <v>2</v>
      </c>
      <c r="AV79" s="1959">
        <f t="shared" si="20"/>
        <v>2</v>
      </c>
      <c r="AW79" s="1959">
        <f t="shared" si="20"/>
        <v>2</v>
      </c>
      <c r="AX79" s="1959">
        <f t="shared" si="20"/>
        <v>3</v>
      </c>
      <c r="AY79" s="1959">
        <f t="shared" si="20"/>
        <v>3</v>
      </c>
      <c r="AZ79" s="1959">
        <f t="shared" si="20"/>
        <v>3</v>
      </c>
      <c r="BA79" s="1959">
        <f t="shared" si="20"/>
        <v>4</v>
      </c>
      <c r="BB79" s="1959">
        <f t="shared" si="20"/>
        <v>6</v>
      </c>
      <c r="BC79" s="1959">
        <f t="shared" si="20"/>
        <v>7</v>
      </c>
      <c r="BD79" s="1959">
        <f t="shared" si="20"/>
        <v>9</v>
      </c>
      <c r="BE79" s="1959">
        <f t="shared" si="20"/>
        <v>11</v>
      </c>
      <c r="BF79" s="1959">
        <f t="shared" si="20"/>
        <v>13</v>
      </c>
      <c r="BG79" s="1959">
        <f t="shared" si="20"/>
        <v>15</v>
      </c>
      <c r="BH79" s="1959">
        <f t="shared" si="17"/>
        <v>16</v>
      </c>
      <c r="BI79" s="1952">
        <f t="shared" si="17"/>
        <v>18</v>
      </c>
    </row>
    <row r="80" spans="2:61" ht="12.95" customHeight="1" outlineLevel="1">
      <c r="B80" s="1802" t="s">
        <v>614</v>
      </c>
      <c r="C80" s="1813">
        <v>70</v>
      </c>
      <c r="D80" s="1823">
        <f t="shared" si="21"/>
        <v>0</v>
      </c>
      <c r="E80" s="1826">
        <f t="shared" si="18"/>
        <v>0</v>
      </c>
      <c r="F80" s="1963">
        <f t="shared" si="18"/>
        <v>1</v>
      </c>
      <c r="G80" s="1963">
        <f t="shared" si="18"/>
        <v>1</v>
      </c>
      <c r="H80" s="1963">
        <f t="shared" si="18"/>
        <v>1</v>
      </c>
      <c r="I80" s="1963">
        <f t="shared" si="18"/>
        <v>2</v>
      </c>
      <c r="J80" s="1963">
        <f t="shared" si="18"/>
        <v>2</v>
      </c>
      <c r="K80" s="1963">
        <f t="shared" si="18"/>
        <v>3</v>
      </c>
      <c r="L80" s="1963">
        <f t="shared" si="18"/>
        <v>3</v>
      </c>
      <c r="M80" s="1963">
        <f t="shared" si="18"/>
        <v>3</v>
      </c>
      <c r="N80" s="1963">
        <f t="shared" si="18"/>
        <v>5</v>
      </c>
      <c r="O80" s="1963">
        <f t="shared" si="18"/>
        <v>7</v>
      </c>
      <c r="P80" s="1963">
        <f t="shared" si="18"/>
        <v>9</v>
      </c>
      <c r="Q80" s="1963">
        <f t="shared" si="18"/>
        <v>10</v>
      </c>
      <c r="R80" s="1963">
        <f t="shared" si="18"/>
        <v>12</v>
      </c>
      <c r="S80" s="1963">
        <f t="shared" si="18"/>
        <v>14</v>
      </c>
      <c r="T80" s="1963">
        <f t="shared" si="18"/>
        <v>16</v>
      </c>
      <c r="U80" s="1950">
        <f t="shared" si="18"/>
        <v>18</v>
      </c>
      <c r="V80" s="1802" t="s">
        <v>614</v>
      </c>
      <c r="W80" s="1813">
        <v>70</v>
      </c>
      <c r="X80" s="1823">
        <f t="shared" si="19"/>
        <v>0</v>
      </c>
      <c r="Y80" s="2139">
        <f t="shared" si="19"/>
        <v>1</v>
      </c>
      <c r="Z80" s="2139">
        <f t="shared" si="19"/>
        <v>1</v>
      </c>
      <c r="AA80" s="2139">
        <f t="shared" si="19"/>
        <v>1</v>
      </c>
      <c r="AB80" s="2139">
        <f t="shared" si="19"/>
        <v>2</v>
      </c>
      <c r="AC80" s="2139">
        <f t="shared" si="19"/>
        <v>2</v>
      </c>
      <c r="AD80" s="2139">
        <f t="shared" si="19"/>
        <v>2</v>
      </c>
      <c r="AE80" s="2139">
        <f t="shared" si="19"/>
        <v>3</v>
      </c>
      <c r="AF80" s="2139">
        <f t="shared" si="19"/>
        <v>3</v>
      </c>
      <c r="AG80" s="2139">
        <f t="shared" si="19"/>
        <v>3</v>
      </c>
      <c r="AH80" s="2139">
        <f t="shared" si="13"/>
        <v>5</v>
      </c>
      <c r="AI80" s="2139">
        <f t="shared" si="19"/>
        <v>7</v>
      </c>
      <c r="AJ80" s="2139">
        <f t="shared" si="19"/>
        <v>9</v>
      </c>
      <c r="AK80" s="2139">
        <f t="shared" si="19"/>
        <v>11</v>
      </c>
      <c r="AL80" s="2139">
        <f t="shared" si="19"/>
        <v>12</v>
      </c>
      <c r="AM80" s="2139">
        <f t="shared" si="19"/>
        <v>14</v>
      </c>
      <c r="AN80" s="2139">
        <f t="shared" si="16"/>
        <v>16</v>
      </c>
      <c r="AO80" s="2136">
        <f t="shared" si="16"/>
        <v>18</v>
      </c>
      <c r="AP80" s="1802" t="s">
        <v>614</v>
      </c>
      <c r="AQ80" s="1813">
        <v>70</v>
      </c>
      <c r="AR80" s="1949">
        <f t="shared" si="20"/>
        <v>1</v>
      </c>
      <c r="AS80" s="1963">
        <f t="shared" si="20"/>
        <v>1</v>
      </c>
      <c r="AT80" s="1963">
        <f t="shared" si="20"/>
        <v>1</v>
      </c>
      <c r="AU80" s="1963">
        <f t="shared" si="20"/>
        <v>2</v>
      </c>
      <c r="AV80" s="1963">
        <f t="shared" si="20"/>
        <v>2</v>
      </c>
      <c r="AW80" s="1963">
        <f t="shared" si="20"/>
        <v>2</v>
      </c>
      <c r="AX80" s="1963">
        <f t="shared" si="20"/>
        <v>3</v>
      </c>
      <c r="AY80" s="1963">
        <f t="shared" si="20"/>
        <v>3</v>
      </c>
      <c r="AZ80" s="1963">
        <f t="shared" si="20"/>
        <v>3</v>
      </c>
      <c r="BA80" s="1963">
        <f t="shared" si="20"/>
        <v>4</v>
      </c>
      <c r="BB80" s="1963">
        <f t="shared" si="20"/>
        <v>6</v>
      </c>
      <c r="BC80" s="1963">
        <f t="shared" si="20"/>
        <v>7</v>
      </c>
      <c r="BD80" s="1963">
        <f t="shared" si="20"/>
        <v>9</v>
      </c>
      <c r="BE80" s="1963">
        <f t="shared" si="20"/>
        <v>11</v>
      </c>
      <c r="BF80" s="1963">
        <f t="shared" si="20"/>
        <v>13</v>
      </c>
      <c r="BG80" s="1963">
        <f t="shared" si="20"/>
        <v>15</v>
      </c>
      <c r="BH80" s="1963">
        <f t="shared" si="17"/>
        <v>16</v>
      </c>
      <c r="BI80" s="1950">
        <f t="shared" si="17"/>
        <v>18</v>
      </c>
    </row>
    <row r="81" spans="2:61" ht="12.95" customHeight="1" outlineLevel="1">
      <c r="B81" s="1804" t="s">
        <v>3466</v>
      </c>
      <c r="C81" s="1812">
        <v>70</v>
      </c>
      <c r="D81" s="1824">
        <f t="shared" si="21"/>
        <v>0</v>
      </c>
      <c r="E81" s="1829">
        <f t="shared" si="18"/>
        <v>0</v>
      </c>
      <c r="F81" s="1959">
        <f t="shared" si="18"/>
        <v>1</v>
      </c>
      <c r="G81" s="1959">
        <f t="shared" si="18"/>
        <v>1</v>
      </c>
      <c r="H81" s="1959">
        <f t="shared" si="18"/>
        <v>1</v>
      </c>
      <c r="I81" s="1959">
        <f t="shared" si="18"/>
        <v>2</v>
      </c>
      <c r="J81" s="1959">
        <f t="shared" si="18"/>
        <v>2</v>
      </c>
      <c r="K81" s="1959">
        <f t="shared" si="18"/>
        <v>3</v>
      </c>
      <c r="L81" s="1959">
        <f t="shared" si="18"/>
        <v>3</v>
      </c>
      <c r="M81" s="1959">
        <f t="shared" si="18"/>
        <v>3</v>
      </c>
      <c r="N81" s="1959">
        <f t="shared" si="18"/>
        <v>5</v>
      </c>
      <c r="O81" s="1959">
        <f t="shared" si="18"/>
        <v>7</v>
      </c>
      <c r="P81" s="1959">
        <f t="shared" si="18"/>
        <v>9</v>
      </c>
      <c r="Q81" s="1959">
        <f t="shared" si="18"/>
        <v>10</v>
      </c>
      <c r="R81" s="1959">
        <f t="shared" si="18"/>
        <v>12</v>
      </c>
      <c r="S81" s="1959">
        <f t="shared" si="18"/>
        <v>14</v>
      </c>
      <c r="T81" s="1959">
        <f t="shared" si="18"/>
        <v>16</v>
      </c>
      <c r="U81" s="1952">
        <f t="shared" si="18"/>
        <v>18</v>
      </c>
      <c r="V81" s="1804" t="s">
        <v>3466</v>
      </c>
      <c r="W81" s="1812">
        <v>70</v>
      </c>
      <c r="X81" s="1824">
        <f t="shared" si="19"/>
        <v>0</v>
      </c>
      <c r="Y81" s="2138">
        <f t="shared" si="19"/>
        <v>1</v>
      </c>
      <c r="Z81" s="2138">
        <f t="shared" si="19"/>
        <v>1</v>
      </c>
      <c r="AA81" s="2138">
        <f t="shared" si="19"/>
        <v>1</v>
      </c>
      <c r="AB81" s="2138">
        <f t="shared" si="19"/>
        <v>2</v>
      </c>
      <c r="AC81" s="2138">
        <f t="shared" si="19"/>
        <v>2</v>
      </c>
      <c r="AD81" s="2138">
        <f t="shared" si="19"/>
        <v>2</v>
      </c>
      <c r="AE81" s="2138">
        <f t="shared" si="19"/>
        <v>3</v>
      </c>
      <c r="AF81" s="2138">
        <f t="shared" si="19"/>
        <v>3</v>
      </c>
      <c r="AG81" s="2138">
        <f t="shared" si="19"/>
        <v>3</v>
      </c>
      <c r="AH81" s="2139">
        <f t="shared" si="13"/>
        <v>5</v>
      </c>
      <c r="AI81" s="2138">
        <f t="shared" si="19"/>
        <v>7</v>
      </c>
      <c r="AJ81" s="2138">
        <f t="shared" si="19"/>
        <v>9</v>
      </c>
      <c r="AK81" s="2138">
        <f t="shared" si="19"/>
        <v>11</v>
      </c>
      <c r="AL81" s="2138">
        <f t="shared" si="19"/>
        <v>12</v>
      </c>
      <c r="AM81" s="2138">
        <f t="shared" si="19"/>
        <v>14</v>
      </c>
      <c r="AN81" s="2138">
        <f t="shared" si="16"/>
        <v>16</v>
      </c>
      <c r="AO81" s="2134">
        <f t="shared" si="16"/>
        <v>18</v>
      </c>
      <c r="AP81" s="1804" t="s">
        <v>3466</v>
      </c>
      <c r="AQ81" s="1812">
        <v>70</v>
      </c>
      <c r="AR81" s="1951">
        <f t="shared" si="20"/>
        <v>1</v>
      </c>
      <c r="AS81" s="1959">
        <f t="shared" si="20"/>
        <v>1</v>
      </c>
      <c r="AT81" s="1959">
        <f t="shared" si="20"/>
        <v>1</v>
      </c>
      <c r="AU81" s="1959">
        <f t="shared" si="20"/>
        <v>2</v>
      </c>
      <c r="AV81" s="1959">
        <f t="shared" si="20"/>
        <v>2</v>
      </c>
      <c r="AW81" s="1959">
        <f t="shared" si="20"/>
        <v>2</v>
      </c>
      <c r="AX81" s="1959">
        <f t="shared" si="20"/>
        <v>3</v>
      </c>
      <c r="AY81" s="1959">
        <f t="shared" si="20"/>
        <v>3</v>
      </c>
      <c r="AZ81" s="1959">
        <f t="shared" si="20"/>
        <v>3</v>
      </c>
      <c r="BA81" s="1959">
        <f t="shared" si="20"/>
        <v>4</v>
      </c>
      <c r="BB81" s="1959">
        <f t="shared" si="20"/>
        <v>6</v>
      </c>
      <c r="BC81" s="1959">
        <f t="shared" si="20"/>
        <v>7</v>
      </c>
      <c r="BD81" s="1959">
        <f t="shared" si="20"/>
        <v>9</v>
      </c>
      <c r="BE81" s="1959">
        <f t="shared" si="20"/>
        <v>11</v>
      </c>
      <c r="BF81" s="1959">
        <f t="shared" si="20"/>
        <v>13</v>
      </c>
      <c r="BG81" s="1959">
        <f t="shared" si="20"/>
        <v>15</v>
      </c>
      <c r="BH81" s="1959">
        <f t="shared" si="17"/>
        <v>16</v>
      </c>
      <c r="BI81" s="1952">
        <f t="shared" si="17"/>
        <v>18</v>
      </c>
    </row>
    <row r="82" spans="2:61" ht="12.95" customHeight="1" outlineLevel="1">
      <c r="B82" s="1802" t="s">
        <v>651</v>
      </c>
      <c r="C82" s="1813">
        <v>175</v>
      </c>
      <c r="D82" s="1823">
        <f t="shared" si="21"/>
        <v>0</v>
      </c>
      <c r="E82" s="1826">
        <f t="shared" si="18"/>
        <v>0</v>
      </c>
      <c r="F82" s="1826">
        <f t="shared" si="18"/>
        <v>0</v>
      </c>
      <c r="G82" s="1826">
        <f t="shared" si="18"/>
        <v>0</v>
      </c>
      <c r="H82" s="1826">
        <f t="shared" si="18"/>
        <v>0</v>
      </c>
      <c r="I82" s="1826">
        <f t="shared" si="18"/>
        <v>0</v>
      </c>
      <c r="J82" s="1963">
        <f t="shared" si="18"/>
        <v>1</v>
      </c>
      <c r="K82" s="1963">
        <f t="shared" si="18"/>
        <v>1</v>
      </c>
      <c r="L82" s="1963">
        <f t="shared" si="18"/>
        <v>1</v>
      </c>
      <c r="M82" s="1963">
        <f t="shared" si="18"/>
        <v>1</v>
      </c>
      <c r="N82" s="1963">
        <f t="shared" si="18"/>
        <v>2</v>
      </c>
      <c r="O82" s="1963">
        <f t="shared" si="18"/>
        <v>2</v>
      </c>
      <c r="P82" s="1963">
        <f t="shared" si="18"/>
        <v>3</v>
      </c>
      <c r="Q82" s="1963">
        <f t="shared" si="18"/>
        <v>4</v>
      </c>
      <c r="R82" s="1963">
        <f t="shared" si="18"/>
        <v>5</v>
      </c>
      <c r="S82" s="1963">
        <f t="shared" si="18"/>
        <v>5</v>
      </c>
      <c r="T82" s="1963">
        <f t="shared" si="18"/>
        <v>6</v>
      </c>
      <c r="U82" s="1950">
        <f t="shared" ref="E82:U97" si="22">FLOOR((U$7*25+10)/$C82,1)</f>
        <v>7</v>
      </c>
      <c r="V82" s="1802" t="s">
        <v>651</v>
      </c>
      <c r="W82" s="1813">
        <v>175</v>
      </c>
      <c r="X82" s="1823">
        <f t="shared" si="19"/>
        <v>0</v>
      </c>
      <c r="Y82" s="1826">
        <f t="shared" si="19"/>
        <v>0</v>
      </c>
      <c r="Z82" s="1826">
        <f t="shared" si="19"/>
        <v>0</v>
      </c>
      <c r="AA82" s="1826">
        <f t="shared" si="19"/>
        <v>0</v>
      </c>
      <c r="AB82" s="1826">
        <f t="shared" si="19"/>
        <v>0</v>
      </c>
      <c r="AC82" s="1826">
        <f t="shared" si="19"/>
        <v>0</v>
      </c>
      <c r="AD82" s="2139">
        <f t="shared" si="19"/>
        <v>1</v>
      </c>
      <c r="AE82" s="2139">
        <f t="shared" si="19"/>
        <v>1</v>
      </c>
      <c r="AF82" s="2139">
        <f t="shared" si="19"/>
        <v>1</v>
      </c>
      <c r="AG82" s="2139">
        <f t="shared" si="19"/>
        <v>1</v>
      </c>
      <c r="AH82" s="2139">
        <f t="shared" si="13"/>
        <v>2</v>
      </c>
      <c r="AI82" s="2139">
        <f t="shared" si="19"/>
        <v>2</v>
      </c>
      <c r="AJ82" s="2139">
        <f t="shared" si="19"/>
        <v>3</v>
      </c>
      <c r="AK82" s="2139">
        <f t="shared" si="19"/>
        <v>4</v>
      </c>
      <c r="AL82" s="2139">
        <f t="shared" si="19"/>
        <v>5</v>
      </c>
      <c r="AM82" s="2139">
        <f t="shared" si="19"/>
        <v>5</v>
      </c>
      <c r="AN82" s="2139">
        <f t="shared" si="16"/>
        <v>6</v>
      </c>
      <c r="AO82" s="2136">
        <f t="shared" si="16"/>
        <v>7</v>
      </c>
      <c r="AP82" s="1802" t="s">
        <v>651</v>
      </c>
      <c r="AQ82" s="1813">
        <v>175</v>
      </c>
      <c r="AR82" s="1823">
        <f t="shared" si="20"/>
        <v>0</v>
      </c>
      <c r="AS82" s="1826">
        <f t="shared" si="20"/>
        <v>0</v>
      </c>
      <c r="AT82" s="1826">
        <f t="shared" si="20"/>
        <v>0</v>
      </c>
      <c r="AU82" s="1826">
        <f t="shared" si="20"/>
        <v>0</v>
      </c>
      <c r="AV82" s="1963">
        <f t="shared" si="20"/>
        <v>1</v>
      </c>
      <c r="AW82" s="1963">
        <f t="shared" si="20"/>
        <v>1</v>
      </c>
      <c r="AX82" s="1963">
        <f t="shared" si="20"/>
        <v>1</v>
      </c>
      <c r="AY82" s="1963">
        <f t="shared" si="20"/>
        <v>1</v>
      </c>
      <c r="AZ82" s="1963">
        <f t="shared" si="20"/>
        <v>1</v>
      </c>
      <c r="BA82" s="1963">
        <f t="shared" si="20"/>
        <v>1</v>
      </c>
      <c r="BB82" s="1963">
        <f t="shared" si="20"/>
        <v>2</v>
      </c>
      <c r="BC82" s="1963">
        <f t="shared" si="20"/>
        <v>3</v>
      </c>
      <c r="BD82" s="1963">
        <f t="shared" si="20"/>
        <v>3</v>
      </c>
      <c r="BE82" s="1963">
        <f t="shared" si="20"/>
        <v>4</v>
      </c>
      <c r="BF82" s="1963">
        <f t="shared" si="20"/>
        <v>5</v>
      </c>
      <c r="BG82" s="1963">
        <f t="shared" si="20"/>
        <v>6</v>
      </c>
      <c r="BH82" s="1963">
        <f t="shared" si="17"/>
        <v>6</v>
      </c>
      <c r="BI82" s="1950">
        <f t="shared" si="17"/>
        <v>7</v>
      </c>
    </row>
    <row r="83" spans="2:61" ht="12.95" customHeight="1" outlineLevel="1" thickBot="1">
      <c r="B83" s="1808" t="s">
        <v>2611</v>
      </c>
      <c r="C83" s="1816">
        <v>250</v>
      </c>
      <c r="D83" s="1828">
        <f t="shared" si="21"/>
        <v>0</v>
      </c>
      <c r="E83" s="1830">
        <f t="shared" si="22"/>
        <v>0</v>
      </c>
      <c r="F83" s="1830">
        <f t="shared" si="22"/>
        <v>0</v>
      </c>
      <c r="G83" s="1830">
        <f t="shared" si="22"/>
        <v>0</v>
      </c>
      <c r="H83" s="1830">
        <f t="shared" si="22"/>
        <v>0</v>
      </c>
      <c r="I83" s="1830">
        <f t="shared" si="22"/>
        <v>0</v>
      </c>
      <c r="J83" s="1830">
        <f t="shared" si="22"/>
        <v>0</v>
      </c>
      <c r="K83" s="1830">
        <f t="shared" si="22"/>
        <v>0</v>
      </c>
      <c r="L83" s="1830">
        <f t="shared" si="22"/>
        <v>0</v>
      </c>
      <c r="M83" s="1974">
        <f t="shared" si="22"/>
        <v>1</v>
      </c>
      <c r="N83" s="1974">
        <f t="shared" si="22"/>
        <v>1</v>
      </c>
      <c r="O83" s="1974">
        <f t="shared" si="22"/>
        <v>2</v>
      </c>
      <c r="P83" s="1974">
        <f t="shared" si="22"/>
        <v>2</v>
      </c>
      <c r="Q83" s="1974">
        <f t="shared" si="22"/>
        <v>3</v>
      </c>
      <c r="R83" s="1974">
        <f t="shared" si="22"/>
        <v>3</v>
      </c>
      <c r="S83" s="1974">
        <f t="shared" si="22"/>
        <v>4</v>
      </c>
      <c r="T83" s="1974">
        <f t="shared" si="22"/>
        <v>4</v>
      </c>
      <c r="U83" s="1948">
        <f t="shared" si="22"/>
        <v>5</v>
      </c>
      <c r="V83" s="1808" t="s">
        <v>2611</v>
      </c>
      <c r="W83" s="1816">
        <v>250</v>
      </c>
      <c r="X83" s="1828">
        <f t="shared" si="19"/>
        <v>0</v>
      </c>
      <c r="Y83" s="1830">
        <f t="shared" si="19"/>
        <v>0</v>
      </c>
      <c r="Z83" s="1830">
        <f t="shared" si="19"/>
        <v>0</v>
      </c>
      <c r="AA83" s="1830">
        <f t="shared" si="19"/>
        <v>0</v>
      </c>
      <c r="AB83" s="1830">
        <f t="shared" si="19"/>
        <v>0</v>
      </c>
      <c r="AC83" s="1830">
        <f t="shared" si="19"/>
        <v>0</v>
      </c>
      <c r="AD83" s="1830">
        <f t="shared" si="19"/>
        <v>0</v>
      </c>
      <c r="AE83" s="1830">
        <f t="shared" si="19"/>
        <v>0</v>
      </c>
      <c r="AF83" s="1830">
        <f t="shared" si="19"/>
        <v>0</v>
      </c>
      <c r="AG83" s="2144">
        <f t="shared" si="19"/>
        <v>1</v>
      </c>
      <c r="AH83" s="2140">
        <f t="shared" si="13"/>
        <v>1</v>
      </c>
      <c r="AI83" s="2144">
        <f t="shared" si="19"/>
        <v>2</v>
      </c>
      <c r="AJ83" s="2144">
        <f t="shared" si="19"/>
        <v>2</v>
      </c>
      <c r="AK83" s="2144">
        <f t="shared" si="19"/>
        <v>3</v>
      </c>
      <c r="AL83" s="2144">
        <f t="shared" si="19"/>
        <v>3</v>
      </c>
      <c r="AM83" s="2144">
        <f t="shared" si="19"/>
        <v>4</v>
      </c>
      <c r="AN83" s="2144">
        <f t="shared" si="16"/>
        <v>4</v>
      </c>
      <c r="AO83" s="2137">
        <f t="shared" si="16"/>
        <v>5</v>
      </c>
      <c r="AP83" s="1808" t="s">
        <v>2611</v>
      </c>
      <c r="AQ83" s="1816">
        <v>250</v>
      </c>
      <c r="AR83" s="1828">
        <f t="shared" si="20"/>
        <v>0</v>
      </c>
      <c r="AS83" s="1830">
        <f t="shared" si="20"/>
        <v>0</v>
      </c>
      <c r="AT83" s="1830">
        <f t="shared" si="20"/>
        <v>0</v>
      </c>
      <c r="AU83" s="1830">
        <f t="shared" si="20"/>
        <v>0</v>
      </c>
      <c r="AV83" s="1830">
        <f t="shared" si="20"/>
        <v>0</v>
      </c>
      <c r="AW83" s="1830">
        <f t="shared" si="20"/>
        <v>0</v>
      </c>
      <c r="AX83" s="1830">
        <f t="shared" si="20"/>
        <v>0</v>
      </c>
      <c r="AY83" s="1974">
        <f t="shared" si="20"/>
        <v>1</v>
      </c>
      <c r="AZ83" s="1974">
        <f t="shared" si="20"/>
        <v>1</v>
      </c>
      <c r="BA83" s="1974">
        <f t="shared" si="20"/>
        <v>1</v>
      </c>
      <c r="BB83" s="1974">
        <f t="shared" si="20"/>
        <v>1</v>
      </c>
      <c r="BC83" s="1974">
        <f t="shared" si="20"/>
        <v>2</v>
      </c>
      <c r="BD83" s="1974">
        <f t="shared" si="20"/>
        <v>2</v>
      </c>
      <c r="BE83" s="1974">
        <f t="shared" si="20"/>
        <v>3</v>
      </c>
      <c r="BF83" s="1974">
        <f t="shared" si="20"/>
        <v>3</v>
      </c>
      <c r="BG83" s="1974">
        <f t="shared" si="20"/>
        <v>4</v>
      </c>
      <c r="BH83" s="1974">
        <f t="shared" si="17"/>
        <v>4</v>
      </c>
      <c r="BI83" s="1948">
        <f t="shared" si="17"/>
        <v>5</v>
      </c>
    </row>
    <row r="84" spans="2:61" ht="12.95" customHeight="1">
      <c r="B84" s="1809" t="s">
        <v>1538</v>
      </c>
      <c r="C84" s="1811">
        <v>5</v>
      </c>
      <c r="D84" s="1953">
        <f t="shared" si="21"/>
        <v>7</v>
      </c>
      <c r="E84" s="1960">
        <f t="shared" si="22"/>
        <v>12</v>
      </c>
      <c r="F84" s="1960">
        <f t="shared" si="22"/>
        <v>17</v>
      </c>
      <c r="G84" s="1960">
        <f t="shared" si="22"/>
        <v>22</v>
      </c>
      <c r="H84" s="1960">
        <f t="shared" si="22"/>
        <v>27</v>
      </c>
      <c r="I84" s="1960">
        <f t="shared" si="22"/>
        <v>32</v>
      </c>
      <c r="J84" s="1960">
        <f t="shared" si="22"/>
        <v>37</v>
      </c>
      <c r="K84" s="1960">
        <f t="shared" si="22"/>
        <v>42</v>
      </c>
      <c r="L84" s="1960">
        <f t="shared" si="22"/>
        <v>47</v>
      </c>
      <c r="M84" s="1960">
        <f t="shared" si="22"/>
        <v>52</v>
      </c>
      <c r="N84" s="1960">
        <f t="shared" si="22"/>
        <v>77</v>
      </c>
      <c r="O84" s="1960">
        <f t="shared" si="22"/>
        <v>102</v>
      </c>
      <c r="P84" s="1960">
        <f t="shared" si="22"/>
        <v>127</v>
      </c>
      <c r="Q84" s="1960">
        <f t="shared" si="22"/>
        <v>152</v>
      </c>
      <c r="R84" s="1960">
        <f t="shared" si="22"/>
        <v>177</v>
      </c>
      <c r="S84" s="1960">
        <f t="shared" si="22"/>
        <v>202</v>
      </c>
      <c r="T84" s="1960">
        <f t="shared" si="22"/>
        <v>227</v>
      </c>
      <c r="U84" s="1954">
        <f t="shared" si="22"/>
        <v>252</v>
      </c>
      <c r="V84" s="1809" t="s">
        <v>1538</v>
      </c>
      <c r="W84" s="1811">
        <v>5</v>
      </c>
      <c r="X84" s="2143">
        <f t="shared" si="19"/>
        <v>9</v>
      </c>
      <c r="Y84" s="2145">
        <f t="shared" si="19"/>
        <v>14</v>
      </c>
      <c r="Z84" s="2145">
        <f t="shared" si="19"/>
        <v>19</v>
      </c>
      <c r="AA84" s="2145">
        <f t="shared" si="19"/>
        <v>24</v>
      </c>
      <c r="AB84" s="2145">
        <f t="shared" si="19"/>
        <v>29</v>
      </c>
      <c r="AC84" s="2145">
        <f t="shared" si="19"/>
        <v>34</v>
      </c>
      <c r="AD84" s="2145">
        <f t="shared" si="19"/>
        <v>39</v>
      </c>
      <c r="AE84" s="2145">
        <f t="shared" si="19"/>
        <v>44</v>
      </c>
      <c r="AF84" s="2145">
        <f t="shared" si="19"/>
        <v>49</v>
      </c>
      <c r="AG84" s="2145">
        <f t="shared" si="19"/>
        <v>54</v>
      </c>
      <c r="AH84" s="2145">
        <f t="shared" si="13"/>
        <v>79</v>
      </c>
      <c r="AI84" s="2145">
        <f t="shared" si="19"/>
        <v>104</v>
      </c>
      <c r="AJ84" s="2145">
        <f t="shared" si="19"/>
        <v>129</v>
      </c>
      <c r="AK84" s="2145">
        <f t="shared" si="19"/>
        <v>154</v>
      </c>
      <c r="AL84" s="2145">
        <f t="shared" si="19"/>
        <v>179</v>
      </c>
      <c r="AM84" s="2145">
        <f t="shared" ref="AM84:AO99" si="23">FLOOR((AM$7*25+20)/$C84,1)</f>
        <v>204</v>
      </c>
      <c r="AN84" s="2145">
        <f t="shared" si="23"/>
        <v>229</v>
      </c>
      <c r="AO84" s="2146">
        <f t="shared" si="23"/>
        <v>254</v>
      </c>
      <c r="AP84" s="1809" t="s">
        <v>1538</v>
      </c>
      <c r="AQ84" s="1811">
        <v>5</v>
      </c>
      <c r="AR84" s="1953">
        <f t="shared" si="20"/>
        <v>15</v>
      </c>
      <c r="AS84" s="1960">
        <f t="shared" si="20"/>
        <v>20</v>
      </c>
      <c r="AT84" s="1960">
        <f t="shared" si="20"/>
        <v>25</v>
      </c>
      <c r="AU84" s="1960">
        <f t="shared" si="20"/>
        <v>30</v>
      </c>
      <c r="AV84" s="1960">
        <f t="shared" si="20"/>
        <v>35</v>
      </c>
      <c r="AW84" s="1960">
        <f t="shared" si="20"/>
        <v>40</v>
      </c>
      <c r="AX84" s="1960">
        <f t="shared" si="20"/>
        <v>45</v>
      </c>
      <c r="AY84" s="1960">
        <f t="shared" si="20"/>
        <v>50</v>
      </c>
      <c r="AZ84" s="1960">
        <f t="shared" si="20"/>
        <v>55</v>
      </c>
      <c r="BA84" s="1960">
        <f t="shared" si="20"/>
        <v>60</v>
      </c>
      <c r="BB84" s="1960">
        <f t="shared" si="20"/>
        <v>85</v>
      </c>
      <c r="BC84" s="1960">
        <f t="shared" si="20"/>
        <v>110</v>
      </c>
      <c r="BD84" s="1960">
        <f t="shared" si="20"/>
        <v>135</v>
      </c>
      <c r="BE84" s="1960">
        <f t="shared" si="20"/>
        <v>160</v>
      </c>
      <c r="BF84" s="1960">
        <f t="shared" si="20"/>
        <v>185</v>
      </c>
      <c r="BG84" s="1960">
        <f t="shared" ref="BG84:BI99" si="24">FLOOR((BG$7*25+50)/$C84,1)</f>
        <v>210</v>
      </c>
      <c r="BH84" s="1960">
        <f t="shared" si="24"/>
        <v>235</v>
      </c>
      <c r="BI84" s="1954">
        <f t="shared" si="24"/>
        <v>260</v>
      </c>
    </row>
    <row r="85" spans="2:61" ht="12.95" customHeight="1" outlineLevel="1">
      <c r="B85" s="1804" t="s">
        <v>1539</v>
      </c>
      <c r="C85" s="1812">
        <v>5</v>
      </c>
      <c r="D85" s="1951">
        <f t="shared" si="21"/>
        <v>7</v>
      </c>
      <c r="E85" s="1959">
        <f t="shared" si="22"/>
        <v>12</v>
      </c>
      <c r="F85" s="1959">
        <f t="shared" si="22"/>
        <v>17</v>
      </c>
      <c r="G85" s="1959">
        <f t="shared" si="22"/>
        <v>22</v>
      </c>
      <c r="H85" s="1959">
        <f t="shared" si="22"/>
        <v>27</v>
      </c>
      <c r="I85" s="1959">
        <f t="shared" si="22"/>
        <v>32</v>
      </c>
      <c r="J85" s="1959">
        <f t="shared" si="22"/>
        <v>37</v>
      </c>
      <c r="K85" s="1959">
        <f t="shared" si="22"/>
        <v>42</v>
      </c>
      <c r="L85" s="1959">
        <f t="shared" si="22"/>
        <v>47</v>
      </c>
      <c r="M85" s="1959">
        <f t="shared" si="22"/>
        <v>52</v>
      </c>
      <c r="N85" s="1959">
        <f t="shared" si="22"/>
        <v>77</v>
      </c>
      <c r="O85" s="1959">
        <f t="shared" si="22"/>
        <v>102</v>
      </c>
      <c r="P85" s="1959">
        <f t="shared" si="22"/>
        <v>127</v>
      </c>
      <c r="Q85" s="1959">
        <f t="shared" si="22"/>
        <v>152</v>
      </c>
      <c r="R85" s="1959">
        <f t="shared" si="22"/>
        <v>177</v>
      </c>
      <c r="S85" s="1959">
        <f t="shared" si="22"/>
        <v>202</v>
      </c>
      <c r="T85" s="1959">
        <f t="shared" si="22"/>
        <v>227</v>
      </c>
      <c r="U85" s="1952">
        <f t="shared" si="22"/>
        <v>252</v>
      </c>
      <c r="V85" s="1804" t="s">
        <v>1539</v>
      </c>
      <c r="W85" s="1812">
        <v>5</v>
      </c>
      <c r="X85" s="2133">
        <f t="shared" ref="X85:AM100" si="25">FLOOR((X$7*25+20)/$C85,1)</f>
        <v>9</v>
      </c>
      <c r="Y85" s="2138">
        <f t="shared" si="25"/>
        <v>14</v>
      </c>
      <c r="Z85" s="2138">
        <f t="shared" si="25"/>
        <v>19</v>
      </c>
      <c r="AA85" s="2138">
        <f t="shared" si="25"/>
        <v>24</v>
      </c>
      <c r="AB85" s="2138">
        <f t="shared" si="25"/>
        <v>29</v>
      </c>
      <c r="AC85" s="2138">
        <f t="shared" si="25"/>
        <v>34</v>
      </c>
      <c r="AD85" s="2138">
        <f t="shared" si="25"/>
        <v>39</v>
      </c>
      <c r="AE85" s="2138">
        <f t="shared" si="25"/>
        <v>44</v>
      </c>
      <c r="AF85" s="2138">
        <f t="shared" si="25"/>
        <v>49</v>
      </c>
      <c r="AG85" s="2138">
        <f t="shared" si="25"/>
        <v>54</v>
      </c>
      <c r="AH85" s="2139">
        <f t="shared" si="13"/>
        <v>79</v>
      </c>
      <c r="AI85" s="2138">
        <f t="shared" si="25"/>
        <v>104</v>
      </c>
      <c r="AJ85" s="2138">
        <f t="shared" si="25"/>
        <v>129</v>
      </c>
      <c r="AK85" s="2138">
        <f t="shared" si="25"/>
        <v>154</v>
      </c>
      <c r="AL85" s="2138">
        <f t="shared" si="25"/>
        <v>179</v>
      </c>
      <c r="AM85" s="2138">
        <f t="shared" si="25"/>
        <v>204</v>
      </c>
      <c r="AN85" s="2138">
        <f t="shared" si="23"/>
        <v>229</v>
      </c>
      <c r="AO85" s="2134">
        <f t="shared" si="23"/>
        <v>254</v>
      </c>
      <c r="AP85" s="1804" t="s">
        <v>1539</v>
      </c>
      <c r="AQ85" s="1812">
        <v>5</v>
      </c>
      <c r="AR85" s="1951">
        <f t="shared" ref="AR85:BG100" si="26">FLOOR((AR$7*25+50)/$C85,1)</f>
        <v>15</v>
      </c>
      <c r="AS85" s="1959">
        <f t="shared" si="26"/>
        <v>20</v>
      </c>
      <c r="AT85" s="1959">
        <f t="shared" si="26"/>
        <v>25</v>
      </c>
      <c r="AU85" s="1959">
        <f t="shared" si="26"/>
        <v>30</v>
      </c>
      <c r="AV85" s="1959">
        <f t="shared" si="26"/>
        <v>35</v>
      </c>
      <c r="AW85" s="1959">
        <f t="shared" si="26"/>
        <v>40</v>
      </c>
      <c r="AX85" s="1959">
        <f t="shared" si="26"/>
        <v>45</v>
      </c>
      <c r="AY85" s="1959">
        <f t="shared" si="26"/>
        <v>50</v>
      </c>
      <c r="AZ85" s="1959">
        <f t="shared" si="26"/>
        <v>55</v>
      </c>
      <c r="BA85" s="1959">
        <f t="shared" si="26"/>
        <v>60</v>
      </c>
      <c r="BB85" s="1959">
        <f t="shared" si="26"/>
        <v>85</v>
      </c>
      <c r="BC85" s="1959">
        <f t="shared" si="26"/>
        <v>110</v>
      </c>
      <c r="BD85" s="1959">
        <f t="shared" si="26"/>
        <v>135</v>
      </c>
      <c r="BE85" s="1959">
        <f t="shared" si="26"/>
        <v>160</v>
      </c>
      <c r="BF85" s="1959">
        <f t="shared" si="26"/>
        <v>185</v>
      </c>
      <c r="BG85" s="1959">
        <f t="shared" si="26"/>
        <v>210</v>
      </c>
      <c r="BH85" s="1959">
        <f t="shared" si="24"/>
        <v>235</v>
      </c>
      <c r="BI85" s="1952">
        <f t="shared" si="24"/>
        <v>260</v>
      </c>
    </row>
    <row r="86" spans="2:61" ht="12.95" customHeight="1" outlineLevel="1">
      <c r="B86" s="1802" t="s">
        <v>3467</v>
      </c>
      <c r="C86" s="1813">
        <v>10</v>
      </c>
      <c r="D86" s="1949">
        <f t="shared" si="21"/>
        <v>3</v>
      </c>
      <c r="E86" s="1963">
        <f t="shared" si="22"/>
        <v>6</v>
      </c>
      <c r="F86" s="1963">
        <f t="shared" si="22"/>
        <v>8</v>
      </c>
      <c r="G86" s="1963">
        <f t="shared" si="22"/>
        <v>11</v>
      </c>
      <c r="H86" s="1963">
        <f t="shared" si="22"/>
        <v>13</v>
      </c>
      <c r="I86" s="1963">
        <f t="shared" si="22"/>
        <v>16</v>
      </c>
      <c r="J86" s="1963">
        <f t="shared" si="22"/>
        <v>18</v>
      </c>
      <c r="K86" s="1963">
        <f t="shared" si="22"/>
        <v>21</v>
      </c>
      <c r="L86" s="1963">
        <f t="shared" si="22"/>
        <v>23</v>
      </c>
      <c r="M86" s="1963">
        <f t="shared" si="22"/>
        <v>26</v>
      </c>
      <c r="N86" s="1963">
        <f t="shared" si="22"/>
        <v>38</v>
      </c>
      <c r="O86" s="1963">
        <f t="shared" si="22"/>
        <v>51</v>
      </c>
      <c r="P86" s="1963">
        <f t="shared" si="22"/>
        <v>63</v>
      </c>
      <c r="Q86" s="1963">
        <f t="shared" si="22"/>
        <v>76</v>
      </c>
      <c r="R86" s="1963">
        <f t="shared" si="22"/>
        <v>88</v>
      </c>
      <c r="S86" s="1963">
        <f t="shared" si="22"/>
        <v>101</v>
      </c>
      <c r="T86" s="1963">
        <f t="shared" si="22"/>
        <v>113</v>
      </c>
      <c r="U86" s="1950">
        <f t="shared" si="22"/>
        <v>126</v>
      </c>
      <c r="V86" s="1802" t="s">
        <v>3467</v>
      </c>
      <c r="W86" s="1813">
        <v>10</v>
      </c>
      <c r="X86" s="2135">
        <f t="shared" si="25"/>
        <v>4</v>
      </c>
      <c r="Y86" s="2139">
        <f t="shared" si="25"/>
        <v>7</v>
      </c>
      <c r="Z86" s="2139">
        <f t="shared" si="25"/>
        <v>9</v>
      </c>
      <c r="AA86" s="2139">
        <f t="shared" si="25"/>
        <v>12</v>
      </c>
      <c r="AB86" s="2139">
        <f t="shared" si="25"/>
        <v>14</v>
      </c>
      <c r="AC86" s="2139">
        <f t="shared" si="25"/>
        <v>17</v>
      </c>
      <c r="AD86" s="2139">
        <f t="shared" si="25"/>
        <v>19</v>
      </c>
      <c r="AE86" s="2139">
        <f t="shared" si="25"/>
        <v>22</v>
      </c>
      <c r="AF86" s="2139">
        <f t="shared" si="25"/>
        <v>24</v>
      </c>
      <c r="AG86" s="2139">
        <f t="shared" si="25"/>
        <v>27</v>
      </c>
      <c r="AH86" s="2139">
        <f t="shared" si="13"/>
        <v>39</v>
      </c>
      <c r="AI86" s="2139">
        <f t="shared" si="25"/>
        <v>52</v>
      </c>
      <c r="AJ86" s="2139">
        <f t="shared" si="25"/>
        <v>64</v>
      </c>
      <c r="AK86" s="2139">
        <f t="shared" si="25"/>
        <v>77</v>
      </c>
      <c r="AL86" s="2139">
        <f t="shared" si="25"/>
        <v>89</v>
      </c>
      <c r="AM86" s="2139">
        <f t="shared" si="25"/>
        <v>102</v>
      </c>
      <c r="AN86" s="2139">
        <f t="shared" si="23"/>
        <v>114</v>
      </c>
      <c r="AO86" s="2136">
        <f t="shared" si="23"/>
        <v>127</v>
      </c>
      <c r="AP86" s="1802" t="s">
        <v>3467</v>
      </c>
      <c r="AQ86" s="1813">
        <v>10</v>
      </c>
      <c r="AR86" s="1949">
        <f t="shared" si="26"/>
        <v>7</v>
      </c>
      <c r="AS86" s="1963">
        <f t="shared" si="26"/>
        <v>10</v>
      </c>
      <c r="AT86" s="1963">
        <f t="shared" si="26"/>
        <v>12</v>
      </c>
      <c r="AU86" s="1963">
        <f t="shared" si="26"/>
        <v>15</v>
      </c>
      <c r="AV86" s="1963">
        <f t="shared" si="26"/>
        <v>17</v>
      </c>
      <c r="AW86" s="1963">
        <f t="shared" si="26"/>
        <v>20</v>
      </c>
      <c r="AX86" s="1963">
        <f t="shared" si="26"/>
        <v>22</v>
      </c>
      <c r="AY86" s="1963">
        <f t="shared" si="26"/>
        <v>25</v>
      </c>
      <c r="AZ86" s="1963">
        <f t="shared" si="26"/>
        <v>27</v>
      </c>
      <c r="BA86" s="1963">
        <f t="shared" si="26"/>
        <v>30</v>
      </c>
      <c r="BB86" s="1963">
        <f t="shared" si="26"/>
        <v>42</v>
      </c>
      <c r="BC86" s="1963">
        <f t="shared" si="26"/>
        <v>55</v>
      </c>
      <c r="BD86" s="1963">
        <f t="shared" si="26"/>
        <v>67</v>
      </c>
      <c r="BE86" s="1963">
        <f t="shared" si="26"/>
        <v>80</v>
      </c>
      <c r="BF86" s="1963">
        <f t="shared" si="26"/>
        <v>92</v>
      </c>
      <c r="BG86" s="1963">
        <f t="shared" si="26"/>
        <v>105</v>
      </c>
      <c r="BH86" s="1963">
        <f t="shared" si="24"/>
        <v>117</v>
      </c>
      <c r="BI86" s="1950">
        <f t="shared" si="24"/>
        <v>130</v>
      </c>
    </row>
    <row r="87" spans="2:61" ht="12.95" customHeight="1" outlineLevel="1">
      <c r="B87" s="1804" t="s">
        <v>3468</v>
      </c>
      <c r="C87" s="1812">
        <v>10</v>
      </c>
      <c r="D87" s="1951">
        <f t="shared" si="21"/>
        <v>3</v>
      </c>
      <c r="E87" s="1959">
        <f t="shared" si="22"/>
        <v>6</v>
      </c>
      <c r="F87" s="1959">
        <f t="shared" si="22"/>
        <v>8</v>
      </c>
      <c r="G87" s="1959">
        <f t="shared" si="22"/>
        <v>11</v>
      </c>
      <c r="H87" s="1959">
        <f t="shared" si="22"/>
        <v>13</v>
      </c>
      <c r="I87" s="1959">
        <f t="shared" si="22"/>
        <v>16</v>
      </c>
      <c r="J87" s="1959">
        <f t="shared" si="22"/>
        <v>18</v>
      </c>
      <c r="K87" s="1959">
        <f t="shared" si="22"/>
        <v>21</v>
      </c>
      <c r="L87" s="1959">
        <f t="shared" si="22"/>
        <v>23</v>
      </c>
      <c r="M87" s="1959">
        <f t="shared" si="22"/>
        <v>26</v>
      </c>
      <c r="N87" s="1959">
        <f t="shared" si="22"/>
        <v>38</v>
      </c>
      <c r="O87" s="1959">
        <f t="shared" si="22"/>
        <v>51</v>
      </c>
      <c r="P87" s="1959">
        <f t="shared" si="22"/>
        <v>63</v>
      </c>
      <c r="Q87" s="1959">
        <f t="shared" si="22"/>
        <v>76</v>
      </c>
      <c r="R87" s="1959">
        <f t="shared" si="22"/>
        <v>88</v>
      </c>
      <c r="S87" s="1959">
        <f t="shared" si="22"/>
        <v>101</v>
      </c>
      <c r="T87" s="1959">
        <f t="shared" si="22"/>
        <v>113</v>
      </c>
      <c r="U87" s="1952">
        <f t="shared" si="22"/>
        <v>126</v>
      </c>
      <c r="V87" s="1804" t="s">
        <v>3468</v>
      </c>
      <c r="W87" s="1812">
        <v>10</v>
      </c>
      <c r="X87" s="2133">
        <f t="shared" si="25"/>
        <v>4</v>
      </c>
      <c r="Y87" s="2138">
        <f t="shared" si="25"/>
        <v>7</v>
      </c>
      <c r="Z87" s="2138">
        <f t="shared" si="25"/>
        <v>9</v>
      </c>
      <c r="AA87" s="2138">
        <f t="shared" si="25"/>
        <v>12</v>
      </c>
      <c r="AB87" s="2138">
        <f t="shared" si="25"/>
        <v>14</v>
      </c>
      <c r="AC87" s="2138">
        <f t="shared" si="25"/>
        <v>17</v>
      </c>
      <c r="AD87" s="2138">
        <f t="shared" si="25"/>
        <v>19</v>
      </c>
      <c r="AE87" s="2138">
        <f t="shared" si="25"/>
        <v>22</v>
      </c>
      <c r="AF87" s="2138">
        <f t="shared" si="25"/>
        <v>24</v>
      </c>
      <c r="AG87" s="2138">
        <f t="shared" si="25"/>
        <v>27</v>
      </c>
      <c r="AH87" s="2139">
        <f t="shared" si="13"/>
        <v>39</v>
      </c>
      <c r="AI87" s="2138">
        <f t="shared" si="25"/>
        <v>52</v>
      </c>
      <c r="AJ87" s="2138">
        <f t="shared" si="25"/>
        <v>64</v>
      </c>
      <c r="AK87" s="2138">
        <f t="shared" si="25"/>
        <v>77</v>
      </c>
      <c r="AL87" s="2138">
        <f t="shared" si="25"/>
        <v>89</v>
      </c>
      <c r="AM87" s="2138">
        <f t="shared" si="25"/>
        <v>102</v>
      </c>
      <c r="AN87" s="2138">
        <f t="shared" si="23"/>
        <v>114</v>
      </c>
      <c r="AO87" s="2134">
        <f t="shared" si="23"/>
        <v>127</v>
      </c>
      <c r="AP87" s="1804" t="s">
        <v>3468</v>
      </c>
      <c r="AQ87" s="1812">
        <v>10</v>
      </c>
      <c r="AR87" s="1951">
        <f t="shared" si="26"/>
        <v>7</v>
      </c>
      <c r="AS87" s="1959">
        <f t="shared" si="26"/>
        <v>10</v>
      </c>
      <c r="AT87" s="1959">
        <f t="shared" si="26"/>
        <v>12</v>
      </c>
      <c r="AU87" s="1959">
        <f t="shared" si="26"/>
        <v>15</v>
      </c>
      <c r="AV87" s="1959">
        <f t="shared" si="26"/>
        <v>17</v>
      </c>
      <c r="AW87" s="1959">
        <f t="shared" si="26"/>
        <v>20</v>
      </c>
      <c r="AX87" s="1959">
        <f t="shared" si="26"/>
        <v>22</v>
      </c>
      <c r="AY87" s="1959">
        <f t="shared" si="26"/>
        <v>25</v>
      </c>
      <c r="AZ87" s="1959">
        <f t="shared" si="26"/>
        <v>27</v>
      </c>
      <c r="BA87" s="1959">
        <f t="shared" si="26"/>
        <v>30</v>
      </c>
      <c r="BB87" s="1959">
        <f t="shared" si="26"/>
        <v>42</v>
      </c>
      <c r="BC87" s="1959">
        <f t="shared" si="26"/>
        <v>55</v>
      </c>
      <c r="BD87" s="1959">
        <f t="shared" si="26"/>
        <v>67</v>
      </c>
      <c r="BE87" s="1959">
        <f t="shared" si="26"/>
        <v>80</v>
      </c>
      <c r="BF87" s="1959">
        <f t="shared" si="26"/>
        <v>92</v>
      </c>
      <c r="BG87" s="1959">
        <f t="shared" si="26"/>
        <v>105</v>
      </c>
      <c r="BH87" s="1959">
        <f t="shared" si="24"/>
        <v>117</v>
      </c>
      <c r="BI87" s="1952">
        <f t="shared" si="24"/>
        <v>130</v>
      </c>
    </row>
    <row r="88" spans="2:61" ht="12.95" customHeight="1" outlineLevel="1">
      <c r="B88" s="1802" t="s">
        <v>372</v>
      </c>
      <c r="C88" s="1813">
        <v>15</v>
      </c>
      <c r="D88" s="1949">
        <f t="shared" si="21"/>
        <v>2</v>
      </c>
      <c r="E88" s="1963">
        <f t="shared" si="22"/>
        <v>4</v>
      </c>
      <c r="F88" s="1963">
        <f t="shared" si="22"/>
        <v>5</v>
      </c>
      <c r="G88" s="1963">
        <f t="shared" si="22"/>
        <v>7</v>
      </c>
      <c r="H88" s="1963">
        <f t="shared" si="22"/>
        <v>9</v>
      </c>
      <c r="I88" s="1963">
        <f t="shared" si="22"/>
        <v>10</v>
      </c>
      <c r="J88" s="1963">
        <f t="shared" si="22"/>
        <v>12</v>
      </c>
      <c r="K88" s="1963">
        <f t="shared" si="22"/>
        <v>14</v>
      </c>
      <c r="L88" s="1963">
        <f t="shared" si="22"/>
        <v>15</v>
      </c>
      <c r="M88" s="1963">
        <f t="shared" si="22"/>
        <v>17</v>
      </c>
      <c r="N88" s="1963">
        <f t="shared" si="22"/>
        <v>25</v>
      </c>
      <c r="O88" s="1963">
        <f t="shared" si="22"/>
        <v>34</v>
      </c>
      <c r="P88" s="1963">
        <f t="shared" si="22"/>
        <v>42</v>
      </c>
      <c r="Q88" s="1963">
        <f t="shared" si="22"/>
        <v>50</v>
      </c>
      <c r="R88" s="1963">
        <f t="shared" si="22"/>
        <v>59</v>
      </c>
      <c r="S88" s="1963">
        <f t="shared" si="22"/>
        <v>67</v>
      </c>
      <c r="T88" s="1963">
        <f t="shared" si="22"/>
        <v>75</v>
      </c>
      <c r="U88" s="1950">
        <f t="shared" si="22"/>
        <v>84</v>
      </c>
      <c r="V88" s="1802" t="s">
        <v>372</v>
      </c>
      <c r="W88" s="1813">
        <v>15</v>
      </c>
      <c r="X88" s="2135">
        <f t="shared" si="25"/>
        <v>3</v>
      </c>
      <c r="Y88" s="2139">
        <f t="shared" si="25"/>
        <v>4</v>
      </c>
      <c r="Z88" s="2139">
        <f t="shared" si="25"/>
        <v>6</v>
      </c>
      <c r="AA88" s="2139">
        <f t="shared" si="25"/>
        <v>8</v>
      </c>
      <c r="AB88" s="2139">
        <f t="shared" si="25"/>
        <v>9</v>
      </c>
      <c r="AC88" s="2139">
        <f t="shared" si="25"/>
        <v>11</v>
      </c>
      <c r="AD88" s="2139">
        <f t="shared" si="25"/>
        <v>13</v>
      </c>
      <c r="AE88" s="2139">
        <f t="shared" si="25"/>
        <v>14</v>
      </c>
      <c r="AF88" s="2139">
        <f t="shared" si="25"/>
        <v>16</v>
      </c>
      <c r="AG88" s="2139">
        <f t="shared" si="25"/>
        <v>18</v>
      </c>
      <c r="AH88" s="2139">
        <f t="shared" si="13"/>
        <v>26</v>
      </c>
      <c r="AI88" s="2139">
        <f t="shared" si="25"/>
        <v>34</v>
      </c>
      <c r="AJ88" s="2139">
        <f t="shared" si="25"/>
        <v>43</v>
      </c>
      <c r="AK88" s="2139">
        <f t="shared" si="25"/>
        <v>51</v>
      </c>
      <c r="AL88" s="2139">
        <f t="shared" si="25"/>
        <v>59</v>
      </c>
      <c r="AM88" s="2139">
        <f t="shared" si="25"/>
        <v>68</v>
      </c>
      <c r="AN88" s="2139">
        <f t="shared" si="23"/>
        <v>76</v>
      </c>
      <c r="AO88" s="2136">
        <f t="shared" si="23"/>
        <v>84</v>
      </c>
      <c r="AP88" s="1802" t="s">
        <v>372</v>
      </c>
      <c r="AQ88" s="1813">
        <v>15</v>
      </c>
      <c r="AR88" s="1949">
        <f t="shared" si="26"/>
        <v>5</v>
      </c>
      <c r="AS88" s="1963">
        <f t="shared" si="26"/>
        <v>6</v>
      </c>
      <c r="AT88" s="1963">
        <f t="shared" si="26"/>
        <v>8</v>
      </c>
      <c r="AU88" s="1963">
        <f t="shared" si="26"/>
        <v>10</v>
      </c>
      <c r="AV88" s="1963">
        <f t="shared" si="26"/>
        <v>11</v>
      </c>
      <c r="AW88" s="1963">
        <f t="shared" si="26"/>
        <v>13</v>
      </c>
      <c r="AX88" s="1963">
        <f t="shared" si="26"/>
        <v>15</v>
      </c>
      <c r="AY88" s="1963">
        <f t="shared" si="26"/>
        <v>16</v>
      </c>
      <c r="AZ88" s="1963">
        <f t="shared" si="26"/>
        <v>18</v>
      </c>
      <c r="BA88" s="1963">
        <f t="shared" si="26"/>
        <v>20</v>
      </c>
      <c r="BB88" s="1963">
        <f t="shared" si="26"/>
        <v>28</v>
      </c>
      <c r="BC88" s="1963">
        <f t="shared" si="26"/>
        <v>36</v>
      </c>
      <c r="BD88" s="1963">
        <f t="shared" si="26"/>
        <v>45</v>
      </c>
      <c r="BE88" s="1963">
        <f t="shared" si="26"/>
        <v>53</v>
      </c>
      <c r="BF88" s="1963">
        <f t="shared" si="26"/>
        <v>61</v>
      </c>
      <c r="BG88" s="1963">
        <f t="shared" si="26"/>
        <v>70</v>
      </c>
      <c r="BH88" s="1963">
        <f t="shared" si="24"/>
        <v>78</v>
      </c>
      <c r="BI88" s="1950">
        <f t="shared" si="24"/>
        <v>86</v>
      </c>
    </row>
    <row r="89" spans="2:61" ht="12.95" customHeight="1" outlineLevel="1">
      <c r="B89" s="1804" t="s">
        <v>3469</v>
      </c>
      <c r="C89" s="1812">
        <v>20</v>
      </c>
      <c r="D89" s="1951">
        <f t="shared" si="21"/>
        <v>1</v>
      </c>
      <c r="E89" s="1959">
        <f t="shared" si="22"/>
        <v>3</v>
      </c>
      <c r="F89" s="1959">
        <f t="shared" si="22"/>
        <v>4</v>
      </c>
      <c r="G89" s="1959">
        <f t="shared" si="22"/>
        <v>5</v>
      </c>
      <c r="H89" s="1959">
        <f t="shared" si="22"/>
        <v>6</v>
      </c>
      <c r="I89" s="1959">
        <f t="shared" si="22"/>
        <v>8</v>
      </c>
      <c r="J89" s="1959">
        <f t="shared" si="22"/>
        <v>9</v>
      </c>
      <c r="K89" s="1959">
        <f t="shared" si="22"/>
        <v>10</v>
      </c>
      <c r="L89" s="1959">
        <f t="shared" si="22"/>
        <v>11</v>
      </c>
      <c r="M89" s="1959">
        <f t="shared" si="22"/>
        <v>13</v>
      </c>
      <c r="N89" s="1959">
        <f t="shared" si="22"/>
        <v>19</v>
      </c>
      <c r="O89" s="1959">
        <f t="shared" si="22"/>
        <v>25</v>
      </c>
      <c r="P89" s="1959">
        <f t="shared" si="22"/>
        <v>31</v>
      </c>
      <c r="Q89" s="1959">
        <f t="shared" si="22"/>
        <v>38</v>
      </c>
      <c r="R89" s="1959">
        <f t="shared" si="22"/>
        <v>44</v>
      </c>
      <c r="S89" s="1959">
        <f t="shared" si="22"/>
        <v>50</v>
      </c>
      <c r="T89" s="1959">
        <f t="shared" si="22"/>
        <v>56</v>
      </c>
      <c r="U89" s="1952">
        <f t="shared" si="22"/>
        <v>63</v>
      </c>
      <c r="V89" s="1804" t="s">
        <v>3469</v>
      </c>
      <c r="W89" s="1812">
        <v>20</v>
      </c>
      <c r="X89" s="2133">
        <f t="shared" si="25"/>
        <v>2</v>
      </c>
      <c r="Y89" s="2138">
        <f t="shared" si="25"/>
        <v>3</v>
      </c>
      <c r="Z89" s="2138">
        <f t="shared" si="25"/>
        <v>4</v>
      </c>
      <c r="AA89" s="2138">
        <f t="shared" si="25"/>
        <v>6</v>
      </c>
      <c r="AB89" s="2138">
        <f t="shared" si="25"/>
        <v>7</v>
      </c>
      <c r="AC89" s="2138">
        <f t="shared" si="25"/>
        <v>8</v>
      </c>
      <c r="AD89" s="2138">
        <f t="shared" si="25"/>
        <v>9</v>
      </c>
      <c r="AE89" s="2138">
        <f t="shared" si="25"/>
        <v>11</v>
      </c>
      <c r="AF89" s="2138">
        <f t="shared" si="25"/>
        <v>12</v>
      </c>
      <c r="AG89" s="2138">
        <f t="shared" si="25"/>
        <v>13</v>
      </c>
      <c r="AH89" s="2139">
        <f t="shared" si="13"/>
        <v>19</v>
      </c>
      <c r="AI89" s="2138">
        <f t="shared" si="25"/>
        <v>26</v>
      </c>
      <c r="AJ89" s="2138">
        <f t="shared" si="25"/>
        <v>32</v>
      </c>
      <c r="AK89" s="2138">
        <f t="shared" si="25"/>
        <v>38</v>
      </c>
      <c r="AL89" s="2138">
        <f t="shared" si="25"/>
        <v>44</v>
      </c>
      <c r="AM89" s="2138">
        <f t="shared" si="25"/>
        <v>51</v>
      </c>
      <c r="AN89" s="2138">
        <f t="shared" si="23"/>
        <v>57</v>
      </c>
      <c r="AO89" s="2134">
        <f t="shared" si="23"/>
        <v>63</v>
      </c>
      <c r="AP89" s="1804" t="s">
        <v>3469</v>
      </c>
      <c r="AQ89" s="1812">
        <v>20</v>
      </c>
      <c r="AR89" s="1951">
        <f t="shared" si="26"/>
        <v>3</v>
      </c>
      <c r="AS89" s="1959">
        <f t="shared" si="26"/>
        <v>5</v>
      </c>
      <c r="AT89" s="1959">
        <f t="shared" si="26"/>
        <v>6</v>
      </c>
      <c r="AU89" s="1959">
        <f t="shared" si="26"/>
        <v>7</v>
      </c>
      <c r="AV89" s="1959">
        <f t="shared" si="26"/>
        <v>8</v>
      </c>
      <c r="AW89" s="1959">
        <f t="shared" si="26"/>
        <v>10</v>
      </c>
      <c r="AX89" s="1959">
        <f t="shared" si="26"/>
        <v>11</v>
      </c>
      <c r="AY89" s="1959">
        <f t="shared" si="26"/>
        <v>12</v>
      </c>
      <c r="AZ89" s="1959">
        <f t="shared" si="26"/>
        <v>13</v>
      </c>
      <c r="BA89" s="1959">
        <f t="shared" si="26"/>
        <v>15</v>
      </c>
      <c r="BB89" s="1959">
        <f t="shared" si="26"/>
        <v>21</v>
      </c>
      <c r="BC89" s="1959">
        <f t="shared" si="26"/>
        <v>27</v>
      </c>
      <c r="BD89" s="1959">
        <f t="shared" si="26"/>
        <v>33</v>
      </c>
      <c r="BE89" s="1959">
        <f t="shared" si="26"/>
        <v>40</v>
      </c>
      <c r="BF89" s="1959">
        <f t="shared" si="26"/>
        <v>46</v>
      </c>
      <c r="BG89" s="1959">
        <f t="shared" si="26"/>
        <v>52</v>
      </c>
      <c r="BH89" s="1959">
        <f t="shared" si="24"/>
        <v>58</v>
      </c>
      <c r="BI89" s="1952">
        <f t="shared" si="24"/>
        <v>65</v>
      </c>
    </row>
    <row r="90" spans="2:61" ht="12.95" customHeight="1" outlineLevel="1">
      <c r="B90" s="1802" t="s">
        <v>2322</v>
      </c>
      <c r="C90" s="1813">
        <v>40</v>
      </c>
      <c r="D90" s="1823">
        <f t="shared" si="21"/>
        <v>0</v>
      </c>
      <c r="E90" s="1963">
        <f t="shared" si="22"/>
        <v>1</v>
      </c>
      <c r="F90" s="1963">
        <f t="shared" si="22"/>
        <v>2</v>
      </c>
      <c r="G90" s="1963">
        <f t="shared" si="22"/>
        <v>2</v>
      </c>
      <c r="H90" s="1963">
        <f t="shared" si="22"/>
        <v>3</v>
      </c>
      <c r="I90" s="1963">
        <f t="shared" si="22"/>
        <v>4</v>
      </c>
      <c r="J90" s="1963">
        <f t="shared" si="22"/>
        <v>4</v>
      </c>
      <c r="K90" s="1963">
        <f t="shared" si="22"/>
        <v>5</v>
      </c>
      <c r="L90" s="1963">
        <f t="shared" si="22"/>
        <v>5</v>
      </c>
      <c r="M90" s="1963">
        <f t="shared" si="22"/>
        <v>6</v>
      </c>
      <c r="N90" s="1963">
        <f t="shared" si="22"/>
        <v>9</v>
      </c>
      <c r="O90" s="1963">
        <f t="shared" si="22"/>
        <v>12</v>
      </c>
      <c r="P90" s="1963">
        <f t="shared" si="22"/>
        <v>15</v>
      </c>
      <c r="Q90" s="1963">
        <f t="shared" si="22"/>
        <v>19</v>
      </c>
      <c r="R90" s="1963">
        <f t="shared" si="22"/>
        <v>22</v>
      </c>
      <c r="S90" s="1963">
        <f t="shared" si="22"/>
        <v>25</v>
      </c>
      <c r="T90" s="1963">
        <f t="shared" si="22"/>
        <v>28</v>
      </c>
      <c r="U90" s="1950">
        <f t="shared" si="22"/>
        <v>31</v>
      </c>
      <c r="V90" s="1802" t="s">
        <v>2322</v>
      </c>
      <c r="W90" s="1813">
        <v>40</v>
      </c>
      <c r="X90" s="2135">
        <f t="shared" si="25"/>
        <v>1</v>
      </c>
      <c r="Y90" s="2139">
        <f t="shared" si="25"/>
        <v>1</v>
      </c>
      <c r="Z90" s="2139">
        <f t="shared" si="25"/>
        <v>2</v>
      </c>
      <c r="AA90" s="2139">
        <f t="shared" si="25"/>
        <v>3</v>
      </c>
      <c r="AB90" s="2139">
        <f t="shared" si="25"/>
        <v>3</v>
      </c>
      <c r="AC90" s="2139">
        <f t="shared" si="25"/>
        <v>4</v>
      </c>
      <c r="AD90" s="2139">
        <f t="shared" si="25"/>
        <v>4</v>
      </c>
      <c r="AE90" s="2139">
        <f t="shared" si="25"/>
        <v>5</v>
      </c>
      <c r="AF90" s="2139">
        <f t="shared" si="25"/>
        <v>6</v>
      </c>
      <c r="AG90" s="2139">
        <f t="shared" si="25"/>
        <v>6</v>
      </c>
      <c r="AH90" s="2139">
        <f t="shared" si="13"/>
        <v>9</v>
      </c>
      <c r="AI90" s="2139">
        <f t="shared" si="25"/>
        <v>13</v>
      </c>
      <c r="AJ90" s="2139">
        <f t="shared" si="25"/>
        <v>16</v>
      </c>
      <c r="AK90" s="2139">
        <f t="shared" si="25"/>
        <v>19</v>
      </c>
      <c r="AL90" s="2139">
        <f t="shared" si="25"/>
        <v>22</v>
      </c>
      <c r="AM90" s="2139">
        <f t="shared" si="25"/>
        <v>25</v>
      </c>
      <c r="AN90" s="2139">
        <f t="shared" si="23"/>
        <v>28</v>
      </c>
      <c r="AO90" s="2136">
        <f t="shared" si="23"/>
        <v>31</v>
      </c>
      <c r="AP90" s="1802" t="s">
        <v>2322</v>
      </c>
      <c r="AQ90" s="1813">
        <v>40</v>
      </c>
      <c r="AR90" s="1949">
        <f t="shared" si="26"/>
        <v>1</v>
      </c>
      <c r="AS90" s="1963">
        <f t="shared" si="26"/>
        <v>2</v>
      </c>
      <c r="AT90" s="1963">
        <f t="shared" si="26"/>
        <v>3</v>
      </c>
      <c r="AU90" s="1963">
        <f t="shared" si="26"/>
        <v>3</v>
      </c>
      <c r="AV90" s="1963">
        <f t="shared" si="26"/>
        <v>4</v>
      </c>
      <c r="AW90" s="1963">
        <f t="shared" si="26"/>
        <v>5</v>
      </c>
      <c r="AX90" s="1963">
        <f t="shared" si="26"/>
        <v>5</v>
      </c>
      <c r="AY90" s="1963">
        <f t="shared" si="26"/>
        <v>6</v>
      </c>
      <c r="AZ90" s="1963">
        <f t="shared" si="26"/>
        <v>6</v>
      </c>
      <c r="BA90" s="1963">
        <f t="shared" si="26"/>
        <v>7</v>
      </c>
      <c r="BB90" s="1963">
        <f t="shared" si="26"/>
        <v>10</v>
      </c>
      <c r="BC90" s="1963">
        <f t="shared" si="26"/>
        <v>13</v>
      </c>
      <c r="BD90" s="1963">
        <f t="shared" si="26"/>
        <v>16</v>
      </c>
      <c r="BE90" s="1963">
        <f t="shared" si="26"/>
        <v>20</v>
      </c>
      <c r="BF90" s="1963">
        <f t="shared" si="26"/>
        <v>23</v>
      </c>
      <c r="BG90" s="1963">
        <f t="shared" si="26"/>
        <v>26</v>
      </c>
      <c r="BH90" s="1963">
        <f t="shared" si="24"/>
        <v>29</v>
      </c>
      <c r="BI90" s="1950">
        <f t="shared" si="24"/>
        <v>32</v>
      </c>
    </row>
    <row r="91" spans="2:61" ht="12.95" customHeight="1" outlineLevel="1">
      <c r="B91" s="1804" t="s">
        <v>3470</v>
      </c>
      <c r="C91" s="1812">
        <v>60</v>
      </c>
      <c r="D91" s="1824">
        <f t="shared" si="21"/>
        <v>0</v>
      </c>
      <c r="E91" s="1959">
        <f t="shared" si="22"/>
        <v>1</v>
      </c>
      <c r="F91" s="1959">
        <f t="shared" si="22"/>
        <v>1</v>
      </c>
      <c r="G91" s="1959">
        <f t="shared" si="22"/>
        <v>1</v>
      </c>
      <c r="H91" s="1959">
        <f t="shared" si="22"/>
        <v>2</v>
      </c>
      <c r="I91" s="1959">
        <f t="shared" si="22"/>
        <v>2</v>
      </c>
      <c r="J91" s="1959">
        <f t="shared" si="22"/>
        <v>3</v>
      </c>
      <c r="K91" s="1959">
        <f t="shared" si="22"/>
        <v>3</v>
      </c>
      <c r="L91" s="1959">
        <f t="shared" si="22"/>
        <v>3</v>
      </c>
      <c r="M91" s="1959">
        <f t="shared" si="22"/>
        <v>4</v>
      </c>
      <c r="N91" s="1959">
        <f t="shared" si="22"/>
        <v>6</v>
      </c>
      <c r="O91" s="1959">
        <f t="shared" si="22"/>
        <v>8</v>
      </c>
      <c r="P91" s="1959">
        <f t="shared" si="22"/>
        <v>10</v>
      </c>
      <c r="Q91" s="1959">
        <f t="shared" si="22"/>
        <v>12</v>
      </c>
      <c r="R91" s="1959">
        <f t="shared" si="22"/>
        <v>14</v>
      </c>
      <c r="S91" s="1959">
        <f t="shared" si="22"/>
        <v>16</v>
      </c>
      <c r="T91" s="1959">
        <f t="shared" si="22"/>
        <v>18</v>
      </c>
      <c r="U91" s="1952">
        <f t="shared" si="22"/>
        <v>21</v>
      </c>
      <c r="V91" s="1804" t="s">
        <v>3470</v>
      </c>
      <c r="W91" s="1812">
        <v>60</v>
      </c>
      <c r="X91" s="1824">
        <f t="shared" si="25"/>
        <v>0</v>
      </c>
      <c r="Y91" s="2138">
        <f t="shared" si="25"/>
        <v>1</v>
      </c>
      <c r="Z91" s="2138">
        <f t="shared" si="25"/>
        <v>1</v>
      </c>
      <c r="AA91" s="2138">
        <f t="shared" si="25"/>
        <v>2</v>
      </c>
      <c r="AB91" s="2138">
        <f t="shared" si="25"/>
        <v>2</v>
      </c>
      <c r="AC91" s="2138">
        <f t="shared" si="25"/>
        <v>2</v>
      </c>
      <c r="AD91" s="2138">
        <f t="shared" si="25"/>
        <v>3</v>
      </c>
      <c r="AE91" s="2138">
        <f t="shared" si="25"/>
        <v>3</v>
      </c>
      <c r="AF91" s="2138">
        <f t="shared" si="25"/>
        <v>4</v>
      </c>
      <c r="AG91" s="2138">
        <f t="shared" si="25"/>
        <v>4</v>
      </c>
      <c r="AH91" s="2139">
        <f t="shared" si="13"/>
        <v>6</v>
      </c>
      <c r="AI91" s="2138">
        <f t="shared" si="25"/>
        <v>8</v>
      </c>
      <c r="AJ91" s="2138">
        <f t="shared" si="25"/>
        <v>10</v>
      </c>
      <c r="AK91" s="2138">
        <f t="shared" si="25"/>
        <v>12</v>
      </c>
      <c r="AL91" s="2138">
        <f t="shared" si="25"/>
        <v>14</v>
      </c>
      <c r="AM91" s="2138">
        <f t="shared" si="25"/>
        <v>17</v>
      </c>
      <c r="AN91" s="2138">
        <f t="shared" si="23"/>
        <v>19</v>
      </c>
      <c r="AO91" s="2134">
        <f t="shared" si="23"/>
        <v>21</v>
      </c>
      <c r="AP91" s="1804" t="s">
        <v>3470</v>
      </c>
      <c r="AQ91" s="1812">
        <v>60</v>
      </c>
      <c r="AR91" s="1951">
        <f t="shared" si="26"/>
        <v>1</v>
      </c>
      <c r="AS91" s="1959">
        <f t="shared" si="26"/>
        <v>1</v>
      </c>
      <c r="AT91" s="1959">
        <f t="shared" si="26"/>
        <v>2</v>
      </c>
      <c r="AU91" s="1959">
        <f t="shared" si="26"/>
        <v>2</v>
      </c>
      <c r="AV91" s="1959">
        <f t="shared" si="26"/>
        <v>2</v>
      </c>
      <c r="AW91" s="1959">
        <f t="shared" si="26"/>
        <v>3</v>
      </c>
      <c r="AX91" s="1959">
        <f t="shared" si="26"/>
        <v>3</v>
      </c>
      <c r="AY91" s="1959">
        <f t="shared" si="26"/>
        <v>4</v>
      </c>
      <c r="AZ91" s="1959">
        <f t="shared" si="26"/>
        <v>4</v>
      </c>
      <c r="BA91" s="1959">
        <f t="shared" si="26"/>
        <v>5</v>
      </c>
      <c r="BB91" s="1959">
        <f t="shared" si="26"/>
        <v>7</v>
      </c>
      <c r="BC91" s="1959">
        <f t="shared" si="26"/>
        <v>9</v>
      </c>
      <c r="BD91" s="1959">
        <f t="shared" si="26"/>
        <v>11</v>
      </c>
      <c r="BE91" s="1959">
        <f t="shared" si="26"/>
        <v>13</v>
      </c>
      <c r="BF91" s="1959">
        <f t="shared" si="26"/>
        <v>15</v>
      </c>
      <c r="BG91" s="1959">
        <f t="shared" si="26"/>
        <v>17</v>
      </c>
      <c r="BH91" s="1959">
        <f t="shared" si="24"/>
        <v>19</v>
      </c>
      <c r="BI91" s="1952">
        <f t="shared" si="24"/>
        <v>21</v>
      </c>
    </row>
    <row r="92" spans="2:61" ht="12.95" customHeight="1" outlineLevel="1">
      <c r="B92" s="1802" t="s">
        <v>1309</v>
      </c>
      <c r="C92" s="1813">
        <v>60</v>
      </c>
      <c r="D92" s="1823">
        <f t="shared" si="21"/>
        <v>0</v>
      </c>
      <c r="E92" s="1963">
        <f t="shared" si="22"/>
        <v>1</v>
      </c>
      <c r="F92" s="1963">
        <f t="shared" si="22"/>
        <v>1</v>
      </c>
      <c r="G92" s="1963">
        <f t="shared" si="22"/>
        <v>1</v>
      </c>
      <c r="H92" s="1963">
        <f t="shared" si="22"/>
        <v>2</v>
      </c>
      <c r="I92" s="1963">
        <f t="shared" si="22"/>
        <v>2</v>
      </c>
      <c r="J92" s="1963">
        <f t="shared" si="22"/>
        <v>3</v>
      </c>
      <c r="K92" s="1963">
        <f t="shared" si="22"/>
        <v>3</v>
      </c>
      <c r="L92" s="1963">
        <f t="shared" si="22"/>
        <v>3</v>
      </c>
      <c r="M92" s="1963">
        <f t="shared" si="22"/>
        <v>4</v>
      </c>
      <c r="N92" s="1963">
        <f t="shared" si="22"/>
        <v>6</v>
      </c>
      <c r="O92" s="1963">
        <f t="shared" si="22"/>
        <v>8</v>
      </c>
      <c r="P92" s="1963">
        <f t="shared" si="22"/>
        <v>10</v>
      </c>
      <c r="Q92" s="1963">
        <f t="shared" si="22"/>
        <v>12</v>
      </c>
      <c r="R92" s="1963">
        <f t="shared" si="22"/>
        <v>14</v>
      </c>
      <c r="S92" s="1963">
        <f t="shared" si="22"/>
        <v>16</v>
      </c>
      <c r="T92" s="1963">
        <f t="shared" si="22"/>
        <v>18</v>
      </c>
      <c r="U92" s="1950">
        <f t="shared" si="22"/>
        <v>21</v>
      </c>
      <c r="V92" s="1802" t="s">
        <v>1309</v>
      </c>
      <c r="W92" s="1813">
        <v>60</v>
      </c>
      <c r="X92" s="1823">
        <f t="shared" si="25"/>
        <v>0</v>
      </c>
      <c r="Y92" s="2139">
        <f t="shared" si="25"/>
        <v>1</v>
      </c>
      <c r="Z92" s="2139">
        <f t="shared" si="25"/>
        <v>1</v>
      </c>
      <c r="AA92" s="2139">
        <f t="shared" si="25"/>
        <v>2</v>
      </c>
      <c r="AB92" s="2139">
        <f t="shared" si="25"/>
        <v>2</v>
      </c>
      <c r="AC92" s="2139">
        <f t="shared" si="25"/>
        <v>2</v>
      </c>
      <c r="AD92" s="2139">
        <f t="shared" si="25"/>
        <v>3</v>
      </c>
      <c r="AE92" s="2139">
        <f t="shared" si="25"/>
        <v>3</v>
      </c>
      <c r="AF92" s="2139">
        <f t="shared" si="25"/>
        <v>4</v>
      </c>
      <c r="AG92" s="2139">
        <f t="shared" si="25"/>
        <v>4</v>
      </c>
      <c r="AH92" s="2139">
        <f t="shared" si="13"/>
        <v>6</v>
      </c>
      <c r="AI92" s="2139">
        <f t="shared" si="25"/>
        <v>8</v>
      </c>
      <c r="AJ92" s="2139">
        <f t="shared" si="25"/>
        <v>10</v>
      </c>
      <c r="AK92" s="2139">
        <f t="shared" si="25"/>
        <v>12</v>
      </c>
      <c r="AL92" s="2139">
        <f t="shared" si="25"/>
        <v>14</v>
      </c>
      <c r="AM92" s="2139">
        <f t="shared" si="25"/>
        <v>17</v>
      </c>
      <c r="AN92" s="2139">
        <f t="shared" si="23"/>
        <v>19</v>
      </c>
      <c r="AO92" s="2136">
        <f t="shared" si="23"/>
        <v>21</v>
      </c>
      <c r="AP92" s="1802" t="s">
        <v>1309</v>
      </c>
      <c r="AQ92" s="1813">
        <v>60</v>
      </c>
      <c r="AR92" s="1949">
        <f t="shared" si="26"/>
        <v>1</v>
      </c>
      <c r="AS92" s="1963">
        <f t="shared" si="26"/>
        <v>1</v>
      </c>
      <c r="AT92" s="1963">
        <f t="shared" si="26"/>
        <v>2</v>
      </c>
      <c r="AU92" s="1963">
        <f t="shared" si="26"/>
        <v>2</v>
      </c>
      <c r="AV92" s="1963">
        <f t="shared" si="26"/>
        <v>2</v>
      </c>
      <c r="AW92" s="1963">
        <f t="shared" si="26"/>
        <v>3</v>
      </c>
      <c r="AX92" s="1963">
        <f t="shared" si="26"/>
        <v>3</v>
      </c>
      <c r="AY92" s="1963">
        <f t="shared" si="26"/>
        <v>4</v>
      </c>
      <c r="AZ92" s="1963">
        <f t="shared" si="26"/>
        <v>4</v>
      </c>
      <c r="BA92" s="1963">
        <f t="shared" si="26"/>
        <v>5</v>
      </c>
      <c r="BB92" s="1963">
        <f t="shared" si="26"/>
        <v>7</v>
      </c>
      <c r="BC92" s="1963">
        <f t="shared" si="26"/>
        <v>9</v>
      </c>
      <c r="BD92" s="1963">
        <f t="shared" si="26"/>
        <v>11</v>
      </c>
      <c r="BE92" s="1963">
        <f t="shared" si="26"/>
        <v>13</v>
      </c>
      <c r="BF92" s="1963">
        <f t="shared" si="26"/>
        <v>15</v>
      </c>
      <c r="BG92" s="1963">
        <f t="shared" si="26"/>
        <v>17</v>
      </c>
      <c r="BH92" s="1963">
        <f t="shared" si="24"/>
        <v>19</v>
      </c>
      <c r="BI92" s="1950">
        <f t="shared" si="24"/>
        <v>21</v>
      </c>
    </row>
    <row r="93" spans="2:61" ht="12.95" customHeight="1" outlineLevel="1">
      <c r="B93" s="1804" t="s">
        <v>149</v>
      </c>
      <c r="C93" s="1812">
        <v>60</v>
      </c>
      <c r="D93" s="1824">
        <f t="shared" si="21"/>
        <v>0</v>
      </c>
      <c r="E93" s="1959">
        <f t="shared" si="22"/>
        <v>1</v>
      </c>
      <c r="F93" s="1959">
        <f t="shared" si="22"/>
        <v>1</v>
      </c>
      <c r="G93" s="1959">
        <f t="shared" si="22"/>
        <v>1</v>
      </c>
      <c r="H93" s="1959">
        <f t="shared" si="22"/>
        <v>2</v>
      </c>
      <c r="I93" s="1959">
        <f t="shared" si="22"/>
        <v>2</v>
      </c>
      <c r="J93" s="1959">
        <f t="shared" si="22"/>
        <v>3</v>
      </c>
      <c r="K93" s="1959">
        <f t="shared" si="22"/>
        <v>3</v>
      </c>
      <c r="L93" s="1959">
        <f t="shared" si="22"/>
        <v>3</v>
      </c>
      <c r="M93" s="1959">
        <f t="shared" si="22"/>
        <v>4</v>
      </c>
      <c r="N93" s="1959">
        <f t="shared" si="22"/>
        <v>6</v>
      </c>
      <c r="O93" s="1959">
        <f t="shared" si="22"/>
        <v>8</v>
      </c>
      <c r="P93" s="1959">
        <f t="shared" si="22"/>
        <v>10</v>
      </c>
      <c r="Q93" s="1959">
        <f t="shared" si="22"/>
        <v>12</v>
      </c>
      <c r="R93" s="1959">
        <f t="shared" si="22"/>
        <v>14</v>
      </c>
      <c r="S93" s="1959">
        <f t="shared" si="22"/>
        <v>16</v>
      </c>
      <c r="T93" s="1959">
        <f t="shared" si="22"/>
        <v>18</v>
      </c>
      <c r="U93" s="1952">
        <f t="shared" si="22"/>
        <v>21</v>
      </c>
      <c r="V93" s="1804" t="s">
        <v>149</v>
      </c>
      <c r="W93" s="1812">
        <v>60</v>
      </c>
      <c r="X93" s="1824">
        <f t="shared" si="25"/>
        <v>0</v>
      </c>
      <c r="Y93" s="2138">
        <f t="shared" si="25"/>
        <v>1</v>
      </c>
      <c r="Z93" s="2138">
        <f t="shared" si="25"/>
        <v>1</v>
      </c>
      <c r="AA93" s="2138">
        <f t="shared" si="25"/>
        <v>2</v>
      </c>
      <c r="AB93" s="2138">
        <f t="shared" si="25"/>
        <v>2</v>
      </c>
      <c r="AC93" s="2138">
        <f t="shared" si="25"/>
        <v>2</v>
      </c>
      <c r="AD93" s="2138">
        <f t="shared" si="25"/>
        <v>3</v>
      </c>
      <c r="AE93" s="2138">
        <f t="shared" si="25"/>
        <v>3</v>
      </c>
      <c r="AF93" s="2138">
        <f t="shared" si="25"/>
        <v>4</v>
      </c>
      <c r="AG93" s="2138">
        <f t="shared" si="25"/>
        <v>4</v>
      </c>
      <c r="AH93" s="2139">
        <f t="shared" si="13"/>
        <v>6</v>
      </c>
      <c r="AI93" s="2138">
        <f t="shared" si="25"/>
        <v>8</v>
      </c>
      <c r="AJ93" s="2138">
        <f t="shared" si="25"/>
        <v>10</v>
      </c>
      <c r="AK93" s="2138">
        <f t="shared" si="25"/>
        <v>12</v>
      </c>
      <c r="AL93" s="2138">
        <f t="shared" si="25"/>
        <v>14</v>
      </c>
      <c r="AM93" s="2138">
        <f t="shared" si="25"/>
        <v>17</v>
      </c>
      <c r="AN93" s="2138">
        <f t="shared" si="23"/>
        <v>19</v>
      </c>
      <c r="AO93" s="2134">
        <f t="shared" si="23"/>
        <v>21</v>
      </c>
      <c r="AP93" s="1804" t="s">
        <v>149</v>
      </c>
      <c r="AQ93" s="1812">
        <v>60</v>
      </c>
      <c r="AR93" s="1951">
        <f t="shared" si="26"/>
        <v>1</v>
      </c>
      <c r="AS93" s="1959">
        <f t="shared" si="26"/>
        <v>1</v>
      </c>
      <c r="AT93" s="1959">
        <f t="shared" si="26"/>
        <v>2</v>
      </c>
      <c r="AU93" s="1959">
        <f t="shared" si="26"/>
        <v>2</v>
      </c>
      <c r="AV93" s="1959">
        <f t="shared" si="26"/>
        <v>2</v>
      </c>
      <c r="AW93" s="1959">
        <f t="shared" si="26"/>
        <v>3</v>
      </c>
      <c r="AX93" s="1959">
        <f t="shared" si="26"/>
        <v>3</v>
      </c>
      <c r="AY93" s="1959">
        <f t="shared" si="26"/>
        <v>4</v>
      </c>
      <c r="AZ93" s="1959">
        <f t="shared" si="26"/>
        <v>4</v>
      </c>
      <c r="BA93" s="1959">
        <f t="shared" si="26"/>
        <v>5</v>
      </c>
      <c r="BB93" s="1959">
        <f t="shared" si="26"/>
        <v>7</v>
      </c>
      <c r="BC93" s="1959">
        <f t="shared" si="26"/>
        <v>9</v>
      </c>
      <c r="BD93" s="1959">
        <f t="shared" si="26"/>
        <v>11</v>
      </c>
      <c r="BE93" s="1959">
        <f t="shared" si="26"/>
        <v>13</v>
      </c>
      <c r="BF93" s="1959">
        <f t="shared" si="26"/>
        <v>15</v>
      </c>
      <c r="BG93" s="1959">
        <f t="shared" si="26"/>
        <v>17</v>
      </c>
      <c r="BH93" s="1959">
        <f t="shared" si="24"/>
        <v>19</v>
      </c>
      <c r="BI93" s="1952">
        <f t="shared" si="24"/>
        <v>21</v>
      </c>
    </row>
    <row r="94" spans="2:61" ht="12.95" customHeight="1" outlineLevel="1">
      <c r="B94" s="1802" t="s">
        <v>1062</v>
      </c>
      <c r="C94" s="1813">
        <v>70</v>
      </c>
      <c r="D94" s="1823">
        <f t="shared" si="21"/>
        <v>0</v>
      </c>
      <c r="E94" s="1826">
        <f t="shared" si="22"/>
        <v>0</v>
      </c>
      <c r="F94" s="1963">
        <f t="shared" si="22"/>
        <v>1</v>
      </c>
      <c r="G94" s="1963">
        <f t="shared" si="22"/>
        <v>1</v>
      </c>
      <c r="H94" s="1963">
        <f t="shared" si="22"/>
        <v>1</v>
      </c>
      <c r="I94" s="1963">
        <f t="shared" si="22"/>
        <v>2</v>
      </c>
      <c r="J94" s="1963">
        <f t="shared" si="22"/>
        <v>2</v>
      </c>
      <c r="K94" s="1963">
        <f t="shared" si="22"/>
        <v>3</v>
      </c>
      <c r="L94" s="1963">
        <f t="shared" si="22"/>
        <v>3</v>
      </c>
      <c r="M94" s="1963">
        <f t="shared" si="22"/>
        <v>3</v>
      </c>
      <c r="N94" s="1963">
        <f t="shared" si="22"/>
        <v>5</v>
      </c>
      <c r="O94" s="1963">
        <f t="shared" si="22"/>
        <v>7</v>
      </c>
      <c r="P94" s="1963">
        <f t="shared" si="22"/>
        <v>9</v>
      </c>
      <c r="Q94" s="1963">
        <f t="shared" si="22"/>
        <v>10</v>
      </c>
      <c r="R94" s="1963">
        <f t="shared" si="22"/>
        <v>12</v>
      </c>
      <c r="S94" s="1963">
        <f t="shared" si="22"/>
        <v>14</v>
      </c>
      <c r="T94" s="1963">
        <f t="shared" si="22"/>
        <v>16</v>
      </c>
      <c r="U94" s="1950">
        <f t="shared" si="22"/>
        <v>18</v>
      </c>
      <c r="V94" s="1802" t="s">
        <v>1062</v>
      </c>
      <c r="W94" s="1813">
        <v>70</v>
      </c>
      <c r="X94" s="1823">
        <f t="shared" si="25"/>
        <v>0</v>
      </c>
      <c r="Y94" s="2139">
        <f t="shared" si="25"/>
        <v>1</v>
      </c>
      <c r="Z94" s="2139">
        <f t="shared" si="25"/>
        <v>1</v>
      </c>
      <c r="AA94" s="2139">
        <f t="shared" si="25"/>
        <v>1</v>
      </c>
      <c r="AB94" s="2139">
        <f t="shared" si="25"/>
        <v>2</v>
      </c>
      <c r="AC94" s="2139">
        <f t="shared" si="25"/>
        <v>2</v>
      </c>
      <c r="AD94" s="2139">
        <f t="shared" si="25"/>
        <v>2</v>
      </c>
      <c r="AE94" s="2139">
        <f t="shared" si="25"/>
        <v>3</v>
      </c>
      <c r="AF94" s="2139">
        <f t="shared" si="25"/>
        <v>3</v>
      </c>
      <c r="AG94" s="2139">
        <f t="shared" si="25"/>
        <v>3</v>
      </c>
      <c r="AH94" s="2139">
        <f t="shared" si="13"/>
        <v>5</v>
      </c>
      <c r="AI94" s="2139">
        <f t="shared" si="25"/>
        <v>7</v>
      </c>
      <c r="AJ94" s="2139">
        <f t="shared" si="25"/>
        <v>9</v>
      </c>
      <c r="AK94" s="2139">
        <f t="shared" si="25"/>
        <v>11</v>
      </c>
      <c r="AL94" s="2139">
        <f t="shared" si="25"/>
        <v>12</v>
      </c>
      <c r="AM94" s="2139">
        <f t="shared" si="25"/>
        <v>14</v>
      </c>
      <c r="AN94" s="2139">
        <f t="shared" si="23"/>
        <v>16</v>
      </c>
      <c r="AO94" s="2136">
        <f t="shared" si="23"/>
        <v>18</v>
      </c>
      <c r="AP94" s="1802" t="s">
        <v>1062</v>
      </c>
      <c r="AQ94" s="1813">
        <v>70</v>
      </c>
      <c r="AR94" s="1949">
        <f t="shared" si="26"/>
        <v>1</v>
      </c>
      <c r="AS94" s="1963">
        <f t="shared" si="26"/>
        <v>1</v>
      </c>
      <c r="AT94" s="1963">
        <f t="shared" si="26"/>
        <v>1</v>
      </c>
      <c r="AU94" s="1963">
        <f t="shared" si="26"/>
        <v>2</v>
      </c>
      <c r="AV94" s="1963">
        <f t="shared" si="26"/>
        <v>2</v>
      </c>
      <c r="AW94" s="1963">
        <f t="shared" si="26"/>
        <v>2</v>
      </c>
      <c r="AX94" s="1963">
        <f t="shared" si="26"/>
        <v>3</v>
      </c>
      <c r="AY94" s="1963">
        <f t="shared" si="26"/>
        <v>3</v>
      </c>
      <c r="AZ94" s="1963">
        <f t="shared" si="26"/>
        <v>3</v>
      </c>
      <c r="BA94" s="1963">
        <f t="shared" si="26"/>
        <v>4</v>
      </c>
      <c r="BB94" s="1963">
        <f t="shared" si="26"/>
        <v>6</v>
      </c>
      <c r="BC94" s="1963">
        <f t="shared" si="26"/>
        <v>7</v>
      </c>
      <c r="BD94" s="1963">
        <f t="shared" si="26"/>
        <v>9</v>
      </c>
      <c r="BE94" s="1963">
        <f t="shared" si="26"/>
        <v>11</v>
      </c>
      <c r="BF94" s="1963">
        <f t="shared" si="26"/>
        <v>13</v>
      </c>
      <c r="BG94" s="1963">
        <f t="shared" si="26"/>
        <v>15</v>
      </c>
      <c r="BH94" s="1963">
        <f t="shared" si="24"/>
        <v>16</v>
      </c>
      <c r="BI94" s="1950">
        <f t="shared" si="24"/>
        <v>18</v>
      </c>
    </row>
    <row r="95" spans="2:61" ht="12.95" customHeight="1" outlineLevel="1">
      <c r="B95" s="1804" t="s">
        <v>150</v>
      </c>
      <c r="C95" s="1812">
        <v>70</v>
      </c>
      <c r="D95" s="1824">
        <f t="shared" si="21"/>
        <v>0</v>
      </c>
      <c r="E95" s="1829">
        <f t="shared" si="22"/>
        <v>0</v>
      </c>
      <c r="F95" s="1959">
        <f t="shared" si="22"/>
        <v>1</v>
      </c>
      <c r="G95" s="1959">
        <f t="shared" si="22"/>
        <v>1</v>
      </c>
      <c r="H95" s="1959">
        <f t="shared" si="22"/>
        <v>1</v>
      </c>
      <c r="I95" s="1959">
        <f t="shared" si="22"/>
        <v>2</v>
      </c>
      <c r="J95" s="1959">
        <f t="shared" si="22"/>
        <v>2</v>
      </c>
      <c r="K95" s="1959">
        <f t="shared" si="22"/>
        <v>3</v>
      </c>
      <c r="L95" s="1959">
        <f t="shared" si="22"/>
        <v>3</v>
      </c>
      <c r="M95" s="1959">
        <f t="shared" si="22"/>
        <v>3</v>
      </c>
      <c r="N95" s="1959">
        <f t="shared" si="22"/>
        <v>5</v>
      </c>
      <c r="O95" s="1959">
        <f t="shared" si="22"/>
        <v>7</v>
      </c>
      <c r="P95" s="1959">
        <f t="shared" si="22"/>
        <v>9</v>
      </c>
      <c r="Q95" s="1959">
        <f t="shared" si="22"/>
        <v>10</v>
      </c>
      <c r="R95" s="1959">
        <f t="shared" si="22"/>
        <v>12</v>
      </c>
      <c r="S95" s="1959">
        <f t="shared" si="22"/>
        <v>14</v>
      </c>
      <c r="T95" s="1959">
        <f t="shared" si="22"/>
        <v>16</v>
      </c>
      <c r="U95" s="1952">
        <f t="shared" si="22"/>
        <v>18</v>
      </c>
      <c r="V95" s="1804" t="s">
        <v>150</v>
      </c>
      <c r="W95" s="1812">
        <v>70</v>
      </c>
      <c r="X95" s="1824">
        <f t="shared" si="25"/>
        <v>0</v>
      </c>
      <c r="Y95" s="2138">
        <f t="shared" si="25"/>
        <v>1</v>
      </c>
      <c r="Z95" s="2138">
        <f t="shared" si="25"/>
        <v>1</v>
      </c>
      <c r="AA95" s="2138">
        <f t="shared" si="25"/>
        <v>1</v>
      </c>
      <c r="AB95" s="2138">
        <f t="shared" si="25"/>
        <v>2</v>
      </c>
      <c r="AC95" s="2138">
        <f t="shared" si="25"/>
        <v>2</v>
      </c>
      <c r="AD95" s="2138">
        <f t="shared" si="25"/>
        <v>2</v>
      </c>
      <c r="AE95" s="2138">
        <f t="shared" si="25"/>
        <v>3</v>
      </c>
      <c r="AF95" s="2138">
        <f t="shared" si="25"/>
        <v>3</v>
      </c>
      <c r="AG95" s="2138">
        <f t="shared" si="25"/>
        <v>3</v>
      </c>
      <c r="AH95" s="2139">
        <f t="shared" si="13"/>
        <v>5</v>
      </c>
      <c r="AI95" s="2138">
        <f t="shared" si="25"/>
        <v>7</v>
      </c>
      <c r="AJ95" s="2138">
        <f t="shared" si="25"/>
        <v>9</v>
      </c>
      <c r="AK95" s="2138">
        <f t="shared" si="25"/>
        <v>11</v>
      </c>
      <c r="AL95" s="2138">
        <f t="shared" si="25"/>
        <v>12</v>
      </c>
      <c r="AM95" s="2138">
        <f t="shared" si="25"/>
        <v>14</v>
      </c>
      <c r="AN95" s="2138">
        <f t="shared" si="23"/>
        <v>16</v>
      </c>
      <c r="AO95" s="2134">
        <f t="shared" si="23"/>
        <v>18</v>
      </c>
      <c r="AP95" s="1804" t="s">
        <v>150</v>
      </c>
      <c r="AQ95" s="1812">
        <v>70</v>
      </c>
      <c r="AR95" s="1951">
        <f t="shared" si="26"/>
        <v>1</v>
      </c>
      <c r="AS95" s="1959">
        <f t="shared" si="26"/>
        <v>1</v>
      </c>
      <c r="AT95" s="1959">
        <f t="shared" si="26"/>
        <v>1</v>
      </c>
      <c r="AU95" s="1959">
        <f t="shared" si="26"/>
        <v>2</v>
      </c>
      <c r="AV95" s="1959">
        <f t="shared" si="26"/>
        <v>2</v>
      </c>
      <c r="AW95" s="1959">
        <f t="shared" si="26"/>
        <v>2</v>
      </c>
      <c r="AX95" s="1959">
        <f t="shared" si="26"/>
        <v>3</v>
      </c>
      <c r="AY95" s="1959">
        <f t="shared" si="26"/>
        <v>3</v>
      </c>
      <c r="AZ95" s="1959">
        <f t="shared" si="26"/>
        <v>3</v>
      </c>
      <c r="BA95" s="1959">
        <f t="shared" si="26"/>
        <v>4</v>
      </c>
      <c r="BB95" s="1959">
        <f t="shared" si="26"/>
        <v>6</v>
      </c>
      <c r="BC95" s="1959">
        <f t="shared" si="26"/>
        <v>7</v>
      </c>
      <c r="BD95" s="1959">
        <f t="shared" si="26"/>
        <v>9</v>
      </c>
      <c r="BE95" s="1959">
        <f t="shared" si="26"/>
        <v>11</v>
      </c>
      <c r="BF95" s="1959">
        <f t="shared" si="26"/>
        <v>13</v>
      </c>
      <c r="BG95" s="1959">
        <f t="shared" si="26"/>
        <v>15</v>
      </c>
      <c r="BH95" s="1959">
        <f t="shared" si="24"/>
        <v>16</v>
      </c>
      <c r="BI95" s="1952">
        <f t="shared" si="24"/>
        <v>18</v>
      </c>
    </row>
    <row r="96" spans="2:61" ht="12.95" customHeight="1" outlineLevel="1">
      <c r="B96" s="1802" t="s">
        <v>653</v>
      </c>
      <c r="C96" s="1813">
        <v>160</v>
      </c>
      <c r="D96" s="1823">
        <f t="shared" si="21"/>
        <v>0</v>
      </c>
      <c r="E96" s="1826">
        <f t="shared" si="22"/>
        <v>0</v>
      </c>
      <c r="F96" s="1826">
        <f t="shared" si="22"/>
        <v>0</v>
      </c>
      <c r="G96" s="1826">
        <f t="shared" si="22"/>
        <v>0</v>
      </c>
      <c r="H96" s="1826">
        <f t="shared" si="22"/>
        <v>0</v>
      </c>
      <c r="I96" s="1963">
        <f t="shared" si="22"/>
        <v>1</v>
      </c>
      <c r="J96" s="1963">
        <f t="shared" si="22"/>
        <v>1</v>
      </c>
      <c r="K96" s="1963">
        <f t="shared" si="22"/>
        <v>1</v>
      </c>
      <c r="L96" s="1963">
        <f t="shared" si="22"/>
        <v>1</v>
      </c>
      <c r="M96" s="1963">
        <f t="shared" si="22"/>
        <v>1</v>
      </c>
      <c r="N96" s="1963">
        <f t="shared" si="22"/>
        <v>2</v>
      </c>
      <c r="O96" s="1963">
        <f t="shared" si="22"/>
        <v>3</v>
      </c>
      <c r="P96" s="1963">
        <f t="shared" si="22"/>
        <v>3</v>
      </c>
      <c r="Q96" s="1963">
        <f t="shared" si="22"/>
        <v>4</v>
      </c>
      <c r="R96" s="1963">
        <f t="shared" si="22"/>
        <v>5</v>
      </c>
      <c r="S96" s="1963">
        <f t="shared" si="22"/>
        <v>6</v>
      </c>
      <c r="T96" s="1963">
        <f t="shared" si="22"/>
        <v>7</v>
      </c>
      <c r="U96" s="1950">
        <f t="shared" si="22"/>
        <v>7</v>
      </c>
      <c r="V96" s="1802" t="s">
        <v>653</v>
      </c>
      <c r="W96" s="1813">
        <v>160</v>
      </c>
      <c r="X96" s="1823">
        <f t="shared" si="25"/>
        <v>0</v>
      </c>
      <c r="Y96" s="1826">
        <f t="shared" si="25"/>
        <v>0</v>
      </c>
      <c r="Z96" s="1826">
        <f t="shared" si="25"/>
        <v>0</v>
      </c>
      <c r="AA96" s="1826">
        <f t="shared" si="25"/>
        <v>0</v>
      </c>
      <c r="AB96" s="1826">
        <f t="shared" si="25"/>
        <v>0</v>
      </c>
      <c r="AC96" s="2139">
        <f t="shared" si="25"/>
        <v>1</v>
      </c>
      <c r="AD96" s="2139">
        <f t="shared" si="25"/>
        <v>1</v>
      </c>
      <c r="AE96" s="2139">
        <f t="shared" si="25"/>
        <v>1</v>
      </c>
      <c r="AF96" s="2139">
        <f t="shared" si="25"/>
        <v>1</v>
      </c>
      <c r="AG96" s="2139">
        <f t="shared" si="25"/>
        <v>1</v>
      </c>
      <c r="AH96" s="2139">
        <f t="shared" si="13"/>
        <v>2</v>
      </c>
      <c r="AI96" s="2139">
        <f t="shared" si="25"/>
        <v>3</v>
      </c>
      <c r="AJ96" s="2139">
        <f t="shared" si="25"/>
        <v>4</v>
      </c>
      <c r="AK96" s="2139">
        <f t="shared" si="25"/>
        <v>4</v>
      </c>
      <c r="AL96" s="2139">
        <f t="shared" si="25"/>
        <v>5</v>
      </c>
      <c r="AM96" s="2139">
        <f t="shared" si="25"/>
        <v>6</v>
      </c>
      <c r="AN96" s="2139">
        <f t="shared" si="23"/>
        <v>7</v>
      </c>
      <c r="AO96" s="2136">
        <f t="shared" si="23"/>
        <v>7</v>
      </c>
      <c r="AP96" s="1802" t="s">
        <v>653</v>
      </c>
      <c r="AQ96" s="1813">
        <v>160</v>
      </c>
      <c r="AR96" s="1823">
        <f t="shared" si="26"/>
        <v>0</v>
      </c>
      <c r="AS96" s="1826">
        <f t="shared" si="26"/>
        <v>0</v>
      </c>
      <c r="AT96" s="1826">
        <f t="shared" si="26"/>
        <v>0</v>
      </c>
      <c r="AU96" s="1826">
        <f t="shared" si="26"/>
        <v>0</v>
      </c>
      <c r="AV96" s="1963">
        <f t="shared" si="26"/>
        <v>1</v>
      </c>
      <c r="AW96" s="1963">
        <f t="shared" si="26"/>
        <v>1</v>
      </c>
      <c r="AX96" s="1963">
        <f t="shared" si="26"/>
        <v>1</v>
      </c>
      <c r="AY96" s="1963">
        <f t="shared" si="26"/>
        <v>1</v>
      </c>
      <c r="AZ96" s="1963">
        <f t="shared" si="26"/>
        <v>1</v>
      </c>
      <c r="BA96" s="1963">
        <f t="shared" si="26"/>
        <v>1</v>
      </c>
      <c r="BB96" s="1963">
        <f t="shared" si="26"/>
        <v>2</v>
      </c>
      <c r="BC96" s="1963">
        <f t="shared" si="26"/>
        <v>3</v>
      </c>
      <c r="BD96" s="1963">
        <f t="shared" si="26"/>
        <v>4</v>
      </c>
      <c r="BE96" s="1963">
        <f t="shared" si="26"/>
        <v>5</v>
      </c>
      <c r="BF96" s="1963">
        <f t="shared" si="26"/>
        <v>5</v>
      </c>
      <c r="BG96" s="1963">
        <f t="shared" si="26"/>
        <v>6</v>
      </c>
      <c r="BH96" s="1963">
        <f t="shared" si="24"/>
        <v>7</v>
      </c>
      <c r="BI96" s="1950">
        <f t="shared" si="24"/>
        <v>8</v>
      </c>
    </row>
    <row r="97" spans="2:61" ht="12.95" customHeight="1" outlineLevel="1" thickBot="1">
      <c r="B97" s="1810" t="s">
        <v>151</v>
      </c>
      <c r="C97" s="1814">
        <v>300</v>
      </c>
      <c r="D97" s="1828">
        <f t="shared" si="21"/>
        <v>0</v>
      </c>
      <c r="E97" s="1830">
        <f t="shared" si="22"/>
        <v>0</v>
      </c>
      <c r="F97" s="1830">
        <f t="shared" si="22"/>
        <v>0</v>
      </c>
      <c r="G97" s="1830">
        <f t="shared" si="22"/>
        <v>0</v>
      </c>
      <c r="H97" s="1830">
        <f t="shared" si="22"/>
        <v>0</v>
      </c>
      <c r="I97" s="1830">
        <f t="shared" si="22"/>
        <v>0</v>
      </c>
      <c r="J97" s="1830">
        <f t="shared" si="22"/>
        <v>0</v>
      </c>
      <c r="K97" s="1830">
        <f t="shared" si="22"/>
        <v>0</v>
      </c>
      <c r="L97" s="1830">
        <f t="shared" si="22"/>
        <v>0</v>
      </c>
      <c r="M97" s="1830">
        <f t="shared" si="22"/>
        <v>0</v>
      </c>
      <c r="N97" s="1974">
        <f t="shared" si="22"/>
        <v>1</v>
      </c>
      <c r="O97" s="1974">
        <f t="shared" si="22"/>
        <v>1</v>
      </c>
      <c r="P97" s="1974">
        <f t="shared" si="22"/>
        <v>2</v>
      </c>
      <c r="Q97" s="1974">
        <f t="shared" si="22"/>
        <v>2</v>
      </c>
      <c r="R97" s="1974">
        <f t="shared" si="22"/>
        <v>2</v>
      </c>
      <c r="S97" s="1974">
        <f t="shared" si="22"/>
        <v>3</v>
      </c>
      <c r="T97" s="1974">
        <f t="shared" si="22"/>
        <v>3</v>
      </c>
      <c r="U97" s="1948">
        <f t="shared" ref="E97:U112" si="27">FLOOR((U$7*25+10)/$C97,1)</f>
        <v>4</v>
      </c>
      <c r="V97" s="1810" t="s">
        <v>151</v>
      </c>
      <c r="W97" s="1814">
        <v>300</v>
      </c>
      <c r="X97" s="1828">
        <f t="shared" si="25"/>
        <v>0</v>
      </c>
      <c r="Y97" s="1830">
        <f t="shared" si="25"/>
        <v>0</v>
      </c>
      <c r="Z97" s="1830">
        <f t="shared" si="25"/>
        <v>0</v>
      </c>
      <c r="AA97" s="1830">
        <f t="shared" si="25"/>
        <v>0</v>
      </c>
      <c r="AB97" s="1830">
        <f t="shared" si="25"/>
        <v>0</v>
      </c>
      <c r="AC97" s="1830">
        <f t="shared" si="25"/>
        <v>0</v>
      </c>
      <c r="AD97" s="1830">
        <f t="shared" si="25"/>
        <v>0</v>
      </c>
      <c r="AE97" s="1830">
        <f t="shared" si="25"/>
        <v>0</v>
      </c>
      <c r="AF97" s="1830">
        <f t="shared" si="25"/>
        <v>0</v>
      </c>
      <c r="AG97" s="1830">
        <f t="shared" si="25"/>
        <v>0</v>
      </c>
      <c r="AH97" s="2140">
        <f t="shared" si="13"/>
        <v>1</v>
      </c>
      <c r="AI97" s="2144">
        <f t="shared" si="25"/>
        <v>1</v>
      </c>
      <c r="AJ97" s="2144">
        <f t="shared" si="25"/>
        <v>2</v>
      </c>
      <c r="AK97" s="2144">
        <f t="shared" si="25"/>
        <v>2</v>
      </c>
      <c r="AL97" s="2144">
        <f t="shared" si="25"/>
        <v>2</v>
      </c>
      <c r="AM97" s="2144">
        <f t="shared" si="25"/>
        <v>3</v>
      </c>
      <c r="AN97" s="2144">
        <f t="shared" si="23"/>
        <v>3</v>
      </c>
      <c r="AO97" s="2137">
        <f t="shared" si="23"/>
        <v>4</v>
      </c>
      <c r="AP97" s="1810" t="s">
        <v>151</v>
      </c>
      <c r="AQ97" s="1814">
        <v>300</v>
      </c>
      <c r="AR97" s="1828">
        <f t="shared" si="26"/>
        <v>0</v>
      </c>
      <c r="AS97" s="1830">
        <f t="shared" si="26"/>
        <v>0</v>
      </c>
      <c r="AT97" s="1830">
        <f t="shared" si="26"/>
        <v>0</v>
      </c>
      <c r="AU97" s="1830">
        <f t="shared" si="26"/>
        <v>0</v>
      </c>
      <c r="AV97" s="1830">
        <f t="shared" si="26"/>
        <v>0</v>
      </c>
      <c r="AW97" s="1830">
        <f t="shared" si="26"/>
        <v>0</v>
      </c>
      <c r="AX97" s="1830">
        <f t="shared" si="26"/>
        <v>0</v>
      </c>
      <c r="AY97" s="1830">
        <f t="shared" si="26"/>
        <v>0</v>
      </c>
      <c r="AZ97" s="1830">
        <f t="shared" si="26"/>
        <v>0</v>
      </c>
      <c r="BA97" s="1974">
        <f t="shared" si="26"/>
        <v>1</v>
      </c>
      <c r="BB97" s="1974">
        <f t="shared" si="26"/>
        <v>1</v>
      </c>
      <c r="BC97" s="1974">
        <f t="shared" si="26"/>
        <v>1</v>
      </c>
      <c r="BD97" s="1974">
        <f t="shared" si="26"/>
        <v>2</v>
      </c>
      <c r="BE97" s="1974">
        <f t="shared" si="26"/>
        <v>2</v>
      </c>
      <c r="BF97" s="1974">
        <f t="shared" si="26"/>
        <v>3</v>
      </c>
      <c r="BG97" s="1974">
        <f t="shared" si="26"/>
        <v>3</v>
      </c>
      <c r="BH97" s="1974">
        <f t="shared" si="24"/>
        <v>3</v>
      </c>
      <c r="BI97" s="1948">
        <f t="shared" si="24"/>
        <v>4</v>
      </c>
    </row>
    <row r="98" spans="2:61" ht="12.95" customHeight="1">
      <c r="B98" s="1809" t="s">
        <v>2663</v>
      </c>
      <c r="C98" s="1811">
        <v>3</v>
      </c>
      <c r="D98" s="1971">
        <f t="shared" si="21"/>
        <v>11</v>
      </c>
      <c r="E98" s="1972">
        <f t="shared" si="27"/>
        <v>20</v>
      </c>
      <c r="F98" s="1972">
        <f t="shared" si="27"/>
        <v>28</v>
      </c>
      <c r="G98" s="1972">
        <f t="shared" si="27"/>
        <v>36</v>
      </c>
      <c r="H98" s="1972">
        <f t="shared" si="27"/>
        <v>45</v>
      </c>
      <c r="I98" s="1972">
        <f t="shared" si="27"/>
        <v>53</v>
      </c>
      <c r="J98" s="1972">
        <f t="shared" si="27"/>
        <v>61</v>
      </c>
      <c r="K98" s="1972">
        <f t="shared" si="27"/>
        <v>70</v>
      </c>
      <c r="L98" s="1972">
        <f t="shared" si="27"/>
        <v>78</v>
      </c>
      <c r="M98" s="1972">
        <f t="shared" si="27"/>
        <v>86</v>
      </c>
      <c r="N98" s="1972">
        <f t="shared" si="27"/>
        <v>128</v>
      </c>
      <c r="O98" s="1972">
        <f t="shared" si="27"/>
        <v>170</v>
      </c>
      <c r="P98" s="1972">
        <f t="shared" si="27"/>
        <v>211</v>
      </c>
      <c r="Q98" s="1972">
        <f t="shared" si="27"/>
        <v>253</v>
      </c>
      <c r="R98" s="1972">
        <f t="shared" si="27"/>
        <v>295</v>
      </c>
      <c r="S98" s="1972">
        <f t="shared" si="27"/>
        <v>336</v>
      </c>
      <c r="T98" s="1972">
        <f t="shared" si="27"/>
        <v>378</v>
      </c>
      <c r="U98" s="1973">
        <f t="shared" si="27"/>
        <v>420</v>
      </c>
      <c r="V98" s="1809" t="s">
        <v>2663</v>
      </c>
      <c r="W98" s="1811">
        <v>3</v>
      </c>
      <c r="X98" s="2143">
        <f t="shared" si="25"/>
        <v>15</v>
      </c>
      <c r="Y98" s="2145">
        <f t="shared" si="25"/>
        <v>23</v>
      </c>
      <c r="Z98" s="2145">
        <f t="shared" si="25"/>
        <v>31</v>
      </c>
      <c r="AA98" s="2145">
        <f t="shared" si="25"/>
        <v>40</v>
      </c>
      <c r="AB98" s="2145">
        <f t="shared" si="25"/>
        <v>48</v>
      </c>
      <c r="AC98" s="2145">
        <f t="shared" si="25"/>
        <v>56</v>
      </c>
      <c r="AD98" s="2145">
        <f t="shared" si="25"/>
        <v>65</v>
      </c>
      <c r="AE98" s="2145">
        <f t="shared" si="25"/>
        <v>73</v>
      </c>
      <c r="AF98" s="2145">
        <f t="shared" si="25"/>
        <v>81</v>
      </c>
      <c r="AG98" s="2145">
        <f t="shared" si="25"/>
        <v>90</v>
      </c>
      <c r="AH98" s="2145">
        <f t="shared" si="13"/>
        <v>131</v>
      </c>
      <c r="AI98" s="2145">
        <f t="shared" si="25"/>
        <v>173</v>
      </c>
      <c r="AJ98" s="2145">
        <f t="shared" si="25"/>
        <v>215</v>
      </c>
      <c r="AK98" s="2145">
        <f t="shared" si="25"/>
        <v>256</v>
      </c>
      <c r="AL98" s="2145">
        <f t="shared" si="25"/>
        <v>298</v>
      </c>
      <c r="AM98" s="2145">
        <f t="shared" si="25"/>
        <v>340</v>
      </c>
      <c r="AN98" s="2145">
        <f t="shared" si="23"/>
        <v>381</v>
      </c>
      <c r="AO98" s="2146">
        <f t="shared" si="23"/>
        <v>423</v>
      </c>
      <c r="AP98" s="1809" t="s">
        <v>2663</v>
      </c>
      <c r="AQ98" s="1811">
        <v>3</v>
      </c>
      <c r="AR98" s="1971">
        <f t="shared" si="26"/>
        <v>25</v>
      </c>
      <c r="AS98" s="1972">
        <f t="shared" si="26"/>
        <v>33</v>
      </c>
      <c r="AT98" s="1972">
        <f t="shared" si="26"/>
        <v>41</v>
      </c>
      <c r="AU98" s="1972">
        <f t="shared" si="26"/>
        <v>50</v>
      </c>
      <c r="AV98" s="1972">
        <f t="shared" si="26"/>
        <v>58</v>
      </c>
      <c r="AW98" s="1972">
        <f t="shared" si="26"/>
        <v>66</v>
      </c>
      <c r="AX98" s="1972">
        <f t="shared" si="26"/>
        <v>75</v>
      </c>
      <c r="AY98" s="1972">
        <f t="shared" si="26"/>
        <v>83</v>
      </c>
      <c r="AZ98" s="1972">
        <f t="shared" si="26"/>
        <v>91</v>
      </c>
      <c r="BA98" s="1972">
        <f t="shared" si="26"/>
        <v>100</v>
      </c>
      <c r="BB98" s="1972">
        <f t="shared" si="26"/>
        <v>141</v>
      </c>
      <c r="BC98" s="1972">
        <f t="shared" si="26"/>
        <v>183</v>
      </c>
      <c r="BD98" s="1972">
        <f t="shared" si="26"/>
        <v>225</v>
      </c>
      <c r="BE98" s="1972">
        <f t="shared" si="26"/>
        <v>266</v>
      </c>
      <c r="BF98" s="1972">
        <f t="shared" si="26"/>
        <v>308</v>
      </c>
      <c r="BG98" s="1972">
        <f t="shared" si="26"/>
        <v>350</v>
      </c>
      <c r="BH98" s="1972">
        <f t="shared" si="24"/>
        <v>391</v>
      </c>
      <c r="BI98" s="1973">
        <f t="shared" si="24"/>
        <v>433</v>
      </c>
    </row>
    <row r="99" spans="2:61" ht="12.95" customHeight="1" outlineLevel="1">
      <c r="B99" s="1804" t="s">
        <v>1531</v>
      </c>
      <c r="C99" s="1812">
        <v>3</v>
      </c>
      <c r="D99" s="1951">
        <f t="shared" si="21"/>
        <v>11</v>
      </c>
      <c r="E99" s="1959">
        <f t="shared" si="27"/>
        <v>20</v>
      </c>
      <c r="F99" s="1959">
        <f t="shared" si="27"/>
        <v>28</v>
      </c>
      <c r="G99" s="1959">
        <f t="shared" si="27"/>
        <v>36</v>
      </c>
      <c r="H99" s="1959">
        <f t="shared" si="27"/>
        <v>45</v>
      </c>
      <c r="I99" s="1959">
        <f t="shared" si="27"/>
        <v>53</v>
      </c>
      <c r="J99" s="1959">
        <f t="shared" si="27"/>
        <v>61</v>
      </c>
      <c r="K99" s="1959">
        <f t="shared" si="27"/>
        <v>70</v>
      </c>
      <c r="L99" s="1959">
        <f t="shared" si="27"/>
        <v>78</v>
      </c>
      <c r="M99" s="1959">
        <f t="shared" si="27"/>
        <v>86</v>
      </c>
      <c r="N99" s="1959">
        <f t="shared" si="27"/>
        <v>128</v>
      </c>
      <c r="O99" s="1959">
        <f t="shared" si="27"/>
        <v>170</v>
      </c>
      <c r="P99" s="1959">
        <f t="shared" si="27"/>
        <v>211</v>
      </c>
      <c r="Q99" s="1959">
        <f t="shared" si="27"/>
        <v>253</v>
      </c>
      <c r="R99" s="1959">
        <f t="shared" si="27"/>
        <v>295</v>
      </c>
      <c r="S99" s="1959">
        <f t="shared" si="27"/>
        <v>336</v>
      </c>
      <c r="T99" s="1959">
        <f t="shared" si="27"/>
        <v>378</v>
      </c>
      <c r="U99" s="1952">
        <f t="shared" si="27"/>
        <v>420</v>
      </c>
      <c r="V99" s="1804" t="s">
        <v>1531</v>
      </c>
      <c r="W99" s="1812">
        <v>3</v>
      </c>
      <c r="X99" s="2133">
        <f t="shared" si="25"/>
        <v>15</v>
      </c>
      <c r="Y99" s="2138">
        <f t="shared" si="25"/>
        <v>23</v>
      </c>
      <c r="Z99" s="2138">
        <f t="shared" si="25"/>
        <v>31</v>
      </c>
      <c r="AA99" s="2138">
        <f t="shared" si="25"/>
        <v>40</v>
      </c>
      <c r="AB99" s="2138">
        <f t="shared" si="25"/>
        <v>48</v>
      </c>
      <c r="AC99" s="2138">
        <f t="shared" si="25"/>
        <v>56</v>
      </c>
      <c r="AD99" s="2138">
        <f t="shared" si="25"/>
        <v>65</v>
      </c>
      <c r="AE99" s="2138">
        <f t="shared" si="25"/>
        <v>73</v>
      </c>
      <c r="AF99" s="2138">
        <f t="shared" si="25"/>
        <v>81</v>
      </c>
      <c r="AG99" s="2138">
        <f t="shared" si="25"/>
        <v>90</v>
      </c>
      <c r="AH99" s="2139">
        <f t="shared" si="13"/>
        <v>131</v>
      </c>
      <c r="AI99" s="2138">
        <f t="shared" si="25"/>
        <v>173</v>
      </c>
      <c r="AJ99" s="2138">
        <f t="shared" si="25"/>
        <v>215</v>
      </c>
      <c r="AK99" s="2138">
        <f t="shared" si="25"/>
        <v>256</v>
      </c>
      <c r="AL99" s="2138">
        <f t="shared" si="25"/>
        <v>298</v>
      </c>
      <c r="AM99" s="2138">
        <f t="shared" si="25"/>
        <v>340</v>
      </c>
      <c r="AN99" s="2138">
        <f t="shared" si="23"/>
        <v>381</v>
      </c>
      <c r="AO99" s="2134">
        <f t="shared" si="23"/>
        <v>423</v>
      </c>
      <c r="AP99" s="1804" t="s">
        <v>1531</v>
      </c>
      <c r="AQ99" s="1812">
        <v>3</v>
      </c>
      <c r="AR99" s="1951">
        <f t="shared" si="26"/>
        <v>25</v>
      </c>
      <c r="AS99" s="1959">
        <f t="shared" si="26"/>
        <v>33</v>
      </c>
      <c r="AT99" s="1959">
        <f t="shared" si="26"/>
        <v>41</v>
      </c>
      <c r="AU99" s="1959">
        <f t="shared" si="26"/>
        <v>50</v>
      </c>
      <c r="AV99" s="1959">
        <f t="shared" si="26"/>
        <v>58</v>
      </c>
      <c r="AW99" s="1959">
        <f t="shared" si="26"/>
        <v>66</v>
      </c>
      <c r="AX99" s="1959">
        <f t="shared" si="26"/>
        <v>75</v>
      </c>
      <c r="AY99" s="1959">
        <f t="shared" si="26"/>
        <v>83</v>
      </c>
      <c r="AZ99" s="1959">
        <f t="shared" si="26"/>
        <v>91</v>
      </c>
      <c r="BA99" s="1959">
        <f t="shared" si="26"/>
        <v>100</v>
      </c>
      <c r="BB99" s="1959">
        <f t="shared" si="26"/>
        <v>141</v>
      </c>
      <c r="BC99" s="1959">
        <f t="shared" si="26"/>
        <v>183</v>
      </c>
      <c r="BD99" s="1959">
        <f t="shared" si="26"/>
        <v>225</v>
      </c>
      <c r="BE99" s="1959">
        <f t="shared" si="26"/>
        <v>266</v>
      </c>
      <c r="BF99" s="1959">
        <f t="shared" si="26"/>
        <v>308</v>
      </c>
      <c r="BG99" s="1959">
        <f t="shared" si="26"/>
        <v>350</v>
      </c>
      <c r="BH99" s="1959">
        <f t="shared" si="24"/>
        <v>391</v>
      </c>
      <c r="BI99" s="1952">
        <f t="shared" si="24"/>
        <v>433</v>
      </c>
    </row>
    <row r="100" spans="2:61" ht="12.95" customHeight="1" outlineLevel="1">
      <c r="B100" s="1802" t="s">
        <v>2670</v>
      </c>
      <c r="C100" s="1813">
        <v>150</v>
      </c>
      <c r="D100" s="1823">
        <f t="shared" si="21"/>
        <v>0</v>
      </c>
      <c r="E100" s="1826">
        <f t="shared" si="27"/>
        <v>0</v>
      </c>
      <c r="F100" s="1826">
        <f t="shared" si="27"/>
        <v>0</v>
      </c>
      <c r="G100" s="1826">
        <f t="shared" si="27"/>
        <v>0</v>
      </c>
      <c r="H100" s="1826">
        <f t="shared" si="27"/>
        <v>0</v>
      </c>
      <c r="I100" s="1963">
        <f t="shared" si="27"/>
        <v>1</v>
      </c>
      <c r="J100" s="1963">
        <f t="shared" si="27"/>
        <v>1</v>
      </c>
      <c r="K100" s="1963">
        <f t="shared" si="27"/>
        <v>1</v>
      </c>
      <c r="L100" s="1963">
        <f t="shared" si="27"/>
        <v>1</v>
      </c>
      <c r="M100" s="1963">
        <f t="shared" si="27"/>
        <v>1</v>
      </c>
      <c r="N100" s="1963">
        <f t="shared" si="27"/>
        <v>2</v>
      </c>
      <c r="O100" s="1963">
        <f t="shared" si="27"/>
        <v>3</v>
      </c>
      <c r="P100" s="1963">
        <f t="shared" si="27"/>
        <v>4</v>
      </c>
      <c r="Q100" s="1963">
        <f t="shared" si="27"/>
        <v>5</v>
      </c>
      <c r="R100" s="1963">
        <f t="shared" si="27"/>
        <v>5</v>
      </c>
      <c r="S100" s="1963">
        <f t="shared" si="27"/>
        <v>6</v>
      </c>
      <c r="T100" s="1963">
        <f t="shared" si="27"/>
        <v>7</v>
      </c>
      <c r="U100" s="1950">
        <f t="shared" si="27"/>
        <v>8</v>
      </c>
      <c r="V100" s="1802" t="s">
        <v>2670</v>
      </c>
      <c r="W100" s="1813">
        <v>150</v>
      </c>
      <c r="X100" s="1823">
        <f t="shared" si="25"/>
        <v>0</v>
      </c>
      <c r="Y100" s="1826">
        <f t="shared" si="25"/>
        <v>0</v>
      </c>
      <c r="Z100" s="1826">
        <f t="shared" si="25"/>
        <v>0</v>
      </c>
      <c r="AA100" s="1826">
        <f t="shared" si="25"/>
        <v>0</v>
      </c>
      <c r="AB100" s="1826">
        <f t="shared" si="25"/>
        <v>0</v>
      </c>
      <c r="AC100" s="2139">
        <f t="shared" si="25"/>
        <v>1</v>
      </c>
      <c r="AD100" s="2139">
        <f t="shared" si="25"/>
        <v>1</v>
      </c>
      <c r="AE100" s="2139">
        <f t="shared" si="25"/>
        <v>1</v>
      </c>
      <c r="AF100" s="2139">
        <f t="shared" si="25"/>
        <v>1</v>
      </c>
      <c r="AG100" s="2139">
        <f t="shared" si="25"/>
        <v>1</v>
      </c>
      <c r="AH100" s="2139">
        <f t="shared" si="13"/>
        <v>2</v>
      </c>
      <c r="AI100" s="2139">
        <f t="shared" si="25"/>
        <v>3</v>
      </c>
      <c r="AJ100" s="2139">
        <f t="shared" si="25"/>
        <v>4</v>
      </c>
      <c r="AK100" s="2139">
        <f t="shared" si="25"/>
        <v>5</v>
      </c>
      <c r="AL100" s="2139">
        <f t="shared" si="25"/>
        <v>5</v>
      </c>
      <c r="AM100" s="2139">
        <f t="shared" ref="AM100:AO112" si="28">FLOOR((AM$7*25+20)/$C100,1)</f>
        <v>6</v>
      </c>
      <c r="AN100" s="2139">
        <f t="shared" si="28"/>
        <v>7</v>
      </c>
      <c r="AO100" s="2136">
        <f t="shared" si="28"/>
        <v>8</v>
      </c>
      <c r="AP100" s="1802" t="s">
        <v>2670</v>
      </c>
      <c r="AQ100" s="1813">
        <v>150</v>
      </c>
      <c r="AR100" s="1823">
        <f t="shared" si="26"/>
        <v>0</v>
      </c>
      <c r="AS100" s="1826">
        <f t="shared" si="26"/>
        <v>0</v>
      </c>
      <c r="AT100" s="1826">
        <f t="shared" si="26"/>
        <v>0</v>
      </c>
      <c r="AU100" s="1963">
        <f t="shared" si="26"/>
        <v>1</v>
      </c>
      <c r="AV100" s="1963">
        <f t="shared" si="26"/>
        <v>1</v>
      </c>
      <c r="AW100" s="1963">
        <f t="shared" si="26"/>
        <v>1</v>
      </c>
      <c r="AX100" s="1963">
        <f t="shared" si="26"/>
        <v>1</v>
      </c>
      <c r="AY100" s="1963">
        <f t="shared" si="26"/>
        <v>1</v>
      </c>
      <c r="AZ100" s="1963">
        <f t="shared" si="26"/>
        <v>1</v>
      </c>
      <c r="BA100" s="1963">
        <f t="shared" si="26"/>
        <v>2</v>
      </c>
      <c r="BB100" s="1963">
        <f t="shared" si="26"/>
        <v>2</v>
      </c>
      <c r="BC100" s="1963">
        <f t="shared" si="26"/>
        <v>3</v>
      </c>
      <c r="BD100" s="1963">
        <f t="shared" si="26"/>
        <v>4</v>
      </c>
      <c r="BE100" s="1963">
        <f t="shared" si="26"/>
        <v>5</v>
      </c>
      <c r="BF100" s="1963">
        <f t="shared" si="26"/>
        <v>6</v>
      </c>
      <c r="BG100" s="1963">
        <f t="shared" ref="BG100:BI112" si="29">FLOOR((BG$7*25+50)/$C100,1)</f>
        <v>7</v>
      </c>
      <c r="BH100" s="1963">
        <f t="shared" si="29"/>
        <v>7</v>
      </c>
      <c r="BI100" s="1950">
        <f t="shared" si="29"/>
        <v>8</v>
      </c>
    </row>
    <row r="101" spans="2:61" ht="12.95" customHeight="1" outlineLevel="1" thickBot="1">
      <c r="B101" s="1808" t="s">
        <v>1223</v>
      </c>
      <c r="C101" s="1816">
        <v>200</v>
      </c>
      <c r="D101" s="1828">
        <f t="shared" si="21"/>
        <v>0</v>
      </c>
      <c r="E101" s="1830">
        <f t="shared" si="27"/>
        <v>0</v>
      </c>
      <c r="F101" s="1830">
        <f t="shared" si="27"/>
        <v>0</v>
      </c>
      <c r="G101" s="1830">
        <f t="shared" si="27"/>
        <v>0</v>
      </c>
      <c r="H101" s="1830">
        <f t="shared" si="27"/>
        <v>0</v>
      </c>
      <c r="I101" s="1830">
        <f t="shared" si="27"/>
        <v>0</v>
      </c>
      <c r="J101" s="1830">
        <f t="shared" si="27"/>
        <v>0</v>
      </c>
      <c r="K101" s="1974">
        <f t="shared" si="27"/>
        <v>1</v>
      </c>
      <c r="L101" s="1974">
        <f t="shared" si="27"/>
        <v>1</v>
      </c>
      <c r="M101" s="1974">
        <f t="shared" si="27"/>
        <v>1</v>
      </c>
      <c r="N101" s="1974">
        <f t="shared" si="27"/>
        <v>1</v>
      </c>
      <c r="O101" s="1974">
        <f t="shared" si="27"/>
        <v>2</v>
      </c>
      <c r="P101" s="1974">
        <f t="shared" si="27"/>
        <v>3</v>
      </c>
      <c r="Q101" s="1974">
        <f t="shared" si="27"/>
        <v>3</v>
      </c>
      <c r="R101" s="1974">
        <f t="shared" si="27"/>
        <v>4</v>
      </c>
      <c r="S101" s="1974">
        <f t="shared" si="27"/>
        <v>5</v>
      </c>
      <c r="T101" s="1974">
        <f t="shared" si="27"/>
        <v>5</v>
      </c>
      <c r="U101" s="1948">
        <f t="shared" si="27"/>
        <v>6</v>
      </c>
      <c r="V101" s="1808" t="s">
        <v>1223</v>
      </c>
      <c r="W101" s="1816">
        <v>200</v>
      </c>
      <c r="X101" s="1828">
        <f t="shared" ref="X101:AM112" si="30">FLOOR((X$7*25+20)/$C101,1)</f>
        <v>0</v>
      </c>
      <c r="Y101" s="1830">
        <f t="shared" si="30"/>
        <v>0</v>
      </c>
      <c r="Z101" s="1830">
        <f t="shared" si="30"/>
        <v>0</v>
      </c>
      <c r="AA101" s="1830">
        <f t="shared" si="30"/>
        <v>0</v>
      </c>
      <c r="AB101" s="1830">
        <f t="shared" si="30"/>
        <v>0</v>
      </c>
      <c r="AC101" s="1830">
        <f t="shared" si="30"/>
        <v>0</v>
      </c>
      <c r="AD101" s="1830">
        <f t="shared" si="30"/>
        <v>0</v>
      </c>
      <c r="AE101" s="2144">
        <f t="shared" si="30"/>
        <v>1</v>
      </c>
      <c r="AF101" s="2144">
        <f t="shared" si="30"/>
        <v>1</v>
      </c>
      <c r="AG101" s="2144">
        <f t="shared" si="30"/>
        <v>1</v>
      </c>
      <c r="AH101" s="2140">
        <f t="shared" si="13"/>
        <v>1</v>
      </c>
      <c r="AI101" s="2144">
        <f t="shared" si="30"/>
        <v>2</v>
      </c>
      <c r="AJ101" s="2144">
        <f t="shared" si="30"/>
        <v>3</v>
      </c>
      <c r="AK101" s="2144">
        <f t="shared" si="30"/>
        <v>3</v>
      </c>
      <c r="AL101" s="2144">
        <f t="shared" si="30"/>
        <v>4</v>
      </c>
      <c r="AM101" s="2144">
        <f t="shared" si="30"/>
        <v>5</v>
      </c>
      <c r="AN101" s="2144">
        <f t="shared" si="28"/>
        <v>5</v>
      </c>
      <c r="AO101" s="2137">
        <f t="shared" si="28"/>
        <v>6</v>
      </c>
      <c r="AP101" s="1808" t="s">
        <v>1223</v>
      </c>
      <c r="AQ101" s="1816">
        <v>200</v>
      </c>
      <c r="AR101" s="1828">
        <f t="shared" ref="AR101:BG112" si="31">FLOOR((AR$7*25+50)/$C101,1)</f>
        <v>0</v>
      </c>
      <c r="AS101" s="1830">
        <f t="shared" si="31"/>
        <v>0</v>
      </c>
      <c r="AT101" s="1830">
        <f t="shared" si="31"/>
        <v>0</v>
      </c>
      <c r="AU101" s="1830">
        <f t="shared" si="31"/>
        <v>0</v>
      </c>
      <c r="AV101" s="1830">
        <f t="shared" si="31"/>
        <v>0</v>
      </c>
      <c r="AW101" s="1974">
        <f t="shared" si="31"/>
        <v>1</v>
      </c>
      <c r="AX101" s="1974">
        <f t="shared" si="31"/>
        <v>1</v>
      </c>
      <c r="AY101" s="1974">
        <f t="shared" si="31"/>
        <v>1</v>
      </c>
      <c r="AZ101" s="1974">
        <f t="shared" si="31"/>
        <v>1</v>
      </c>
      <c r="BA101" s="1974">
        <f t="shared" si="31"/>
        <v>1</v>
      </c>
      <c r="BB101" s="1974">
        <f t="shared" si="31"/>
        <v>2</v>
      </c>
      <c r="BC101" s="1974">
        <f t="shared" si="31"/>
        <v>2</v>
      </c>
      <c r="BD101" s="1974">
        <f t="shared" si="31"/>
        <v>3</v>
      </c>
      <c r="BE101" s="1974">
        <f t="shared" si="31"/>
        <v>4</v>
      </c>
      <c r="BF101" s="1974">
        <f t="shared" si="31"/>
        <v>4</v>
      </c>
      <c r="BG101" s="1974">
        <f t="shared" si="31"/>
        <v>5</v>
      </c>
      <c r="BH101" s="1974">
        <f t="shared" si="29"/>
        <v>5</v>
      </c>
      <c r="BI101" s="1948">
        <f t="shared" si="29"/>
        <v>6</v>
      </c>
    </row>
    <row r="102" spans="2:61" ht="12.95" customHeight="1">
      <c r="B102" s="1809" t="s">
        <v>2015</v>
      </c>
      <c r="C102" s="1811">
        <v>1</v>
      </c>
      <c r="D102" s="1953">
        <f t="shared" si="21"/>
        <v>35</v>
      </c>
      <c r="E102" s="1960">
        <f t="shared" si="27"/>
        <v>60</v>
      </c>
      <c r="F102" s="1960">
        <f t="shared" si="27"/>
        <v>85</v>
      </c>
      <c r="G102" s="1960">
        <f t="shared" si="27"/>
        <v>110</v>
      </c>
      <c r="H102" s="1960">
        <f t="shared" si="27"/>
        <v>135</v>
      </c>
      <c r="I102" s="1960">
        <f t="shared" si="27"/>
        <v>160</v>
      </c>
      <c r="J102" s="1960">
        <f t="shared" si="27"/>
        <v>185</v>
      </c>
      <c r="K102" s="1960">
        <f t="shared" si="27"/>
        <v>210</v>
      </c>
      <c r="L102" s="1960">
        <f t="shared" si="27"/>
        <v>235</v>
      </c>
      <c r="M102" s="1960">
        <f t="shared" si="27"/>
        <v>260</v>
      </c>
      <c r="N102" s="1960">
        <f t="shared" si="27"/>
        <v>385</v>
      </c>
      <c r="O102" s="1960">
        <f t="shared" si="27"/>
        <v>510</v>
      </c>
      <c r="P102" s="1960">
        <f t="shared" si="27"/>
        <v>635</v>
      </c>
      <c r="Q102" s="1960">
        <f t="shared" si="27"/>
        <v>760</v>
      </c>
      <c r="R102" s="1960">
        <f t="shared" si="27"/>
        <v>885</v>
      </c>
      <c r="S102" s="1960">
        <f t="shared" si="27"/>
        <v>1010</v>
      </c>
      <c r="T102" s="1960">
        <f t="shared" si="27"/>
        <v>1135</v>
      </c>
      <c r="U102" s="1954">
        <f t="shared" si="27"/>
        <v>1260</v>
      </c>
      <c r="V102" s="1809" t="s">
        <v>2015</v>
      </c>
      <c r="W102" s="1811">
        <v>1</v>
      </c>
      <c r="X102" s="2143">
        <f t="shared" si="30"/>
        <v>45</v>
      </c>
      <c r="Y102" s="2145">
        <f t="shared" si="30"/>
        <v>70</v>
      </c>
      <c r="Z102" s="2145">
        <f t="shared" si="30"/>
        <v>95</v>
      </c>
      <c r="AA102" s="2145">
        <f t="shared" si="30"/>
        <v>120</v>
      </c>
      <c r="AB102" s="2145">
        <f t="shared" si="30"/>
        <v>145</v>
      </c>
      <c r="AC102" s="2145">
        <f t="shared" si="30"/>
        <v>170</v>
      </c>
      <c r="AD102" s="2145">
        <f t="shared" si="30"/>
        <v>195</v>
      </c>
      <c r="AE102" s="2145">
        <f t="shared" si="30"/>
        <v>220</v>
      </c>
      <c r="AF102" s="2145">
        <f t="shared" si="30"/>
        <v>245</v>
      </c>
      <c r="AG102" s="2145">
        <f t="shared" si="30"/>
        <v>270</v>
      </c>
      <c r="AH102" s="2145">
        <f t="shared" si="13"/>
        <v>395</v>
      </c>
      <c r="AI102" s="2145">
        <f t="shared" si="30"/>
        <v>520</v>
      </c>
      <c r="AJ102" s="2145">
        <f t="shared" si="30"/>
        <v>645</v>
      </c>
      <c r="AK102" s="2145">
        <f t="shared" si="30"/>
        <v>770</v>
      </c>
      <c r="AL102" s="2145">
        <f t="shared" si="30"/>
        <v>895</v>
      </c>
      <c r="AM102" s="2145">
        <f t="shared" si="30"/>
        <v>1020</v>
      </c>
      <c r="AN102" s="2145">
        <f t="shared" si="28"/>
        <v>1145</v>
      </c>
      <c r="AO102" s="2146">
        <f t="shared" si="28"/>
        <v>1270</v>
      </c>
      <c r="AP102" s="1809" t="s">
        <v>2015</v>
      </c>
      <c r="AQ102" s="1811">
        <v>1</v>
      </c>
      <c r="AR102" s="1953">
        <f t="shared" si="31"/>
        <v>75</v>
      </c>
      <c r="AS102" s="1960">
        <f t="shared" si="31"/>
        <v>100</v>
      </c>
      <c r="AT102" s="1960">
        <f t="shared" si="31"/>
        <v>125</v>
      </c>
      <c r="AU102" s="1960">
        <f t="shared" si="31"/>
        <v>150</v>
      </c>
      <c r="AV102" s="1960">
        <f t="shared" si="31"/>
        <v>175</v>
      </c>
      <c r="AW102" s="1960">
        <f t="shared" si="31"/>
        <v>200</v>
      </c>
      <c r="AX102" s="1960">
        <f t="shared" si="31"/>
        <v>225</v>
      </c>
      <c r="AY102" s="1960">
        <f t="shared" si="31"/>
        <v>250</v>
      </c>
      <c r="AZ102" s="1960">
        <f t="shared" si="31"/>
        <v>275</v>
      </c>
      <c r="BA102" s="1960">
        <f t="shared" si="31"/>
        <v>300</v>
      </c>
      <c r="BB102" s="1960">
        <f t="shared" si="31"/>
        <v>425</v>
      </c>
      <c r="BC102" s="1960">
        <f t="shared" si="31"/>
        <v>550</v>
      </c>
      <c r="BD102" s="1960">
        <f t="shared" si="31"/>
        <v>675</v>
      </c>
      <c r="BE102" s="1960">
        <f t="shared" si="31"/>
        <v>800</v>
      </c>
      <c r="BF102" s="1960">
        <f t="shared" si="31"/>
        <v>925</v>
      </c>
      <c r="BG102" s="1960">
        <f t="shared" si="31"/>
        <v>1050</v>
      </c>
      <c r="BH102" s="1960">
        <f t="shared" si="29"/>
        <v>1175</v>
      </c>
      <c r="BI102" s="1954">
        <f t="shared" si="29"/>
        <v>1300</v>
      </c>
    </row>
    <row r="103" spans="2:61" ht="12.95" customHeight="1" outlineLevel="1">
      <c r="B103" s="1805" t="s">
        <v>2014</v>
      </c>
      <c r="C103" s="1812">
        <v>4</v>
      </c>
      <c r="D103" s="1951">
        <f t="shared" si="21"/>
        <v>8</v>
      </c>
      <c r="E103" s="1959">
        <f t="shared" si="27"/>
        <v>15</v>
      </c>
      <c r="F103" s="1959">
        <f t="shared" si="27"/>
        <v>21</v>
      </c>
      <c r="G103" s="1959">
        <f t="shared" si="27"/>
        <v>27</v>
      </c>
      <c r="H103" s="1959">
        <f t="shared" si="27"/>
        <v>33</v>
      </c>
      <c r="I103" s="1959">
        <f t="shared" si="27"/>
        <v>40</v>
      </c>
      <c r="J103" s="1959">
        <f t="shared" si="27"/>
        <v>46</v>
      </c>
      <c r="K103" s="1959">
        <f t="shared" si="27"/>
        <v>52</v>
      </c>
      <c r="L103" s="1959">
        <f t="shared" si="27"/>
        <v>58</v>
      </c>
      <c r="M103" s="1959">
        <f t="shared" si="27"/>
        <v>65</v>
      </c>
      <c r="N103" s="1959">
        <f t="shared" si="27"/>
        <v>96</v>
      </c>
      <c r="O103" s="1959">
        <f t="shared" si="27"/>
        <v>127</v>
      </c>
      <c r="P103" s="1959">
        <f t="shared" si="27"/>
        <v>158</v>
      </c>
      <c r="Q103" s="1959">
        <f t="shared" si="27"/>
        <v>190</v>
      </c>
      <c r="R103" s="1959">
        <f t="shared" si="27"/>
        <v>221</v>
      </c>
      <c r="S103" s="1959">
        <f t="shared" si="27"/>
        <v>252</v>
      </c>
      <c r="T103" s="1959">
        <f t="shared" si="27"/>
        <v>283</v>
      </c>
      <c r="U103" s="1952">
        <f t="shared" si="27"/>
        <v>315</v>
      </c>
      <c r="V103" s="1805" t="s">
        <v>2014</v>
      </c>
      <c r="W103" s="1812">
        <v>4</v>
      </c>
      <c r="X103" s="2133">
        <f t="shared" si="30"/>
        <v>11</v>
      </c>
      <c r="Y103" s="2138">
        <f t="shared" si="30"/>
        <v>17</v>
      </c>
      <c r="Z103" s="2138">
        <f t="shared" si="30"/>
        <v>23</v>
      </c>
      <c r="AA103" s="2138">
        <f t="shared" si="30"/>
        <v>30</v>
      </c>
      <c r="AB103" s="2138">
        <f t="shared" si="30"/>
        <v>36</v>
      </c>
      <c r="AC103" s="2138">
        <f t="shared" si="30"/>
        <v>42</v>
      </c>
      <c r="AD103" s="2138">
        <f t="shared" si="30"/>
        <v>48</v>
      </c>
      <c r="AE103" s="2138">
        <f t="shared" si="30"/>
        <v>55</v>
      </c>
      <c r="AF103" s="2138">
        <f t="shared" si="30"/>
        <v>61</v>
      </c>
      <c r="AG103" s="2138">
        <f t="shared" si="30"/>
        <v>67</v>
      </c>
      <c r="AH103" s="2139">
        <f t="shared" si="30"/>
        <v>98</v>
      </c>
      <c r="AI103" s="2138">
        <f t="shared" si="30"/>
        <v>130</v>
      </c>
      <c r="AJ103" s="2138">
        <f t="shared" si="30"/>
        <v>161</v>
      </c>
      <c r="AK103" s="2138">
        <f t="shared" si="30"/>
        <v>192</v>
      </c>
      <c r="AL103" s="2138">
        <f t="shared" si="30"/>
        <v>223</v>
      </c>
      <c r="AM103" s="2138">
        <f t="shared" si="30"/>
        <v>255</v>
      </c>
      <c r="AN103" s="2138">
        <f t="shared" si="28"/>
        <v>286</v>
      </c>
      <c r="AO103" s="2134">
        <f t="shared" si="28"/>
        <v>317</v>
      </c>
      <c r="AP103" s="1805" t="s">
        <v>2014</v>
      </c>
      <c r="AQ103" s="1812">
        <v>4</v>
      </c>
      <c r="AR103" s="1951">
        <f t="shared" si="31"/>
        <v>18</v>
      </c>
      <c r="AS103" s="1959">
        <f t="shared" si="31"/>
        <v>25</v>
      </c>
      <c r="AT103" s="1959">
        <f t="shared" si="31"/>
        <v>31</v>
      </c>
      <c r="AU103" s="1959">
        <f t="shared" si="31"/>
        <v>37</v>
      </c>
      <c r="AV103" s="1959">
        <f t="shared" si="31"/>
        <v>43</v>
      </c>
      <c r="AW103" s="1959">
        <f t="shared" si="31"/>
        <v>50</v>
      </c>
      <c r="AX103" s="1959">
        <f t="shared" si="31"/>
        <v>56</v>
      </c>
      <c r="AY103" s="1959">
        <f t="shared" si="31"/>
        <v>62</v>
      </c>
      <c r="AZ103" s="1959">
        <f t="shared" si="31"/>
        <v>68</v>
      </c>
      <c r="BA103" s="1959">
        <f t="shared" si="31"/>
        <v>75</v>
      </c>
      <c r="BB103" s="1959">
        <f t="shared" si="31"/>
        <v>106</v>
      </c>
      <c r="BC103" s="1959">
        <f t="shared" si="31"/>
        <v>137</v>
      </c>
      <c r="BD103" s="1959">
        <f t="shared" si="31"/>
        <v>168</v>
      </c>
      <c r="BE103" s="1959">
        <f t="shared" si="31"/>
        <v>200</v>
      </c>
      <c r="BF103" s="1959">
        <f t="shared" si="31"/>
        <v>231</v>
      </c>
      <c r="BG103" s="1959">
        <f t="shared" si="31"/>
        <v>262</v>
      </c>
      <c r="BH103" s="1959">
        <f t="shared" si="29"/>
        <v>293</v>
      </c>
      <c r="BI103" s="1952">
        <f t="shared" si="29"/>
        <v>325</v>
      </c>
    </row>
    <row r="104" spans="2:61" ht="12.95" customHeight="1" outlineLevel="1">
      <c r="B104" s="1802" t="s">
        <v>3472</v>
      </c>
      <c r="C104" s="1813">
        <v>15</v>
      </c>
      <c r="D104" s="1949">
        <f t="shared" si="21"/>
        <v>2</v>
      </c>
      <c r="E104" s="1963">
        <f t="shared" si="27"/>
        <v>4</v>
      </c>
      <c r="F104" s="1963">
        <f t="shared" si="27"/>
        <v>5</v>
      </c>
      <c r="G104" s="1963">
        <f t="shared" si="27"/>
        <v>7</v>
      </c>
      <c r="H104" s="1963">
        <f t="shared" si="27"/>
        <v>9</v>
      </c>
      <c r="I104" s="1963">
        <f t="shared" si="27"/>
        <v>10</v>
      </c>
      <c r="J104" s="1963">
        <f t="shared" si="27"/>
        <v>12</v>
      </c>
      <c r="K104" s="1963">
        <f t="shared" si="27"/>
        <v>14</v>
      </c>
      <c r="L104" s="1963">
        <f t="shared" si="27"/>
        <v>15</v>
      </c>
      <c r="M104" s="1963">
        <f t="shared" si="27"/>
        <v>17</v>
      </c>
      <c r="N104" s="1963">
        <f t="shared" si="27"/>
        <v>25</v>
      </c>
      <c r="O104" s="1963">
        <f t="shared" si="27"/>
        <v>34</v>
      </c>
      <c r="P104" s="1963">
        <f t="shared" si="27"/>
        <v>42</v>
      </c>
      <c r="Q104" s="1963">
        <f t="shared" si="27"/>
        <v>50</v>
      </c>
      <c r="R104" s="1963">
        <f t="shared" si="27"/>
        <v>59</v>
      </c>
      <c r="S104" s="1963">
        <f t="shared" si="27"/>
        <v>67</v>
      </c>
      <c r="T104" s="1963">
        <f t="shared" si="27"/>
        <v>75</v>
      </c>
      <c r="U104" s="1950">
        <f t="shared" si="27"/>
        <v>84</v>
      </c>
      <c r="V104" s="1802" t="s">
        <v>3472</v>
      </c>
      <c r="W104" s="1813">
        <v>15</v>
      </c>
      <c r="X104" s="2135">
        <f t="shared" si="30"/>
        <v>3</v>
      </c>
      <c r="Y104" s="2139">
        <f t="shared" si="30"/>
        <v>4</v>
      </c>
      <c r="Z104" s="2139">
        <f t="shared" si="30"/>
        <v>6</v>
      </c>
      <c r="AA104" s="2139">
        <f t="shared" si="30"/>
        <v>8</v>
      </c>
      <c r="AB104" s="2139">
        <f t="shared" si="30"/>
        <v>9</v>
      </c>
      <c r="AC104" s="2139">
        <f t="shared" si="30"/>
        <v>11</v>
      </c>
      <c r="AD104" s="2139">
        <f t="shared" si="30"/>
        <v>13</v>
      </c>
      <c r="AE104" s="2139">
        <f t="shared" si="30"/>
        <v>14</v>
      </c>
      <c r="AF104" s="2139">
        <f t="shared" si="30"/>
        <v>16</v>
      </c>
      <c r="AG104" s="2139">
        <f t="shared" si="30"/>
        <v>18</v>
      </c>
      <c r="AH104" s="2139">
        <f t="shared" si="30"/>
        <v>26</v>
      </c>
      <c r="AI104" s="2139">
        <f t="shared" si="30"/>
        <v>34</v>
      </c>
      <c r="AJ104" s="2139">
        <f t="shared" si="30"/>
        <v>43</v>
      </c>
      <c r="AK104" s="2139">
        <f t="shared" si="30"/>
        <v>51</v>
      </c>
      <c r="AL104" s="2139">
        <f t="shared" si="30"/>
        <v>59</v>
      </c>
      <c r="AM104" s="2139">
        <f t="shared" si="30"/>
        <v>68</v>
      </c>
      <c r="AN104" s="2139">
        <f t="shared" si="28"/>
        <v>76</v>
      </c>
      <c r="AO104" s="2136">
        <f t="shared" si="28"/>
        <v>84</v>
      </c>
      <c r="AP104" s="1802" t="s">
        <v>3472</v>
      </c>
      <c r="AQ104" s="1813">
        <v>15</v>
      </c>
      <c r="AR104" s="1949">
        <f t="shared" si="31"/>
        <v>5</v>
      </c>
      <c r="AS104" s="1963">
        <f t="shared" si="31"/>
        <v>6</v>
      </c>
      <c r="AT104" s="1963">
        <f t="shared" si="31"/>
        <v>8</v>
      </c>
      <c r="AU104" s="1963">
        <f t="shared" si="31"/>
        <v>10</v>
      </c>
      <c r="AV104" s="1963">
        <f t="shared" si="31"/>
        <v>11</v>
      </c>
      <c r="AW104" s="1963">
        <f t="shared" si="31"/>
        <v>13</v>
      </c>
      <c r="AX104" s="1963">
        <f t="shared" si="31"/>
        <v>15</v>
      </c>
      <c r="AY104" s="1963">
        <f t="shared" si="31"/>
        <v>16</v>
      </c>
      <c r="AZ104" s="1963">
        <f t="shared" si="31"/>
        <v>18</v>
      </c>
      <c r="BA104" s="1963">
        <f t="shared" si="31"/>
        <v>20</v>
      </c>
      <c r="BB104" s="1963">
        <f t="shared" si="31"/>
        <v>28</v>
      </c>
      <c r="BC104" s="1963">
        <f t="shared" si="31"/>
        <v>36</v>
      </c>
      <c r="BD104" s="1963">
        <f t="shared" si="31"/>
        <v>45</v>
      </c>
      <c r="BE104" s="1963">
        <f t="shared" si="31"/>
        <v>53</v>
      </c>
      <c r="BF104" s="1963">
        <f t="shared" si="31"/>
        <v>61</v>
      </c>
      <c r="BG104" s="1963">
        <f t="shared" si="31"/>
        <v>70</v>
      </c>
      <c r="BH104" s="1963">
        <f t="shared" si="29"/>
        <v>78</v>
      </c>
      <c r="BI104" s="1950">
        <f t="shared" si="29"/>
        <v>86</v>
      </c>
    </row>
    <row r="105" spans="2:61" ht="12.95" customHeight="1" outlineLevel="1">
      <c r="B105" s="1805" t="s">
        <v>379</v>
      </c>
      <c r="C105" s="1812">
        <v>10</v>
      </c>
      <c r="D105" s="1951">
        <f t="shared" si="21"/>
        <v>3</v>
      </c>
      <c r="E105" s="1959">
        <f t="shared" si="27"/>
        <v>6</v>
      </c>
      <c r="F105" s="1959">
        <f t="shared" si="27"/>
        <v>8</v>
      </c>
      <c r="G105" s="1959">
        <f t="shared" si="27"/>
        <v>11</v>
      </c>
      <c r="H105" s="1959">
        <f t="shared" si="27"/>
        <v>13</v>
      </c>
      <c r="I105" s="1959">
        <f t="shared" si="27"/>
        <v>16</v>
      </c>
      <c r="J105" s="1959">
        <f t="shared" si="27"/>
        <v>18</v>
      </c>
      <c r="K105" s="1959">
        <f t="shared" si="27"/>
        <v>21</v>
      </c>
      <c r="L105" s="1959">
        <f t="shared" si="27"/>
        <v>23</v>
      </c>
      <c r="M105" s="1959">
        <f t="shared" si="27"/>
        <v>26</v>
      </c>
      <c r="N105" s="1959">
        <f t="shared" si="27"/>
        <v>38</v>
      </c>
      <c r="O105" s="1959">
        <f t="shared" si="27"/>
        <v>51</v>
      </c>
      <c r="P105" s="1959">
        <f t="shared" si="27"/>
        <v>63</v>
      </c>
      <c r="Q105" s="1959">
        <f t="shared" si="27"/>
        <v>76</v>
      </c>
      <c r="R105" s="1959">
        <f t="shared" si="27"/>
        <v>88</v>
      </c>
      <c r="S105" s="1959">
        <f t="shared" si="27"/>
        <v>101</v>
      </c>
      <c r="T105" s="1959">
        <f t="shared" si="27"/>
        <v>113</v>
      </c>
      <c r="U105" s="1952">
        <f t="shared" si="27"/>
        <v>126</v>
      </c>
      <c r="V105" s="1805" t="s">
        <v>379</v>
      </c>
      <c r="W105" s="1812">
        <v>10</v>
      </c>
      <c r="X105" s="2133">
        <f t="shared" si="30"/>
        <v>4</v>
      </c>
      <c r="Y105" s="2138">
        <f t="shared" si="30"/>
        <v>7</v>
      </c>
      <c r="Z105" s="2138">
        <f t="shared" si="30"/>
        <v>9</v>
      </c>
      <c r="AA105" s="2138">
        <f t="shared" si="30"/>
        <v>12</v>
      </c>
      <c r="AB105" s="2138">
        <f t="shared" si="30"/>
        <v>14</v>
      </c>
      <c r="AC105" s="2138">
        <f t="shared" si="30"/>
        <v>17</v>
      </c>
      <c r="AD105" s="2138">
        <f t="shared" si="30"/>
        <v>19</v>
      </c>
      <c r="AE105" s="2138">
        <f t="shared" si="30"/>
        <v>22</v>
      </c>
      <c r="AF105" s="2138">
        <f t="shared" si="30"/>
        <v>24</v>
      </c>
      <c r="AG105" s="2138">
        <f t="shared" si="30"/>
        <v>27</v>
      </c>
      <c r="AH105" s="2139">
        <f t="shared" si="30"/>
        <v>39</v>
      </c>
      <c r="AI105" s="2138">
        <f t="shared" si="30"/>
        <v>52</v>
      </c>
      <c r="AJ105" s="2138">
        <f t="shared" si="30"/>
        <v>64</v>
      </c>
      <c r="AK105" s="2138">
        <f t="shared" si="30"/>
        <v>77</v>
      </c>
      <c r="AL105" s="2138">
        <f t="shared" si="30"/>
        <v>89</v>
      </c>
      <c r="AM105" s="2138">
        <f t="shared" si="30"/>
        <v>102</v>
      </c>
      <c r="AN105" s="2138">
        <f t="shared" si="28"/>
        <v>114</v>
      </c>
      <c r="AO105" s="2134">
        <f t="shared" si="28"/>
        <v>127</v>
      </c>
      <c r="AP105" s="1805" t="s">
        <v>379</v>
      </c>
      <c r="AQ105" s="1812">
        <v>10</v>
      </c>
      <c r="AR105" s="1951">
        <f t="shared" si="31"/>
        <v>7</v>
      </c>
      <c r="AS105" s="1959">
        <f t="shared" si="31"/>
        <v>10</v>
      </c>
      <c r="AT105" s="1959">
        <f t="shared" si="31"/>
        <v>12</v>
      </c>
      <c r="AU105" s="1959">
        <f t="shared" si="31"/>
        <v>15</v>
      </c>
      <c r="AV105" s="1959">
        <f t="shared" si="31"/>
        <v>17</v>
      </c>
      <c r="AW105" s="1959">
        <f t="shared" si="31"/>
        <v>20</v>
      </c>
      <c r="AX105" s="1959">
        <f t="shared" si="31"/>
        <v>22</v>
      </c>
      <c r="AY105" s="1959">
        <f t="shared" si="31"/>
        <v>25</v>
      </c>
      <c r="AZ105" s="1959">
        <f t="shared" si="31"/>
        <v>27</v>
      </c>
      <c r="BA105" s="1959">
        <f t="shared" si="31"/>
        <v>30</v>
      </c>
      <c r="BB105" s="1959">
        <f t="shared" si="31"/>
        <v>42</v>
      </c>
      <c r="BC105" s="1959">
        <f t="shared" si="31"/>
        <v>55</v>
      </c>
      <c r="BD105" s="1959">
        <f t="shared" si="31"/>
        <v>67</v>
      </c>
      <c r="BE105" s="1959">
        <f t="shared" si="31"/>
        <v>80</v>
      </c>
      <c r="BF105" s="1959">
        <f t="shared" si="31"/>
        <v>92</v>
      </c>
      <c r="BG105" s="1959">
        <f t="shared" si="31"/>
        <v>105</v>
      </c>
      <c r="BH105" s="1959">
        <f t="shared" si="29"/>
        <v>117</v>
      </c>
      <c r="BI105" s="1952">
        <f t="shared" si="29"/>
        <v>130</v>
      </c>
    </row>
    <row r="106" spans="2:61" ht="12.95" customHeight="1" outlineLevel="1">
      <c r="B106" s="1802" t="s">
        <v>901</v>
      </c>
      <c r="C106" s="1813">
        <v>30</v>
      </c>
      <c r="D106" s="1949">
        <f t="shared" si="21"/>
        <v>1</v>
      </c>
      <c r="E106" s="1963">
        <f t="shared" si="27"/>
        <v>2</v>
      </c>
      <c r="F106" s="1963">
        <f t="shared" si="27"/>
        <v>2</v>
      </c>
      <c r="G106" s="1963">
        <f t="shared" si="27"/>
        <v>3</v>
      </c>
      <c r="H106" s="1963">
        <f t="shared" si="27"/>
        <v>4</v>
      </c>
      <c r="I106" s="1963">
        <f t="shared" si="27"/>
        <v>5</v>
      </c>
      <c r="J106" s="1963">
        <f t="shared" si="27"/>
        <v>6</v>
      </c>
      <c r="K106" s="1963">
        <f t="shared" si="27"/>
        <v>7</v>
      </c>
      <c r="L106" s="1963">
        <f t="shared" si="27"/>
        <v>7</v>
      </c>
      <c r="M106" s="1963">
        <f t="shared" si="27"/>
        <v>8</v>
      </c>
      <c r="N106" s="1963">
        <f t="shared" si="27"/>
        <v>12</v>
      </c>
      <c r="O106" s="1963">
        <f t="shared" si="27"/>
        <v>17</v>
      </c>
      <c r="P106" s="1963">
        <f t="shared" si="27"/>
        <v>21</v>
      </c>
      <c r="Q106" s="1963">
        <f t="shared" si="27"/>
        <v>25</v>
      </c>
      <c r="R106" s="1963">
        <f t="shared" si="27"/>
        <v>29</v>
      </c>
      <c r="S106" s="1963">
        <f t="shared" si="27"/>
        <v>33</v>
      </c>
      <c r="T106" s="1963">
        <f t="shared" si="27"/>
        <v>37</v>
      </c>
      <c r="U106" s="1950">
        <f t="shared" si="27"/>
        <v>42</v>
      </c>
      <c r="V106" s="1802" t="s">
        <v>901</v>
      </c>
      <c r="W106" s="1813">
        <v>30</v>
      </c>
      <c r="X106" s="2135">
        <f t="shared" si="30"/>
        <v>1</v>
      </c>
      <c r="Y106" s="2139">
        <f t="shared" si="30"/>
        <v>2</v>
      </c>
      <c r="Z106" s="2139">
        <f t="shared" si="30"/>
        <v>3</v>
      </c>
      <c r="AA106" s="2139">
        <f t="shared" si="30"/>
        <v>4</v>
      </c>
      <c r="AB106" s="2139">
        <f t="shared" si="30"/>
        <v>4</v>
      </c>
      <c r="AC106" s="2139">
        <f t="shared" si="30"/>
        <v>5</v>
      </c>
      <c r="AD106" s="2139">
        <f t="shared" si="30"/>
        <v>6</v>
      </c>
      <c r="AE106" s="2139">
        <f t="shared" si="30"/>
        <v>7</v>
      </c>
      <c r="AF106" s="2139">
        <f t="shared" si="30"/>
        <v>8</v>
      </c>
      <c r="AG106" s="2139">
        <f t="shared" si="30"/>
        <v>9</v>
      </c>
      <c r="AH106" s="2139">
        <f t="shared" si="30"/>
        <v>13</v>
      </c>
      <c r="AI106" s="2139">
        <f t="shared" si="30"/>
        <v>17</v>
      </c>
      <c r="AJ106" s="2139">
        <f t="shared" si="30"/>
        <v>21</v>
      </c>
      <c r="AK106" s="2139">
        <f t="shared" si="30"/>
        <v>25</v>
      </c>
      <c r="AL106" s="2139">
        <f t="shared" si="30"/>
        <v>29</v>
      </c>
      <c r="AM106" s="2139">
        <f t="shared" si="30"/>
        <v>34</v>
      </c>
      <c r="AN106" s="2139">
        <f t="shared" si="28"/>
        <v>38</v>
      </c>
      <c r="AO106" s="2136">
        <f t="shared" si="28"/>
        <v>42</v>
      </c>
      <c r="AP106" s="1802" t="s">
        <v>901</v>
      </c>
      <c r="AQ106" s="1813">
        <v>30</v>
      </c>
      <c r="AR106" s="1949">
        <f t="shared" si="31"/>
        <v>2</v>
      </c>
      <c r="AS106" s="1963">
        <f t="shared" si="31"/>
        <v>3</v>
      </c>
      <c r="AT106" s="1963">
        <f t="shared" si="31"/>
        <v>4</v>
      </c>
      <c r="AU106" s="1963">
        <f t="shared" si="31"/>
        <v>5</v>
      </c>
      <c r="AV106" s="1963">
        <f t="shared" si="31"/>
        <v>5</v>
      </c>
      <c r="AW106" s="1963">
        <f t="shared" si="31"/>
        <v>6</v>
      </c>
      <c r="AX106" s="1963">
        <f t="shared" si="31"/>
        <v>7</v>
      </c>
      <c r="AY106" s="1963">
        <f t="shared" si="31"/>
        <v>8</v>
      </c>
      <c r="AZ106" s="1963">
        <f t="shared" si="31"/>
        <v>9</v>
      </c>
      <c r="BA106" s="1963">
        <f t="shared" si="31"/>
        <v>10</v>
      </c>
      <c r="BB106" s="1963">
        <f t="shared" si="31"/>
        <v>14</v>
      </c>
      <c r="BC106" s="1963">
        <f t="shared" si="31"/>
        <v>18</v>
      </c>
      <c r="BD106" s="1963">
        <f t="shared" si="31"/>
        <v>22</v>
      </c>
      <c r="BE106" s="1963">
        <f t="shared" si="31"/>
        <v>26</v>
      </c>
      <c r="BF106" s="1963">
        <f t="shared" si="31"/>
        <v>30</v>
      </c>
      <c r="BG106" s="1963">
        <f t="shared" si="31"/>
        <v>35</v>
      </c>
      <c r="BH106" s="1963">
        <f t="shared" si="29"/>
        <v>39</v>
      </c>
      <c r="BI106" s="1950">
        <f t="shared" si="29"/>
        <v>43</v>
      </c>
    </row>
    <row r="107" spans="2:61" ht="12.95" customHeight="1" outlineLevel="1">
      <c r="B107" s="1805" t="s">
        <v>644</v>
      </c>
      <c r="C107" s="1812">
        <v>15</v>
      </c>
      <c r="D107" s="1951">
        <f t="shared" si="21"/>
        <v>2</v>
      </c>
      <c r="E107" s="1959">
        <f t="shared" si="27"/>
        <v>4</v>
      </c>
      <c r="F107" s="1959">
        <f t="shared" si="27"/>
        <v>5</v>
      </c>
      <c r="G107" s="1959">
        <f t="shared" si="27"/>
        <v>7</v>
      </c>
      <c r="H107" s="1959">
        <f t="shared" si="27"/>
        <v>9</v>
      </c>
      <c r="I107" s="1959">
        <f t="shared" si="27"/>
        <v>10</v>
      </c>
      <c r="J107" s="1959">
        <f t="shared" si="27"/>
        <v>12</v>
      </c>
      <c r="K107" s="1959">
        <f t="shared" si="27"/>
        <v>14</v>
      </c>
      <c r="L107" s="1959">
        <f t="shared" si="27"/>
        <v>15</v>
      </c>
      <c r="M107" s="1959">
        <f t="shared" si="27"/>
        <v>17</v>
      </c>
      <c r="N107" s="1959">
        <f t="shared" si="27"/>
        <v>25</v>
      </c>
      <c r="O107" s="1959">
        <f t="shared" si="27"/>
        <v>34</v>
      </c>
      <c r="P107" s="1959">
        <f t="shared" si="27"/>
        <v>42</v>
      </c>
      <c r="Q107" s="1959">
        <f t="shared" si="27"/>
        <v>50</v>
      </c>
      <c r="R107" s="1959">
        <f t="shared" si="27"/>
        <v>59</v>
      </c>
      <c r="S107" s="1959">
        <f t="shared" si="27"/>
        <v>67</v>
      </c>
      <c r="T107" s="1959">
        <f t="shared" si="27"/>
        <v>75</v>
      </c>
      <c r="U107" s="1952">
        <f t="shared" si="27"/>
        <v>84</v>
      </c>
      <c r="V107" s="1805" t="s">
        <v>644</v>
      </c>
      <c r="W107" s="1812">
        <v>15</v>
      </c>
      <c r="X107" s="2133">
        <f t="shared" si="30"/>
        <v>3</v>
      </c>
      <c r="Y107" s="2138">
        <f t="shared" si="30"/>
        <v>4</v>
      </c>
      <c r="Z107" s="2138">
        <f t="shared" si="30"/>
        <v>6</v>
      </c>
      <c r="AA107" s="2138">
        <f t="shared" si="30"/>
        <v>8</v>
      </c>
      <c r="AB107" s="2138">
        <f t="shared" si="30"/>
        <v>9</v>
      </c>
      <c r="AC107" s="2138">
        <f t="shared" si="30"/>
        <v>11</v>
      </c>
      <c r="AD107" s="2138">
        <f t="shared" si="30"/>
        <v>13</v>
      </c>
      <c r="AE107" s="2138">
        <f t="shared" si="30"/>
        <v>14</v>
      </c>
      <c r="AF107" s="2138">
        <f t="shared" si="30"/>
        <v>16</v>
      </c>
      <c r="AG107" s="2138">
        <f t="shared" si="30"/>
        <v>18</v>
      </c>
      <c r="AH107" s="2139">
        <f t="shared" si="30"/>
        <v>26</v>
      </c>
      <c r="AI107" s="2138">
        <f t="shared" si="30"/>
        <v>34</v>
      </c>
      <c r="AJ107" s="2138">
        <f t="shared" si="30"/>
        <v>43</v>
      </c>
      <c r="AK107" s="2138">
        <f t="shared" si="30"/>
        <v>51</v>
      </c>
      <c r="AL107" s="2138">
        <f t="shared" si="30"/>
        <v>59</v>
      </c>
      <c r="AM107" s="2138">
        <f t="shared" si="30"/>
        <v>68</v>
      </c>
      <c r="AN107" s="2138">
        <f t="shared" si="28"/>
        <v>76</v>
      </c>
      <c r="AO107" s="2134">
        <f t="shared" si="28"/>
        <v>84</v>
      </c>
      <c r="AP107" s="1805" t="s">
        <v>644</v>
      </c>
      <c r="AQ107" s="1812">
        <v>15</v>
      </c>
      <c r="AR107" s="1951">
        <f t="shared" si="31"/>
        <v>5</v>
      </c>
      <c r="AS107" s="1959">
        <f t="shared" si="31"/>
        <v>6</v>
      </c>
      <c r="AT107" s="1959">
        <f t="shared" si="31"/>
        <v>8</v>
      </c>
      <c r="AU107" s="1959">
        <f t="shared" si="31"/>
        <v>10</v>
      </c>
      <c r="AV107" s="1959">
        <f t="shared" si="31"/>
        <v>11</v>
      </c>
      <c r="AW107" s="1959">
        <f t="shared" si="31"/>
        <v>13</v>
      </c>
      <c r="AX107" s="1959">
        <f t="shared" si="31"/>
        <v>15</v>
      </c>
      <c r="AY107" s="1959">
        <f t="shared" si="31"/>
        <v>16</v>
      </c>
      <c r="AZ107" s="1959">
        <f t="shared" si="31"/>
        <v>18</v>
      </c>
      <c r="BA107" s="1959">
        <f t="shared" si="31"/>
        <v>20</v>
      </c>
      <c r="BB107" s="1959">
        <f t="shared" si="31"/>
        <v>28</v>
      </c>
      <c r="BC107" s="1959">
        <f t="shared" si="31"/>
        <v>36</v>
      </c>
      <c r="BD107" s="1959">
        <f t="shared" si="31"/>
        <v>45</v>
      </c>
      <c r="BE107" s="1959">
        <f t="shared" si="31"/>
        <v>53</v>
      </c>
      <c r="BF107" s="1959">
        <f t="shared" si="31"/>
        <v>61</v>
      </c>
      <c r="BG107" s="1959">
        <f t="shared" si="31"/>
        <v>70</v>
      </c>
      <c r="BH107" s="1959">
        <f t="shared" si="29"/>
        <v>78</v>
      </c>
      <c r="BI107" s="1952">
        <f t="shared" si="29"/>
        <v>86</v>
      </c>
    </row>
    <row r="108" spans="2:61" ht="12.95" customHeight="1" outlineLevel="1">
      <c r="B108" s="1802" t="s">
        <v>640</v>
      </c>
      <c r="C108" s="1813">
        <v>40</v>
      </c>
      <c r="D108" s="1823">
        <f t="shared" si="21"/>
        <v>0</v>
      </c>
      <c r="E108" s="1963">
        <f t="shared" si="27"/>
        <v>1</v>
      </c>
      <c r="F108" s="1963">
        <f t="shared" si="27"/>
        <v>2</v>
      </c>
      <c r="G108" s="1963">
        <f t="shared" si="27"/>
        <v>2</v>
      </c>
      <c r="H108" s="1963">
        <f t="shared" si="27"/>
        <v>3</v>
      </c>
      <c r="I108" s="1963">
        <f t="shared" si="27"/>
        <v>4</v>
      </c>
      <c r="J108" s="1963">
        <f t="shared" si="27"/>
        <v>4</v>
      </c>
      <c r="K108" s="1963">
        <f t="shared" si="27"/>
        <v>5</v>
      </c>
      <c r="L108" s="1963">
        <f t="shared" si="27"/>
        <v>5</v>
      </c>
      <c r="M108" s="1963">
        <f t="shared" si="27"/>
        <v>6</v>
      </c>
      <c r="N108" s="1963">
        <f t="shared" si="27"/>
        <v>9</v>
      </c>
      <c r="O108" s="1963">
        <f t="shared" si="27"/>
        <v>12</v>
      </c>
      <c r="P108" s="1963">
        <f t="shared" si="27"/>
        <v>15</v>
      </c>
      <c r="Q108" s="1963">
        <f t="shared" si="27"/>
        <v>19</v>
      </c>
      <c r="R108" s="1963">
        <f t="shared" si="27"/>
        <v>22</v>
      </c>
      <c r="S108" s="1963">
        <f t="shared" si="27"/>
        <v>25</v>
      </c>
      <c r="T108" s="1963">
        <f t="shared" si="27"/>
        <v>28</v>
      </c>
      <c r="U108" s="1950">
        <f t="shared" si="27"/>
        <v>31</v>
      </c>
      <c r="V108" s="1802" t="s">
        <v>640</v>
      </c>
      <c r="W108" s="1813">
        <v>40</v>
      </c>
      <c r="X108" s="2135">
        <f t="shared" si="30"/>
        <v>1</v>
      </c>
      <c r="Y108" s="2139">
        <f t="shared" si="30"/>
        <v>1</v>
      </c>
      <c r="Z108" s="2139">
        <f t="shared" si="30"/>
        <v>2</v>
      </c>
      <c r="AA108" s="2139">
        <f t="shared" si="30"/>
        <v>3</v>
      </c>
      <c r="AB108" s="2139">
        <f t="shared" si="30"/>
        <v>3</v>
      </c>
      <c r="AC108" s="2139">
        <f t="shared" si="30"/>
        <v>4</v>
      </c>
      <c r="AD108" s="2139">
        <f t="shared" si="30"/>
        <v>4</v>
      </c>
      <c r="AE108" s="2139">
        <f t="shared" si="30"/>
        <v>5</v>
      </c>
      <c r="AF108" s="2139">
        <f t="shared" si="30"/>
        <v>6</v>
      </c>
      <c r="AG108" s="2139">
        <f t="shared" si="30"/>
        <v>6</v>
      </c>
      <c r="AH108" s="2139">
        <f t="shared" si="30"/>
        <v>9</v>
      </c>
      <c r="AI108" s="2139">
        <f t="shared" si="30"/>
        <v>13</v>
      </c>
      <c r="AJ108" s="2139">
        <f t="shared" si="30"/>
        <v>16</v>
      </c>
      <c r="AK108" s="2139">
        <f t="shared" si="30"/>
        <v>19</v>
      </c>
      <c r="AL108" s="2139">
        <f t="shared" si="30"/>
        <v>22</v>
      </c>
      <c r="AM108" s="2139">
        <f t="shared" si="30"/>
        <v>25</v>
      </c>
      <c r="AN108" s="2139">
        <f t="shared" si="28"/>
        <v>28</v>
      </c>
      <c r="AO108" s="2136">
        <f t="shared" si="28"/>
        <v>31</v>
      </c>
      <c r="AP108" s="1802" t="s">
        <v>640</v>
      </c>
      <c r="AQ108" s="1813">
        <v>40</v>
      </c>
      <c r="AR108" s="1949">
        <f t="shared" si="31"/>
        <v>1</v>
      </c>
      <c r="AS108" s="1963">
        <f t="shared" si="31"/>
        <v>2</v>
      </c>
      <c r="AT108" s="1963">
        <f t="shared" si="31"/>
        <v>3</v>
      </c>
      <c r="AU108" s="1963">
        <f t="shared" si="31"/>
        <v>3</v>
      </c>
      <c r="AV108" s="1963">
        <f t="shared" si="31"/>
        <v>4</v>
      </c>
      <c r="AW108" s="1963">
        <f t="shared" si="31"/>
        <v>5</v>
      </c>
      <c r="AX108" s="1963">
        <f t="shared" si="31"/>
        <v>5</v>
      </c>
      <c r="AY108" s="1963">
        <f t="shared" si="31"/>
        <v>6</v>
      </c>
      <c r="AZ108" s="1963">
        <f t="shared" si="31"/>
        <v>6</v>
      </c>
      <c r="BA108" s="1963">
        <f t="shared" si="31"/>
        <v>7</v>
      </c>
      <c r="BB108" s="1963">
        <f t="shared" si="31"/>
        <v>10</v>
      </c>
      <c r="BC108" s="1963">
        <f t="shared" si="31"/>
        <v>13</v>
      </c>
      <c r="BD108" s="1963">
        <f t="shared" si="31"/>
        <v>16</v>
      </c>
      <c r="BE108" s="1963">
        <f t="shared" si="31"/>
        <v>20</v>
      </c>
      <c r="BF108" s="1963">
        <f t="shared" si="31"/>
        <v>23</v>
      </c>
      <c r="BG108" s="1963">
        <f t="shared" si="31"/>
        <v>26</v>
      </c>
      <c r="BH108" s="1963">
        <f t="shared" si="29"/>
        <v>29</v>
      </c>
      <c r="BI108" s="1950">
        <f t="shared" si="29"/>
        <v>32</v>
      </c>
    </row>
    <row r="109" spans="2:61" ht="12.95" customHeight="1" outlineLevel="1">
      <c r="B109" s="1805" t="s">
        <v>1063</v>
      </c>
      <c r="C109" s="1812">
        <v>30</v>
      </c>
      <c r="D109" s="1951">
        <f t="shared" si="21"/>
        <v>1</v>
      </c>
      <c r="E109" s="1959">
        <f t="shared" si="27"/>
        <v>2</v>
      </c>
      <c r="F109" s="1959">
        <f t="shared" si="27"/>
        <v>2</v>
      </c>
      <c r="G109" s="1959">
        <f t="shared" si="27"/>
        <v>3</v>
      </c>
      <c r="H109" s="1959">
        <f t="shared" si="27"/>
        <v>4</v>
      </c>
      <c r="I109" s="1959">
        <f t="shared" si="27"/>
        <v>5</v>
      </c>
      <c r="J109" s="1959">
        <f t="shared" si="27"/>
        <v>6</v>
      </c>
      <c r="K109" s="1959">
        <f t="shared" si="27"/>
        <v>7</v>
      </c>
      <c r="L109" s="1959">
        <f t="shared" si="27"/>
        <v>7</v>
      </c>
      <c r="M109" s="1959">
        <f t="shared" si="27"/>
        <v>8</v>
      </c>
      <c r="N109" s="1959">
        <f t="shared" si="27"/>
        <v>12</v>
      </c>
      <c r="O109" s="1959">
        <f t="shared" si="27"/>
        <v>17</v>
      </c>
      <c r="P109" s="1959">
        <f t="shared" si="27"/>
        <v>21</v>
      </c>
      <c r="Q109" s="1959">
        <f t="shared" si="27"/>
        <v>25</v>
      </c>
      <c r="R109" s="1959">
        <f t="shared" si="27"/>
        <v>29</v>
      </c>
      <c r="S109" s="1959">
        <f t="shared" si="27"/>
        <v>33</v>
      </c>
      <c r="T109" s="1959">
        <f t="shared" si="27"/>
        <v>37</v>
      </c>
      <c r="U109" s="1952">
        <f t="shared" si="27"/>
        <v>42</v>
      </c>
      <c r="V109" s="1805" t="s">
        <v>1063</v>
      </c>
      <c r="W109" s="1812">
        <v>30</v>
      </c>
      <c r="X109" s="2133">
        <f t="shared" si="30"/>
        <v>1</v>
      </c>
      <c r="Y109" s="2138">
        <f t="shared" si="30"/>
        <v>2</v>
      </c>
      <c r="Z109" s="2138">
        <f t="shared" si="30"/>
        <v>3</v>
      </c>
      <c r="AA109" s="2138">
        <f t="shared" si="30"/>
        <v>4</v>
      </c>
      <c r="AB109" s="2138">
        <f t="shared" si="30"/>
        <v>4</v>
      </c>
      <c r="AC109" s="2138">
        <f t="shared" si="30"/>
        <v>5</v>
      </c>
      <c r="AD109" s="2138">
        <f t="shared" si="30"/>
        <v>6</v>
      </c>
      <c r="AE109" s="2138">
        <f t="shared" si="30"/>
        <v>7</v>
      </c>
      <c r="AF109" s="2138">
        <f t="shared" si="30"/>
        <v>8</v>
      </c>
      <c r="AG109" s="2138">
        <f t="shared" si="30"/>
        <v>9</v>
      </c>
      <c r="AH109" s="2139">
        <f t="shared" si="30"/>
        <v>13</v>
      </c>
      <c r="AI109" s="2138">
        <f t="shared" si="30"/>
        <v>17</v>
      </c>
      <c r="AJ109" s="2138">
        <f t="shared" si="30"/>
        <v>21</v>
      </c>
      <c r="AK109" s="2138">
        <f t="shared" si="30"/>
        <v>25</v>
      </c>
      <c r="AL109" s="2138">
        <f t="shared" si="30"/>
        <v>29</v>
      </c>
      <c r="AM109" s="2138">
        <f t="shared" si="30"/>
        <v>34</v>
      </c>
      <c r="AN109" s="2138">
        <f t="shared" si="28"/>
        <v>38</v>
      </c>
      <c r="AO109" s="2134">
        <f t="shared" si="28"/>
        <v>42</v>
      </c>
      <c r="AP109" s="1805" t="s">
        <v>1063</v>
      </c>
      <c r="AQ109" s="1812">
        <v>30</v>
      </c>
      <c r="AR109" s="1951">
        <f t="shared" si="31"/>
        <v>2</v>
      </c>
      <c r="AS109" s="1959">
        <f t="shared" si="31"/>
        <v>3</v>
      </c>
      <c r="AT109" s="1959">
        <f t="shared" si="31"/>
        <v>4</v>
      </c>
      <c r="AU109" s="1959">
        <f t="shared" si="31"/>
        <v>5</v>
      </c>
      <c r="AV109" s="1959">
        <f t="shared" si="31"/>
        <v>5</v>
      </c>
      <c r="AW109" s="1959">
        <f t="shared" si="31"/>
        <v>6</v>
      </c>
      <c r="AX109" s="1959">
        <f t="shared" si="31"/>
        <v>7</v>
      </c>
      <c r="AY109" s="1959">
        <f t="shared" si="31"/>
        <v>8</v>
      </c>
      <c r="AZ109" s="1959">
        <f t="shared" si="31"/>
        <v>9</v>
      </c>
      <c r="BA109" s="1959">
        <f t="shared" si="31"/>
        <v>10</v>
      </c>
      <c r="BB109" s="1959">
        <f t="shared" si="31"/>
        <v>14</v>
      </c>
      <c r="BC109" s="1959">
        <f t="shared" si="31"/>
        <v>18</v>
      </c>
      <c r="BD109" s="1959">
        <f t="shared" si="31"/>
        <v>22</v>
      </c>
      <c r="BE109" s="1959">
        <f t="shared" si="31"/>
        <v>26</v>
      </c>
      <c r="BF109" s="1959">
        <f t="shared" si="31"/>
        <v>30</v>
      </c>
      <c r="BG109" s="1959">
        <f t="shared" si="31"/>
        <v>35</v>
      </c>
      <c r="BH109" s="1959">
        <f t="shared" si="29"/>
        <v>39</v>
      </c>
      <c r="BI109" s="1952">
        <f t="shared" si="29"/>
        <v>43</v>
      </c>
    </row>
    <row r="110" spans="2:61" ht="12.95" customHeight="1" outlineLevel="1">
      <c r="B110" s="1802" t="s">
        <v>1985</v>
      </c>
      <c r="C110" s="1813">
        <v>500</v>
      </c>
      <c r="D110" s="1823">
        <f t="shared" si="21"/>
        <v>0</v>
      </c>
      <c r="E110" s="1826">
        <f t="shared" si="27"/>
        <v>0</v>
      </c>
      <c r="F110" s="1826">
        <f t="shared" si="27"/>
        <v>0</v>
      </c>
      <c r="G110" s="1826">
        <f t="shared" si="27"/>
        <v>0</v>
      </c>
      <c r="H110" s="1826">
        <f t="shared" si="27"/>
        <v>0</v>
      </c>
      <c r="I110" s="1826">
        <f t="shared" si="27"/>
        <v>0</v>
      </c>
      <c r="J110" s="1826">
        <f t="shared" si="27"/>
        <v>0</v>
      </c>
      <c r="K110" s="1826">
        <f t="shared" si="27"/>
        <v>0</v>
      </c>
      <c r="L110" s="1826">
        <f t="shared" si="27"/>
        <v>0</v>
      </c>
      <c r="M110" s="1826">
        <f t="shared" si="27"/>
        <v>0</v>
      </c>
      <c r="N110" s="1826">
        <f t="shared" si="27"/>
        <v>0</v>
      </c>
      <c r="O110" s="1963">
        <f t="shared" si="27"/>
        <v>1</v>
      </c>
      <c r="P110" s="1963">
        <f t="shared" si="27"/>
        <v>1</v>
      </c>
      <c r="Q110" s="1963">
        <f t="shared" si="27"/>
        <v>1</v>
      </c>
      <c r="R110" s="1963">
        <f t="shared" si="27"/>
        <v>1</v>
      </c>
      <c r="S110" s="1963">
        <f t="shared" si="27"/>
        <v>2</v>
      </c>
      <c r="T110" s="1963">
        <f t="shared" si="27"/>
        <v>2</v>
      </c>
      <c r="U110" s="1950">
        <f t="shared" si="27"/>
        <v>2</v>
      </c>
      <c r="V110" s="1802" t="s">
        <v>1985</v>
      </c>
      <c r="W110" s="1813">
        <v>500</v>
      </c>
      <c r="X110" s="1823">
        <f t="shared" si="30"/>
        <v>0</v>
      </c>
      <c r="Y110" s="1826">
        <f t="shared" si="30"/>
        <v>0</v>
      </c>
      <c r="Z110" s="1826">
        <f t="shared" si="30"/>
        <v>0</v>
      </c>
      <c r="AA110" s="1826">
        <f t="shared" si="30"/>
        <v>0</v>
      </c>
      <c r="AB110" s="1826">
        <f t="shared" si="30"/>
        <v>0</v>
      </c>
      <c r="AC110" s="1826">
        <f t="shared" si="30"/>
        <v>0</v>
      </c>
      <c r="AD110" s="1826">
        <f t="shared" si="30"/>
        <v>0</v>
      </c>
      <c r="AE110" s="1826">
        <f t="shared" si="30"/>
        <v>0</v>
      </c>
      <c r="AF110" s="1826">
        <f t="shared" si="30"/>
        <v>0</v>
      </c>
      <c r="AG110" s="1826">
        <f t="shared" si="30"/>
        <v>0</v>
      </c>
      <c r="AH110" s="2139">
        <f t="shared" si="30"/>
        <v>0</v>
      </c>
      <c r="AI110" s="2139">
        <f t="shared" si="30"/>
        <v>1</v>
      </c>
      <c r="AJ110" s="2139">
        <f t="shared" si="30"/>
        <v>1</v>
      </c>
      <c r="AK110" s="2139">
        <f t="shared" si="30"/>
        <v>1</v>
      </c>
      <c r="AL110" s="2139">
        <f t="shared" si="30"/>
        <v>1</v>
      </c>
      <c r="AM110" s="2139">
        <f t="shared" si="30"/>
        <v>2</v>
      </c>
      <c r="AN110" s="2139">
        <f t="shared" si="28"/>
        <v>2</v>
      </c>
      <c r="AO110" s="2136">
        <f t="shared" si="28"/>
        <v>2</v>
      </c>
      <c r="AP110" s="1802" t="s">
        <v>1985</v>
      </c>
      <c r="AQ110" s="1813">
        <v>500</v>
      </c>
      <c r="AR110" s="1823">
        <f t="shared" si="31"/>
        <v>0</v>
      </c>
      <c r="AS110" s="1826">
        <f t="shared" si="31"/>
        <v>0</v>
      </c>
      <c r="AT110" s="1826">
        <f t="shared" si="31"/>
        <v>0</v>
      </c>
      <c r="AU110" s="1826">
        <f t="shared" si="31"/>
        <v>0</v>
      </c>
      <c r="AV110" s="1826">
        <f t="shared" si="31"/>
        <v>0</v>
      </c>
      <c r="AW110" s="1826">
        <f t="shared" si="31"/>
        <v>0</v>
      </c>
      <c r="AX110" s="1826">
        <f t="shared" si="31"/>
        <v>0</v>
      </c>
      <c r="AY110" s="1826">
        <f t="shared" si="31"/>
        <v>0</v>
      </c>
      <c r="AZ110" s="1826">
        <f t="shared" si="31"/>
        <v>0</v>
      </c>
      <c r="BA110" s="1826">
        <f t="shared" si="31"/>
        <v>0</v>
      </c>
      <c r="BB110" s="1826">
        <f t="shared" si="31"/>
        <v>0</v>
      </c>
      <c r="BC110" s="1963">
        <f t="shared" si="31"/>
        <v>1</v>
      </c>
      <c r="BD110" s="1963">
        <f t="shared" si="31"/>
        <v>1</v>
      </c>
      <c r="BE110" s="1963">
        <f t="shared" si="31"/>
        <v>1</v>
      </c>
      <c r="BF110" s="1963">
        <f t="shared" si="31"/>
        <v>1</v>
      </c>
      <c r="BG110" s="1963">
        <f t="shared" si="31"/>
        <v>2</v>
      </c>
      <c r="BH110" s="1963">
        <f t="shared" si="29"/>
        <v>2</v>
      </c>
      <c r="BI110" s="1950">
        <f t="shared" si="29"/>
        <v>2</v>
      </c>
    </row>
    <row r="111" spans="2:61" ht="12.95" customHeight="1" outlineLevel="1">
      <c r="B111" s="1805" t="s">
        <v>726</v>
      </c>
      <c r="C111" s="1812">
        <v>750</v>
      </c>
      <c r="D111" s="1824">
        <f t="shared" si="21"/>
        <v>0</v>
      </c>
      <c r="E111" s="1829">
        <f t="shared" si="27"/>
        <v>0</v>
      </c>
      <c r="F111" s="1829">
        <f t="shared" si="27"/>
        <v>0</v>
      </c>
      <c r="G111" s="1829">
        <f t="shared" si="27"/>
        <v>0</v>
      </c>
      <c r="H111" s="1829">
        <f t="shared" si="27"/>
        <v>0</v>
      </c>
      <c r="I111" s="1829">
        <f t="shared" si="27"/>
        <v>0</v>
      </c>
      <c r="J111" s="1829">
        <f t="shared" si="27"/>
        <v>0</v>
      </c>
      <c r="K111" s="1829">
        <f t="shared" si="27"/>
        <v>0</v>
      </c>
      <c r="L111" s="1829">
        <f t="shared" si="27"/>
        <v>0</v>
      </c>
      <c r="M111" s="1829">
        <f t="shared" si="27"/>
        <v>0</v>
      </c>
      <c r="N111" s="1829">
        <f t="shared" si="27"/>
        <v>0</v>
      </c>
      <c r="O111" s="1829">
        <f t="shared" si="27"/>
        <v>0</v>
      </c>
      <c r="P111" s="1829">
        <f t="shared" si="27"/>
        <v>0</v>
      </c>
      <c r="Q111" s="1959">
        <f t="shared" si="27"/>
        <v>1</v>
      </c>
      <c r="R111" s="1959">
        <f t="shared" si="27"/>
        <v>1</v>
      </c>
      <c r="S111" s="1959">
        <f t="shared" si="27"/>
        <v>1</v>
      </c>
      <c r="T111" s="1959">
        <f t="shared" si="27"/>
        <v>1</v>
      </c>
      <c r="U111" s="1952">
        <f t="shared" si="27"/>
        <v>1</v>
      </c>
      <c r="V111" s="1805" t="s">
        <v>726</v>
      </c>
      <c r="W111" s="1812">
        <v>750</v>
      </c>
      <c r="X111" s="1824">
        <f t="shared" si="30"/>
        <v>0</v>
      </c>
      <c r="Y111" s="1829">
        <f t="shared" si="30"/>
        <v>0</v>
      </c>
      <c r="Z111" s="1829">
        <f t="shared" si="30"/>
        <v>0</v>
      </c>
      <c r="AA111" s="1829">
        <f t="shared" si="30"/>
        <v>0</v>
      </c>
      <c r="AB111" s="1829">
        <f t="shared" si="30"/>
        <v>0</v>
      </c>
      <c r="AC111" s="1829">
        <f t="shared" si="30"/>
        <v>0</v>
      </c>
      <c r="AD111" s="1829">
        <f t="shared" si="30"/>
        <v>0</v>
      </c>
      <c r="AE111" s="1829">
        <f t="shared" si="30"/>
        <v>0</v>
      </c>
      <c r="AF111" s="1829">
        <f t="shared" si="30"/>
        <v>0</v>
      </c>
      <c r="AG111" s="1829">
        <f t="shared" si="30"/>
        <v>0</v>
      </c>
      <c r="AH111" s="2139">
        <f t="shared" si="30"/>
        <v>0</v>
      </c>
      <c r="AI111" s="1829">
        <f t="shared" si="30"/>
        <v>0</v>
      </c>
      <c r="AJ111" s="1829">
        <f t="shared" si="30"/>
        <v>0</v>
      </c>
      <c r="AK111" s="2138">
        <f t="shared" si="30"/>
        <v>1</v>
      </c>
      <c r="AL111" s="2138">
        <f t="shared" si="30"/>
        <v>1</v>
      </c>
      <c r="AM111" s="2138">
        <f t="shared" si="30"/>
        <v>1</v>
      </c>
      <c r="AN111" s="2138">
        <f t="shared" si="28"/>
        <v>1</v>
      </c>
      <c r="AO111" s="2134">
        <f t="shared" si="28"/>
        <v>1</v>
      </c>
      <c r="AP111" s="1805" t="s">
        <v>726</v>
      </c>
      <c r="AQ111" s="1812">
        <v>750</v>
      </c>
      <c r="AR111" s="1824">
        <f t="shared" si="31"/>
        <v>0</v>
      </c>
      <c r="AS111" s="1829">
        <f t="shared" si="31"/>
        <v>0</v>
      </c>
      <c r="AT111" s="1829">
        <f t="shared" si="31"/>
        <v>0</v>
      </c>
      <c r="AU111" s="1829">
        <f t="shared" si="31"/>
        <v>0</v>
      </c>
      <c r="AV111" s="1829">
        <f t="shared" si="31"/>
        <v>0</v>
      </c>
      <c r="AW111" s="1829">
        <f t="shared" si="31"/>
        <v>0</v>
      </c>
      <c r="AX111" s="1829">
        <f t="shared" si="31"/>
        <v>0</v>
      </c>
      <c r="AY111" s="1829">
        <f t="shared" si="31"/>
        <v>0</v>
      </c>
      <c r="AZ111" s="1829">
        <f t="shared" si="31"/>
        <v>0</v>
      </c>
      <c r="BA111" s="1829">
        <f t="shared" si="31"/>
        <v>0</v>
      </c>
      <c r="BB111" s="1829">
        <f t="shared" si="31"/>
        <v>0</v>
      </c>
      <c r="BC111" s="1829">
        <f t="shared" si="31"/>
        <v>0</v>
      </c>
      <c r="BD111" s="1829">
        <f t="shared" si="31"/>
        <v>0</v>
      </c>
      <c r="BE111" s="1959">
        <f t="shared" si="31"/>
        <v>1</v>
      </c>
      <c r="BF111" s="1959">
        <f t="shared" si="31"/>
        <v>1</v>
      </c>
      <c r="BG111" s="1959">
        <f t="shared" si="31"/>
        <v>1</v>
      </c>
      <c r="BH111" s="1959">
        <f t="shared" si="29"/>
        <v>1</v>
      </c>
      <c r="BI111" s="1952">
        <f t="shared" si="29"/>
        <v>1</v>
      </c>
    </row>
    <row r="112" spans="2:61" ht="12.95" customHeight="1" outlineLevel="1" thickBot="1">
      <c r="B112" s="1806" t="s">
        <v>3473</v>
      </c>
      <c r="C112" s="1817">
        <v>800</v>
      </c>
      <c r="D112" s="1831">
        <f t="shared" si="21"/>
        <v>0</v>
      </c>
      <c r="E112" s="1832">
        <f t="shared" si="27"/>
        <v>0</v>
      </c>
      <c r="F112" s="1832">
        <f t="shared" si="27"/>
        <v>0</v>
      </c>
      <c r="G112" s="1832">
        <f t="shared" si="27"/>
        <v>0</v>
      </c>
      <c r="H112" s="1832">
        <f t="shared" si="27"/>
        <v>0</v>
      </c>
      <c r="I112" s="1832">
        <f t="shared" si="27"/>
        <v>0</v>
      </c>
      <c r="J112" s="1832">
        <f t="shared" si="27"/>
        <v>0</v>
      </c>
      <c r="K112" s="1832">
        <f t="shared" si="27"/>
        <v>0</v>
      </c>
      <c r="L112" s="1832">
        <f t="shared" si="27"/>
        <v>0</v>
      </c>
      <c r="M112" s="1832">
        <f t="shared" si="27"/>
        <v>0</v>
      </c>
      <c r="N112" s="1832">
        <f t="shared" si="27"/>
        <v>0</v>
      </c>
      <c r="O112" s="1832">
        <f t="shared" si="27"/>
        <v>0</v>
      </c>
      <c r="P112" s="1832">
        <f t="shared" si="27"/>
        <v>0</v>
      </c>
      <c r="Q112" s="1832">
        <f t="shared" si="27"/>
        <v>0</v>
      </c>
      <c r="R112" s="1961">
        <f t="shared" si="27"/>
        <v>1</v>
      </c>
      <c r="S112" s="1961">
        <f t="shared" si="27"/>
        <v>1</v>
      </c>
      <c r="T112" s="1961">
        <f t="shared" si="27"/>
        <v>1</v>
      </c>
      <c r="U112" s="1962">
        <f>FLOOR((U$7*25+10)/$C112,1)</f>
        <v>1</v>
      </c>
      <c r="V112" s="1806" t="s">
        <v>3473</v>
      </c>
      <c r="W112" s="1817">
        <v>800</v>
      </c>
      <c r="X112" s="1831">
        <f t="shared" si="30"/>
        <v>0</v>
      </c>
      <c r="Y112" s="1832">
        <f t="shared" si="30"/>
        <v>0</v>
      </c>
      <c r="Z112" s="1832">
        <f t="shared" si="30"/>
        <v>0</v>
      </c>
      <c r="AA112" s="1832">
        <f t="shared" si="30"/>
        <v>0</v>
      </c>
      <c r="AB112" s="1832">
        <f t="shared" si="30"/>
        <v>0</v>
      </c>
      <c r="AC112" s="1832">
        <f t="shared" si="30"/>
        <v>0</v>
      </c>
      <c r="AD112" s="1832">
        <f t="shared" si="30"/>
        <v>0</v>
      </c>
      <c r="AE112" s="1832">
        <f t="shared" si="30"/>
        <v>0</v>
      </c>
      <c r="AF112" s="1832">
        <f t="shared" si="30"/>
        <v>0</v>
      </c>
      <c r="AG112" s="1832">
        <f t="shared" si="30"/>
        <v>0</v>
      </c>
      <c r="AH112" s="2140">
        <f t="shared" si="30"/>
        <v>0</v>
      </c>
      <c r="AI112" s="1832">
        <f t="shared" si="30"/>
        <v>0</v>
      </c>
      <c r="AJ112" s="1832">
        <f t="shared" si="30"/>
        <v>0</v>
      </c>
      <c r="AK112" s="1832">
        <f t="shared" si="30"/>
        <v>0</v>
      </c>
      <c r="AL112" s="2140">
        <f t="shared" si="30"/>
        <v>1</v>
      </c>
      <c r="AM112" s="2140">
        <f t="shared" si="30"/>
        <v>1</v>
      </c>
      <c r="AN112" s="2140">
        <f t="shared" si="28"/>
        <v>1</v>
      </c>
      <c r="AO112" s="2141">
        <f t="shared" si="28"/>
        <v>1</v>
      </c>
      <c r="AP112" s="1806" t="s">
        <v>3473</v>
      </c>
      <c r="AQ112" s="1817">
        <v>800</v>
      </c>
      <c r="AR112" s="1831">
        <f t="shared" si="31"/>
        <v>0</v>
      </c>
      <c r="AS112" s="1832">
        <f t="shared" si="31"/>
        <v>0</v>
      </c>
      <c r="AT112" s="1832">
        <f t="shared" si="31"/>
        <v>0</v>
      </c>
      <c r="AU112" s="1832">
        <f t="shared" si="31"/>
        <v>0</v>
      </c>
      <c r="AV112" s="1832">
        <f t="shared" si="31"/>
        <v>0</v>
      </c>
      <c r="AW112" s="1832">
        <f t="shared" si="31"/>
        <v>0</v>
      </c>
      <c r="AX112" s="1832">
        <f t="shared" si="31"/>
        <v>0</v>
      </c>
      <c r="AY112" s="1832">
        <f t="shared" si="31"/>
        <v>0</v>
      </c>
      <c r="AZ112" s="1832">
        <f t="shared" si="31"/>
        <v>0</v>
      </c>
      <c r="BA112" s="1832">
        <f t="shared" si="31"/>
        <v>0</v>
      </c>
      <c r="BB112" s="1832">
        <f t="shared" si="31"/>
        <v>0</v>
      </c>
      <c r="BC112" s="1832">
        <f t="shared" si="31"/>
        <v>0</v>
      </c>
      <c r="BD112" s="1832">
        <f t="shared" si="31"/>
        <v>0</v>
      </c>
      <c r="BE112" s="1961">
        <f t="shared" si="31"/>
        <v>1</v>
      </c>
      <c r="BF112" s="1961">
        <f t="shared" si="31"/>
        <v>1</v>
      </c>
      <c r="BG112" s="1961">
        <f t="shared" si="31"/>
        <v>1</v>
      </c>
      <c r="BH112" s="1961">
        <f t="shared" si="29"/>
        <v>1</v>
      </c>
      <c r="BI112" s="1962">
        <f t="shared" si="29"/>
        <v>1</v>
      </c>
    </row>
  </sheetData>
  <sheetProtection autoFilter="0"/>
  <mergeCells count="16">
    <mergeCell ref="C1:BI1"/>
    <mergeCell ref="D6:U6"/>
    <mergeCell ref="X6:AO6"/>
    <mergeCell ref="AR6:BI6"/>
    <mergeCell ref="B5:B7"/>
    <mergeCell ref="C5:C7"/>
    <mergeCell ref="B3:U3"/>
    <mergeCell ref="X3:AO3"/>
    <mergeCell ref="AR3:BI3"/>
    <mergeCell ref="D5:U5"/>
    <mergeCell ref="X5:AO5"/>
    <mergeCell ref="AR5:BI5"/>
    <mergeCell ref="V5:V7"/>
    <mergeCell ref="W5:W7"/>
    <mergeCell ref="AP5:AP7"/>
    <mergeCell ref="AQ5:AQ7"/>
  </mergeCells>
  <hyperlinks>
    <hyperlink ref="B1" location="Index!A1" display="Назад"/>
    <hyperlink ref="V1" location="Index!A1" display="Назад"/>
    <hyperlink ref="AP1" location="Index!A1" display="Назад"/>
  </hyperlinks>
  <printOptions horizontalCentered="1"/>
  <pageMargins left="0.23622047244094491" right="0.23622047244094491" top="0.74803149606299213" bottom="0.74803149606299213" header="0.31496062992125984" footer="0.31496062992125984"/>
  <pageSetup paperSize="9" orientation="landscape" r:id="rId1"/>
  <headerFooter alignWithMargins="0"/>
  <rowBreaks count="3" manualBreakCount="3">
    <brk id="33" max="56" man="1"/>
    <brk id="69" max="56" man="1"/>
    <brk id="97" max="56" man="1"/>
  </rowBreaks>
  <colBreaks count="2" manualBreakCount="2">
    <brk id="21" max="111" man="1"/>
    <brk id="41" max="111" man="1"/>
  </colBreaks>
  <legacyDrawing r:id="rId2"/>
</worksheet>
</file>

<file path=xl/worksheets/sheet26.xml><?xml version="1.0" encoding="utf-8"?>
<worksheet xmlns="http://schemas.openxmlformats.org/spreadsheetml/2006/main" xmlns:r="http://schemas.openxmlformats.org/officeDocument/2006/relationships">
  <dimension ref="B1:M156"/>
  <sheetViews>
    <sheetView zoomScaleNormal="100" workbookViewId="0">
      <pane ySplit="4" topLeftCell="A5" activePane="bottomLeft" state="frozen"/>
      <selection pane="bottomLeft" activeCell="B1" sqref="B1"/>
    </sheetView>
  </sheetViews>
  <sheetFormatPr defaultRowHeight="12.95" customHeight="1"/>
  <cols>
    <col min="1" max="1" width="3.7109375" style="292" customWidth="1"/>
    <col min="2" max="2" width="20.28515625" style="292" bestFit="1" customWidth="1"/>
    <col min="3" max="3" width="25.7109375" style="292" bestFit="1" customWidth="1"/>
    <col min="4" max="4" width="20.5703125" style="292" customWidth="1"/>
    <col min="5" max="5" width="8.140625" style="292" bestFit="1" customWidth="1"/>
    <col min="6" max="6" width="13.42578125" style="292" bestFit="1" customWidth="1"/>
    <col min="7" max="7" width="15.42578125" style="292" bestFit="1" customWidth="1"/>
    <col min="8" max="16384" width="9.140625" style="292"/>
  </cols>
  <sheetData>
    <row r="1" spans="2:9" ht="12.95" customHeight="1">
      <c r="B1" s="2415" t="s">
        <v>2706</v>
      </c>
      <c r="C1" s="2973" t="s">
        <v>8269</v>
      </c>
      <c r="D1" s="2973"/>
      <c r="E1" s="2973"/>
      <c r="F1" s="2973"/>
      <c r="G1" s="2973"/>
      <c r="H1" s="2973"/>
    </row>
    <row r="2" spans="2:9" ht="5.0999999999999996" customHeight="1"/>
    <row r="3" spans="2:9" ht="12.95" customHeight="1">
      <c r="B3" s="2978" t="s">
        <v>7841</v>
      </c>
      <c r="C3" s="2978"/>
      <c r="D3" s="2978"/>
      <c r="E3" s="2978"/>
      <c r="F3" s="2978"/>
      <c r="G3" s="2978"/>
      <c r="H3" s="2978"/>
    </row>
    <row r="4" spans="2:9" ht="5.0999999999999996" customHeight="1"/>
    <row r="5" spans="2:9" ht="39" customHeight="1">
      <c r="B5" s="2960" t="s">
        <v>9764</v>
      </c>
      <c r="C5" s="2960"/>
      <c r="D5" s="2960"/>
      <c r="E5" s="2960"/>
      <c r="F5" s="2960"/>
      <c r="G5" s="2960"/>
      <c r="H5" s="2960"/>
    </row>
    <row r="6" spans="2:9" ht="5.0999999999999996" customHeight="1" thickBot="1"/>
    <row r="7" spans="2:9" ht="26.1" customHeight="1" thickBot="1">
      <c r="B7" s="2457" t="s">
        <v>7842</v>
      </c>
      <c r="C7" s="2458" t="s">
        <v>2232</v>
      </c>
      <c r="D7" s="3324" t="s">
        <v>7843</v>
      </c>
      <c r="E7" s="3325"/>
      <c r="F7" s="2458" t="s">
        <v>1463</v>
      </c>
      <c r="G7" s="2457" t="s">
        <v>7844</v>
      </c>
      <c r="H7" s="2459">
        <v>1</v>
      </c>
    </row>
    <row r="8" spans="2:9" ht="5.0999999999999996" customHeight="1" thickBot="1"/>
    <row r="9" spans="2:9" ht="51.95" customHeight="1">
      <c r="B9" s="3322" t="s">
        <v>9765</v>
      </c>
      <c r="C9" s="3323"/>
      <c r="D9" s="3323"/>
      <c r="E9" s="2456">
        <f>IF(F7="Экспертная",ROUNDDOWN((H7*25+50)/B16,0),IF(F7="Продвинутая",ROUNDDOWN((H7*25+20)/B16,0),ROUNDDOWN((H7*25+10)/B16,0)))</f>
        <v>3</v>
      </c>
      <c r="F9" s="3317" t="s">
        <v>7845</v>
      </c>
      <c r="G9" s="3317"/>
      <c r="H9" s="3318"/>
    </row>
    <row r="10" spans="2:9" ht="26.1" customHeight="1" thickBot="1">
      <c r="B10" s="3319" t="str">
        <f>VLOOKUP(C7,C16:I156,7,FALSE)</f>
        <v xml:space="preserve"> </v>
      </c>
      <c r="C10" s="3320"/>
      <c r="D10" s="3320"/>
      <c r="E10" s="3320"/>
      <c r="F10" s="3320"/>
      <c r="G10" s="3320"/>
      <c r="H10" s="3321"/>
    </row>
    <row r="16" spans="2:9" ht="12.95" hidden="1" customHeight="1" thickBot="1">
      <c r="B16" s="2435">
        <f>VLOOKUP(C7,C16:D156,2,FALSE)</f>
        <v>10</v>
      </c>
      <c r="C16" s="2453" t="s">
        <v>2232</v>
      </c>
      <c r="D16" s="2454">
        <v>10</v>
      </c>
      <c r="E16" s="2355"/>
      <c r="F16" s="292" t="s">
        <v>1463</v>
      </c>
      <c r="H16" s="2420">
        <v>1</v>
      </c>
      <c r="I16" s="292" t="s">
        <v>7666</v>
      </c>
    </row>
    <row r="17" spans="2:13" ht="12.95" hidden="1" customHeight="1" thickTop="1" thickBot="1">
      <c r="B17" s="2455"/>
      <c r="C17" s="2451" t="s">
        <v>2233</v>
      </c>
      <c r="D17" s="2452">
        <v>10</v>
      </c>
      <c r="E17" s="2356"/>
      <c r="F17" s="292" t="s">
        <v>3715</v>
      </c>
      <c r="H17" s="2420">
        <v>2</v>
      </c>
      <c r="I17" s="292" t="s">
        <v>7666</v>
      </c>
    </row>
    <row r="18" spans="2:13" ht="12.95" hidden="1" customHeight="1" thickTop="1">
      <c r="C18" s="1242" t="s">
        <v>373</v>
      </c>
      <c r="D18" s="1270">
        <v>10</v>
      </c>
      <c r="E18" s="2355"/>
      <c r="F18" s="292" t="s">
        <v>3716</v>
      </c>
      <c r="H18" s="2420">
        <v>3</v>
      </c>
      <c r="I18" s="292" t="s">
        <v>7666</v>
      </c>
    </row>
    <row r="19" spans="2:13" ht="12.75" hidden="1">
      <c r="C19" s="1324" t="s">
        <v>343</v>
      </c>
      <c r="D19" s="130">
        <v>10</v>
      </c>
      <c r="E19" s="2356"/>
      <c r="F19" s="292" t="s">
        <v>3717</v>
      </c>
      <c r="H19" s="2420">
        <v>4</v>
      </c>
      <c r="I19" s="292" t="s">
        <v>7666</v>
      </c>
      <c r="K19" s="2416"/>
      <c r="L19" s="2416"/>
      <c r="M19" s="2416"/>
    </row>
    <row r="20" spans="2:13" ht="12.95" hidden="1" customHeight="1">
      <c r="C20" s="1242" t="s">
        <v>2324</v>
      </c>
      <c r="D20" s="1270">
        <v>25</v>
      </c>
      <c r="E20" s="2355"/>
      <c r="H20" s="2420">
        <v>5</v>
      </c>
      <c r="I20" s="292" t="s">
        <v>7666</v>
      </c>
    </row>
    <row r="21" spans="2:13" ht="12.95" hidden="1" customHeight="1">
      <c r="C21" s="1322" t="s">
        <v>344</v>
      </c>
      <c r="D21" s="130">
        <v>25</v>
      </c>
      <c r="E21" s="2356"/>
      <c r="H21" s="2420">
        <v>6</v>
      </c>
      <c r="I21" s="292" t="s">
        <v>7666</v>
      </c>
    </row>
    <row r="22" spans="2:13" ht="12.95" hidden="1" customHeight="1">
      <c r="C22" s="1242" t="s">
        <v>2152</v>
      </c>
      <c r="D22" s="1270">
        <v>35</v>
      </c>
      <c r="E22" s="2355"/>
      <c r="H22" s="2420">
        <v>7</v>
      </c>
      <c r="I22" s="292" t="s">
        <v>7666</v>
      </c>
    </row>
    <row r="23" spans="2:13" ht="12.95" hidden="1" customHeight="1">
      <c r="C23" s="1322" t="s">
        <v>1645</v>
      </c>
      <c r="D23" s="130">
        <v>35</v>
      </c>
      <c r="E23" s="2356"/>
      <c r="H23" s="2420">
        <v>8</v>
      </c>
      <c r="I23" s="292" t="s">
        <v>7666</v>
      </c>
    </row>
    <row r="24" spans="2:13" ht="12.95" hidden="1" customHeight="1">
      <c r="C24" s="1242" t="s">
        <v>1948</v>
      </c>
      <c r="D24" s="1270">
        <v>30</v>
      </c>
      <c r="E24" s="2355"/>
      <c r="H24" s="2420">
        <v>9</v>
      </c>
      <c r="I24" s="292" t="s">
        <v>7666</v>
      </c>
    </row>
    <row r="25" spans="2:13" ht="12.95" hidden="1" customHeight="1">
      <c r="C25" s="1322" t="s">
        <v>1644</v>
      </c>
      <c r="D25" s="130">
        <v>30</v>
      </c>
      <c r="E25" s="2356"/>
      <c r="H25" s="2420">
        <v>10</v>
      </c>
      <c r="I25" s="292" t="s">
        <v>7666</v>
      </c>
    </row>
    <row r="26" spans="2:13" ht="12.95" hidden="1" customHeight="1">
      <c r="C26" s="1242" t="s">
        <v>567</v>
      </c>
      <c r="D26" s="1270">
        <v>100</v>
      </c>
      <c r="E26" s="2355"/>
      <c r="H26" s="2420">
        <v>11</v>
      </c>
      <c r="I26" s="292" t="s">
        <v>7666</v>
      </c>
    </row>
    <row r="27" spans="2:13" ht="12.95" hidden="1" customHeight="1">
      <c r="C27" s="1322" t="s">
        <v>654</v>
      </c>
      <c r="D27" s="130">
        <v>100</v>
      </c>
      <c r="E27" s="2356"/>
      <c r="H27" s="2420">
        <v>12</v>
      </c>
      <c r="I27" s="292" t="s">
        <v>7666</v>
      </c>
    </row>
    <row r="28" spans="2:13" ht="12.95" hidden="1" customHeight="1">
      <c r="C28" s="1242" t="s">
        <v>650</v>
      </c>
      <c r="D28" s="1270">
        <v>200</v>
      </c>
      <c r="E28" s="2355"/>
      <c r="H28" s="2420">
        <v>13</v>
      </c>
      <c r="I28" s="292" t="s">
        <v>7666</v>
      </c>
    </row>
    <row r="29" spans="2:13" ht="12.95" hidden="1" customHeight="1" thickBot="1">
      <c r="C29" s="1327" t="s">
        <v>1220</v>
      </c>
      <c r="D29" s="1337">
        <v>250</v>
      </c>
      <c r="E29" s="2357"/>
      <c r="H29" s="2420">
        <v>14</v>
      </c>
      <c r="I29" s="292" t="s">
        <v>7666</v>
      </c>
    </row>
    <row r="30" spans="2:13" ht="12.95" hidden="1" customHeight="1">
      <c r="C30" s="1244" t="s">
        <v>2234</v>
      </c>
      <c r="D30" s="1282">
        <v>8</v>
      </c>
      <c r="E30" s="2355"/>
      <c r="H30" s="2420">
        <v>15</v>
      </c>
      <c r="I30" s="292" t="s">
        <v>7666</v>
      </c>
    </row>
    <row r="31" spans="2:13" ht="12.95" hidden="1" customHeight="1">
      <c r="C31" s="1322" t="s">
        <v>3444</v>
      </c>
      <c r="D31" s="1333">
        <v>10</v>
      </c>
      <c r="E31" s="2357"/>
      <c r="H31" s="2420">
        <v>16</v>
      </c>
      <c r="I31" s="292" t="s">
        <v>7666</v>
      </c>
    </row>
    <row r="32" spans="2:13" ht="12.95" hidden="1" customHeight="1">
      <c r="C32" s="1242" t="s">
        <v>374</v>
      </c>
      <c r="D32" s="1270">
        <v>20</v>
      </c>
      <c r="E32" s="2355"/>
      <c r="H32" s="2420">
        <v>17</v>
      </c>
      <c r="I32" s="292" t="s">
        <v>7666</v>
      </c>
    </row>
    <row r="33" spans="3:9" ht="12.95" hidden="1" customHeight="1">
      <c r="C33" s="1322" t="s">
        <v>1597</v>
      </c>
      <c r="D33" s="130">
        <v>20</v>
      </c>
      <c r="E33" s="2356"/>
      <c r="H33" s="2420">
        <v>18</v>
      </c>
      <c r="I33" s="292" t="s">
        <v>7666</v>
      </c>
    </row>
    <row r="34" spans="3:9" ht="12.95" hidden="1" customHeight="1">
      <c r="C34" s="1242" t="s">
        <v>2844</v>
      </c>
      <c r="D34" s="1270">
        <v>15</v>
      </c>
      <c r="E34" s="2355"/>
      <c r="H34" s="2420">
        <v>19</v>
      </c>
      <c r="I34" s="292" t="s">
        <v>7666</v>
      </c>
    </row>
    <row r="35" spans="3:9" ht="12.95" hidden="1" customHeight="1">
      <c r="C35" s="1322" t="s">
        <v>840</v>
      </c>
      <c r="D35" s="130">
        <v>15</v>
      </c>
      <c r="E35" s="2356"/>
      <c r="H35" s="2420">
        <v>20</v>
      </c>
      <c r="I35" s="292" t="s">
        <v>7666</v>
      </c>
    </row>
    <row r="36" spans="3:9" ht="12.95" hidden="1" customHeight="1">
      <c r="C36" s="1242" t="s">
        <v>1949</v>
      </c>
      <c r="D36" s="1270">
        <v>30</v>
      </c>
      <c r="E36" s="2355"/>
      <c r="H36" s="2420">
        <v>21</v>
      </c>
      <c r="I36" s="292" t="s">
        <v>7666</v>
      </c>
    </row>
    <row r="37" spans="3:9" ht="12.95" hidden="1" customHeight="1">
      <c r="C37" s="1322" t="s">
        <v>900</v>
      </c>
      <c r="D37" s="130">
        <v>30</v>
      </c>
      <c r="E37" s="2356"/>
      <c r="H37" s="2420">
        <v>22</v>
      </c>
      <c r="I37" s="292" t="s">
        <v>7666</v>
      </c>
    </row>
    <row r="38" spans="3:9" ht="12.95" hidden="1" customHeight="1">
      <c r="C38" s="1242" t="s">
        <v>3445</v>
      </c>
      <c r="D38" s="1270">
        <v>55</v>
      </c>
      <c r="E38" s="2355"/>
      <c r="H38" s="2420">
        <v>23</v>
      </c>
      <c r="I38" s="292" t="s">
        <v>7666</v>
      </c>
    </row>
    <row r="39" spans="3:9" ht="12.95" hidden="1" customHeight="1">
      <c r="C39" s="1322" t="s">
        <v>3446</v>
      </c>
      <c r="D39" s="129">
        <v>65</v>
      </c>
      <c r="E39" s="2358"/>
      <c r="H39" s="2420">
        <v>24</v>
      </c>
      <c r="I39" s="292" t="s">
        <v>7666</v>
      </c>
    </row>
    <row r="40" spans="3:9" ht="12.95" hidden="1" customHeight="1">
      <c r="C40" s="1242" t="s">
        <v>1052</v>
      </c>
      <c r="D40" s="1270">
        <v>90</v>
      </c>
      <c r="E40" s="2355"/>
      <c r="H40" s="2420">
        <v>25</v>
      </c>
      <c r="I40" s="292" t="s">
        <v>7666</v>
      </c>
    </row>
    <row r="41" spans="3:9" ht="12.95" hidden="1" customHeight="1">
      <c r="C41" s="1322" t="s">
        <v>841</v>
      </c>
      <c r="D41" s="129">
        <v>110</v>
      </c>
      <c r="E41" s="2358"/>
      <c r="H41" s="2420">
        <v>26</v>
      </c>
      <c r="I41" s="292" t="s">
        <v>7666</v>
      </c>
    </row>
    <row r="42" spans="3:9" ht="12.95" hidden="1" customHeight="1">
      <c r="C42" s="1242" t="s">
        <v>3447</v>
      </c>
      <c r="D42" s="1270">
        <v>180</v>
      </c>
      <c r="E42" s="2355"/>
      <c r="H42" s="2420">
        <v>27</v>
      </c>
      <c r="I42" s="292" t="s">
        <v>7666</v>
      </c>
    </row>
    <row r="43" spans="3:9" ht="12.95" hidden="1" customHeight="1" thickBot="1">
      <c r="C43" s="1329" t="s">
        <v>842</v>
      </c>
      <c r="D43" s="145">
        <v>250</v>
      </c>
      <c r="E43" s="2358"/>
      <c r="H43" s="2420">
        <v>28</v>
      </c>
      <c r="I43" s="292" t="s">
        <v>7846</v>
      </c>
    </row>
    <row r="44" spans="3:9" ht="12.95" hidden="1" customHeight="1">
      <c r="C44" s="1241" t="s">
        <v>1532</v>
      </c>
      <c r="D44" s="1264">
        <v>4</v>
      </c>
      <c r="E44" s="2355"/>
      <c r="H44" s="2420">
        <v>29</v>
      </c>
      <c r="I44" s="292" t="s">
        <v>7666</v>
      </c>
    </row>
    <row r="45" spans="3:9" ht="12.95" hidden="1" customHeight="1">
      <c r="C45" s="1322" t="s">
        <v>1533</v>
      </c>
      <c r="D45" s="130">
        <v>4</v>
      </c>
      <c r="E45" s="2356"/>
      <c r="H45" s="2420">
        <v>30</v>
      </c>
      <c r="I45" s="292" t="s">
        <v>7666</v>
      </c>
    </row>
    <row r="46" spans="3:9" ht="12.95" hidden="1" customHeight="1">
      <c r="C46" s="1242" t="s">
        <v>3448</v>
      </c>
      <c r="D46" s="1270">
        <v>16</v>
      </c>
      <c r="E46" s="2355"/>
      <c r="H46" s="2420">
        <v>31</v>
      </c>
      <c r="I46" s="292" t="s">
        <v>7666</v>
      </c>
    </row>
    <row r="47" spans="3:9" ht="12.95" hidden="1" customHeight="1">
      <c r="C47" s="1322" t="s">
        <v>3449</v>
      </c>
      <c r="D47" s="130">
        <v>16</v>
      </c>
      <c r="E47" s="2356"/>
      <c r="H47" s="2420">
        <v>32</v>
      </c>
      <c r="I47" s="292" t="s">
        <v>7666</v>
      </c>
    </row>
    <row r="48" spans="3:9" ht="12.95" hidden="1" customHeight="1">
      <c r="C48" s="1242" t="s">
        <v>2260</v>
      </c>
      <c r="D48" s="1270">
        <v>30</v>
      </c>
      <c r="E48" s="2355"/>
      <c r="H48" s="2420">
        <v>33</v>
      </c>
      <c r="I48" s="292" t="s">
        <v>7846</v>
      </c>
    </row>
    <row r="49" spans="3:9" ht="12.95" hidden="1" customHeight="1">
      <c r="C49" s="1322" t="s">
        <v>3450</v>
      </c>
      <c r="D49" s="129">
        <v>35</v>
      </c>
      <c r="E49" s="2358"/>
      <c r="H49" s="2420">
        <v>34</v>
      </c>
      <c r="I49" s="292" t="s">
        <v>7846</v>
      </c>
    </row>
    <row r="50" spans="3:9" ht="12.95" hidden="1" customHeight="1">
      <c r="C50" s="1242" t="s">
        <v>1817</v>
      </c>
      <c r="D50" s="1270">
        <v>25</v>
      </c>
      <c r="E50" s="2355"/>
      <c r="H50" s="2420">
        <v>35</v>
      </c>
      <c r="I50" s="292" t="s">
        <v>7666</v>
      </c>
    </row>
    <row r="51" spans="3:9" ht="12.95" hidden="1" customHeight="1">
      <c r="C51" s="1322" t="s">
        <v>3451</v>
      </c>
      <c r="D51" s="129">
        <v>30</v>
      </c>
      <c r="E51" s="2358"/>
      <c r="H51" s="2420">
        <v>36</v>
      </c>
      <c r="I51" s="292" t="s">
        <v>7666</v>
      </c>
    </row>
    <row r="52" spans="3:9" ht="12.95" hidden="1" customHeight="1">
      <c r="C52" s="1242" t="s">
        <v>3062</v>
      </c>
      <c r="D52" s="1270">
        <v>40</v>
      </c>
      <c r="E52" s="2355"/>
      <c r="H52" s="2420">
        <v>37</v>
      </c>
      <c r="I52" s="292" t="s">
        <v>7666</v>
      </c>
    </row>
    <row r="53" spans="3:9" ht="12.95" hidden="1" customHeight="1">
      <c r="C53" s="1322" t="s">
        <v>3452</v>
      </c>
      <c r="D53" s="130">
        <v>40</v>
      </c>
      <c r="E53" s="2356"/>
      <c r="H53" s="2420">
        <v>38</v>
      </c>
      <c r="I53" s="292" t="s">
        <v>7666</v>
      </c>
    </row>
    <row r="54" spans="3:9" ht="12.95" hidden="1" customHeight="1">
      <c r="C54" s="1242" t="s">
        <v>566</v>
      </c>
      <c r="D54" s="1270">
        <v>110</v>
      </c>
      <c r="E54" s="2355"/>
      <c r="H54" s="2420">
        <v>39</v>
      </c>
      <c r="I54" s="292" t="s">
        <v>7666</v>
      </c>
    </row>
    <row r="55" spans="3:9" ht="12.95" hidden="1" customHeight="1">
      <c r="C55" s="1322" t="s">
        <v>3453</v>
      </c>
      <c r="D55" s="130">
        <v>110</v>
      </c>
      <c r="E55" s="2356"/>
      <c r="H55" s="2420">
        <v>40</v>
      </c>
      <c r="I55" s="292" t="s">
        <v>7666</v>
      </c>
    </row>
    <row r="56" spans="3:9" ht="12.95" hidden="1" customHeight="1">
      <c r="C56" s="1242" t="s">
        <v>652</v>
      </c>
      <c r="D56" s="1270">
        <v>150</v>
      </c>
      <c r="E56" s="2355"/>
      <c r="H56" s="2420">
        <v>41</v>
      </c>
      <c r="I56" s="292" t="s">
        <v>7846</v>
      </c>
    </row>
    <row r="57" spans="3:9" ht="12.95" hidden="1" customHeight="1" thickBot="1">
      <c r="C57" s="1327" t="s">
        <v>1221</v>
      </c>
      <c r="D57" s="140">
        <v>300</v>
      </c>
      <c r="E57" s="2358"/>
      <c r="H57" s="2420">
        <v>42</v>
      </c>
      <c r="I57" s="292" t="s">
        <v>7846</v>
      </c>
    </row>
    <row r="58" spans="3:9" ht="12.95" hidden="1" customHeight="1">
      <c r="C58" s="1244" t="s">
        <v>1536</v>
      </c>
      <c r="D58" s="1282">
        <v>6</v>
      </c>
      <c r="E58" s="2355"/>
      <c r="H58" s="2420">
        <v>43</v>
      </c>
      <c r="I58" s="292" t="s">
        <v>7846</v>
      </c>
    </row>
    <row r="59" spans="3:9" ht="12.95" hidden="1" customHeight="1">
      <c r="C59" s="1322" t="s">
        <v>3454</v>
      </c>
      <c r="D59" s="130">
        <v>6</v>
      </c>
      <c r="E59" s="2356"/>
      <c r="H59" s="2420">
        <v>44</v>
      </c>
      <c r="I59" s="292" t="s">
        <v>7846</v>
      </c>
    </row>
    <row r="60" spans="3:9" ht="12.95" hidden="1" customHeight="1">
      <c r="C60" s="1242" t="s">
        <v>2528</v>
      </c>
      <c r="D60" s="1270">
        <v>15</v>
      </c>
      <c r="E60" s="2355"/>
      <c r="H60" s="2420">
        <v>45</v>
      </c>
      <c r="I60" s="292" t="s">
        <v>7846</v>
      </c>
    </row>
    <row r="61" spans="3:9" ht="12.95" hidden="1" customHeight="1">
      <c r="C61" s="1322" t="s">
        <v>376</v>
      </c>
      <c r="D61" s="129">
        <v>20</v>
      </c>
      <c r="E61" s="2358"/>
      <c r="H61" s="2420">
        <v>46</v>
      </c>
      <c r="I61" s="292" t="s">
        <v>7846</v>
      </c>
    </row>
    <row r="62" spans="3:9" ht="12.95" hidden="1" customHeight="1">
      <c r="C62" s="1242" t="s">
        <v>1594</v>
      </c>
      <c r="D62" s="1270">
        <v>18</v>
      </c>
      <c r="E62" s="2355"/>
      <c r="H62" s="2420">
        <v>47</v>
      </c>
      <c r="I62" s="292" t="s">
        <v>7846</v>
      </c>
    </row>
    <row r="63" spans="3:9" ht="12.95" hidden="1" customHeight="1">
      <c r="C63" s="1322" t="s">
        <v>1619</v>
      </c>
      <c r="D63" s="130">
        <v>18</v>
      </c>
      <c r="E63" s="2356"/>
      <c r="H63" s="2420">
        <v>48</v>
      </c>
      <c r="I63" s="292" t="s">
        <v>7846</v>
      </c>
    </row>
    <row r="64" spans="3:9" ht="12.95" hidden="1" customHeight="1">
      <c r="C64" s="1242" t="s">
        <v>895</v>
      </c>
      <c r="D64" s="1270">
        <v>30</v>
      </c>
      <c r="E64" s="2355"/>
      <c r="H64" s="2420">
        <v>49</v>
      </c>
      <c r="I64" s="292" t="s">
        <v>7846</v>
      </c>
    </row>
    <row r="65" spans="3:9" ht="12.95" hidden="1" customHeight="1">
      <c r="C65" s="1322" t="s">
        <v>3455</v>
      </c>
      <c r="D65" s="129">
        <v>40</v>
      </c>
      <c r="E65" s="2358"/>
      <c r="H65" s="2420">
        <v>50</v>
      </c>
      <c r="I65" s="292" t="s">
        <v>7846</v>
      </c>
    </row>
    <row r="66" spans="3:9" ht="12.95" hidden="1" customHeight="1">
      <c r="C66" s="1242" t="s">
        <v>642</v>
      </c>
      <c r="D66" s="1270">
        <v>30</v>
      </c>
      <c r="E66" s="2355"/>
      <c r="H66" s="2420">
        <v>51</v>
      </c>
      <c r="I66" s="292" t="s">
        <v>7846</v>
      </c>
    </row>
    <row r="67" spans="3:9" ht="12.95" hidden="1" customHeight="1">
      <c r="C67" s="1322" t="s">
        <v>898</v>
      </c>
      <c r="D67" s="129">
        <v>40</v>
      </c>
      <c r="E67" s="2358"/>
      <c r="H67" s="2420">
        <v>52</v>
      </c>
      <c r="I67" s="292" t="s">
        <v>7846</v>
      </c>
    </row>
    <row r="68" spans="3:9" ht="12.95" hidden="1" customHeight="1">
      <c r="C68" s="1242" t="s">
        <v>3456</v>
      </c>
      <c r="D68" s="1270">
        <v>120</v>
      </c>
      <c r="E68" s="2355"/>
      <c r="H68" s="2420">
        <v>53</v>
      </c>
      <c r="I68" s="292" t="s">
        <v>7846</v>
      </c>
    </row>
    <row r="69" spans="3:9" ht="12.95" hidden="1" customHeight="1">
      <c r="C69" s="1322" t="s">
        <v>2607</v>
      </c>
      <c r="D69" s="130">
        <v>120</v>
      </c>
      <c r="E69" s="2356"/>
      <c r="H69" s="2420">
        <v>54</v>
      </c>
      <c r="I69" s="292" t="s">
        <v>7846</v>
      </c>
    </row>
    <row r="70" spans="3:9" ht="12.95" hidden="1" customHeight="1">
      <c r="C70" s="1242" t="s">
        <v>899</v>
      </c>
      <c r="D70" s="1270">
        <v>150</v>
      </c>
      <c r="E70" s="2355"/>
      <c r="H70" s="2420">
        <v>55</v>
      </c>
      <c r="I70" s="292" t="s">
        <v>7846</v>
      </c>
    </row>
    <row r="71" spans="3:9" ht="12.95" hidden="1" customHeight="1" thickBot="1">
      <c r="C71" s="1329" t="s">
        <v>3457</v>
      </c>
      <c r="D71" s="145">
        <v>200</v>
      </c>
      <c r="E71" s="2358"/>
      <c r="H71" s="2420">
        <v>56</v>
      </c>
      <c r="I71" s="292" t="s">
        <v>7846</v>
      </c>
    </row>
    <row r="72" spans="3:9" ht="12.95" hidden="1" customHeight="1">
      <c r="C72" s="1244" t="s">
        <v>1537</v>
      </c>
      <c r="D72" s="1282">
        <v>5</v>
      </c>
      <c r="E72" s="2355"/>
      <c r="H72" s="2420">
        <v>57</v>
      </c>
      <c r="I72" s="292" t="s">
        <v>7666</v>
      </c>
    </row>
    <row r="73" spans="3:9" ht="12.95" hidden="1" customHeight="1">
      <c r="C73" s="1322" t="s">
        <v>1721</v>
      </c>
      <c r="D73" s="129">
        <v>6</v>
      </c>
      <c r="E73" s="2358"/>
      <c r="H73" s="2420">
        <v>58</v>
      </c>
      <c r="I73" s="292" t="s">
        <v>7666</v>
      </c>
    </row>
    <row r="74" spans="3:9" ht="12.95" hidden="1" customHeight="1">
      <c r="C74" s="1242" t="s">
        <v>377</v>
      </c>
      <c r="D74" s="1270">
        <v>14</v>
      </c>
      <c r="E74" s="2355"/>
      <c r="H74" s="2420">
        <v>59</v>
      </c>
      <c r="I74" s="292" t="s">
        <v>7666</v>
      </c>
    </row>
    <row r="75" spans="3:9" ht="12.95" hidden="1" customHeight="1">
      <c r="C75" s="1322" t="s">
        <v>3458</v>
      </c>
      <c r="D75" s="130">
        <v>14</v>
      </c>
      <c r="E75" s="2356"/>
      <c r="H75" s="2420">
        <v>60</v>
      </c>
      <c r="I75" s="292" t="s">
        <v>7666</v>
      </c>
    </row>
    <row r="76" spans="3:9" ht="12.95" hidden="1" customHeight="1">
      <c r="C76" s="1242" t="s">
        <v>2325</v>
      </c>
      <c r="D76" s="1270">
        <v>22</v>
      </c>
      <c r="E76" s="2355"/>
      <c r="H76" s="2420">
        <v>61</v>
      </c>
      <c r="I76" s="292" t="s">
        <v>7666</v>
      </c>
    </row>
    <row r="77" spans="3:9" ht="12.95" hidden="1" customHeight="1">
      <c r="C77" s="1322" t="s">
        <v>3459</v>
      </c>
      <c r="D77" s="130">
        <v>22</v>
      </c>
      <c r="E77" s="2356"/>
      <c r="H77" s="2420">
        <v>62</v>
      </c>
      <c r="I77" s="292" t="s">
        <v>7666</v>
      </c>
    </row>
    <row r="78" spans="3:9" ht="12.95" hidden="1" customHeight="1">
      <c r="C78" s="1242" t="s">
        <v>490</v>
      </c>
      <c r="D78" s="1270">
        <v>25</v>
      </c>
      <c r="E78" s="2355"/>
      <c r="H78" s="2420">
        <v>63</v>
      </c>
      <c r="I78" s="292" t="s">
        <v>7666</v>
      </c>
    </row>
    <row r="79" spans="3:9" ht="12.95" hidden="1" customHeight="1">
      <c r="C79" s="1322" t="s">
        <v>3460</v>
      </c>
      <c r="D79" s="129">
        <v>30</v>
      </c>
      <c r="E79" s="2358"/>
      <c r="H79" s="2420">
        <v>64</v>
      </c>
      <c r="I79" s="292" t="s">
        <v>7666</v>
      </c>
    </row>
    <row r="80" spans="3:9" ht="12.95" hidden="1" customHeight="1">
      <c r="C80" s="1242" t="s">
        <v>643</v>
      </c>
      <c r="D80" s="1270">
        <v>50</v>
      </c>
      <c r="E80" s="2355"/>
      <c r="H80" s="2420">
        <v>65</v>
      </c>
      <c r="I80" s="292" t="s">
        <v>7666</v>
      </c>
    </row>
    <row r="81" spans="3:9" ht="12.95" hidden="1" customHeight="1">
      <c r="C81" s="1322" t="s">
        <v>3461</v>
      </c>
      <c r="D81" s="130">
        <v>50</v>
      </c>
      <c r="E81" s="2356"/>
      <c r="H81" s="2420">
        <v>66</v>
      </c>
      <c r="I81" s="292" t="s">
        <v>7666</v>
      </c>
    </row>
    <row r="82" spans="3:9" ht="12.95" hidden="1" customHeight="1">
      <c r="C82" s="1242" t="s">
        <v>1054</v>
      </c>
      <c r="D82" s="1270">
        <v>80</v>
      </c>
      <c r="E82" s="2355"/>
      <c r="H82" s="2420">
        <v>67</v>
      </c>
      <c r="I82" s="292" t="s">
        <v>7666</v>
      </c>
    </row>
    <row r="83" spans="3:9" ht="12.95" hidden="1" customHeight="1">
      <c r="C83" s="1322" t="s">
        <v>1053</v>
      </c>
      <c r="D83" s="130">
        <v>80</v>
      </c>
      <c r="E83" s="2356"/>
      <c r="H83" s="2420">
        <v>68</v>
      </c>
      <c r="I83" s="292" t="s">
        <v>7666</v>
      </c>
    </row>
    <row r="84" spans="3:9" ht="12.95" hidden="1" customHeight="1">
      <c r="C84" s="1242" t="s">
        <v>1100</v>
      </c>
      <c r="D84" s="1270">
        <v>180</v>
      </c>
      <c r="E84" s="2355"/>
      <c r="H84" s="2420">
        <v>69</v>
      </c>
      <c r="I84" s="292" t="s">
        <v>7666</v>
      </c>
    </row>
    <row r="85" spans="3:9" ht="12.95" hidden="1" customHeight="1" thickBot="1">
      <c r="C85" s="1329" t="s">
        <v>3462</v>
      </c>
      <c r="D85" s="145">
        <v>300</v>
      </c>
      <c r="E85" s="2358"/>
      <c r="H85" s="2420">
        <v>70</v>
      </c>
      <c r="I85" s="292" t="s">
        <v>7846</v>
      </c>
    </row>
    <row r="86" spans="3:9" ht="12.95" hidden="1" customHeight="1">
      <c r="C86" s="1244" t="s">
        <v>1534</v>
      </c>
      <c r="D86" s="1282">
        <v>4</v>
      </c>
      <c r="E86" s="2355"/>
      <c r="H86" s="2420">
        <v>71</v>
      </c>
      <c r="I86" s="292" t="s">
        <v>7666</v>
      </c>
    </row>
    <row r="87" spans="3:9" ht="12.95" hidden="1" customHeight="1">
      <c r="C87" s="1322" t="s">
        <v>1535</v>
      </c>
      <c r="D87" s="130">
        <v>4</v>
      </c>
      <c r="E87" s="2356"/>
      <c r="H87" s="2420">
        <v>72</v>
      </c>
      <c r="I87" s="292" t="s">
        <v>7666</v>
      </c>
    </row>
    <row r="88" spans="3:9" ht="12.95" hidden="1" customHeight="1">
      <c r="C88" s="1242" t="s">
        <v>375</v>
      </c>
      <c r="D88" s="1270">
        <v>13</v>
      </c>
      <c r="E88" s="2355"/>
      <c r="H88" s="2420">
        <v>73</v>
      </c>
      <c r="I88" s="292" t="s">
        <v>7666</v>
      </c>
    </row>
    <row r="89" spans="3:9" ht="12.95" hidden="1" customHeight="1">
      <c r="C89" s="1322" t="s">
        <v>1593</v>
      </c>
      <c r="D89" s="130">
        <v>13</v>
      </c>
      <c r="E89" s="2356"/>
      <c r="H89" s="2420">
        <v>74</v>
      </c>
      <c r="I89" s="292" t="s">
        <v>7666</v>
      </c>
    </row>
    <row r="90" spans="3:9" ht="12.95" hidden="1" customHeight="1">
      <c r="C90" s="1242" t="s">
        <v>1518</v>
      </c>
      <c r="D90" s="1270">
        <v>25</v>
      </c>
      <c r="E90" s="2355"/>
      <c r="H90" s="2420">
        <v>75</v>
      </c>
      <c r="I90" s="292" t="s">
        <v>7666</v>
      </c>
    </row>
    <row r="91" spans="3:9" ht="12.95" hidden="1" customHeight="1">
      <c r="C91" s="1322" t="s">
        <v>2323</v>
      </c>
      <c r="D91" s="130">
        <v>25</v>
      </c>
      <c r="E91" s="2356"/>
      <c r="H91" s="2420">
        <v>76</v>
      </c>
      <c r="I91" s="292" t="s">
        <v>7666</v>
      </c>
    </row>
    <row r="92" spans="3:9" ht="12.95" hidden="1" customHeight="1">
      <c r="C92" s="1242" t="s">
        <v>1686</v>
      </c>
      <c r="D92" s="1270">
        <v>35</v>
      </c>
      <c r="E92" s="2355"/>
      <c r="H92" s="2420">
        <v>77</v>
      </c>
      <c r="I92" s="292" t="s">
        <v>7666</v>
      </c>
    </row>
    <row r="93" spans="3:9" ht="12.95" hidden="1" customHeight="1">
      <c r="C93" s="1322" t="s">
        <v>1519</v>
      </c>
      <c r="D93" s="129">
        <v>40</v>
      </c>
      <c r="E93" s="2358"/>
      <c r="H93" s="2420">
        <v>78</v>
      </c>
      <c r="I93" s="292" t="s">
        <v>7666</v>
      </c>
    </row>
    <row r="94" spans="3:9" ht="12.95" hidden="1" customHeight="1">
      <c r="C94" s="1242" t="s">
        <v>1520</v>
      </c>
      <c r="D94" s="1270">
        <v>45</v>
      </c>
      <c r="E94" s="2355"/>
      <c r="H94" s="2420">
        <v>79</v>
      </c>
      <c r="I94" s="292" t="s">
        <v>7666</v>
      </c>
    </row>
    <row r="95" spans="3:9" ht="12.95" hidden="1" customHeight="1">
      <c r="C95" s="1322" t="s">
        <v>1521</v>
      </c>
      <c r="D95" s="130">
        <v>45</v>
      </c>
      <c r="E95" s="2356"/>
      <c r="H95" s="2420">
        <v>80</v>
      </c>
      <c r="I95" s="292" t="s">
        <v>7666</v>
      </c>
    </row>
    <row r="96" spans="3:9" ht="12.95" hidden="1" customHeight="1">
      <c r="C96" s="1242" t="s">
        <v>3063</v>
      </c>
      <c r="D96" s="1270">
        <v>90</v>
      </c>
      <c r="E96" s="2355"/>
      <c r="H96" s="2420">
        <v>81</v>
      </c>
      <c r="I96" s="292" t="s">
        <v>7666</v>
      </c>
    </row>
    <row r="97" spans="3:9" ht="12.95" hidden="1" customHeight="1">
      <c r="C97" s="1322" t="s">
        <v>3463</v>
      </c>
      <c r="D97" s="130">
        <v>90</v>
      </c>
      <c r="E97" s="2356"/>
      <c r="H97" s="2420">
        <v>82</v>
      </c>
      <c r="I97" s="292" t="s">
        <v>7666</v>
      </c>
    </row>
    <row r="98" spans="3:9" ht="12.95" hidden="1" customHeight="1">
      <c r="C98" s="1242" t="s">
        <v>1941</v>
      </c>
      <c r="D98" s="1270">
        <v>160</v>
      </c>
      <c r="E98" s="2355"/>
      <c r="H98" s="2420">
        <v>83</v>
      </c>
      <c r="I98" s="292" t="s">
        <v>7666</v>
      </c>
    </row>
    <row r="99" spans="3:9" ht="12.95" hidden="1" customHeight="1" thickBot="1">
      <c r="C99" s="1329" t="s">
        <v>1222</v>
      </c>
      <c r="D99" s="145">
        <v>200</v>
      </c>
      <c r="E99" s="2358"/>
      <c r="H99" s="2420">
        <v>84</v>
      </c>
      <c r="I99" s="292" t="s">
        <v>7666</v>
      </c>
    </row>
    <row r="100" spans="3:9" ht="12.95" hidden="1" customHeight="1">
      <c r="C100" s="1241" t="s">
        <v>1540</v>
      </c>
      <c r="D100" s="1264">
        <v>6</v>
      </c>
      <c r="E100" s="2355"/>
      <c r="H100" s="2420">
        <v>85</v>
      </c>
      <c r="I100" s="292" t="s">
        <v>7666</v>
      </c>
    </row>
    <row r="101" spans="3:9" ht="12.95" hidden="1" customHeight="1">
      <c r="C101" s="1322" t="s">
        <v>3464</v>
      </c>
      <c r="D101" s="130">
        <v>6</v>
      </c>
      <c r="E101" s="2356"/>
      <c r="H101" s="2420">
        <v>86</v>
      </c>
      <c r="I101" s="292" t="s">
        <v>7666</v>
      </c>
    </row>
    <row r="102" spans="3:9" ht="12.95" hidden="1" customHeight="1">
      <c r="C102" s="1242" t="s">
        <v>378</v>
      </c>
      <c r="D102" s="1270">
        <v>14</v>
      </c>
      <c r="E102" s="2355"/>
      <c r="H102" s="2420">
        <v>87</v>
      </c>
      <c r="I102" s="292" t="s">
        <v>7666</v>
      </c>
    </row>
    <row r="103" spans="3:9" ht="12.95" hidden="1" customHeight="1">
      <c r="C103" s="1322" t="s">
        <v>3465</v>
      </c>
      <c r="D103" s="129">
        <v>15</v>
      </c>
      <c r="E103" s="2358"/>
      <c r="H103" s="2420">
        <v>88</v>
      </c>
      <c r="I103" s="292" t="s">
        <v>7666</v>
      </c>
    </row>
    <row r="104" spans="3:9" ht="12.95" hidden="1" customHeight="1">
      <c r="C104" s="1242" t="s">
        <v>1595</v>
      </c>
      <c r="D104" s="1270">
        <v>20</v>
      </c>
      <c r="E104" s="2355"/>
      <c r="H104" s="2420">
        <v>89</v>
      </c>
      <c r="I104" s="292" t="s">
        <v>7666</v>
      </c>
    </row>
    <row r="105" spans="3:9" ht="12.95" hidden="1" customHeight="1">
      <c r="C105" s="1322" t="s">
        <v>612</v>
      </c>
      <c r="D105" s="130">
        <v>20</v>
      </c>
      <c r="E105" s="2356"/>
      <c r="H105" s="2420">
        <v>90</v>
      </c>
      <c r="I105" s="292" t="s">
        <v>7666</v>
      </c>
    </row>
    <row r="106" spans="3:9" ht="12.95" hidden="1" customHeight="1">
      <c r="C106" s="1242" t="s">
        <v>1947</v>
      </c>
      <c r="D106" s="1270">
        <v>35</v>
      </c>
      <c r="E106" s="2355"/>
      <c r="H106" s="2420">
        <v>91</v>
      </c>
      <c r="I106" s="292" t="s">
        <v>7666</v>
      </c>
    </row>
    <row r="107" spans="3:9" ht="12.95" hidden="1" customHeight="1">
      <c r="C107" s="1322" t="s">
        <v>2545</v>
      </c>
      <c r="D107" s="129">
        <v>40</v>
      </c>
      <c r="E107" s="2358"/>
      <c r="H107" s="2420">
        <v>92</v>
      </c>
      <c r="I107" s="292" t="s">
        <v>7666</v>
      </c>
    </row>
    <row r="108" spans="3:9" ht="12.95" hidden="1" customHeight="1">
      <c r="C108" s="1242" t="s">
        <v>641</v>
      </c>
      <c r="D108" s="1270">
        <v>70</v>
      </c>
      <c r="E108" s="2355"/>
      <c r="H108" s="2420">
        <v>93</v>
      </c>
      <c r="I108" s="292" t="s">
        <v>7666</v>
      </c>
    </row>
    <row r="109" spans="3:9" ht="12.95" hidden="1" customHeight="1">
      <c r="C109" s="1322" t="s">
        <v>613</v>
      </c>
      <c r="D109" s="130">
        <v>70</v>
      </c>
      <c r="E109" s="2356"/>
      <c r="H109" s="2420">
        <v>94</v>
      </c>
      <c r="I109" s="292" t="s">
        <v>7666</v>
      </c>
    </row>
    <row r="110" spans="3:9" ht="12.95" hidden="1" customHeight="1">
      <c r="C110" s="1242" t="s">
        <v>614</v>
      </c>
      <c r="D110" s="1270">
        <v>70</v>
      </c>
      <c r="E110" s="2355"/>
      <c r="H110" s="2420">
        <v>95</v>
      </c>
      <c r="I110" s="292" t="s">
        <v>7666</v>
      </c>
    </row>
    <row r="111" spans="3:9" ht="12.95" hidden="1" customHeight="1">
      <c r="C111" s="1322" t="s">
        <v>3466</v>
      </c>
      <c r="D111" s="130">
        <v>70</v>
      </c>
      <c r="E111" s="2356"/>
      <c r="H111" s="2420">
        <v>96</v>
      </c>
      <c r="I111" s="292" t="s">
        <v>7666</v>
      </c>
    </row>
    <row r="112" spans="3:9" ht="12.95" hidden="1" customHeight="1">
      <c r="C112" s="1242" t="s">
        <v>651</v>
      </c>
      <c r="D112" s="1270">
        <v>175</v>
      </c>
      <c r="E112" s="2355"/>
      <c r="H112" s="2420">
        <v>97</v>
      </c>
      <c r="I112" s="292" t="s">
        <v>7666</v>
      </c>
    </row>
    <row r="113" spans="3:9" ht="12.95" hidden="1" customHeight="1" thickBot="1">
      <c r="C113" s="1327" t="s">
        <v>2611</v>
      </c>
      <c r="D113" s="140">
        <v>250</v>
      </c>
      <c r="E113" s="2358"/>
      <c r="H113" s="2420">
        <v>98</v>
      </c>
      <c r="I113" s="292" t="s">
        <v>7666</v>
      </c>
    </row>
    <row r="114" spans="3:9" ht="12.95" hidden="1" customHeight="1">
      <c r="C114" s="1244" t="s">
        <v>1538</v>
      </c>
      <c r="D114" s="1282">
        <v>5</v>
      </c>
      <c r="E114" s="2355"/>
      <c r="H114" s="2420">
        <v>99</v>
      </c>
      <c r="I114" s="292" t="s">
        <v>7666</v>
      </c>
    </row>
    <row r="115" spans="3:9" ht="12.95" hidden="1" customHeight="1">
      <c r="C115" s="1322" t="s">
        <v>1539</v>
      </c>
      <c r="D115" s="130">
        <v>5</v>
      </c>
      <c r="E115" s="2356"/>
      <c r="I115" s="292" t="s">
        <v>7666</v>
      </c>
    </row>
    <row r="116" spans="3:9" ht="12.95" hidden="1" customHeight="1">
      <c r="C116" s="1242" t="s">
        <v>3467</v>
      </c>
      <c r="D116" s="1270">
        <v>10</v>
      </c>
      <c r="E116" s="2355"/>
      <c r="I116" s="292" t="s">
        <v>7666</v>
      </c>
    </row>
    <row r="117" spans="3:9" ht="12.95" hidden="1" customHeight="1">
      <c r="C117" s="1322" t="s">
        <v>3468</v>
      </c>
      <c r="D117" s="130">
        <v>10</v>
      </c>
      <c r="E117" s="2356"/>
      <c r="I117" s="292" t="s">
        <v>7666</v>
      </c>
    </row>
    <row r="118" spans="3:9" ht="12.95" hidden="1" customHeight="1">
      <c r="C118" s="1242" t="s">
        <v>372</v>
      </c>
      <c r="D118" s="1270">
        <v>15</v>
      </c>
      <c r="E118" s="2355"/>
      <c r="I118" s="292" t="s">
        <v>7666</v>
      </c>
    </row>
    <row r="119" spans="3:9" ht="12.95" hidden="1" customHeight="1">
      <c r="C119" s="1322" t="s">
        <v>3469</v>
      </c>
      <c r="D119" s="129">
        <v>20</v>
      </c>
      <c r="E119" s="2358"/>
      <c r="I119" s="292" t="s">
        <v>7666</v>
      </c>
    </row>
    <row r="120" spans="3:9" ht="12.95" hidden="1" customHeight="1">
      <c r="C120" s="1242" t="s">
        <v>2322</v>
      </c>
      <c r="D120" s="1270">
        <v>40</v>
      </c>
      <c r="E120" s="2355"/>
      <c r="I120" s="292" t="s">
        <v>7666</v>
      </c>
    </row>
    <row r="121" spans="3:9" ht="12.95" hidden="1" customHeight="1">
      <c r="C121" s="1322" t="s">
        <v>3470</v>
      </c>
      <c r="D121" s="129">
        <v>60</v>
      </c>
      <c r="E121" s="2358"/>
      <c r="I121" s="292" t="s">
        <v>7666</v>
      </c>
    </row>
    <row r="122" spans="3:9" ht="12.95" hidden="1" customHeight="1">
      <c r="C122" s="1242" t="s">
        <v>1309</v>
      </c>
      <c r="D122" s="1270">
        <v>60</v>
      </c>
      <c r="E122" s="2355"/>
      <c r="I122" s="292" t="s">
        <v>7666</v>
      </c>
    </row>
    <row r="123" spans="3:9" ht="12.95" hidden="1" customHeight="1">
      <c r="C123" s="1322" t="s">
        <v>149</v>
      </c>
      <c r="D123" s="130">
        <v>60</v>
      </c>
      <c r="E123" s="2356"/>
      <c r="I123" s="292" t="s">
        <v>7666</v>
      </c>
    </row>
    <row r="124" spans="3:9" ht="12.95" hidden="1" customHeight="1">
      <c r="C124" s="1242" t="s">
        <v>1062</v>
      </c>
      <c r="D124" s="1270">
        <v>70</v>
      </c>
      <c r="E124" s="2355"/>
      <c r="I124" s="292" t="s">
        <v>7666</v>
      </c>
    </row>
    <row r="125" spans="3:9" ht="12.95" hidden="1" customHeight="1">
      <c r="C125" s="1322" t="s">
        <v>150</v>
      </c>
      <c r="D125" s="130">
        <v>70</v>
      </c>
      <c r="E125" s="2356"/>
      <c r="I125" s="292" t="s">
        <v>7666</v>
      </c>
    </row>
    <row r="126" spans="3:9" ht="12.95" hidden="1" customHeight="1">
      <c r="C126" s="1242" t="s">
        <v>653</v>
      </c>
      <c r="D126" s="1270">
        <v>160</v>
      </c>
      <c r="E126" s="2355"/>
      <c r="I126" s="292" t="s">
        <v>7666</v>
      </c>
    </row>
    <row r="127" spans="3:9" ht="12.95" hidden="1" customHeight="1" thickBot="1">
      <c r="C127" s="1329" t="s">
        <v>151</v>
      </c>
      <c r="D127" s="145">
        <v>300</v>
      </c>
      <c r="E127" s="2358"/>
      <c r="I127" s="292" t="s">
        <v>7666</v>
      </c>
    </row>
    <row r="128" spans="3:9" ht="12.95" hidden="1" customHeight="1">
      <c r="C128" s="1244" t="s">
        <v>2663</v>
      </c>
      <c r="D128" s="1282">
        <v>3</v>
      </c>
      <c r="E128" s="2355"/>
      <c r="I128" s="292" t="s">
        <v>7666</v>
      </c>
    </row>
    <row r="129" spans="3:9" ht="12.95" hidden="1" customHeight="1">
      <c r="C129" s="1322" t="s">
        <v>1531</v>
      </c>
      <c r="D129" s="130">
        <v>3</v>
      </c>
      <c r="E129" s="2356"/>
      <c r="I129" s="292" t="s">
        <v>7666</v>
      </c>
    </row>
    <row r="130" spans="3:9" ht="12.95" hidden="1" customHeight="1">
      <c r="C130" s="1242" t="s">
        <v>3372</v>
      </c>
      <c r="D130" s="1270">
        <v>25</v>
      </c>
      <c r="E130" s="2355"/>
      <c r="I130" s="292" t="s">
        <v>7846</v>
      </c>
    </row>
    <row r="131" spans="3:9" ht="12.95" hidden="1" customHeight="1">
      <c r="C131" s="1322" t="s">
        <v>988</v>
      </c>
      <c r="D131" s="130">
        <v>25</v>
      </c>
      <c r="E131" s="2356"/>
      <c r="I131" s="292" t="s">
        <v>7846</v>
      </c>
    </row>
    <row r="132" spans="3:9" ht="12.95" hidden="1" customHeight="1">
      <c r="C132" s="1242" t="s">
        <v>2664</v>
      </c>
      <c r="D132" s="1270">
        <v>30</v>
      </c>
      <c r="E132" s="2355"/>
      <c r="I132" s="292" t="s">
        <v>7846</v>
      </c>
    </row>
    <row r="133" spans="3:9" ht="12.95" hidden="1" customHeight="1">
      <c r="C133" s="1322" t="s">
        <v>2665</v>
      </c>
      <c r="D133" s="130">
        <v>30</v>
      </c>
      <c r="E133" s="2356"/>
      <c r="I133" s="292" t="s">
        <v>7846</v>
      </c>
    </row>
    <row r="134" spans="3:9" ht="12.95" hidden="1" customHeight="1">
      <c r="C134" s="1242" t="s">
        <v>100</v>
      </c>
      <c r="D134" s="1270">
        <v>35</v>
      </c>
      <c r="E134" s="2355"/>
      <c r="I134" s="292" t="s">
        <v>7846</v>
      </c>
    </row>
    <row r="135" spans="3:9" ht="12.95" hidden="1" customHeight="1">
      <c r="C135" s="1322" t="s">
        <v>2666</v>
      </c>
      <c r="D135" s="130">
        <v>35</v>
      </c>
      <c r="E135" s="2356"/>
      <c r="I135" s="292" t="s">
        <v>7846</v>
      </c>
    </row>
    <row r="136" spans="3:9" ht="12.95" hidden="1" customHeight="1">
      <c r="C136" s="1242" t="s">
        <v>2667</v>
      </c>
      <c r="D136" s="1270">
        <v>40</v>
      </c>
      <c r="E136" s="2355"/>
      <c r="I136" s="292" t="s">
        <v>7846</v>
      </c>
    </row>
    <row r="137" spans="3:9" ht="12.95" hidden="1" customHeight="1">
      <c r="C137" s="1322" t="s">
        <v>3471</v>
      </c>
      <c r="D137" s="130">
        <v>40</v>
      </c>
      <c r="E137" s="2356"/>
      <c r="I137" s="292" t="s">
        <v>7846</v>
      </c>
    </row>
    <row r="138" spans="3:9" ht="12.95" hidden="1" customHeight="1">
      <c r="C138" s="1242" t="s">
        <v>2668</v>
      </c>
      <c r="D138" s="1270">
        <v>75</v>
      </c>
      <c r="E138" s="2355"/>
      <c r="I138" s="292" t="s">
        <v>7846</v>
      </c>
    </row>
    <row r="139" spans="3:9" ht="12.95" hidden="1" customHeight="1">
      <c r="C139" s="1322" t="s">
        <v>2669</v>
      </c>
      <c r="D139" s="129">
        <v>80</v>
      </c>
      <c r="E139" s="2358"/>
      <c r="I139" s="292" t="s">
        <v>7846</v>
      </c>
    </row>
    <row r="140" spans="3:9" ht="12.95" hidden="1" customHeight="1">
      <c r="C140" s="1242" t="s">
        <v>2670</v>
      </c>
      <c r="D140" s="1270">
        <v>150</v>
      </c>
      <c r="E140" s="2355"/>
      <c r="I140" s="292" t="s">
        <v>7666</v>
      </c>
    </row>
    <row r="141" spans="3:9" ht="12.95" hidden="1" customHeight="1" thickBot="1">
      <c r="C141" s="1329" t="s">
        <v>1223</v>
      </c>
      <c r="D141" s="145">
        <v>200</v>
      </c>
      <c r="E141" s="2358"/>
      <c r="I141" s="292" t="s">
        <v>7666</v>
      </c>
    </row>
    <row r="142" spans="3:9" ht="12.95" hidden="1" customHeight="1">
      <c r="C142" s="1244" t="s">
        <v>2015</v>
      </c>
      <c r="D142" s="1282">
        <v>1</v>
      </c>
      <c r="E142" s="2355"/>
      <c r="I142" s="292" t="s">
        <v>7666</v>
      </c>
    </row>
    <row r="143" spans="3:9" ht="12.95" hidden="1" customHeight="1">
      <c r="C143" s="1255" t="s">
        <v>2014</v>
      </c>
      <c r="D143" s="130">
        <v>4</v>
      </c>
      <c r="E143" s="2356"/>
      <c r="I143" s="292" t="s">
        <v>7666</v>
      </c>
    </row>
    <row r="144" spans="3:9" ht="12.95" hidden="1" customHeight="1">
      <c r="C144" s="1242" t="s">
        <v>3472</v>
      </c>
      <c r="D144" s="1270">
        <v>15</v>
      </c>
      <c r="E144" s="2355"/>
      <c r="I144" s="292" t="s">
        <v>7666</v>
      </c>
    </row>
    <row r="145" spans="3:9" ht="12.95" hidden="1" customHeight="1">
      <c r="C145" s="1255" t="s">
        <v>379</v>
      </c>
      <c r="D145" s="130">
        <v>10</v>
      </c>
      <c r="E145" s="2356"/>
      <c r="I145" s="292" t="s">
        <v>7666</v>
      </c>
    </row>
    <row r="146" spans="3:9" ht="12.95" hidden="1" customHeight="1">
      <c r="C146" s="1242" t="s">
        <v>901</v>
      </c>
      <c r="D146" s="1270">
        <v>30</v>
      </c>
      <c r="E146" s="2355"/>
      <c r="I146" s="292" t="s">
        <v>7666</v>
      </c>
    </row>
    <row r="147" spans="3:9" ht="12.95" hidden="1" customHeight="1">
      <c r="C147" s="1255" t="s">
        <v>1596</v>
      </c>
      <c r="D147" s="130">
        <v>30</v>
      </c>
      <c r="E147" s="2356"/>
      <c r="I147" s="292" t="s">
        <v>7846</v>
      </c>
    </row>
    <row r="148" spans="3:9" ht="12.95" hidden="1" customHeight="1">
      <c r="C148" s="1242" t="s">
        <v>644</v>
      </c>
      <c r="D148" s="1270">
        <v>15</v>
      </c>
      <c r="E148" s="2355"/>
      <c r="I148" s="292" t="s">
        <v>7666</v>
      </c>
    </row>
    <row r="149" spans="3:9" ht="12.95" hidden="1" customHeight="1">
      <c r="C149" s="1255" t="s">
        <v>1984</v>
      </c>
      <c r="D149" s="130">
        <v>50</v>
      </c>
      <c r="E149" s="2356"/>
      <c r="I149" s="292" t="s">
        <v>7846</v>
      </c>
    </row>
    <row r="150" spans="3:9" ht="12.95" hidden="1" customHeight="1">
      <c r="C150" s="1242" t="s">
        <v>640</v>
      </c>
      <c r="D150" s="1270">
        <v>40</v>
      </c>
      <c r="E150" s="2355"/>
      <c r="I150" s="292" t="s">
        <v>7666</v>
      </c>
    </row>
    <row r="151" spans="3:9" ht="12.95" hidden="1" customHeight="1">
      <c r="C151" s="1255" t="s">
        <v>2534</v>
      </c>
      <c r="D151" s="130">
        <v>60</v>
      </c>
      <c r="E151" s="2356"/>
      <c r="I151" s="292" t="s">
        <v>7846</v>
      </c>
    </row>
    <row r="152" spans="3:9" ht="12.95" hidden="1" customHeight="1">
      <c r="C152" s="1242" t="s">
        <v>1063</v>
      </c>
      <c r="D152" s="1270">
        <v>30</v>
      </c>
      <c r="E152" s="2355"/>
      <c r="I152" s="292" t="s">
        <v>7666</v>
      </c>
    </row>
    <row r="153" spans="3:9" ht="12.95" hidden="1" customHeight="1">
      <c r="C153" s="1255" t="s">
        <v>1985</v>
      </c>
      <c r="D153" s="130">
        <v>500</v>
      </c>
      <c r="E153" s="2356"/>
      <c r="I153" s="292" t="s">
        <v>7666</v>
      </c>
    </row>
    <row r="154" spans="3:9" ht="12.95" hidden="1" customHeight="1">
      <c r="C154" s="1242" t="s">
        <v>726</v>
      </c>
      <c r="D154" s="1270">
        <v>750</v>
      </c>
      <c r="E154" s="2355"/>
      <c r="I154" s="292" t="s">
        <v>7666</v>
      </c>
    </row>
    <row r="155" spans="3:9" ht="12.95" hidden="1" customHeight="1">
      <c r="C155" s="1255" t="s">
        <v>3473</v>
      </c>
      <c r="D155" s="130">
        <v>800</v>
      </c>
      <c r="E155" s="2356"/>
      <c r="I155" s="292" t="s">
        <v>7666</v>
      </c>
    </row>
    <row r="156" spans="3:9" ht="12.95" hidden="1" customHeight="1" thickBot="1">
      <c r="C156" s="1247" t="s">
        <v>727</v>
      </c>
      <c r="D156" s="1300">
        <v>1000</v>
      </c>
      <c r="E156" s="2355"/>
      <c r="I156" s="292" t="s">
        <v>7666</v>
      </c>
    </row>
  </sheetData>
  <sheetProtection autoFilter="0"/>
  <mergeCells count="7">
    <mergeCell ref="F9:H9"/>
    <mergeCell ref="B10:H10"/>
    <mergeCell ref="C1:H1"/>
    <mergeCell ref="B3:H3"/>
    <mergeCell ref="B5:H5"/>
    <mergeCell ref="B9:D9"/>
    <mergeCell ref="D7:E7"/>
  </mergeCells>
  <dataValidations count="3">
    <dataValidation type="list" allowBlank="1" showInputMessage="1" showErrorMessage="1" sqref="C7">
      <formula1>$C$16:$C$156</formula1>
    </dataValidation>
    <dataValidation type="list" allowBlank="1" showInputMessage="1" showErrorMessage="1" sqref="F7">
      <formula1>$F$16:$F$19</formula1>
    </dataValidation>
    <dataValidation type="list" allowBlank="1" showInputMessage="1" showErrorMessage="1" sqref="H7">
      <formula1>$H$16:$H$114</formula1>
    </dataValidation>
  </dataValidation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drawing r:id="rId2"/>
</worksheet>
</file>

<file path=xl/worksheets/sheet27.xml><?xml version="1.0" encoding="utf-8"?>
<worksheet xmlns="http://schemas.openxmlformats.org/spreadsheetml/2006/main" xmlns:r="http://schemas.openxmlformats.org/officeDocument/2006/relationships">
  <dimension ref="B1:G67"/>
  <sheetViews>
    <sheetView zoomScaleNormal="100" workbookViewId="0">
      <pane ySplit="4" topLeftCell="A5" activePane="bottomLeft" state="frozen"/>
      <selection pane="bottomLeft" activeCell="B1" sqref="B1"/>
    </sheetView>
  </sheetViews>
  <sheetFormatPr defaultRowHeight="12.95" customHeight="1"/>
  <cols>
    <col min="1" max="1" width="3.7109375" style="292" customWidth="1"/>
    <col min="2" max="2" width="15.7109375" style="292" customWidth="1"/>
    <col min="3" max="3" width="12.7109375" style="292" customWidth="1"/>
    <col min="4" max="4" width="33.7109375" style="431" customWidth="1"/>
    <col min="5" max="5" width="4.7109375" style="431" customWidth="1"/>
    <col min="6" max="6" width="20.7109375" style="431" customWidth="1"/>
    <col min="7" max="7" width="40.7109375" style="431" customWidth="1"/>
    <col min="8" max="16384" width="9.140625" style="292"/>
  </cols>
  <sheetData>
    <row r="1" spans="2:7" ht="12.95" customHeight="1">
      <c r="B1" s="2568" t="s">
        <v>2706</v>
      </c>
      <c r="C1" s="3331" t="s">
        <v>8269</v>
      </c>
      <c r="D1" s="3331"/>
      <c r="E1" s="3331"/>
      <c r="F1" s="3331"/>
      <c r="G1" s="3331"/>
    </row>
    <row r="2" spans="2:7" ht="5.0999999999999996" customHeight="1"/>
    <row r="3" spans="2:7" ht="12.95" customHeight="1">
      <c r="B3" s="2978" t="s">
        <v>8760</v>
      </c>
      <c r="C3" s="2978"/>
      <c r="D3" s="2978"/>
      <c r="E3" s="2978"/>
      <c r="F3" s="2978"/>
      <c r="G3" s="2978"/>
    </row>
    <row r="4" spans="2:7" ht="5.0999999999999996" customHeight="1"/>
    <row r="5" spans="2:7" ht="39" customHeight="1">
      <c r="B5" s="2960" t="s">
        <v>8895</v>
      </c>
      <c r="C5" s="2960"/>
      <c r="D5" s="2960"/>
      <c r="E5" s="2960"/>
      <c r="F5" s="2960"/>
      <c r="G5" s="2960"/>
    </row>
    <row r="6" spans="2:7" ht="12.95" customHeight="1">
      <c r="B6" s="2960" t="s">
        <v>8896</v>
      </c>
      <c r="C6" s="2960"/>
      <c r="D6" s="2960"/>
      <c r="E6" s="2960"/>
      <c r="F6" s="2960"/>
      <c r="G6" s="2960"/>
    </row>
    <row r="7" spans="2:7" ht="12.95" customHeight="1">
      <c r="D7" s="431" t="s">
        <v>8199</v>
      </c>
    </row>
    <row r="8" spans="2:7" ht="12.95" customHeight="1">
      <c r="D8" s="431" t="s">
        <v>8202</v>
      </c>
    </row>
    <row r="9" spans="2:7" ht="12.95" customHeight="1">
      <c r="D9" s="431" t="s">
        <v>8200</v>
      </c>
    </row>
    <row r="10" spans="2:7" ht="12.95" customHeight="1">
      <c r="D10" s="431" t="s">
        <v>8201</v>
      </c>
    </row>
    <row r="11" spans="2:7" ht="5.0999999999999996" customHeight="1"/>
    <row r="12" spans="2:7" ht="12.95" customHeight="1">
      <c r="B12" s="3102" t="s">
        <v>8897</v>
      </c>
      <c r="C12" s="3102"/>
      <c r="D12" s="3102"/>
      <c r="E12" s="3102"/>
      <c r="F12" s="3102"/>
      <c r="G12" s="3102"/>
    </row>
    <row r="13" spans="2:7" ht="26.1" customHeight="1">
      <c r="B13" s="2960" t="s">
        <v>8898</v>
      </c>
      <c r="C13" s="2960"/>
      <c r="D13" s="2960"/>
      <c r="E13" s="2960"/>
      <c r="F13" s="2960"/>
      <c r="G13" s="2960"/>
    </row>
    <row r="14" spans="2:7" ht="5.0999999999999996" customHeight="1"/>
    <row r="15" spans="2:7" ht="12.95" customHeight="1">
      <c r="B15" s="3102" t="s">
        <v>8899</v>
      </c>
      <c r="C15" s="3102"/>
      <c r="D15" s="3102"/>
      <c r="E15" s="3102"/>
      <c r="F15" s="3102"/>
      <c r="G15" s="3102"/>
    </row>
    <row r="16" spans="2:7" ht="26.1" customHeight="1">
      <c r="B16" s="2960" t="s">
        <v>8900</v>
      </c>
      <c r="C16" s="2960"/>
      <c r="D16" s="2960"/>
      <c r="E16" s="2960"/>
      <c r="F16" s="2960"/>
      <c r="G16" s="2960"/>
    </row>
    <row r="17" spans="2:7" ht="12.95" customHeight="1">
      <c r="C17" s="3332" t="s">
        <v>8206</v>
      </c>
      <c r="D17" s="3333"/>
      <c r="E17" s="2569"/>
      <c r="F17" s="3332" t="s">
        <v>8207</v>
      </c>
      <c r="G17" s="3333"/>
    </row>
    <row r="18" spans="2:7" ht="12.95" customHeight="1">
      <c r="B18" s="3337" t="s">
        <v>8203</v>
      </c>
      <c r="C18" s="2575"/>
      <c r="D18" s="3334" t="s">
        <v>8205</v>
      </c>
      <c r="F18" s="2575"/>
      <c r="G18" s="3334" t="s">
        <v>8205</v>
      </c>
    </row>
    <row r="19" spans="2:7" ht="12.95" customHeight="1">
      <c r="B19" s="3338"/>
      <c r="C19" s="2576"/>
      <c r="D19" s="3335"/>
      <c r="F19" s="2576"/>
      <c r="G19" s="3335"/>
    </row>
    <row r="20" spans="2:7" ht="12.95" customHeight="1">
      <c r="B20" s="3338"/>
      <c r="C20" s="2576"/>
      <c r="D20" s="3335"/>
      <c r="F20" s="2576"/>
      <c r="G20" s="3335"/>
    </row>
    <row r="21" spans="2:7" ht="12.95" customHeight="1">
      <c r="B21" s="3338"/>
      <c r="C21" s="2576"/>
      <c r="D21" s="3335"/>
      <c r="F21" s="2576"/>
      <c r="G21" s="3335"/>
    </row>
    <row r="22" spans="2:7" ht="15" customHeight="1">
      <c r="B22" s="3339"/>
      <c r="C22" s="2577"/>
      <c r="D22" s="3336"/>
      <c r="F22" s="2577"/>
      <c r="G22" s="3336"/>
    </row>
    <row r="23" spans="2:7" ht="12.95" customHeight="1">
      <c r="B23" s="2578"/>
      <c r="C23" s="2579"/>
      <c r="D23" s="2580"/>
      <c r="F23" s="2578"/>
      <c r="G23" s="2580"/>
    </row>
    <row r="24" spans="2:7" ht="12.95" customHeight="1">
      <c r="B24" s="3337" t="s">
        <v>8204</v>
      </c>
      <c r="C24" s="2575"/>
      <c r="D24" s="3334" t="s">
        <v>8205</v>
      </c>
      <c r="F24" s="2575"/>
      <c r="G24" s="3334" t="s">
        <v>8205</v>
      </c>
    </row>
    <row r="25" spans="2:7" ht="12.95" customHeight="1">
      <c r="B25" s="3338"/>
      <c r="C25" s="2576"/>
      <c r="D25" s="3335"/>
      <c r="F25" s="2576"/>
      <c r="G25" s="3335"/>
    </row>
    <row r="26" spans="2:7" ht="12.95" customHeight="1">
      <c r="B26" s="3338"/>
      <c r="C26" s="2576"/>
      <c r="D26" s="3335"/>
      <c r="F26" s="2576"/>
      <c r="G26" s="3335"/>
    </row>
    <row r="27" spans="2:7" ht="12.95" customHeight="1">
      <c r="B27" s="3338"/>
      <c r="C27" s="2576"/>
      <c r="D27" s="3335"/>
      <c r="F27" s="2576"/>
      <c r="G27" s="3335"/>
    </row>
    <row r="28" spans="2:7" ht="15" customHeight="1">
      <c r="B28" s="3339"/>
      <c r="C28" s="2577"/>
      <c r="D28" s="3336"/>
      <c r="F28" s="2577"/>
      <c r="G28" s="3336"/>
    </row>
    <row r="30" spans="2:7" ht="12.95" customHeight="1">
      <c r="B30" s="2980" t="s">
        <v>8901</v>
      </c>
      <c r="C30" s="2980"/>
      <c r="D30" s="2980"/>
      <c r="E30" s="2980"/>
      <c r="F30" s="2980"/>
      <c r="G30" s="2980"/>
    </row>
    <row r="31" spans="2:7" ht="12.95" customHeight="1">
      <c r="B31" s="2960" t="s">
        <v>8902</v>
      </c>
      <c r="C31" s="2960"/>
      <c r="D31" s="2960"/>
      <c r="E31" s="2960"/>
      <c r="F31" s="2960"/>
      <c r="G31" s="2960"/>
    </row>
    <row r="32" spans="2:7" ht="39" customHeight="1">
      <c r="B32" s="2960" t="s">
        <v>8903</v>
      </c>
      <c r="C32" s="2960"/>
      <c r="D32" s="2960"/>
      <c r="E32" s="2960"/>
      <c r="F32" s="2960"/>
      <c r="G32" s="2960"/>
    </row>
    <row r="33" spans="2:7" ht="26.1" customHeight="1">
      <c r="B33" s="2960" t="s">
        <v>9766</v>
      </c>
      <c r="C33" s="2960"/>
      <c r="D33" s="2960"/>
      <c r="E33" s="2960"/>
      <c r="F33" s="2960"/>
      <c r="G33" s="2960"/>
    </row>
    <row r="34" spans="2:7" ht="26.1" customHeight="1">
      <c r="C34" s="2960" t="s">
        <v>8208</v>
      </c>
      <c r="D34" s="2960"/>
      <c r="E34" s="2960"/>
      <c r="F34" s="2960"/>
      <c r="G34" s="2960"/>
    </row>
    <row r="35" spans="2:7" ht="26.1" customHeight="1">
      <c r="C35" s="2960" t="s">
        <v>8209</v>
      </c>
      <c r="D35" s="2960"/>
      <c r="E35" s="2960"/>
      <c r="F35" s="2960"/>
      <c r="G35" s="2960"/>
    </row>
    <row r="36" spans="2:7" ht="26.1" customHeight="1">
      <c r="B36" s="2960" t="s">
        <v>8904</v>
      </c>
      <c r="C36" s="2960"/>
      <c r="D36" s="2960"/>
      <c r="E36" s="2960"/>
      <c r="F36" s="2960"/>
      <c r="G36" s="2960"/>
    </row>
    <row r="37" spans="2:7" ht="5.0999999999999996" customHeight="1"/>
    <row r="38" spans="2:7" ht="12.95" customHeight="1">
      <c r="B38" s="3000" t="s">
        <v>8905</v>
      </c>
      <c r="C38" s="3000"/>
      <c r="D38" s="3000"/>
      <c r="E38" s="3000"/>
      <c r="F38" s="3000"/>
      <c r="G38" s="3000"/>
    </row>
    <row r="39" spans="2:7" ht="5.0999999999999996" customHeight="1"/>
    <row r="40" spans="2:7" ht="12.95" customHeight="1">
      <c r="B40" s="3326" t="s">
        <v>8446</v>
      </c>
      <c r="C40" s="3326"/>
      <c r="D40" s="3326"/>
      <c r="E40" s="3326"/>
      <c r="F40" s="3326"/>
      <c r="G40" s="3326"/>
    </row>
    <row r="41" spans="2:7" ht="5.0999999999999996" customHeight="1">
      <c r="B41" s="2570"/>
      <c r="C41" s="2570"/>
      <c r="D41" s="2570"/>
      <c r="E41" s="2570"/>
      <c r="F41" s="2570"/>
      <c r="G41" s="2570"/>
    </row>
    <row r="42" spans="2:7" ht="12.95" customHeight="1">
      <c r="B42" s="3330" t="s">
        <v>8210</v>
      </c>
      <c r="D42" s="3328" t="s">
        <v>8211</v>
      </c>
      <c r="F42" s="2609"/>
      <c r="G42" s="2609"/>
    </row>
    <row r="43" spans="2:7" ht="12.95" customHeight="1">
      <c r="B43" s="3330"/>
      <c r="D43" s="3328"/>
      <c r="E43" s="2609"/>
      <c r="F43" s="2609"/>
      <c r="G43" s="2609"/>
    </row>
    <row r="44" spans="2:7" ht="12.95" customHeight="1">
      <c r="B44" s="3330"/>
      <c r="D44" s="3328"/>
      <c r="E44" s="2609"/>
      <c r="F44" s="2609"/>
      <c r="G44" s="2609"/>
    </row>
    <row r="45" spans="2:7" ht="12.95" customHeight="1">
      <c r="B45" s="3330"/>
      <c r="D45" s="3328"/>
      <c r="E45" s="2609"/>
      <c r="F45" s="2609"/>
      <c r="G45" s="2609"/>
    </row>
    <row r="46" spans="2:7" ht="12.95" customHeight="1">
      <c r="B46" s="3330"/>
      <c r="D46" s="3328"/>
      <c r="E46" s="2609"/>
      <c r="F46" s="2609"/>
      <c r="G46" s="2609"/>
    </row>
    <row r="47" spans="2:7" ht="12.95" customHeight="1">
      <c r="B47" s="3330"/>
      <c r="D47" s="3328"/>
      <c r="E47" s="2609"/>
      <c r="F47" s="2609"/>
      <c r="G47" s="2609"/>
    </row>
    <row r="48" spans="2:7" ht="12.95" customHeight="1">
      <c r="B48" s="3330"/>
      <c r="D48" s="3328"/>
      <c r="E48" s="2609"/>
      <c r="F48" s="2609"/>
      <c r="G48" s="2609"/>
    </row>
    <row r="49" spans="2:7" ht="12.95" customHeight="1">
      <c r="B49" s="3330"/>
      <c r="D49" s="3328"/>
      <c r="E49" s="2609"/>
      <c r="F49" s="2609"/>
      <c r="G49" s="2609"/>
    </row>
    <row r="50" spans="2:7" ht="12.95" customHeight="1">
      <c r="B50" s="2570"/>
      <c r="D50" s="3328"/>
      <c r="E50" s="2609"/>
      <c r="F50" s="2609"/>
      <c r="G50" s="2609"/>
    </row>
    <row r="51" spans="2:7" ht="12.95" customHeight="1">
      <c r="D51" s="3328"/>
      <c r="E51" s="2609"/>
      <c r="F51" s="2609"/>
      <c r="G51" s="2609"/>
    </row>
    <row r="52" spans="2:7" ht="12.95" customHeight="1">
      <c r="B52" s="3329" t="s">
        <v>8212</v>
      </c>
      <c r="C52" s="3329"/>
      <c r="D52" s="3329"/>
      <c r="E52" s="2609"/>
      <c r="F52" s="2609"/>
      <c r="G52" s="2609"/>
    </row>
    <row r="53" spans="2:7" ht="5.0999999999999996" customHeight="1">
      <c r="E53" s="2609"/>
      <c r="F53" s="2609"/>
      <c r="G53" s="2609"/>
    </row>
    <row r="54" spans="2:7" ht="12.95" customHeight="1">
      <c r="B54" s="3326" t="s">
        <v>8758</v>
      </c>
      <c r="C54" s="3326"/>
      <c r="D54" s="3326"/>
      <c r="E54" s="3326"/>
      <c r="F54" s="3326"/>
      <c r="G54" s="3326"/>
    </row>
    <row r="55" spans="2:7" s="387" customFormat="1" ht="12.95" customHeight="1">
      <c r="B55" s="3327" t="s">
        <v>8759</v>
      </c>
      <c r="C55" s="3327"/>
      <c r="D55" s="3327"/>
      <c r="E55" s="3327"/>
      <c r="F55" s="3327"/>
      <c r="G55" s="3327"/>
    </row>
    <row r="56" spans="2:7" ht="26.1" customHeight="1">
      <c r="B56" s="2960" t="s">
        <v>8761</v>
      </c>
      <c r="C56" s="2960"/>
      <c r="D56" s="2960"/>
      <c r="E56" s="2960"/>
      <c r="F56" s="2960"/>
      <c r="G56" s="2960"/>
    </row>
    <row r="57" spans="2:7" ht="12.95" customHeight="1">
      <c r="B57" s="3000" t="s">
        <v>8906</v>
      </c>
      <c r="C57" s="3000"/>
      <c r="D57" s="3000"/>
      <c r="E57" s="3000"/>
      <c r="F57" s="3000"/>
      <c r="G57" s="3000"/>
    </row>
    <row r="58" spans="2:7" ht="12.95" customHeight="1">
      <c r="B58" s="3000" t="s">
        <v>9767</v>
      </c>
      <c r="C58" s="3000"/>
      <c r="D58" s="3000"/>
      <c r="E58" s="3000"/>
      <c r="F58" s="3000"/>
      <c r="G58" s="3000"/>
    </row>
    <row r="59" spans="2:7" ht="12.95" customHeight="1">
      <c r="B59" s="3000" t="s">
        <v>8907</v>
      </c>
      <c r="C59" s="3000"/>
      <c r="D59" s="3000"/>
      <c r="E59" s="3000"/>
      <c r="F59" s="3000"/>
      <c r="G59" s="3000"/>
    </row>
    <row r="60" spans="2:7" ht="12.95" customHeight="1">
      <c r="B60" s="3000" t="s">
        <v>8908</v>
      </c>
      <c r="C60" s="3000"/>
      <c r="D60" s="3000"/>
      <c r="E60" s="3000"/>
      <c r="F60" s="3000"/>
      <c r="G60" s="3000"/>
    </row>
    <row r="61" spans="2:7" ht="26.1" customHeight="1">
      <c r="B61" s="2960" t="s">
        <v>8909</v>
      </c>
      <c r="C61" s="2960"/>
      <c r="D61" s="2960"/>
      <c r="E61" s="2960"/>
      <c r="F61" s="2960"/>
      <c r="G61" s="2960"/>
    </row>
    <row r="62" spans="2:7" ht="12.95" customHeight="1">
      <c r="B62" s="3000"/>
      <c r="C62" s="3000"/>
      <c r="D62" s="3000"/>
      <c r="E62" s="3000"/>
      <c r="F62" s="3000"/>
      <c r="G62" s="3000"/>
    </row>
    <row r="63" spans="2:7" ht="12.95" customHeight="1">
      <c r="B63" s="3000"/>
      <c r="C63" s="3000"/>
      <c r="D63" s="3000"/>
      <c r="E63" s="3000"/>
      <c r="F63" s="3000"/>
      <c r="G63" s="3000"/>
    </row>
    <row r="64" spans="2:7" ht="12.95" customHeight="1">
      <c r="B64" s="3000"/>
      <c r="C64" s="3000"/>
      <c r="D64" s="3000"/>
      <c r="E64" s="3000"/>
      <c r="F64" s="3000"/>
      <c r="G64" s="3000"/>
    </row>
    <row r="65" spans="2:7" ht="12.95" customHeight="1">
      <c r="B65" s="3000"/>
      <c r="C65" s="3000"/>
      <c r="D65" s="3000"/>
      <c r="E65" s="3000"/>
      <c r="F65" s="3000"/>
      <c r="G65" s="3000"/>
    </row>
    <row r="66" spans="2:7" ht="12.95" customHeight="1">
      <c r="B66" s="3000"/>
      <c r="C66" s="3000"/>
      <c r="D66" s="3000"/>
      <c r="E66" s="3000"/>
      <c r="F66" s="3000"/>
      <c r="G66" s="3000"/>
    </row>
    <row r="67" spans="2:7" ht="12.95" customHeight="1">
      <c r="B67" s="3000"/>
      <c r="C67" s="3000"/>
      <c r="D67" s="3000"/>
      <c r="E67" s="3000"/>
      <c r="F67" s="3000"/>
      <c r="G67" s="3000"/>
    </row>
  </sheetData>
  <sheetProtection autoFilter="0"/>
  <mergeCells count="42">
    <mergeCell ref="B3:G3"/>
    <mergeCell ref="B16:G16"/>
    <mergeCell ref="C17:D17"/>
    <mergeCell ref="D18:D22"/>
    <mergeCell ref="B18:B22"/>
    <mergeCell ref="B24:B28"/>
    <mergeCell ref="D24:D28"/>
    <mergeCell ref="B5:G5"/>
    <mergeCell ref="B6:G6"/>
    <mergeCell ref="B12:G12"/>
    <mergeCell ref="B13:G13"/>
    <mergeCell ref="B15:G15"/>
    <mergeCell ref="D42:D51"/>
    <mergeCell ref="B52:D52"/>
    <mergeCell ref="B42:B49"/>
    <mergeCell ref="C1:G1"/>
    <mergeCell ref="C34:G34"/>
    <mergeCell ref="C35:G35"/>
    <mergeCell ref="B36:G36"/>
    <mergeCell ref="B31:G31"/>
    <mergeCell ref="B38:G38"/>
    <mergeCell ref="B40:G40"/>
    <mergeCell ref="F17:G17"/>
    <mergeCell ref="G18:G22"/>
    <mergeCell ref="G24:G28"/>
    <mergeCell ref="B30:G30"/>
    <mergeCell ref="B32:G32"/>
    <mergeCell ref="B33:G33"/>
    <mergeCell ref="B54:G54"/>
    <mergeCell ref="B55:G55"/>
    <mergeCell ref="B56:G56"/>
    <mergeCell ref="B57:G57"/>
    <mergeCell ref="B58:G58"/>
    <mergeCell ref="B64:G64"/>
    <mergeCell ref="B65:G65"/>
    <mergeCell ref="B66:G66"/>
    <mergeCell ref="B67:G67"/>
    <mergeCell ref="B59:G59"/>
    <mergeCell ref="B60:G60"/>
    <mergeCell ref="B61:G61"/>
    <mergeCell ref="B62:G62"/>
    <mergeCell ref="B63:G63"/>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5" orientation="landscape" r:id="rId1"/>
  <headerFooter alignWithMargins="0"/>
  <rowBreaks count="1" manualBreakCount="1">
    <brk id="29" max="16383" man="1"/>
  </rowBreaks>
  <drawing r:id="rId2"/>
</worksheet>
</file>

<file path=xl/worksheets/sheet28.xml><?xml version="1.0" encoding="utf-8"?>
<worksheet xmlns="http://schemas.openxmlformats.org/spreadsheetml/2006/main" xmlns:r="http://schemas.openxmlformats.org/officeDocument/2006/relationships">
  <sheetPr>
    <outlinePr summaryBelow="0"/>
  </sheetPr>
  <dimension ref="B1:P156"/>
  <sheetViews>
    <sheetView zoomScaleNormal="100" workbookViewId="0">
      <pane ySplit="11" topLeftCell="A12" activePane="bottomLeft" state="frozen"/>
      <selection pane="bottomLeft" activeCell="B1" sqref="B1"/>
    </sheetView>
  </sheetViews>
  <sheetFormatPr defaultRowHeight="12.75" outlineLevelRow="1"/>
  <cols>
    <col min="1" max="1" width="3.7109375" style="876" customWidth="1"/>
    <col min="2" max="2" width="17.85546875" style="1302" customWidth="1"/>
    <col min="3" max="3" width="7.7109375" style="1302" customWidth="1"/>
    <col min="4" max="4" width="3.85546875" style="879" bestFit="1" customWidth="1"/>
    <col min="5" max="5" width="11.5703125" style="879" bestFit="1" customWidth="1"/>
    <col min="6" max="6" width="6.42578125" style="880" bestFit="1" customWidth="1"/>
    <col min="7" max="7" width="6" style="880" bestFit="1" customWidth="1"/>
    <col min="8" max="8" width="5.85546875" style="878" bestFit="1" customWidth="1"/>
    <col min="9" max="9" width="7.5703125" style="878" bestFit="1" customWidth="1"/>
    <col min="10" max="10" width="9.28515625" style="878" bestFit="1" customWidth="1"/>
    <col min="11" max="11" width="8.85546875" style="878" bestFit="1" customWidth="1"/>
    <col min="12" max="12" width="8" style="878" bestFit="1" customWidth="1"/>
    <col min="13" max="13" width="6.85546875" style="878" bestFit="1" customWidth="1"/>
    <col min="14" max="14" width="12" style="878" bestFit="1" customWidth="1"/>
    <col min="15" max="15" width="23.140625" style="1303" customWidth="1"/>
    <col min="16" max="16" width="7.5703125" style="879" bestFit="1" customWidth="1"/>
    <col min="17" max="16384" width="9.140625" style="876"/>
  </cols>
  <sheetData>
    <row r="1" spans="2:16" ht="12.95" customHeight="1">
      <c r="B1" s="460" t="s">
        <v>2706</v>
      </c>
      <c r="C1" s="3341" t="s">
        <v>8269</v>
      </c>
      <c r="D1" s="3341"/>
      <c r="E1" s="3341"/>
      <c r="F1" s="3341"/>
      <c r="G1" s="3341"/>
      <c r="H1" s="3341"/>
      <c r="I1" s="3341"/>
      <c r="J1" s="3341"/>
      <c r="K1" s="3341"/>
      <c r="L1" s="3341"/>
      <c r="M1" s="3341"/>
      <c r="N1" s="3341"/>
      <c r="O1" s="3341"/>
      <c r="P1" s="3341"/>
    </row>
    <row r="2" spans="2:16" ht="5.0999999999999996" customHeight="1"/>
    <row r="3" spans="2:16" ht="12.95" customHeight="1">
      <c r="B3" s="2982" t="s">
        <v>3443</v>
      </c>
      <c r="C3" s="2982"/>
      <c r="D3" s="2982"/>
      <c r="E3" s="2982"/>
      <c r="F3" s="2982"/>
      <c r="G3" s="2982"/>
      <c r="H3" s="2982"/>
      <c r="I3" s="2982"/>
      <c r="J3" s="2982"/>
      <c r="K3" s="2982"/>
      <c r="L3" s="2982"/>
      <c r="M3" s="2982"/>
      <c r="N3" s="2982"/>
      <c r="O3" s="2982"/>
      <c r="P3" s="2982"/>
    </row>
    <row r="4" spans="2:16" ht="5.0999999999999996" customHeight="1">
      <c r="B4" s="1304"/>
      <c r="C4" s="1304"/>
      <c r="D4" s="395"/>
      <c r="E4" s="395"/>
      <c r="F4" s="395"/>
      <c r="G4" s="395"/>
      <c r="H4" s="395"/>
      <c r="I4" s="395"/>
      <c r="J4" s="395"/>
      <c r="K4" s="395"/>
      <c r="L4" s="395"/>
      <c r="M4" s="395"/>
      <c r="N4" s="395"/>
    </row>
    <row r="5" spans="2:16" ht="12.95" customHeight="1">
      <c r="B5" s="3264" t="s">
        <v>3474</v>
      </c>
      <c r="C5" s="3264"/>
      <c r="D5" s="3264"/>
      <c r="E5" s="3264"/>
      <c r="F5" s="3264"/>
      <c r="G5" s="3264"/>
      <c r="H5" s="3264"/>
      <c r="I5" s="3264"/>
      <c r="J5" s="3264"/>
      <c r="K5" s="3264"/>
      <c r="L5" s="3264"/>
      <c r="M5" s="3264"/>
      <c r="N5" s="3264"/>
    </row>
    <row r="6" spans="2:16" ht="12.95" customHeight="1">
      <c r="B6" s="3264" t="s">
        <v>3475</v>
      </c>
      <c r="C6" s="3264"/>
      <c r="D6" s="3264"/>
      <c r="E6" s="3264"/>
      <c r="F6" s="3264"/>
      <c r="G6" s="3264"/>
      <c r="H6" s="3264"/>
      <c r="I6" s="3264"/>
      <c r="J6" s="3264"/>
      <c r="K6" s="3264"/>
      <c r="L6" s="3264"/>
      <c r="M6" s="3264"/>
      <c r="N6" s="3264"/>
    </row>
    <row r="7" spans="2:16" s="1309" customFormat="1" ht="5.0999999999999996" customHeight="1" thickBot="1">
      <c r="B7" s="1305"/>
      <c r="C7" s="1305"/>
      <c r="D7" s="1306"/>
      <c r="E7" s="1306"/>
      <c r="F7" s="1307"/>
      <c r="G7" s="1307"/>
      <c r="H7" s="1308"/>
      <c r="I7" s="1308"/>
      <c r="J7" s="1308"/>
      <c r="K7" s="1308"/>
      <c r="L7" s="1308"/>
      <c r="M7" s="1308"/>
      <c r="N7" s="1308"/>
      <c r="O7" s="1303"/>
      <c r="P7" s="1844"/>
    </row>
    <row r="8" spans="2:16" s="1310" customFormat="1" ht="12.95" customHeight="1">
      <c r="B8" s="3355" t="s">
        <v>3476</v>
      </c>
      <c r="C8" s="3356"/>
      <c r="D8" s="3361" t="s">
        <v>1051</v>
      </c>
      <c r="E8" s="3364" t="s">
        <v>310</v>
      </c>
      <c r="F8" s="3353" t="s">
        <v>1841</v>
      </c>
      <c r="G8" s="3354"/>
      <c r="H8" s="3354"/>
      <c r="I8" s="3354"/>
      <c r="J8" s="3354"/>
      <c r="K8" s="3354"/>
      <c r="L8" s="3350"/>
      <c r="M8" s="3349" t="s">
        <v>1570</v>
      </c>
      <c r="N8" s="3350"/>
      <c r="O8" s="3342" t="s">
        <v>3486</v>
      </c>
      <c r="P8" s="3342" t="s">
        <v>6403</v>
      </c>
    </row>
    <row r="9" spans="2:16" s="1310" customFormat="1" ht="12.95" customHeight="1">
      <c r="B9" s="3357"/>
      <c r="C9" s="3358"/>
      <c r="D9" s="3362"/>
      <c r="E9" s="3365"/>
      <c r="F9" s="3367" t="s">
        <v>1842</v>
      </c>
      <c r="G9" s="3368"/>
      <c r="H9" s="3345" t="s">
        <v>119</v>
      </c>
      <c r="I9" s="3345" t="s">
        <v>120</v>
      </c>
      <c r="J9" s="3345" t="s">
        <v>1926</v>
      </c>
      <c r="K9" s="3345" t="s">
        <v>1648</v>
      </c>
      <c r="L9" s="3347" t="s">
        <v>4</v>
      </c>
      <c r="M9" s="3351" t="s">
        <v>2568</v>
      </c>
      <c r="N9" s="3347" t="s">
        <v>382</v>
      </c>
      <c r="O9" s="3343"/>
      <c r="P9" s="3343"/>
    </row>
    <row r="10" spans="2:16" s="1310" customFormat="1" ht="12.95" customHeight="1" thickBot="1">
      <c r="B10" s="3359"/>
      <c r="C10" s="3360"/>
      <c r="D10" s="3363"/>
      <c r="E10" s="3366"/>
      <c r="F10" s="1311" t="s">
        <v>2826</v>
      </c>
      <c r="G10" s="1312" t="s">
        <v>2827</v>
      </c>
      <c r="H10" s="3346"/>
      <c r="I10" s="3346"/>
      <c r="J10" s="3346"/>
      <c r="K10" s="3346"/>
      <c r="L10" s="3348"/>
      <c r="M10" s="3352"/>
      <c r="N10" s="3348"/>
      <c r="O10" s="3344"/>
      <c r="P10" s="3344"/>
    </row>
    <row r="11" spans="2:16" s="388" customFormat="1" ht="12" thickBot="1">
      <c r="B11" s="1313"/>
      <c r="C11" s="1314"/>
      <c r="D11" s="1315"/>
      <c r="E11" s="1316"/>
      <c r="F11" s="1317"/>
      <c r="G11" s="1318"/>
      <c r="H11" s="1319"/>
      <c r="I11" s="1319"/>
      <c r="J11" s="1319"/>
      <c r="K11" s="1319"/>
      <c r="L11" s="1320"/>
      <c r="M11" s="1321"/>
      <c r="N11" s="1320"/>
      <c r="O11" s="1253"/>
      <c r="P11" s="1253"/>
    </row>
    <row r="12" spans="2:16" ht="39.75" customHeight="1">
      <c r="B12" s="1241" t="s">
        <v>2232</v>
      </c>
      <c r="C12" s="1259"/>
      <c r="D12" s="1260">
        <v>1</v>
      </c>
      <c r="E12" s="1261" t="s">
        <v>2156</v>
      </c>
      <c r="F12" s="1262" t="s">
        <v>729</v>
      </c>
      <c r="G12" s="1263" t="s">
        <v>844</v>
      </c>
      <c r="H12" s="1264">
        <v>4</v>
      </c>
      <c r="I12" s="1264">
        <v>5</v>
      </c>
      <c r="J12" s="1264">
        <v>10</v>
      </c>
      <c r="K12" s="1264">
        <v>4</v>
      </c>
      <c r="L12" s="1265">
        <v>14</v>
      </c>
      <c r="M12" s="1266">
        <v>60</v>
      </c>
      <c r="N12" s="1265"/>
      <c r="O12" s="1267" t="s">
        <v>5958</v>
      </c>
      <c r="P12" s="1845">
        <v>80</v>
      </c>
    </row>
    <row r="13" spans="2:16" ht="39.75" customHeight="1" outlineLevel="1">
      <c r="B13" s="1324" t="s">
        <v>2233</v>
      </c>
      <c r="C13" s="1323"/>
      <c r="D13" s="1331">
        <v>1</v>
      </c>
      <c r="E13" s="126" t="s">
        <v>2156</v>
      </c>
      <c r="F13" s="1332" t="s">
        <v>2135</v>
      </c>
      <c r="G13" s="128" t="s">
        <v>844</v>
      </c>
      <c r="H13" s="1333">
        <v>6</v>
      </c>
      <c r="I13" s="130">
        <v>5</v>
      </c>
      <c r="J13" s="130">
        <v>10</v>
      </c>
      <c r="K13" s="1333">
        <v>5</v>
      </c>
      <c r="L13" s="131">
        <v>14</v>
      </c>
      <c r="M13" s="1326">
        <v>75</v>
      </c>
      <c r="N13" s="131"/>
      <c r="O13" s="151" t="s">
        <v>5958</v>
      </c>
      <c r="P13" s="1848">
        <v>115</v>
      </c>
    </row>
    <row r="14" spans="2:16" ht="39.75" customHeight="1" outlineLevel="1">
      <c r="B14" s="1242" t="s">
        <v>373</v>
      </c>
      <c r="C14" s="1273"/>
      <c r="D14" s="1274">
        <v>2</v>
      </c>
      <c r="E14" s="1268" t="s">
        <v>2156</v>
      </c>
      <c r="F14" s="1275" t="s">
        <v>2135</v>
      </c>
      <c r="G14" s="1269" t="s">
        <v>844</v>
      </c>
      <c r="H14" s="1270">
        <v>6</v>
      </c>
      <c r="I14" s="1270">
        <v>3</v>
      </c>
      <c r="J14" s="1270">
        <v>10</v>
      </c>
      <c r="K14" s="1270">
        <v>4</v>
      </c>
      <c r="L14" s="1271">
        <v>9</v>
      </c>
      <c r="M14" s="1276">
        <v>100</v>
      </c>
      <c r="N14" s="1271"/>
      <c r="O14" s="1272" t="s">
        <v>136</v>
      </c>
      <c r="P14" s="1846">
        <v>126</v>
      </c>
    </row>
    <row r="15" spans="2:16" ht="38.25" customHeight="1" outlineLevel="1">
      <c r="B15" s="1324" t="s">
        <v>343</v>
      </c>
      <c r="C15" s="1325"/>
      <c r="D15" s="132">
        <v>2</v>
      </c>
      <c r="E15" s="126" t="s">
        <v>2156</v>
      </c>
      <c r="F15" s="133" t="s">
        <v>2135</v>
      </c>
      <c r="G15" s="128" t="s">
        <v>844</v>
      </c>
      <c r="H15" s="130">
        <v>6</v>
      </c>
      <c r="I15" s="130">
        <v>3</v>
      </c>
      <c r="J15" s="130">
        <v>10</v>
      </c>
      <c r="K15" s="1333">
        <v>6</v>
      </c>
      <c r="L15" s="131">
        <v>9</v>
      </c>
      <c r="M15" s="1326">
        <v>150</v>
      </c>
      <c r="N15" s="131"/>
      <c r="O15" s="151" t="s">
        <v>3526</v>
      </c>
      <c r="P15" s="1848">
        <v>184</v>
      </c>
    </row>
    <row r="16" spans="2:16" ht="40.5" customHeight="1" outlineLevel="1">
      <c r="B16" s="1242" t="s">
        <v>2324</v>
      </c>
      <c r="C16" s="1273"/>
      <c r="D16" s="1274">
        <v>3</v>
      </c>
      <c r="E16" s="1268" t="s">
        <v>2156</v>
      </c>
      <c r="F16" s="1275" t="s">
        <v>844</v>
      </c>
      <c r="G16" s="1269" t="s">
        <v>2158</v>
      </c>
      <c r="H16" s="1270">
        <v>8</v>
      </c>
      <c r="I16" s="1270">
        <v>8</v>
      </c>
      <c r="J16" s="1270">
        <v>25</v>
      </c>
      <c r="K16" s="1270">
        <v>6</v>
      </c>
      <c r="L16" s="1277">
        <v>7</v>
      </c>
      <c r="M16" s="1276">
        <v>200</v>
      </c>
      <c r="N16" s="1271"/>
      <c r="O16" s="1272" t="s">
        <v>5959</v>
      </c>
      <c r="P16" s="1846">
        <v>351</v>
      </c>
    </row>
    <row r="17" spans="2:16" ht="39.75" customHeight="1" outlineLevel="1">
      <c r="B17" s="1322" t="s">
        <v>344</v>
      </c>
      <c r="C17" s="1323"/>
      <c r="D17" s="125">
        <v>3</v>
      </c>
      <c r="E17" s="126" t="s">
        <v>2156</v>
      </c>
      <c r="F17" s="133" t="s">
        <v>844</v>
      </c>
      <c r="G17" s="128" t="s">
        <v>2158</v>
      </c>
      <c r="H17" s="1333">
        <v>9</v>
      </c>
      <c r="I17" s="1333">
        <v>9</v>
      </c>
      <c r="J17" s="130">
        <v>25</v>
      </c>
      <c r="K17" s="1333">
        <v>9</v>
      </c>
      <c r="L17" s="134">
        <v>7</v>
      </c>
      <c r="M17" s="1326">
        <v>240</v>
      </c>
      <c r="N17" s="131"/>
      <c r="O17" s="151" t="s">
        <v>5960</v>
      </c>
      <c r="P17" s="1848">
        <v>448</v>
      </c>
    </row>
    <row r="18" spans="2:16" ht="40.5" customHeight="1" outlineLevel="1">
      <c r="B18" s="1242" t="s">
        <v>2152</v>
      </c>
      <c r="C18" s="1273"/>
      <c r="D18" s="1274">
        <v>4</v>
      </c>
      <c r="E18" s="1268" t="s">
        <v>2156</v>
      </c>
      <c r="F18" s="1275" t="s">
        <v>2158</v>
      </c>
      <c r="G18" s="1269" t="s">
        <v>3157</v>
      </c>
      <c r="H18" s="1270">
        <v>10</v>
      </c>
      <c r="I18" s="1270">
        <v>12</v>
      </c>
      <c r="J18" s="1270">
        <v>35</v>
      </c>
      <c r="K18" s="1270">
        <v>5</v>
      </c>
      <c r="L18" s="1271">
        <v>4</v>
      </c>
      <c r="M18" s="1276">
        <v>300</v>
      </c>
      <c r="N18" s="1271"/>
      <c r="O18" s="1272" t="s">
        <v>137</v>
      </c>
      <c r="P18" s="1846">
        <v>445</v>
      </c>
    </row>
    <row r="19" spans="2:16" ht="41.25" customHeight="1" outlineLevel="1">
      <c r="B19" s="1322" t="s">
        <v>1645</v>
      </c>
      <c r="C19" s="1323"/>
      <c r="D19" s="125">
        <v>4</v>
      </c>
      <c r="E19" s="126" t="s">
        <v>2156</v>
      </c>
      <c r="F19" s="1332" t="s">
        <v>1888</v>
      </c>
      <c r="G19" s="1334" t="s">
        <v>2136</v>
      </c>
      <c r="H19" s="1333">
        <v>12</v>
      </c>
      <c r="I19" s="130">
        <v>12</v>
      </c>
      <c r="J19" s="130">
        <v>35</v>
      </c>
      <c r="K19" s="1333">
        <v>6</v>
      </c>
      <c r="L19" s="131">
        <v>4</v>
      </c>
      <c r="M19" s="1326">
        <v>400</v>
      </c>
      <c r="N19" s="131"/>
      <c r="O19" s="151" t="s">
        <v>3527</v>
      </c>
      <c r="P19" s="1848">
        <v>588</v>
      </c>
    </row>
    <row r="20" spans="2:16" ht="39.75" customHeight="1" outlineLevel="1">
      <c r="B20" s="1242" t="s">
        <v>1948</v>
      </c>
      <c r="C20" s="1273"/>
      <c r="D20" s="1274">
        <v>5</v>
      </c>
      <c r="E20" s="1268" t="s">
        <v>2156</v>
      </c>
      <c r="F20" s="1275" t="s">
        <v>2136</v>
      </c>
      <c r="G20" s="1269" t="s">
        <v>1458</v>
      </c>
      <c r="H20" s="1270">
        <v>12</v>
      </c>
      <c r="I20" s="1270">
        <v>7</v>
      </c>
      <c r="J20" s="1270">
        <v>30</v>
      </c>
      <c r="K20" s="1270">
        <v>5</v>
      </c>
      <c r="L20" s="1271">
        <v>3</v>
      </c>
      <c r="M20" s="1276">
        <v>400</v>
      </c>
      <c r="N20" s="1271"/>
      <c r="O20" s="1272" t="s">
        <v>136</v>
      </c>
      <c r="P20" s="1846">
        <v>485</v>
      </c>
    </row>
    <row r="21" spans="2:16" ht="42" customHeight="1" outlineLevel="1">
      <c r="B21" s="1322" t="s">
        <v>1644</v>
      </c>
      <c r="C21" s="1323"/>
      <c r="D21" s="125">
        <v>5</v>
      </c>
      <c r="E21" s="126" t="s">
        <v>2156</v>
      </c>
      <c r="F21" s="133" t="s">
        <v>2136</v>
      </c>
      <c r="G21" s="128" t="s">
        <v>1458</v>
      </c>
      <c r="H21" s="130">
        <v>12</v>
      </c>
      <c r="I21" s="1333">
        <v>10</v>
      </c>
      <c r="J21" s="130">
        <v>30</v>
      </c>
      <c r="K21" s="1333">
        <v>7</v>
      </c>
      <c r="L21" s="131">
        <v>3</v>
      </c>
      <c r="M21" s="1326">
        <v>450</v>
      </c>
      <c r="N21" s="131"/>
      <c r="O21" s="151" t="s">
        <v>3528</v>
      </c>
      <c r="P21" s="1848">
        <v>750</v>
      </c>
    </row>
    <row r="22" spans="2:16" ht="42.75" customHeight="1" outlineLevel="1">
      <c r="B22" s="1242" t="s">
        <v>567</v>
      </c>
      <c r="C22" s="1273"/>
      <c r="D22" s="1274">
        <v>6</v>
      </c>
      <c r="E22" s="1268" t="s">
        <v>2156</v>
      </c>
      <c r="F22" s="1275" t="s">
        <v>678</v>
      </c>
      <c r="G22" s="1269" t="s">
        <v>2350</v>
      </c>
      <c r="H22" s="1270">
        <v>15</v>
      </c>
      <c r="I22" s="1270">
        <v>15</v>
      </c>
      <c r="J22" s="1270">
        <v>100</v>
      </c>
      <c r="K22" s="1270">
        <v>7</v>
      </c>
      <c r="L22" s="1271">
        <v>2</v>
      </c>
      <c r="M22" s="1276">
        <v>1000</v>
      </c>
      <c r="N22" s="1271"/>
      <c r="O22" s="1272" t="s">
        <v>3529</v>
      </c>
      <c r="P22" s="1846">
        <v>1946</v>
      </c>
    </row>
    <row r="23" spans="2:16" ht="43.5" customHeight="1" outlineLevel="1">
      <c r="B23" s="1322" t="s">
        <v>654</v>
      </c>
      <c r="C23" s="1323"/>
      <c r="D23" s="125">
        <v>6</v>
      </c>
      <c r="E23" s="126" t="s">
        <v>2156</v>
      </c>
      <c r="F23" s="1332" t="s">
        <v>1393</v>
      </c>
      <c r="G23" s="128" t="s">
        <v>2350</v>
      </c>
      <c r="H23" s="1333">
        <v>16</v>
      </c>
      <c r="I23" s="1333">
        <v>16</v>
      </c>
      <c r="J23" s="130">
        <v>100</v>
      </c>
      <c r="K23" s="1333">
        <v>9</v>
      </c>
      <c r="L23" s="131">
        <v>2</v>
      </c>
      <c r="M23" s="1326">
        <v>1200</v>
      </c>
      <c r="N23" s="131"/>
      <c r="O23" s="151" t="s">
        <v>3529</v>
      </c>
      <c r="P23" s="1848">
        <v>2100</v>
      </c>
    </row>
    <row r="24" spans="2:16" ht="42.75" customHeight="1" outlineLevel="1">
      <c r="B24" s="1242" t="s">
        <v>650</v>
      </c>
      <c r="C24" s="1273"/>
      <c r="D24" s="1274">
        <v>7</v>
      </c>
      <c r="E24" s="1268" t="s">
        <v>2156</v>
      </c>
      <c r="F24" s="1275">
        <v>50</v>
      </c>
      <c r="G24" s="1269" t="s">
        <v>1666</v>
      </c>
      <c r="H24" s="1270">
        <v>20</v>
      </c>
      <c r="I24" s="1270">
        <v>20</v>
      </c>
      <c r="J24" s="1270">
        <v>200</v>
      </c>
      <c r="K24" s="1270">
        <v>12</v>
      </c>
      <c r="L24" s="1271">
        <v>1</v>
      </c>
      <c r="M24" s="1276">
        <v>3000</v>
      </c>
      <c r="N24" s="1271" t="s">
        <v>3480</v>
      </c>
      <c r="O24" s="1272" t="s">
        <v>5910</v>
      </c>
      <c r="P24" s="1846">
        <v>5019</v>
      </c>
    </row>
    <row r="25" spans="2:16" ht="42" customHeight="1" outlineLevel="1" thickBot="1">
      <c r="B25" s="1327" t="s">
        <v>1220</v>
      </c>
      <c r="C25" s="1328"/>
      <c r="D25" s="136">
        <v>7</v>
      </c>
      <c r="E25" s="137" t="s">
        <v>2156</v>
      </c>
      <c r="F25" s="138">
        <v>50</v>
      </c>
      <c r="G25" s="139" t="s">
        <v>1666</v>
      </c>
      <c r="H25" s="1337">
        <v>30</v>
      </c>
      <c r="I25" s="1337">
        <v>30</v>
      </c>
      <c r="J25" s="1337">
        <v>250</v>
      </c>
      <c r="K25" s="1337">
        <v>18</v>
      </c>
      <c r="L25" s="141">
        <v>1</v>
      </c>
      <c r="M25" s="1335">
        <v>5000</v>
      </c>
      <c r="N25" s="1336" t="s">
        <v>3481</v>
      </c>
      <c r="O25" s="152" t="s">
        <v>5911</v>
      </c>
      <c r="P25" s="1849">
        <v>8776</v>
      </c>
    </row>
    <row r="26" spans="2:16" ht="37.5" customHeight="1">
      <c r="B26" s="1244" t="s">
        <v>2234</v>
      </c>
      <c r="C26" s="1278"/>
      <c r="D26" s="389">
        <v>1</v>
      </c>
      <c r="E26" s="1279" t="s">
        <v>893</v>
      </c>
      <c r="F26" s="1280" t="s">
        <v>2135</v>
      </c>
      <c r="G26" s="1281" t="s">
        <v>844</v>
      </c>
      <c r="H26" s="1282">
        <v>5</v>
      </c>
      <c r="I26" s="1282">
        <v>3</v>
      </c>
      <c r="J26" s="1282">
        <v>8</v>
      </c>
      <c r="K26" s="1282">
        <v>6</v>
      </c>
      <c r="L26" s="1283">
        <v>14</v>
      </c>
      <c r="M26" s="1284">
        <v>70</v>
      </c>
      <c r="N26" s="1283"/>
      <c r="O26" s="1285" t="s">
        <v>137</v>
      </c>
      <c r="P26" s="1229">
        <v>100</v>
      </c>
    </row>
    <row r="27" spans="2:16" ht="38.25" customHeight="1" outlineLevel="1">
      <c r="B27" s="1322" t="s">
        <v>3444</v>
      </c>
      <c r="C27" s="1323"/>
      <c r="D27" s="125">
        <v>1</v>
      </c>
      <c r="E27" s="126" t="s">
        <v>893</v>
      </c>
      <c r="F27" s="133" t="s">
        <v>2135</v>
      </c>
      <c r="G27" s="128" t="s">
        <v>844</v>
      </c>
      <c r="H27" s="1333">
        <v>6</v>
      </c>
      <c r="I27" s="130">
        <v>3</v>
      </c>
      <c r="J27" s="1333">
        <v>10</v>
      </c>
      <c r="K27" s="1333">
        <v>8</v>
      </c>
      <c r="L27" s="131">
        <v>14</v>
      </c>
      <c r="M27" s="1326">
        <v>90</v>
      </c>
      <c r="N27" s="131"/>
      <c r="O27" s="151" t="s">
        <v>137</v>
      </c>
      <c r="P27" s="1848">
        <v>138</v>
      </c>
    </row>
    <row r="28" spans="2:16" ht="36.75" customHeight="1" outlineLevel="1">
      <c r="B28" s="1242" t="s">
        <v>374</v>
      </c>
      <c r="C28" s="1273"/>
      <c r="D28" s="65">
        <v>2</v>
      </c>
      <c r="E28" s="1268" t="s">
        <v>893</v>
      </c>
      <c r="F28" s="1275" t="s">
        <v>2135</v>
      </c>
      <c r="G28" s="1269" t="s">
        <v>755</v>
      </c>
      <c r="H28" s="1270">
        <v>6</v>
      </c>
      <c r="I28" s="1270">
        <v>7</v>
      </c>
      <c r="J28" s="1270">
        <v>20</v>
      </c>
      <c r="K28" s="1270">
        <v>3</v>
      </c>
      <c r="L28" s="1277">
        <v>8</v>
      </c>
      <c r="M28" s="1276">
        <v>120</v>
      </c>
      <c r="N28" s="1271"/>
      <c r="O28" s="1272" t="s">
        <v>3530</v>
      </c>
      <c r="P28" s="1846">
        <v>138</v>
      </c>
    </row>
    <row r="29" spans="2:16" ht="38.25" customHeight="1" outlineLevel="1">
      <c r="B29" s="1322" t="s">
        <v>1597</v>
      </c>
      <c r="C29" s="1323"/>
      <c r="D29" s="125">
        <v>2</v>
      </c>
      <c r="E29" s="126" t="s">
        <v>893</v>
      </c>
      <c r="F29" s="133" t="s">
        <v>2135</v>
      </c>
      <c r="G29" s="128" t="s">
        <v>755</v>
      </c>
      <c r="H29" s="129">
        <v>7</v>
      </c>
      <c r="I29" s="130">
        <v>7</v>
      </c>
      <c r="J29" s="130">
        <v>20</v>
      </c>
      <c r="K29" s="129">
        <v>5</v>
      </c>
      <c r="L29" s="134">
        <v>8</v>
      </c>
      <c r="M29" s="1326">
        <v>150</v>
      </c>
      <c r="N29" s="131"/>
      <c r="O29" s="151" t="s">
        <v>5293</v>
      </c>
      <c r="P29" s="1848">
        <v>209</v>
      </c>
    </row>
    <row r="30" spans="2:16" ht="37.5" customHeight="1" outlineLevel="1">
      <c r="B30" s="1242" t="s">
        <v>2844</v>
      </c>
      <c r="C30" s="1273"/>
      <c r="D30" s="65">
        <v>3</v>
      </c>
      <c r="E30" s="1268" t="s">
        <v>893</v>
      </c>
      <c r="F30" s="1275" t="s">
        <v>844</v>
      </c>
      <c r="G30" s="1269" t="s">
        <v>756</v>
      </c>
      <c r="H30" s="1270">
        <v>9</v>
      </c>
      <c r="I30" s="1270">
        <v>5</v>
      </c>
      <c r="J30" s="1270">
        <v>15</v>
      </c>
      <c r="K30" s="1270">
        <v>6</v>
      </c>
      <c r="L30" s="1271">
        <v>7</v>
      </c>
      <c r="M30" s="1276">
        <v>200</v>
      </c>
      <c r="N30" s="1271"/>
      <c r="O30" s="1272" t="s">
        <v>136</v>
      </c>
      <c r="P30" s="1846">
        <v>234</v>
      </c>
    </row>
    <row r="31" spans="2:16" ht="39" customHeight="1" outlineLevel="1">
      <c r="B31" s="1322" t="s">
        <v>840</v>
      </c>
      <c r="C31" s="1323"/>
      <c r="D31" s="125">
        <v>3</v>
      </c>
      <c r="E31" s="126" t="s">
        <v>893</v>
      </c>
      <c r="F31" s="133" t="s">
        <v>844</v>
      </c>
      <c r="G31" s="128" t="s">
        <v>756</v>
      </c>
      <c r="H31" s="130">
        <v>9</v>
      </c>
      <c r="I31" s="130">
        <v>5</v>
      </c>
      <c r="J31" s="130">
        <v>15</v>
      </c>
      <c r="K31" s="129">
        <v>7</v>
      </c>
      <c r="L31" s="131">
        <v>7</v>
      </c>
      <c r="M31" s="1326">
        <v>225</v>
      </c>
      <c r="N31" s="131"/>
      <c r="O31" s="151" t="s">
        <v>3526</v>
      </c>
      <c r="P31" s="1848">
        <v>331</v>
      </c>
    </row>
    <row r="32" spans="2:16" ht="36.75" customHeight="1" outlineLevel="1">
      <c r="B32" s="1242" t="s">
        <v>1949</v>
      </c>
      <c r="C32" s="1273"/>
      <c r="D32" s="65">
        <v>4</v>
      </c>
      <c r="E32" s="1268" t="s">
        <v>893</v>
      </c>
      <c r="F32" s="1275" t="s">
        <v>756</v>
      </c>
      <c r="G32" s="1269" t="s">
        <v>3157</v>
      </c>
      <c r="H32" s="1270">
        <v>9</v>
      </c>
      <c r="I32" s="1270">
        <v>8</v>
      </c>
      <c r="J32" s="1270">
        <v>30</v>
      </c>
      <c r="K32" s="1270">
        <v>8</v>
      </c>
      <c r="L32" s="1271">
        <v>5</v>
      </c>
      <c r="M32" s="1276">
        <v>250</v>
      </c>
      <c r="N32" s="1271"/>
      <c r="O32" s="1272" t="s">
        <v>3531</v>
      </c>
      <c r="P32" s="1846">
        <v>518</v>
      </c>
    </row>
    <row r="33" spans="2:16" ht="37.5" customHeight="1" outlineLevel="1">
      <c r="B33" s="1322" t="s">
        <v>900</v>
      </c>
      <c r="C33" s="1323"/>
      <c r="D33" s="125">
        <v>4</v>
      </c>
      <c r="E33" s="126" t="s">
        <v>893</v>
      </c>
      <c r="F33" s="133" t="s">
        <v>756</v>
      </c>
      <c r="G33" s="128" t="s">
        <v>3157</v>
      </c>
      <c r="H33" s="130">
        <v>9</v>
      </c>
      <c r="I33" s="129">
        <v>10</v>
      </c>
      <c r="J33" s="130">
        <v>30</v>
      </c>
      <c r="K33" s="129">
        <v>12</v>
      </c>
      <c r="L33" s="131">
        <v>5</v>
      </c>
      <c r="M33" s="1326">
        <v>275</v>
      </c>
      <c r="N33" s="131"/>
      <c r="O33" s="151" t="s">
        <v>3531</v>
      </c>
      <c r="P33" s="1848">
        <v>532</v>
      </c>
    </row>
    <row r="34" spans="2:16" ht="36.75" customHeight="1" outlineLevel="1">
      <c r="B34" s="1242" t="s">
        <v>3445</v>
      </c>
      <c r="C34" s="1273"/>
      <c r="D34" s="65">
        <v>5</v>
      </c>
      <c r="E34" s="1268" t="s">
        <v>893</v>
      </c>
      <c r="F34" s="1275" t="s">
        <v>2136</v>
      </c>
      <c r="G34" s="1269" t="s">
        <v>1665</v>
      </c>
      <c r="H34" s="1270">
        <v>9</v>
      </c>
      <c r="I34" s="1270">
        <v>12</v>
      </c>
      <c r="J34" s="1270">
        <v>55</v>
      </c>
      <c r="K34" s="1270">
        <v>3</v>
      </c>
      <c r="L34" s="1271">
        <v>3</v>
      </c>
      <c r="M34" s="1276">
        <v>350</v>
      </c>
      <c r="N34" s="1271"/>
      <c r="O34" s="1286" t="s">
        <v>3519</v>
      </c>
      <c r="P34" s="1846">
        <v>517</v>
      </c>
    </row>
    <row r="35" spans="2:16" ht="38.25" customHeight="1" outlineLevel="1">
      <c r="B35" s="1322" t="s">
        <v>3446</v>
      </c>
      <c r="C35" s="1323"/>
      <c r="D35" s="125">
        <v>5</v>
      </c>
      <c r="E35" s="126" t="s">
        <v>893</v>
      </c>
      <c r="F35" s="133" t="s">
        <v>2136</v>
      </c>
      <c r="G35" s="128" t="s">
        <v>1665</v>
      </c>
      <c r="H35" s="130">
        <v>9</v>
      </c>
      <c r="I35" s="130">
        <v>12</v>
      </c>
      <c r="J35" s="129">
        <v>65</v>
      </c>
      <c r="K35" s="129">
        <v>4</v>
      </c>
      <c r="L35" s="131">
        <v>3</v>
      </c>
      <c r="M35" s="1326">
        <v>425</v>
      </c>
      <c r="N35" s="131"/>
      <c r="O35" s="153" t="s">
        <v>3519</v>
      </c>
      <c r="P35" s="1848">
        <v>803</v>
      </c>
    </row>
    <row r="36" spans="2:16" ht="39" customHeight="1" outlineLevel="1">
      <c r="B36" s="1242" t="s">
        <v>1052</v>
      </c>
      <c r="C36" s="1273"/>
      <c r="D36" s="65">
        <v>6</v>
      </c>
      <c r="E36" s="1268" t="s">
        <v>893</v>
      </c>
      <c r="F36" s="1275" t="s">
        <v>1905</v>
      </c>
      <c r="G36" s="1269" t="s">
        <v>3162</v>
      </c>
      <c r="H36" s="1270">
        <v>15</v>
      </c>
      <c r="I36" s="1270">
        <v>14</v>
      </c>
      <c r="J36" s="1270">
        <v>90</v>
      </c>
      <c r="K36" s="1270">
        <v>7</v>
      </c>
      <c r="L36" s="1271">
        <v>2</v>
      </c>
      <c r="M36" s="1276">
        <v>850</v>
      </c>
      <c r="N36" s="1271"/>
      <c r="O36" s="1272" t="s">
        <v>3532</v>
      </c>
      <c r="P36" s="1846">
        <v>1806</v>
      </c>
    </row>
    <row r="37" spans="2:16" ht="39" customHeight="1" outlineLevel="1">
      <c r="B37" s="1322" t="s">
        <v>841</v>
      </c>
      <c r="C37" s="1323"/>
      <c r="D37" s="125">
        <v>6</v>
      </c>
      <c r="E37" s="126" t="s">
        <v>893</v>
      </c>
      <c r="F37" s="133" t="s">
        <v>1905</v>
      </c>
      <c r="G37" s="128" t="s">
        <v>3162</v>
      </c>
      <c r="H37" s="130">
        <v>15</v>
      </c>
      <c r="I37" s="130">
        <v>14</v>
      </c>
      <c r="J37" s="129">
        <v>110</v>
      </c>
      <c r="K37" s="129">
        <v>9</v>
      </c>
      <c r="L37" s="131">
        <v>2</v>
      </c>
      <c r="M37" s="1326">
        <v>950</v>
      </c>
      <c r="N37" s="131"/>
      <c r="O37" s="151" t="s">
        <v>3532</v>
      </c>
      <c r="P37" s="1848">
        <v>2030</v>
      </c>
    </row>
    <row r="38" spans="2:16" ht="38.25" customHeight="1" outlineLevel="1">
      <c r="B38" s="1242" t="s">
        <v>3447</v>
      </c>
      <c r="C38" s="1273"/>
      <c r="D38" s="65">
        <v>7</v>
      </c>
      <c r="E38" s="1268" t="s">
        <v>893</v>
      </c>
      <c r="F38" s="1275" t="s">
        <v>3177</v>
      </c>
      <c r="G38" s="1269" t="s">
        <v>1666</v>
      </c>
      <c r="H38" s="1270">
        <v>18</v>
      </c>
      <c r="I38" s="1270">
        <v>18</v>
      </c>
      <c r="J38" s="1270">
        <v>180</v>
      </c>
      <c r="K38" s="1270">
        <v>10</v>
      </c>
      <c r="L38" s="1271">
        <v>1</v>
      </c>
      <c r="M38" s="1276">
        <v>2400</v>
      </c>
      <c r="N38" s="1271" t="s">
        <v>1436</v>
      </c>
      <c r="O38" s="1272" t="s">
        <v>5961</v>
      </c>
      <c r="P38" s="1846">
        <v>4872</v>
      </c>
    </row>
    <row r="39" spans="2:16" ht="39" customHeight="1" outlineLevel="1" thickBot="1">
      <c r="B39" s="1329" t="s">
        <v>842</v>
      </c>
      <c r="C39" s="1330"/>
      <c r="D39" s="142">
        <v>7</v>
      </c>
      <c r="E39" s="1094" t="s">
        <v>893</v>
      </c>
      <c r="F39" s="143" t="s">
        <v>3177</v>
      </c>
      <c r="G39" s="144" t="s">
        <v>1666</v>
      </c>
      <c r="H39" s="145">
        <v>27</v>
      </c>
      <c r="I39" s="145">
        <v>27</v>
      </c>
      <c r="J39" s="145">
        <v>250</v>
      </c>
      <c r="K39" s="145">
        <v>16</v>
      </c>
      <c r="L39" s="146">
        <v>1</v>
      </c>
      <c r="M39" s="1338">
        <v>4000</v>
      </c>
      <c r="N39" s="1339" t="s">
        <v>1437</v>
      </c>
      <c r="O39" s="154" t="s">
        <v>5962</v>
      </c>
      <c r="P39" s="1850">
        <v>8613</v>
      </c>
    </row>
    <row r="40" spans="2:16" ht="37.5" customHeight="1">
      <c r="B40" s="1241" t="s">
        <v>1532</v>
      </c>
      <c r="C40" s="1259"/>
      <c r="D40" s="67">
        <v>1</v>
      </c>
      <c r="E40" s="1261" t="s">
        <v>2141</v>
      </c>
      <c r="F40" s="1262" t="s">
        <v>729</v>
      </c>
      <c r="G40" s="1263" t="s">
        <v>2135</v>
      </c>
      <c r="H40" s="1264">
        <v>3</v>
      </c>
      <c r="I40" s="1264">
        <v>3</v>
      </c>
      <c r="J40" s="1264">
        <v>4</v>
      </c>
      <c r="K40" s="1264">
        <v>4</v>
      </c>
      <c r="L40" s="1265">
        <v>16</v>
      </c>
      <c r="M40" s="1266">
        <v>30</v>
      </c>
      <c r="N40" s="1265"/>
      <c r="O40" s="1267" t="s">
        <v>137</v>
      </c>
      <c r="P40" s="1845">
        <v>44</v>
      </c>
    </row>
    <row r="41" spans="2:16" ht="38.25" customHeight="1" outlineLevel="1">
      <c r="B41" s="1322" t="s">
        <v>1533</v>
      </c>
      <c r="C41" s="1323"/>
      <c r="D41" s="125">
        <v>1</v>
      </c>
      <c r="E41" s="126" t="s">
        <v>2141</v>
      </c>
      <c r="F41" s="133" t="s">
        <v>729</v>
      </c>
      <c r="G41" s="128" t="s">
        <v>2135</v>
      </c>
      <c r="H41" s="129">
        <v>4</v>
      </c>
      <c r="I41" s="129">
        <v>4</v>
      </c>
      <c r="J41" s="130">
        <v>4</v>
      </c>
      <c r="K41" s="129">
        <v>5</v>
      </c>
      <c r="L41" s="131">
        <v>16</v>
      </c>
      <c r="M41" s="1326">
        <v>40</v>
      </c>
      <c r="N41" s="131"/>
      <c r="O41" s="151" t="s">
        <v>136</v>
      </c>
      <c r="P41" s="1848">
        <v>66</v>
      </c>
    </row>
    <row r="42" spans="2:16" ht="38.25" customHeight="1" outlineLevel="1">
      <c r="B42" s="1242" t="s">
        <v>3448</v>
      </c>
      <c r="C42" s="1273"/>
      <c r="D42" s="65">
        <v>2</v>
      </c>
      <c r="E42" s="1268" t="s">
        <v>2141</v>
      </c>
      <c r="F42" s="1275" t="s">
        <v>2135</v>
      </c>
      <c r="G42" s="1269" t="s">
        <v>844</v>
      </c>
      <c r="H42" s="1270">
        <v>6</v>
      </c>
      <c r="I42" s="1270">
        <v>6</v>
      </c>
      <c r="J42" s="1270">
        <v>16</v>
      </c>
      <c r="K42" s="1270">
        <v>6</v>
      </c>
      <c r="L42" s="1277">
        <v>9</v>
      </c>
      <c r="M42" s="1276">
        <v>130</v>
      </c>
      <c r="N42" s="1271"/>
      <c r="O42" s="1286" t="s">
        <v>3533</v>
      </c>
      <c r="P42" s="1846">
        <v>165</v>
      </c>
    </row>
    <row r="43" spans="2:16" ht="38.25" customHeight="1" outlineLevel="1">
      <c r="B43" s="1322" t="s">
        <v>3449</v>
      </c>
      <c r="C43" s="1323"/>
      <c r="D43" s="125">
        <v>2</v>
      </c>
      <c r="E43" s="126" t="s">
        <v>2141</v>
      </c>
      <c r="F43" s="133" t="s">
        <v>2135</v>
      </c>
      <c r="G43" s="128" t="s">
        <v>844</v>
      </c>
      <c r="H43" s="129">
        <v>7</v>
      </c>
      <c r="I43" s="129">
        <v>7</v>
      </c>
      <c r="J43" s="130">
        <v>16</v>
      </c>
      <c r="K43" s="129">
        <v>9</v>
      </c>
      <c r="L43" s="134">
        <v>9</v>
      </c>
      <c r="M43" s="1326">
        <v>160</v>
      </c>
      <c r="N43" s="131"/>
      <c r="O43" s="153" t="s">
        <v>3533</v>
      </c>
      <c r="P43" s="1848">
        <v>201</v>
      </c>
    </row>
    <row r="44" spans="2:16" ht="38.25" customHeight="1" outlineLevel="1">
      <c r="B44" s="1242" t="s">
        <v>2260</v>
      </c>
      <c r="C44" s="1273"/>
      <c r="D44" s="65">
        <v>3</v>
      </c>
      <c r="E44" s="1268" t="s">
        <v>2141</v>
      </c>
      <c r="F44" s="1275" t="s">
        <v>755</v>
      </c>
      <c r="G44" s="1269" t="s">
        <v>756</v>
      </c>
      <c r="H44" s="1270">
        <v>7</v>
      </c>
      <c r="I44" s="1270">
        <v>10</v>
      </c>
      <c r="J44" s="1270">
        <v>30</v>
      </c>
      <c r="K44" s="1270">
        <v>3</v>
      </c>
      <c r="L44" s="1271">
        <v>6</v>
      </c>
      <c r="M44" s="1276">
        <v>150</v>
      </c>
      <c r="N44" s="1271"/>
      <c r="O44" s="1272" t="s">
        <v>3534</v>
      </c>
      <c r="P44" s="1846">
        <v>250</v>
      </c>
    </row>
    <row r="45" spans="2:16" ht="39.75" customHeight="1" outlineLevel="1">
      <c r="B45" s="1322" t="s">
        <v>3450</v>
      </c>
      <c r="C45" s="1323"/>
      <c r="D45" s="125">
        <v>3</v>
      </c>
      <c r="E45" s="126" t="s">
        <v>2141</v>
      </c>
      <c r="F45" s="133" t="s">
        <v>755</v>
      </c>
      <c r="G45" s="128" t="s">
        <v>756</v>
      </c>
      <c r="H45" s="129">
        <v>9</v>
      </c>
      <c r="I45" s="130">
        <v>10</v>
      </c>
      <c r="J45" s="129">
        <v>35</v>
      </c>
      <c r="K45" s="129">
        <v>5</v>
      </c>
      <c r="L45" s="131">
        <v>6</v>
      </c>
      <c r="M45" s="1326">
        <v>200</v>
      </c>
      <c r="N45" s="131"/>
      <c r="O45" s="151" t="s">
        <v>3535</v>
      </c>
      <c r="P45" s="1848">
        <v>412</v>
      </c>
    </row>
    <row r="46" spans="2:16" ht="37.5" customHeight="1" outlineLevel="1">
      <c r="B46" s="1242" t="s">
        <v>1817</v>
      </c>
      <c r="C46" s="1273"/>
      <c r="D46" s="65">
        <v>4</v>
      </c>
      <c r="E46" s="1268" t="s">
        <v>2141</v>
      </c>
      <c r="F46" s="1275" t="s">
        <v>1888</v>
      </c>
      <c r="G46" s="1269" t="s">
        <v>3157</v>
      </c>
      <c r="H46" s="1270">
        <v>11</v>
      </c>
      <c r="I46" s="1270">
        <v>8</v>
      </c>
      <c r="J46" s="1270">
        <v>25</v>
      </c>
      <c r="K46" s="1270">
        <v>5</v>
      </c>
      <c r="L46" s="1271">
        <v>4</v>
      </c>
      <c r="M46" s="1276">
        <v>350</v>
      </c>
      <c r="N46" s="1271"/>
      <c r="O46" s="1272" t="s">
        <v>5963</v>
      </c>
      <c r="P46" s="1846">
        <v>570</v>
      </c>
    </row>
    <row r="47" spans="2:16" ht="38.25" customHeight="1" outlineLevel="1">
      <c r="B47" s="1322" t="s">
        <v>3451</v>
      </c>
      <c r="C47" s="1323"/>
      <c r="D47" s="125">
        <v>4</v>
      </c>
      <c r="E47" s="126" t="s">
        <v>2141</v>
      </c>
      <c r="F47" s="133" t="s">
        <v>1888</v>
      </c>
      <c r="G47" s="128" t="s">
        <v>3157</v>
      </c>
      <c r="H47" s="129">
        <v>12</v>
      </c>
      <c r="I47" s="129">
        <v>9</v>
      </c>
      <c r="J47" s="129">
        <v>30</v>
      </c>
      <c r="K47" s="129">
        <v>7</v>
      </c>
      <c r="L47" s="131">
        <v>4</v>
      </c>
      <c r="M47" s="1326">
        <v>450</v>
      </c>
      <c r="N47" s="131"/>
      <c r="O47" s="151" t="s">
        <v>5963</v>
      </c>
      <c r="P47" s="1848">
        <v>680</v>
      </c>
    </row>
    <row r="48" spans="2:16" ht="37.5" customHeight="1" outlineLevel="1">
      <c r="B48" s="1242" t="s">
        <v>3062</v>
      </c>
      <c r="C48" s="1273"/>
      <c r="D48" s="65">
        <v>5</v>
      </c>
      <c r="E48" s="1268" t="s">
        <v>2141</v>
      </c>
      <c r="F48" s="1275" t="s">
        <v>3477</v>
      </c>
      <c r="G48" s="1269" t="s">
        <v>1640</v>
      </c>
      <c r="H48" s="1270">
        <v>12</v>
      </c>
      <c r="I48" s="1270">
        <v>12</v>
      </c>
      <c r="J48" s="1270">
        <v>40</v>
      </c>
      <c r="K48" s="1270">
        <v>7</v>
      </c>
      <c r="L48" s="1271">
        <v>3</v>
      </c>
      <c r="M48" s="1276">
        <v>550</v>
      </c>
      <c r="N48" s="1271"/>
      <c r="O48" s="1272" t="s">
        <v>3536</v>
      </c>
      <c r="P48" s="1846">
        <v>884</v>
      </c>
    </row>
    <row r="49" spans="2:16" ht="39" customHeight="1" outlineLevel="1">
      <c r="B49" s="1322" t="s">
        <v>3452</v>
      </c>
      <c r="C49" s="1323"/>
      <c r="D49" s="125">
        <v>5</v>
      </c>
      <c r="E49" s="126" t="s">
        <v>2141</v>
      </c>
      <c r="F49" s="133" t="s">
        <v>3477</v>
      </c>
      <c r="G49" s="128" t="s">
        <v>1640</v>
      </c>
      <c r="H49" s="130">
        <v>12</v>
      </c>
      <c r="I49" s="130">
        <v>12</v>
      </c>
      <c r="J49" s="130">
        <v>40</v>
      </c>
      <c r="K49" s="129">
        <v>11</v>
      </c>
      <c r="L49" s="131">
        <v>3</v>
      </c>
      <c r="M49" s="1326">
        <v>600</v>
      </c>
      <c r="N49" s="131"/>
      <c r="O49" s="151" t="s">
        <v>3537</v>
      </c>
      <c r="P49" s="1848">
        <v>942</v>
      </c>
    </row>
    <row r="50" spans="2:16" ht="38.25" customHeight="1" outlineLevel="1">
      <c r="B50" s="1242" t="s">
        <v>566</v>
      </c>
      <c r="C50" s="1273"/>
      <c r="D50" s="65">
        <v>6</v>
      </c>
      <c r="E50" s="1268" t="s">
        <v>2141</v>
      </c>
      <c r="F50" s="1275" t="s">
        <v>1393</v>
      </c>
      <c r="G50" s="1269" t="s">
        <v>1393</v>
      </c>
      <c r="H50" s="1270">
        <v>16</v>
      </c>
      <c r="I50" s="1270">
        <v>13</v>
      </c>
      <c r="J50" s="1270">
        <v>110</v>
      </c>
      <c r="K50" s="1270">
        <v>5</v>
      </c>
      <c r="L50" s="1271">
        <v>2</v>
      </c>
      <c r="M50" s="1276">
        <v>1100</v>
      </c>
      <c r="N50" s="1271"/>
      <c r="O50" s="1272" t="s">
        <v>3538</v>
      </c>
      <c r="P50" s="1846">
        <v>2016</v>
      </c>
    </row>
    <row r="51" spans="2:16" ht="37.5" customHeight="1" outlineLevel="1">
      <c r="B51" s="1322" t="s">
        <v>3453</v>
      </c>
      <c r="C51" s="1323"/>
      <c r="D51" s="125">
        <v>6</v>
      </c>
      <c r="E51" s="126" t="s">
        <v>2141</v>
      </c>
      <c r="F51" s="127" t="s">
        <v>561</v>
      </c>
      <c r="G51" s="135" t="s">
        <v>561</v>
      </c>
      <c r="H51" s="130">
        <v>16</v>
      </c>
      <c r="I51" s="130">
        <v>13</v>
      </c>
      <c r="J51" s="130">
        <v>110</v>
      </c>
      <c r="K51" s="129">
        <v>7</v>
      </c>
      <c r="L51" s="131">
        <v>2</v>
      </c>
      <c r="M51" s="1326">
        <v>1600</v>
      </c>
      <c r="N51" s="131"/>
      <c r="O51" s="151" t="s">
        <v>3538</v>
      </c>
      <c r="P51" s="1848">
        <v>2840</v>
      </c>
    </row>
    <row r="52" spans="2:16" ht="37.5" customHeight="1" outlineLevel="1">
      <c r="B52" s="1242" t="s">
        <v>652</v>
      </c>
      <c r="C52" s="1273"/>
      <c r="D52" s="65">
        <v>7</v>
      </c>
      <c r="E52" s="1268" t="s">
        <v>2141</v>
      </c>
      <c r="F52" s="1275" t="s">
        <v>3177</v>
      </c>
      <c r="G52" s="1269" t="s">
        <v>3196</v>
      </c>
      <c r="H52" s="1270">
        <v>19</v>
      </c>
      <c r="I52" s="1270">
        <v>16</v>
      </c>
      <c r="J52" s="1270">
        <v>150</v>
      </c>
      <c r="K52" s="1270">
        <v>7</v>
      </c>
      <c r="L52" s="1271">
        <v>1</v>
      </c>
      <c r="M52" s="1276">
        <v>2000</v>
      </c>
      <c r="N52" s="1271" t="s">
        <v>3480</v>
      </c>
      <c r="O52" s="1272" t="s">
        <v>3539</v>
      </c>
      <c r="P52" s="1846">
        <v>3718</v>
      </c>
    </row>
    <row r="53" spans="2:16" ht="48.75" outlineLevel="1" thickBot="1">
      <c r="B53" s="1327" t="s">
        <v>1221</v>
      </c>
      <c r="C53" s="1328"/>
      <c r="D53" s="136">
        <v>7</v>
      </c>
      <c r="E53" s="137" t="s">
        <v>2141</v>
      </c>
      <c r="F53" s="138" t="s">
        <v>3177</v>
      </c>
      <c r="G53" s="139" t="s">
        <v>3196</v>
      </c>
      <c r="H53" s="140">
        <v>24</v>
      </c>
      <c r="I53" s="140">
        <v>24</v>
      </c>
      <c r="J53" s="140">
        <v>300</v>
      </c>
      <c r="K53" s="140">
        <v>11</v>
      </c>
      <c r="L53" s="141">
        <v>1</v>
      </c>
      <c r="M53" s="1335">
        <v>5000</v>
      </c>
      <c r="N53" s="1336" t="s">
        <v>3482</v>
      </c>
      <c r="O53" s="152" t="s">
        <v>3540</v>
      </c>
      <c r="P53" s="1849">
        <v>7500</v>
      </c>
    </row>
    <row r="54" spans="2:16" ht="38.25" customHeight="1">
      <c r="B54" s="1244" t="s">
        <v>1536</v>
      </c>
      <c r="C54" s="1278"/>
      <c r="D54" s="389">
        <v>1</v>
      </c>
      <c r="E54" s="1279" t="s">
        <v>625</v>
      </c>
      <c r="F54" s="1280" t="s">
        <v>729</v>
      </c>
      <c r="G54" s="1281" t="s">
        <v>844</v>
      </c>
      <c r="H54" s="1282">
        <v>5</v>
      </c>
      <c r="I54" s="1282">
        <v>4</v>
      </c>
      <c r="J54" s="1282">
        <v>6</v>
      </c>
      <c r="K54" s="1282">
        <v>4</v>
      </c>
      <c r="L54" s="1291">
        <v>12</v>
      </c>
      <c r="M54" s="1284">
        <v>60</v>
      </c>
      <c r="N54" s="1283"/>
      <c r="O54" s="1285" t="s">
        <v>3541</v>
      </c>
      <c r="P54" s="1229">
        <v>60</v>
      </c>
    </row>
    <row r="55" spans="2:16" ht="39.75" customHeight="1" outlineLevel="1">
      <c r="B55" s="1322" t="s">
        <v>3454</v>
      </c>
      <c r="C55" s="1323"/>
      <c r="D55" s="125">
        <v>1</v>
      </c>
      <c r="E55" s="126" t="s">
        <v>625</v>
      </c>
      <c r="F55" s="133" t="s">
        <v>729</v>
      </c>
      <c r="G55" s="128" t="s">
        <v>844</v>
      </c>
      <c r="H55" s="129">
        <v>6</v>
      </c>
      <c r="I55" s="129">
        <v>6</v>
      </c>
      <c r="J55" s="130">
        <v>6</v>
      </c>
      <c r="K55" s="129">
        <v>5</v>
      </c>
      <c r="L55" s="134">
        <v>12</v>
      </c>
      <c r="M55" s="1326">
        <v>70</v>
      </c>
      <c r="N55" s="131"/>
      <c r="O55" s="151" t="s">
        <v>3541</v>
      </c>
      <c r="P55" s="1848">
        <v>85</v>
      </c>
    </row>
    <row r="56" spans="2:16" ht="39" customHeight="1" outlineLevel="1">
      <c r="B56" s="1242" t="s">
        <v>2528</v>
      </c>
      <c r="C56" s="1273"/>
      <c r="D56" s="65">
        <v>2</v>
      </c>
      <c r="E56" s="1268" t="s">
        <v>625</v>
      </c>
      <c r="F56" s="1275" t="s">
        <v>2135</v>
      </c>
      <c r="G56" s="1269" t="s">
        <v>844</v>
      </c>
      <c r="H56" s="1270">
        <v>5</v>
      </c>
      <c r="I56" s="1270">
        <v>5</v>
      </c>
      <c r="J56" s="1270">
        <v>15</v>
      </c>
      <c r="K56" s="1270">
        <v>3</v>
      </c>
      <c r="L56" s="1271">
        <v>8</v>
      </c>
      <c r="M56" s="1276">
        <v>100</v>
      </c>
      <c r="N56" s="1271"/>
      <c r="O56" s="1272" t="s">
        <v>3541</v>
      </c>
      <c r="P56" s="1846">
        <v>98</v>
      </c>
    </row>
    <row r="57" spans="2:16" ht="38.25" customHeight="1" outlineLevel="1">
      <c r="B57" s="1322" t="s">
        <v>376</v>
      </c>
      <c r="C57" s="1323"/>
      <c r="D57" s="125">
        <v>2</v>
      </c>
      <c r="E57" s="126" t="s">
        <v>625</v>
      </c>
      <c r="F57" s="133" t="s">
        <v>2135</v>
      </c>
      <c r="G57" s="128" t="s">
        <v>844</v>
      </c>
      <c r="H57" s="130">
        <v>5</v>
      </c>
      <c r="I57" s="130">
        <v>5</v>
      </c>
      <c r="J57" s="129">
        <v>20</v>
      </c>
      <c r="K57" s="129">
        <v>4</v>
      </c>
      <c r="L57" s="131">
        <v>8</v>
      </c>
      <c r="M57" s="1326">
        <v>125</v>
      </c>
      <c r="N57" s="131"/>
      <c r="O57" s="151" t="s">
        <v>3542</v>
      </c>
      <c r="P57" s="1848">
        <v>128</v>
      </c>
    </row>
    <row r="58" spans="2:16" ht="39" customHeight="1" outlineLevel="1">
      <c r="B58" s="1242" t="s">
        <v>1594</v>
      </c>
      <c r="C58" s="1273"/>
      <c r="D58" s="65">
        <v>3</v>
      </c>
      <c r="E58" s="1268" t="s">
        <v>625</v>
      </c>
      <c r="F58" s="1275" t="s">
        <v>844</v>
      </c>
      <c r="G58" s="1269" t="s">
        <v>756</v>
      </c>
      <c r="H58" s="1270">
        <v>7</v>
      </c>
      <c r="I58" s="1270">
        <v>7</v>
      </c>
      <c r="J58" s="1270">
        <v>18</v>
      </c>
      <c r="K58" s="1270">
        <v>5</v>
      </c>
      <c r="L58" s="1271">
        <v>7</v>
      </c>
      <c r="M58" s="1276">
        <v>200</v>
      </c>
      <c r="N58" s="1271"/>
      <c r="O58" s="1272" t="s">
        <v>3543</v>
      </c>
      <c r="P58" s="1846">
        <v>252</v>
      </c>
    </row>
    <row r="59" spans="2:16" ht="39" customHeight="1" outlineLevel="1">
      <c r="B59" s="1322" t="s">
        <v>1619</v>
      </c>
      <c r="C59" s="1323"/>
      <c r="D59" s="125">
        <v>3</v>
      </c>
      <c r="E59" s="126" t="s">
        <v>625</v>
      </c>
      <c r="F59" s="133" t="s">
        <v>844</v>
      </c>
      <c r="G59" s="128" t="s">
        <v>756</v>
      </c>
      <c r="H59" s="130">
        <v>7</v>
      </c>
      <c r="I59" s="130">
        <v>7</v>
      </c>
      <c r="J59" s="130">
        <v>18</v>
      </c>
      <c r="K59" s="129">
        <v>7</v>
      </c>
      <c r="L59" s="131">
        <v>7</v>
      </c>
      <c r="M59" s="1326">
        <v>230</v>
      </c>
      <c r="N59" s="131"/>
      <c r="O59" s="151" t="s">
        <v>3544</v>
      </c>
      <c r="P59" s="1848">
        <v>315</v>
      </c>
    </row>
    <row r="60" spans="2:16" ht="39" customHeight="1" outlineLevel="1">
      <c r="B60" s="1242" t="s">
        <v>895</v>
      </c>
      <c r="C60" s="1273"/>
      <c r="D60" s="65">
        <v>4</v>
      </c>
      <c r="E60" s="1268" t="s">
        <v>625</v>
      </c>
      <c r="F60" s="1275" t="s">
        <v>756</v>
      </c>
      <c r="G60" s="1269" t="s">
        <v>2137</v>
      </c>
      <c r="H60" s="1270">
        <v>10</v>
      </c>
      <c r="I60" s="1270">
        <v>9</v>
      </c>
      <c r="J60" s="1270">
        <v>30</v>
      </c>
      <c r="K60" s="1270">
        <v>6</v>
      </c>
      <c r="L60" s="1271">
        <v>4</v>
      </c>
      <c r="M60" s="1276">
        <v>360</v>
      </c>
      <c r="N60" s="1271"/>
      <c r="O60" s="1272" t="s">
        <v>3545</v>
      </c>
      <c r="P60" s="1846">
        <v>555</v>
      </c>
    </row>
    <row r="61" spans="2:16" ht="38.25" customHeight="1" outlineLevel="1">
      <c r="B61" s="1322" t="s">
        <v>3455</v>
      </c>
      <c r="C61" s="1323"/>
      <c r="D61" s="125">
        <v>4</v>
      </c>
      <c r="E61" s="126" t="s">
        <v>625</v>
      </c>
      <c r="F61" s="133" t="s">
        <v>756</v>
      </c>
      <c r="G61" s="128" t="s">
        <v>2137</v>
      </c>
      <c r="H61" s="130">
        <v>10</v>
      </c>
      <c r="I61" s="129">
        <v>10</v>
      </c>
      <c r="J61" s="129">
        <v>40</v>
      </c>
      <c r="K61" s="129">
        <v>9</v>
      </c>
      <c r="L61" s="131">
        <v>4</v>
      </c>
      <c r="M61" s="1326">
        <v>500</v>
      </c>
      <c r="N61" s="131"/>
      <c r="O61" s="151" t="s">
        <v>3546</v>
      </c>
      <c r="P61" s="1848">
        <v>783</v>
      </c>
    </row>
    <row r="62" spans="2:16" ht="39" customHeight="1" outlineLevel="1">
      <c r="B62" s="1242" t="s">
        <v>642</v>
      </c>
      <c r="C62" s="1273"/>
      <c r="D62" s="65">
        <v>5</v>
      </c>
      <c r="E62" s="1268" t="s">
        <v>625</v>
      </c>
      <c r="F62" s="1275" t="s">
        <v>3158</v>
      </c>
      <c r="G62" s="1269" t="s">
        <v>3477</v>
      </c>
      <c r="H62" s="1270">
        <v>13</v>
      </c>
      <c r="I62" s="1270">
        <v>10</v>
      </c>
      <c r="J62" s="1270">
        <v>30</v>
      </c>
      <c r="K62" s="1270">
        <v>6</v>
      </c>
      <c r="L62" s="1271">
        <v>3</v>
      </c>
      <c r="M62" s="1276">
        <v>550</v>
      </c>
      <c r="N62" s="1271"/>
      <c r="O62" s="1272" t="s">
        <v>3547</v>
      </c>
      <c r="P62" s="1846">
        <v>848</v>
      </c>
    </row>
    <row r="63" spans="2:16" ht="39" customHeight="1" outlineLevel="1">
      <c r="B63" s="1322" t="s">
        <v>898</v>
      </c>
      <c r="C63" s="1323"/>
      <c r="D63" s="125">
        <v>5</v>
      </c>
      <c r="E63" s="126" t="s">
        <v>625</v>
      </c>
      <c r="F63" s="133" t="s">
        <v>3158</v>
      </c>
      <c r="G63" s="135" t="s">
        <v>678</v>
      </c>
      <c r="H63" s="130">
        <v>13</v>
      </c>
      <c r="I63" s="130">
        <v>10</v>
      </c>
      <c r="J63" s="129">
        <v>40</v>
      </c>
      <c r="K63" s="129">
        <v>7</v>
      </c>
      <c r="L63" s="131">
        <v>3</v>
      </c>
      <c r="M63" s="1326">
        <v>600</v>
      </c>
      <c r="N63" s="131"/>
      <c r="O63" s="151" t="s">
        <v>3547</v>
      </c>
      <c r="P63" s="1848">
        <v>1079</v>
      </c>
    </row>
    <row r="64" spans="2:16" ht="39" customHeight="1" outlineLevel="1">
      <c r="B64" s="1242" t="s">
        <v>3456</v>
      </c>
      <c r="C64" s="1273"/>
      <c r="D64" s="65">
        <v>6</v>
      </c>
      <c r="E64" s="1268" t="s">
        <v>625</v>
      </c>
      <c r="F64" s="1275" t="s">
        <v>678</v>
      </c>
      <c r="G64" s="1269" t="s">
        <v>561</v>
      </c>
      <c r="H64" s="1270">
        <v>16</v>
      </c>
      <c r="I64" s="1270">
        <v>16</v>
      </c>
      <c r="J64" s="1270">
        <v>120</v>
      </c>
      <c r="K64" s="1270">
        <v>7</v>
      </c>
      <c r="L64" s="1271">
        <v>2</v>
      </c>
      <c r="M64" s="1276">
        <v>1200</v>
      </c>
      <c r="N64" s="1271"/>
      <c r="O64" s="1272" t="s">
        <v>3548</v>
      </c>
      <c r="P64" s="1846">
        <v>2087</v>
      </c>
    </row>
    <row r="65" spans="2:16" ht="37.5" customHeight="1" outlineLevel="1">
      <c r="B65" s="1322" t="s">
        <v>2607</v>
      </c>
      <c r="C65" s="1323"/>
      <c r="D65" s="125">
        <v>6</v>
      </c>
      <c r="E65" s="126" t="s">
        <v>625</v>
      </c>
      <c r="F65" s="133" t="s">
        <v>678</v>
      </c>
      <c r="G65" s="128" t="s">
        <v>561</v>
      </c>
      <c r="H65" s="129">
        <v>18</v>
      </c>
      <c r="I65" s="129">
        <v>18</v>
      </c>
      <c r="J65" s="130">
        <v>120</v>
      </c>
      <c r="K65" s="129">
        <v>9</v>
      </c>
      <c r="L65" s="131">
        <v>2</v>
      </c>
      <c r="M65" s="1326">
        <v>1500</v>
      </c>
      <c r="N65" s="131"/>
      <c r="O65" s="151" t="s">
        <v>3549</v>
      </c>
      <c r="P65" s="1848">
        <v>2382</v>
      </c>
    </row>
    <row r="66" spans="2:16" ht="36.75" customHeight="1" outlineLevel="1">
      <c r="B66" s="1242" t="s">
        <v>899</v>
      </c>
      <c r="C66" s="1273"/>
      <c r="D66" s="65">
        <v>7</v>
      </c>
      <c r="E66" s="1268" t="s">
        <v>625</v>
      </c>
      <c r="F66" s="1275" t="s">
        <v>2350</v>
      </c>
      <c r="G66" s="1269" t="s">
        <v>1666</v>
      </c>
      <c r="H66" s="1270">
        <v>17</v>
      </c>
      <c r="I66" s="1270">
        <v>15</v>
      </c>
      <c r="J66" s="1270">
        <v>150</v>
      </c>
      <c r="K66" s="1270">
        <v>9</v>
      </c>
      <c r="L66" s="1271">
        <v>1</v>
      </c>
      <c r="M66" s="1276">
        <v>1800</v>
      </c>
      <c r="N66" s="1271"/>
      <c r="O66" s="1272" t="s">
        <v>3550</v>
      </c>
      <c r="P66" s="1846">
        <v>3388</v>
      </c>
    </row>
    <row r="67" spans="2:16" ht="38.25" customHeight="1" outlineLevel="1" thickBot="1">
      <c r="B67" s="1329" t="s">
        <v>3457</v>
      </c>
      <c r="C67" s="1330"/>
      <c r="D67" s="142">
        <v>7</v>
      </c>
      <c r="E67" s="1094" t="s">
        <v>625</v>
      </c>
      <c r="F67" s="143" t="s">
        <v>2350</v>
      </c>
      <c r="G67" s="144" t="s">
        <v>1666</v>
      </c>
      <c r="H67" s="145">
        <v>19</v>
      </c>
      <c r="I67" s="145">
        <v>17</v>
      </c>
      <c r="J67" s="145">
        <v>200</v>
      </c>
      <c r="K67" s="145">
        <v>14</v>
      </c>
      <c r="L67" s="146">
        <v>1</v>
      </c>
      <c r="M67" s="1338">
        <v>3000</v>
      </c>
      <c r="N67" s="1339" t="s">
        <v>1438</v>
      </c>
      <c r="O67" s="154" t="s">
        <v>3551</v>
      </c>
      <c r="P67" s="1850">
        <v>4696</v>
      </c>
    </row>
    <row r="68" spans="2:16" ht="39" customHeight="1">
      <c r="B68" s="1244" t="s">
        <v>1537</v>
      </c>
      <c r="C68" s="1278"/>
      <c r="D68" s="389">
        <v>1</v>
      </c>
      <c r="E68" s="1279" t="s">
        <v>626</v>
      </c>
      <c r="F68" s="1280" t="s">
        <v>729</v>
      </c>
      <c r="G68" s="1281" t="s">
        <v>844</v>
      </c>
      <c r="H68" s="1282">
        <v>4</v>
      </c>
      <c r="I68" s="1282">
        <v>3</v>
      </c>
      <c r="J68" s="1282">
        <v>5</v>
      </c>
      <c r="K68" s="1282">
        <v>4</v>
      </c>
      <c r="L68" s="1291">
        <v>14</v>
      </c>
      <c r="M68" s="1284">
        <v>50</v>
      </c>
      <c r="N68" s="1283"/>
      <c r="O68" s="1285" t="s">
        <v>3552</v>
      </c>
      <c r="P68" s="1229">
        <v>59</v>
      </c>
    </row>
    <row r="69" spans="2:16" ht="38.25" customHeight="1" outlineLevel="1">
      <c r="B69" s="1322" t="s">
        <v>1721</v>
      </c>
      <c r="C69" s="1323"/>
      <c r="D69" s="125">
        <v>1</v>
      </c>
      <c r="E69" s="2801" t="s">
        <v>626</v>
      </c>
      <c r="F69" s="133" t="s">
        <v>729</v>
      </c>
      <c r="G69" s="128" t="s">
        <v>844</v>
      </c>
      <c r="H69" s="129">
        <v>5</v>
      </c>
      <c r="I69" s="129">
        <v>4</v>
      </c>
      <c r="J69" s="129">
        <v>6</v>
      </c>
      <c r="K69" s="129">
        <v>5</v>
      </c>
      <c r="L69" s="134">
        <v>14</v>
      </c>
      <c r="M69" s="1326">
        <v>65</v>
      </c>
      <c r="N69" s="131"/>
      <c r="O69" s="151" t="s">
        <v>3552</v>
      </c>
      <c r="P69" s="1848">
        <v>84</v>
      </c>
    </row>
    <row r="70" spans="2:16" ht="39.75" customHeight="1" outlineLevel="1">
      <c r="B70" s="1242" t="s">
        <v>377</v>
      </c>
      <c r="C70" s="1273"/>
      <c r="D70" s="65">
        <v>2</v>
      </c>
      <c r="E70" s="2802" t="s">
        <v>626</v>
      </c>
      <c r="F70" s="1275" t="s">
        <v>729</v>
      </c>
      <c r="G70" s="1269" t="s">
        <v>755</v>
      </c>
      <c r="H70" s="1270">
        <v>5</v>
      </c>
      <c r="I70" s="1270">
        <v>6</v>
      </c>
      <c r="J70" s="1270">
        <v>14</v>
      </c>
      <c r="K70" s="1270">
        <v>6</v>
      </c>
      <c r="L70" s="1271">
        <v>8</v>
      </c>
      <c r="M70" s="1276">
        <v>130</v>
      </c>
      <c r="N70" s="1271"/>
      <c r="O70" s="1272" t="s">
        <v>3553</v>
      </c>
      <c r="P70" s="1846">
        <v>154</v>
      </c>
    </row>
    <row r="71" spans="2:16" ht="38.25" customHeight="1" outlineLevel="1">
      <c r="B71" s="1322" t="s">
        <v>3458</v>
      </c>
      <c r="C71" s="1323"/>
      <c r="D71" s="125">
        <v>2</v>
      </c>
      <c r="E71" s="2801" t="s">
        <v>626</v>
      </c>
      <c r="F71" s="133" t="s">
        <v>729</v>
      </c>
      <c r="G71" s="128" t="s">
        <v>755</v>
      </c>
      <c r="H71" s="129">
        <v>6</v>
      </c>
      <c r="I71" s="130">
        <v>6</v>
      </c>
      <c r="J71" s="130">
        <v>14</v>
      </c>
      <c r="K71" s="129">
        <v>9</v>
      </c>
      <c r="L71" s="131">
        <v>8</v>
      </c>
      <c r="M71" s="1326">
        <v>170</v>
      </c>
      <c r="N71" s="131"/>
      <c r="O71" s="151" t="s">
        <v>3554</v>
      </c>
      <c r="P71" s="1848">
        <v>238</v>
      </c>
    </row>
    <row r="72" spans="2:16" ht="38.25" customHeight="1" outlineLevel="1">
      <c r="B72" s="1242" t="s">
        <v>2325</v>
      </c>
      <c r="C72" s="1273"/>
      <c r="D72" s="65">
        <v>3</v>
      </c>
      <c r="E72" s="2802" t="s">
        <v>626</v>
      </c>
      <c r="F72" s="1275" t="s">
        <v>844</v>
      </c>
      <c r="G72" s="1269" t="s">
        <v>756</v>
      </c>
      <c r="H72" s="1270">
        <v>9</v>
      </c>
      <c r="I72" s="1270">
        <v>7</v>
      </c>
      <c r="J72" s="1270">
        <v>22</v>
      </c>
      <c r="K72" s="1270">
        <v>5</v>
      </c>
      <c r="L72" s="1271">
        <v>7</v>
      </c>
      <c r="M72" s="1276">
        <v>250</v>
      </c>
      <c r="N72" s="1271"/>
      <c r="O72" s="1272" t="s">
        <v>3528</v>
      </c>
      <c r="P72" s="1846">
        <v>336</v>
      </c>
    </row>
    <row r="73" spans="2:16" ht="38.25" customHeight="1" outlineLevel="1">
      <c r="B73" s="1322" t="s">
        <v>3459</v>
      </c>
      <c r="C73" s="1323"/>
      <c r="D73" s="125">
        <v>3</v>
      </c>
      <c r="E73" s="2801" t="s">
        <v>626</v>
      </c>
      <c r="F73" s="133" t="s">
        <v>844</v>
      </c>
      <c r="G73" s="128" t="s">
        <v>756</v>
      </c>
      <c r="H73" s="129">
        <v>10</v>
      </c>
      <c r="I73" s="129">
        <v>8</v>
      </c>
      <c r="J73" s="130">
        <v>22</v>
      </c>
      <c r="K73" s="129">
        <v>7</v>
      </c>
      <c r="L73" s="131">
        <v>7</v>
      </c>
      <c r="M73" s="1326">
        <v>280</v>
      </c>
      <c r="N73" s="131"/>
      <c r="O73" s="151" t="s">
        <v>3528</v>
      </c>
      <c r="P73" s="1848">
        <v>367</v>
      </c>
    </row>
    <row r="74" spans="2:16" ht="39" customHeight="1" outlineLevel="1">
      <c r="B74" s="1242" t="s">
        <v>490</v>
      </c>
      <c r="C74" s="1273"/>
      <c r="D74" s="65">
        <v>4</v>
      </c>
      <c r="E74" s="2802" t="s">
        <v>626</v>
      </c>
      <c r="F74" s="1275" t="s">
        <v>2158</v>
      </c>
      <c r="G74" s="1269" t="s">
        <v>2137</v>
      </c>
      <c r="H74" s="1270">
        <v>9</v>
      </c>
      <c r="I74" s="1270">
        <v>9</v>
      </c>
      <c r="J74" s="1270">
        <v>25</v>
      </c>
      <c r="K74" s="1270">
        <v>5</v>
      </c>
      <c r="L74" s="1271">
        <v>4</v>
      </c>
      <c r="M74" s="1276">
        <v>300</v>
      </c>
      <c r="N74" s="1271"/>
      <c r="O74" s="1272" t="s">
        <v>3555</v>
      </c>
      <c r="P74" s="1846">
        <v>517</v>
      </c>
    </row>
    <row r="75" spans="2:16" ht="38.25" customHeight="1" outlineLevel="1">
      <c r="B75" s="1322" t="s">
        <v>3460</v>
      </c>
      <c r="C75" s="1323"/>
      <c r="D75" s="125">
        <v>4</v>
      </c>
      <c r="E75" s="2801" t="s">
        <v>626</v>
      </c>
      <c r="F75" s="133" t="s">
        <v>2158</v>
      </c>
      <c r="G75" s="128" t="s">
        <v>2137</v>
      </c>
      <c r="H75" s="129">
        <v>10</v>
      </c>
      <c r="I75" s="129">
        <v>10</v>
      </c>
      <c r="J75" s="129">
        <v>30</v>
      </c>
      <c r="K75" s="129">
        <v>6</v>
      </c>
      <c r="L75" s="131">
        <v>4</v>
      </c>
      <c r="M75" s="1326">
        <v>330</v>
      </c>
      <c r="N75" s="131"/>
      <c r="O75" s="151" t="s">
        <v>3555</v>
      </c>
      <c r="P75" s="1848">
        <v>577</v>
      </c>
    </row>
    <row r="76" spans="2:16" ht="39" customHeight="1" outlineLevel="1">
      <c r="B76" s="1242" t="s">
        <v>643</v>
      </c>
      <c r="C76" s="1273"/>
      <c r="D76" s="65">
        <v>5</v>
      </c>
      <c r="E76" s="2802" t="s">
        <v>626</v>
      </c>
      <c r="F76" s="1275" t="s">
        <v>1458</v>
      </c>
      <c r="G76" s="1269" t="s">
        <v>1393</v>
      </c>
      <c r="H76" s="1270">
        <v>14</v>
      </c>
      <c r="I76" s="1270">
        <v>12</v>
      </c>
      <c r="J76" s="1270">
        <v>50</v>
      </c>
      <c r="K76" s="1270">
        <v>6</v>
      </c>
      <c r="L76" s="1271">
        <v>3</v>
      </c>
      <c r="M76" s="1276">
        <v>500</v>
      </c>
      <c r="N76" s="1271"/>
      <c r="O76" s="1272" t="s">
        <v>3556</v>
      </c>
      <c r="P76" s="1846">
        <v>835</v>
      </c>
    </row>
    <row r="77" spans="2:16" ht="39.75" customHeight="1" outlineLevel="1">
      <c r="B77" s="1322" t="s">
        <v>3461</v>
      </c>
      <c r="C77" s="1323"/>
      <c r="D77" s="125">
        <v>5</v>
      </c>
      <c r="E77" s="2801" t="s">
        <v>626</v>
      </c>
      <c r="F77" s="133" t="s">
        <v>1458</v>
      </c>
      <c r="G77" s="128" t="s">
        <v>1393</v>
      </c>
      <c r="H77" s="129">
        <v>15</v>
      </c>
      <c r="I77" s="129">
        <v>15</v>
      </c>
      <c r="J77" s="130">
        <v>50</v>
      </c>
      <c r="K77" s="129">
        <v>8</v>
      </c>
      <c r="L77" s="131">
        <v>3</v>
      </c>
      <c r="M77" s="1326">
        <v>575</v>
      </c>
      <c r="N77" s="131"/>
      <c r="O77" s="151" t="s">
        <v>3556</v>
      </c>
      <c r="P77" s="1848">
        <v>1068</v>
      </c>
    </row>
    <row r="78" spans="2:16" ht="39" customHeight="1" outlineLevel="1">
      <c r="B78" s="1242" t="s">
        <v>1054</v>
      </c>
      <c r="C78" s="1273"/>
      <c r="D78" s="65">
        <v>6</v>
      </c>
      <c r="E78" s="2802" t="s">
        <v>626</v>
      </c>
      <c r="F78" s="1275" t="s">
        <v>1665</v>
      </c>
      <c r="G78" s="1269" t="s">
        <v>1393</v>
      </c>
      <c r="H78" s="1270">
        <v>15</v>
      </c>
      <c r="I78" s="1270">
        <v>13</v>
      </c>
      <c r="J78" s="1270">
        <v>80</v>
      </c>
      <c r="K78" s="1270">
        <v>7</v>
      </c>
      <c r="L78" s="1271">
        <v>2</v>
      </c>
      <c r="M78" s="1276">
        <v>850</v>
      </c>
      <c r="N78" s="1271"/>
      <c r="O78" s="1272" t="s">
        <v>3369</v>
      </c>
      <c r="P78" s="1846">
        <v>1547</v>
      </c>
    </row>
    <row r="79" spans="2:16" ht="39" customHeight="1" outlineLevel="1">
      <c r="B79" s="1322" t="s">
        <v>1053</v>
      </c>
      <c r="C79" s="1323"/>
      <c r="D79" s="125">
        <v>6</v>
      </c>
      <c r="E79" s="2801" t="s">
        <v>626</v>
      </c>
      <c r="F79" s="133" t="s">
        <v>1665</v>
      </c>
      <c r="G79" s="128" t="s">
        <v>1393</v>
      </c>
      <c r="H79" s="129">
        <v>16</v>
      </c>
      <c r="I79" s="129">
        <v>14</v>
      </c>
      <c r="J79" s="130">
        <v>80</v>
      </c>
      <c r="K79" s="129">
        <v>11</v>
      </c>
      <c r="L79" s="131">
        <v>2</v>
      </c>
      <c r="M79" s="1326">
        <v>1050</v>
      </c>
      <c r="N79" s="131"/>
      <c r="O79" s="151" t="s">
        <v>3557</v>
      </c>
      <c r="P79" s="1848">
        <v>1589</v>
      </c>
    </row>
    <row r="80" spans="2:16" ht="39" customHeight="1" outlineLevel="1">
      <c r="B80" s="1242" t="s">
        <v>1100</v>
      </c>
      <c r="C80" s="1273"/>
      <c r="D80" s="65">
        <v>7</v>
      </c>
      <c r="E80" s="2802" t="s">
        <v>626</v>
      </c>
      <c r="F80" s="1275" t="s">
        <v>3177</v>
      </c>
      <c r="G80" s="1269" t="s">
        <v>1666</v>
      </c>
      <c r="H80" s="1270">
        <v>19</v>
      </c>
      <c r="I80" s="1270">
        <v>19</v>
      </c>
      <c r="J80" s="1270">
        <v>180</v>
      </c>
      <c r="K80" s="1270">
        <v>11</v>
      </c>
      <c r="L80" s="1271">
        <v>1</v>
      </c>
      <c r="M80" s="1276">
        <v>2500</v>
      </c>
      <c r="N80" s="1271" t="s">
        <v>411</v>
      </c>
      <c r="O80" s="1272" t="s">
        <v>5964</v>
      </c>
      <c r="P80" s="1846">
        <v>4702</v>
      </c>
    </row>
    <row r="81" spans="2:16" ht="39" customHeight="1" outlineLevel="1" thickBot="1">
      <c r="B81" s="1329" t="s">
        <v>3462</v>
      </c>
      <c r="C81" s="1330"/>
      <c r="D81" s="142">
        <v>7</v>
      </c>
      <c r="E81" s="2806" t="s">
        <v>626</v>
      </c>
      <c r="F81" s="143" t="s">
        <v>3177</v>
      </c>
      <c r="G81" s="144" t="s">
        <v>1666</v>
      </c>
      <c r="H81" s="145">
        <v>25</v>
      </c>
      <c r="I81" s="145">
        <v>25</v>
      </c>
      <c r="J81" s="145">
        <v>300</v>
      </c>
      <c r="K81" s="145">
        <v>15</v>
      </c>
      <c r="L81" s="146">
        <v>1</v>
      </c>
      <c r="M81" s="1338">
        <v>4000</v>
      </c>
      <c r="N81" s="1339" t="s">
        <v>2072</v>
      </c>
      <c r="O81" s="2796" t="s">
        <v>5912</v>
      </c>
      <c r="P81" s="1850">
        <v>8721</v>
      </c>
    </row>
    <row r="82" spans="2:16" ht="39.75" customHeight="1">
      <c r="B82" s="1244" t="s">
        <v>1534</v>
      </c>
      <c r="C82" s="1278"/>
      <c r="D82" s="389">
        <v>1</v>
      </c>
      <c r="E82" s="1279" t="s">
        <v>2557</v>
      </c>
      <c r="F82" s="1280" t="s">
        <v>729</v>
      </c>
      <c r="G82" s="1281" t="s">
        <v>2135</v>
      </c>
      <c r="H82" s="1282">
        <v>2</v>
      </c>
      <c r="I82" s="1282">
        <v>3</v>
      </c>
      <c r="J82" s="1282">
        <v>4</v>
      </c>
      <c r="K82" s="1282">
        <v>5</v>
      </c>
      <c r="L82" s="1291">
        <v>15</v>
      </c>
      <c r="M82" s="1284">
        <v>50</v>
      </c>
      <c r="N82" s="1283"/>
      <c r="O82" s="1285" t="s">
        <v>137</v>
      </c>
      <c r="P82" s="1229">
        <v>50</v>
      </c>
    </row>
    <row r="83" spans="2:16" ht="39" customHeight="1" outlineLevel="1">
      <c r="B83" s="1322" t="s">
        <v>1535</v>
      </c>
      <c r="C83" s="1323"/>
      <c r="D83" s="125">
        <v>1</v>
      </c>
      <c r="E83" s="126" t="s">
        <v>2557</v>
      </c>
      <c r="F83" s="133" t="s">
        <v>729</v>
      </c>
      <c r="G83" s="128" t="s">
        <v>2135</v>
      </c>
      <c r="H83" s="129">
        <v>4</v>
      </c>
      <c r="I83" s="129">
        <v>4</v>
      </c>
      <c r="J83" s="130">
        <v>4</v>
      </c>
      <c r="K83" s="129">
        <v>7</v>
      </c>
      <c r="L83" s="134">
        <v>15</v>
      </c>
      <c r="M83" s="1326">
        <v>60</v>
      </c>
      <c r="N83" s="131"/>
      <c r="O83" s="151" t="s">
        <v>3558</v>
      </c>
      <c r="P83" s="1848">
        <v>60</v>
      </c>
    </row>
    <row r="84" spans="2:16" ht="38.25" customHeight="1" outlineLevel="1">
      <c r="B84" s="1242" t="s">
        <v>375</v>
      </c>
      <c r="C84" s="1273"/>
      <c r="D84" s="65">
        <v>2</v>
      </c>
      <c r="E84" s="1268" t="s">
        <v>2557</v>
      </c>
      <c r="F84" s="1275" t="s">
        <v>2135</v>
      </c>
      <c r="G84" s="1269" t="s">
        <v>755</v>
      </c>
      <c r="H84" s="1270">
        <v>6</v>
      </c>
      <c r="I84" s="1270">
        <v>4</v>
      </c>
      <c r="J84" s="1270">
        <v>13</v>
      </c>
      <c r="K84" s="1270">
        <v>4</v>
      </c>
      <c r="L84" s="1271">
        <v>8</v>
      </c>
      <c r="M84" s="1276">
        <v>125</v>
      </c>
      <c r="N84" s="1271"/>
      <c r="O84" s="1272" t="s">
        <v>136</v>
      </c>
      <c r="P84" s="1846">
        <v>159</v>
      </c>
    </row>
    <row r="85" spans="2:16" ht="38.25" customHeight="1" outlineLevel="1">
      <c r="B85" s="1322" t="s">
        <v>1593</v>
      </c>
      <c r="C85" s="1323"/>
      <c r="D85" s="125">
        <v>2</v>
      </c>
      <c r="E85" s="126" t="s">
        <v>2557</v>
      </c>
      <c r="F85" s="133" t="s">
        <v>2135</v>
      </c>
      <c r="G85" s="128" t="s">
        <v>755</v>
      </c>
      <c r="H85" s="129">
        <v>7</v>
      </c>
      <c r="I85" s="130">
        <v>4</v>
      </c>
      <c r="J85" s="130">
        <v>13</v>
      </c>
      <c r="K85" s="129">
        <v>6</v>
      </c>
      <c r="L85" s="131">
        <v>8</v>
      </c>
      <c r="M85" s="1326">
        <v>175</v>
      </c>
      <c r="N85" s="131"/>
      <c r="O85" s="151" t="s">
        <v>3559</v>
      </c>
      <c r="P85" s="1848">
        <v>240</v>
      </c>
    </row>
    <row r="86" spans="2:16" ht="39.75" customHeight="1" outlineLevel="1">
      <c r="B86" s="1242" t="s">
        <v>1518</v>
      </c>
      <c r="C86" s="1273"/>
      <c r="D86" s="65">
        <v>3</v>
      </c>
      <c r="E86" s="1268" t="s">
        <v>2557</v>
      </c>
      <c r="F86" s="1275" t="s">
        <v>2135</v>
      </c>
      <c r="G86" s="1269" t="s">
        <v>1888</v>
      </c>
      <c r="H86" s="1270">
        <v>10</v>
      </c>
      <c r="I86" s="1270">
        <v>6</v>
      </c>
      <c r="J86" s="1270">
        <v>25</v>
      </c>
      <c r="K86" s="1270">
        <v>7</v>
      </c>
      <c r="L86" s="1277">
        <v>5</v>
      </c>
      <c r="M86" s="1276">
        <v>200</v>
      </c>
      <c r="N86" s="1271"/>
      <c r="O86" s="1272" t="s">
        <v>137</v>
      </c>
      <c r="P86" s="1846">
        <v>357</v>
      </c>
    </row>
    <row r="87" spans="2:16" ht="39" customHeight="1" outlineLevel="1">
      <c r="B87" s="1322" t="s">
        <v>2323</v>
      </c>
      <c r="C87" s="1323"/>
      <c r="D87" s="125">
        <v>3</v>
      </c>
      <c r="E87" s="126" t="s">
        <v>2557</v>
      </c>
      <c r="F87" s="133" t="s">
        <v>2135</v>
      </c>
      <c r="G87" s="128" t="s">
        <v>1888</v>
      </c>
      <c r="H87" s="130">
        <v>10</v>
      </c>
      <c r="I87" s="129">
        <v>8</v>
      </c>
      <c r="J87" s="130">
        <v>25</v>
      </c>
      <c r="K87" s="129">
        <v>8</v>
      </c>
      <c r="L87" s="134">
        <v>5</v>
      </c>
      <c r="M87" s="1326">
        <v>250</v>
      </c>
      <c r="N87" s="131"/>
      <c r="O87" s="151" t="s">
        <v>3560</v>
      </c>
      <c r="P87" s="1848">
        <v>392</v>
      </c>
    </row>
    <row r="88" spans="2:16" ht="39" customHeight="1" outlineLevel="1">
      <c r="B88" s="1242" t="s">
        <v>1686</v>
      </c>
      <c r="C88" s="1273"/>
      <c r="D88" s="65">
        <v>4</v>
      </c>
      <c r="E88" s="1268" t="s">
        <v>2557</v>
      </c>
      <c r="F88" s="1275" t="s">
        <v>1888</v>
      </c>
      <c r="G88" s="1269" t="s">
        <v>3157</v>
      </c>
      <c r="H88" s="1270">
        <v>10</v>
      </c>
      <c r="I88" s="1270">
        <v>10</v>
      </c>
      <c r="J88" s="1270">
        <v>35</v>
      </c>
      <c r="K88" s="1270">
        <v>5</v>
      </c>
      <c r="L88" s="1271">
        <v>4</v>
      </c>
      <c r="M88" s="1276">
        <v>250</v>
      </c>
      <c r="N88" s="1271"/>
      <c r="O88" s="1272" t="s">
        <v>137</v>
      </c>
      <c r="P88" s="1846">
        <v>445</v>
      </c>
    </row>
    <row r="89" spans="2:16" ht="38.25" customHeight="1" outlineLevel="1">
      <c r="B89" s="1322" t="s">
        <v>1519</v>
      </c>
      <c r="C89" s="1323"/>
      <c r="D89" s="125">
        <v>4</v>
      </c>
      <c r="E89" s="126" t="s">
        <v>2557</v>
      </c>
      <c r="F89" s="133" t="s">
        <v>1888</v>
      </c>
      <c r="G89" s="128" t="s">
        <v>3157</v>
      </c>
      <c r="H89" s="130">
        <v>10</v>
      </c>
      <c r="I89" s="130">
        <v>10</v>
      </c>
      <c r="J89" s="129">
        <v>40</v>
      </c>
      <c r="K89" s="129">
        <v>6</v>
      </c>
      <c r="L89" s="131">
        <v>4</v>
      </c>
      <c r="M89" s="1326">
        <v>270</v>
      </c>
      <c r="N89" s="131"/>
      <c r="O89" s="151" t="s">
        <v>137</v>
      </c>
      <c r="P89" s="1848">
        <v>480</v>
      </c>
    </row>
    <row r="90" spans="2:16" ht="38.25" customHeight="1" outlineLevel="1">
      <c r="B90" s="1242" t="s">
        <v>1520</v>
      </c>
      <c r="C90" s="1273"/>
      <c r="D90" s="65">
        <v>5</v>
      </c>
      <c r="E90" s="1268" t="s">
        <v>2557</v>
      </c>
      <c r="F90" s="1275" t="s">
        <v>3477</v>
      </c>
      <c r="G90" s="1269" t="s">
        <v>3159</v>
      </c>
      <c r="H90" s="1270">
        <v>13</v>
      </c>
      <c r="I90" s="1270">
        <v>13</v>
      </c>
      <c r="J90" s="1270">
        <v>45</v>
      </c>
      <c r="K90" s="1270">
        <v>6</v>
      </c>
      <c r="L90" s="1271">
        <v>3</v>
      </c>
      <c r="M90" s="1276">
        <v>500</v>
      </c>
      <c r="N90" s="1271"/>
      <c r="O90" s="1272" t="s">
        <v>137</v>
      </c>
      <c r="P90" s="1846">
        <v>765</v>
      </c>
    </row>
    <row r="91" spans="2:16" ht="37.5" customHeight="1" outlineLevel="1">
      <c r="B91" s="1322" t="s">
        <v>1521</v>
      </c>
      <c r="C91" s="1323"/>
      <c r="D91" s="125">
        <v>5</v>
      </c>
      <c r="E91" s="126" t="s">
        <v>2557</v>
      </c>
      <c r="F91" s="133" t="s">
        <v>3477</v>
      </c>
      <c r="G91" s="128" t="s">
        <v>3159</v>
      </c>
      <c r="H91" s="130">
        <v>13</v>
      </c>
      <c r="I91" s="130">
        <v>13</v>
      </c>
      <c r="J91" s="130">
        <v>45</v>
      </c>
      <c r="K91" s="129">
        <v>7</v>
      </c>
      <c r="L91" s="131">
        <v>3</v>
      </c>
      <c r="M91" s="1326">
        <v>700</v>
      </c>
      <c r="N91" s="131"/>
      <c r="O91" s="151" t="s">
        <v>3525</v>
      </c>
      <c r="P91" s="1848">
        <v>1224</v>
      </c>
    </row>
    <row r="92" spans="2:16" ht="39.75" customHeight="1" outlineLevel="1">
      <c r="B92" s="1242" t="s">
        <v>3063</v>
      </c>
      <c r="C92" s="1273"/>
      <c r="D92" s="65">
        <v>6</v>
      </c>
      <c r="E92" s="1268" t="s">
        <v>2557</v>
      </c>
      <c r="F92" s="1275" t="s">
        <v>1640</v>
      </c>
      <c r="G92" s="1269" t="s">
        <v>2010</v>
      </c>
      <c r="H92" s="1270">
        <v>16</v>
      </c>
      <c r="I92" s="1270">
        <v>12</v>
      </c>
      <c r="J92" s="1270">
        <v>90</v>
      </c>
      <c r="K92" s="1270">
        <v>9</v>
      </c>
      <c r="L92" s="1271">
        <v>2</v>
      </c>
      <c r="M92" s="1276">
        <v>900</v>
      </c>
      <c r="N92" s="1271"/>
      <c r="O92" s="1272" t="s">
        <v>3562</v>
      </c>
      <c r="P92" s="1846">
        <v>1670</v>
      </c>
    </row>
    <row r="93" spans="2:16" ht="36" outlineLevel="1">
      <c r="B93" s="1322" t="s">
        <v>3463</v>
      </c>
      <c r="C93" s="1323"/>
      <c r="D93" s="125">
        <v>6</v>
      </c>
      <c r="E93" s="126" t="s">
        <v>2557</v>
      </c>
      <c r="F93" s="133" t="s">
        <v>1640</v>
      </c>
      <c r="G93" s="128" t="s">
        <v>2010</v>
      </c>
      <c r="H93" s="130">
        <v>16</v>
      </c>
      <c r="I93" s="129">
        <v>14</v>
      </c>
      <c r="J93" s="130">
        <v>90</v>
      </c>
      <c r="K93" s="129">
        <v>13</v>
      </c>
      <c r="L93" s="131">
        <v>2</v>
      </c>
      <c r="M93" s="1326">
        <v>1100</v>
      </c>
      <c r="N93" s="131"/>
      <c r="O93" s="151" t="s">
        <v>3563</v>
      </c>
      <c r="P93" s="1848">
        <v>1848</v>
      </c>
    </row>
    <row r="94" spans="2:16" ht="39" customHeight="1" outlineLevel="1">
      <c r="B94" s="1242" t="s">
        <v>1941</v>
      </c>
      <c r="C94" s="1273"/>
      <c r="D94" s="65">
        <v>7</v>
      </c>
      <c r="E94" s="1268" t="s">
        <v>2557</v>
      </c>
      <c r="F94" s="1275" t="s">
        <v>561</v>
      </c>
      <c r="G94" s="1269" t="s">
        <v>3177</v>
      </c>
      <c r="H94" s="1270">
        <v>19</v>
      </c>
      <c r="I94" s="1270">
        <v>21</v>
      </c>
      <c r="J94" s="1270">
        <v>160</v>
      </c>
      <c r="K94" s="1270">
        <v>11</v>
      </c>
      <c r="L94" s="1271">
        <v>1</v>
      </c>
      <c r="M94" s="1276">
        <v>2700</v>
      </c>
      <c r="N94" s="1271" t="s">
        <v>1438</v>
      </c>
      <c r="O94" s="1272" t="s">
        <v>6091</v>
      </c>
      <c r="P94" s="1846">
        <v>5101</v>
      </c>
    </row>
    <row r="95" spans="2:16" ht="39" customHeight="1" outlineLevel="1" thickBot="1">
      <c r="B95" s="1329" t="s">
        <v>1222</v>
      </c>
      <c r="C95" s="1330"/>
      <c r="D95" s="142">
        <v>7</v>
      </c>
      <c r="E95" s="1094" t="s">
        <v>2557</v>
      </c>
      <c r="F95" s="143" t="s">
        <v>561</v>
      </c>
      <c r="G95" s="144" t="s">
        <v>3177</v>
      </c>
      <c r="H95" s="145">
        <v>26</v>
      </c>
      <c r="I95" s="145">
        <v>28</v>
      </c>
      <c r="J95" s="145">
        <v>200</v>
      </c>
      <c r="K95" s="145">
        <v>17</v>
      </c>
      <c r="L95" s="146">
        <v>1</v>
      </c>
      <c r="M95" s="1338">
        <v>4500</v>
      </c>
      <c r="N95" s="1339" t="s">
        <v>2503</v>
      </c>
      <c r="O95" s="1633" t="s">
        <v>6091</v>
      </c>
      <c r="P95" s="1850">
        <v>7115</v>
      </c>
    </row>
    <row r="96" spans="2:16" ht="39" customHeight="1">
      <c r="B96" s="1241" t="s">
        <v>1540</v>
      </c>
      <c r="C96" s="1259"/>
      <c r="D96" s="67">
        <v>1</v>
      </c>
      <c r="E96" s="1261" t="s">
        <v>628</v>
      </c>
      <c r="F96" s="1262" t="s">
        <v>2135</v>
      </c>
      <c r="G96" s="1263" t="s">
        <v>844</v>
      </c>
      <c r="H96" s="1264">
        <v>3</v>
      </c>
      <c r="I96" s="1264">
        <v>5</v>
      </c>
      <c r="J96" s="1264">
        <v>6</v>
      </c>
      <c r="K96" s="1264">
        <v>4</v>
      </c>
      <c r="L96" s="1292">
        <v>12</v>
      </c>
      <c r="M96" s="1266">
        <v>50</v>
      </c>
      <c r="N96" s="1265"/>
      <c r="O96" s="1267" t="s">
        <v>137</v>
      </c>
      <c r="P96" s="1845">
        <v>56</v>
      </c>
    </row>
    <row r="97" spans="2:16" ht="38.25" customHeight="1" outlineLevel="1">
      <c r="B97" s="1322" t="s">
        <v>3464</v>
      </c>
      <c r="C97" s="1323"/>
      <c r="D97" s="125">
        <v>1</v>
      </c>
      <c r="E97" s="126" t="s">
        <v>628</v>
      </c>
      <c r="F97" s="133" t="s">
        <v>2135</v>
      </c>
      <c r="G97" s="128" t="s">
        <v>844</v>
      </c>
      <c r="H97" s="129">
        <v>4</v>
      </c>
      <c r="I97" s="129">
        <v>6</v>
      </c>
      <c r="J97" s="130">
        <v>6</v>
      </c>
      <c r="K97" s="129">
        <v>5</v>
      </c>
      <c r="L97" s="134">
        <v>12</v>
      </c>
      <c r="M97" s="1326">
        <v>70</v>
      </c>
      <c r="N97" s="131"/>
      <c r="O97" s="151" t="s">
        <v>137</v>
      </c>
      <c r="P97" s="1848">
        <v>90</v>
      </c>
    </row>
    <row r="98" spans="2:16" ht="38.25" customHeight="1" outlineLevel="1">
      <c r="B98" s="1242" t="s">
        <v>378</v>
      </c>
      <c r="C98" s="1273"/>
      <c r="D98" s="65">
        <v>2</v>
      </c>
      <c r="E98" s="1268" t="s">
        <v>628</v>
      </c>
      <c r="F98" s="1275" t="s">
        <v>2135</v>
      </c>
      <c r="G98" s="1269" t="s">
        <v>844</v>
      </c>
      <c r="H98" s="1270">
        <v>5</v>
      </c>
      <c r="I98" s="1270">
        <v>6</v>
      </c>
      <c r="J98" s="1270">
        <v>14</v>
      </c>
      <c r="K98" s="1270">
        <v>4</v>
      </c>
      <c r="L98" s="1271">
        <v>9</v>
      </c>
      <c r="M98" s="1276">
        <v>110</v>
      </c>
      <c r="N98" s="1271"/>
      <c r="O98" s="1272" t="s">
        <v>136</v>
      </c>
      <c r="P98" s="1846">
        <v>126</v>
      </c>
    </row>
    <row r="99" spans="2:16" ht="39" customHeight="1" outlineLevel="1">
      <c r="B99" s="1322" t="s">
        <v>3465</v>
      </c>
      <c r="C99" s="1323"/>
      <c r="D99" s="125">
        <v>2</v>
      </c>
      <c r="E99" s="126" t="s">
        <v>628</v>
      </c>
      <c r="F99" s="133" t="s">
        <v>2135</v>
      </c>
      <c r="G99" s="135" t="s">
        <v>756</v>
      </c>
      <c r="H99" s="129">
        <v>6</v>
      </c>
      <c r="I99" s="129">
        <v>8</v>
      </c>
      <c r="J99" s="129">
        <v>15</v>
      </c>
      <c r="K99" s="129">
        <v>5</v>
      </c>
      <c r="L99" s="131">
        <v>9</v>
      </c>
      <c r="M99" s="1326">
        <v>140</v>
      </c>
      <c r="N99" s="131"/>
      <c r="O99" s="151" t="s">
        <v>136</v>
      </c>
      <c r="P99" s="1848">
        <v>156</v>
      </c>
    </row>
    <row r="100" spans="2:16" ht="38.25" customHeight="1" outlineLevel="1">
      <c r="B100" s="1242" t="s">
        <v>1595</v>
      </c>
      <c r="C100" s="1273"/>
      <c r="D100" s="65">
        <v>3</v>
      </c>
      <c r="E100" s="1268" t="s">
        <v>628</v>
      </c>
      <c r="F100" s="1275" t="s">
        <v>2135</v>
      </c>
      <c r="G100" s="1269" t="s">
        <v>756</v>
      </c>
      <c r="H100" s="1270">
        <v>7</v>
      </c>
      <c r="I100" s="1270">
        <v>9</v>
      </c>
      <c r="J100" s="1270">
        <v>20</v>
      </c>
      <c r="K100" s="1270">
        <v>9</v>
      </c>
      <c r="L100" s="1271">
        <v>8</v>
      </c>
      <c r="M100" s="1276">
        <v>220</v>
      </c>
      <c r="N100" s="1271"/>
      <c r="O100" s="1272" t="s">
        <v>3565</v>
      </c>
      <c r="P100" s="1846">
        <v>268</v>
      </c>
    </row>
    <row r="101" spans="2:16" ht="37.5" customHeight="1" outlineLevel="1">
      <c r="B101" s="1322" t="s">
        <v>612</v>
      </c>
      <c r="C101" s="1323"/>
      <c r="D101" s="125">
        <v>3</v>
      </c>
      <c r="E101" s="126" t="s">
        <v>628</v>
      </c>
      <c r="F101" s="133" t="s">
        <v>2135</v>
      </c>
      <c r="G101" s="128" t="s">
        <v>756</v>
      </c>
      <c r="H101" s="129">
        <v>8</v>
      </c>
      <c r="I101" s="129">
        <v>10</v>
      </c>
      <c r="J101" s="130">
        <v>20</v>
      </c>
      <c r="K101" s="129">
        <v>13</v>
      </c>
      <c r="L101" s="131">
        <v>8</v>
      </c>
      <c r="M101" s="1326">
        <v>240</v>
      </c>
      <c r="N101" s="131"/>
      <c r="O101" s="151" t="s">
        <v>3566</v>
      </c>
      <c r="P101" s="1848">
        <v>312</v>
      </c>
    </row>
    <row r="102" spans="2:16" ht="39.75" customHeight="1" outlineLevel="1">
      <c r="B102" s="1242" t="s">
        <v>1947</v>
      </c>
      <c r="C102" s="1273"/>
      <c r="D102" s="65">
        <v>4</v>
      </c>
      <c r="E102" s="1268" t="s">
        <v>628</v>
      </c>
      <c r="F102" s="1275" t="s">
        <v>2158</v>
      </c>
      <c r="G102" s="1269" t="s">
        <v>2136</v>
      </c>
      <c r="H102" s="1270">
        <v>11</v>
      </c>
      <c r="I102" s="1270">
        <v>11</v>
      </c>
      <c r="J102" s="1270">
        <v>35</v>
      </c>
      <c r="K102" s="1270">
        <v>5</v>
      </c>
      <c r="L102" s="1271">
        <v>4</v>
      </c>
      <c r="M102" s="1276">
        <v>325</v>
      </c>
      <c r="N102" s="1271"/>
      <c r="O102" s="1286" t="s">
        <v>1367</v>
      </c>
      <c r="P102" s="1846">
        <v>552</v>
      </c>
    </row>
    <row r="103" spans="2:16" ht="38.25" customHeight="1" outlineLevel="1">
      <c r="B103" s="1322" t="s">
        <v>2545</v>
      </c>
      <c r="C103" s="1323"/>
      <c r="D103" s="125">
        <v>4</v>
      </c>
      <c r="E103" s="126" t="s">
        <v>628</v>
      </c>
      <c r="F103" s="133" t="s">
        <v>2158</v>
      </c>
      <c r="G103" s="128" t="s">
        <v>2136</v>
      </c>
      <c r="H103" s="129">
        <v>12</v>
      </c>
      <c r="I103" s="129">
        <v>12</v>
      </c>
      <c r="J103" s="129">
        <v>40</v>
      </c>
      <c r="K103" s="129">
        <v>7</v>
      </c>
      <c r="L103" s="131">
        <v>4</v>
      </c>
      <c r="M103" s="1326">
        <v>400</v>
      </c>
      <c r="N103" s="131"/>
      <c r="O103" s="153" t="s">
        <v>1367</v>
      </c>
      <c r="P103" s="1848">
        <v>714</v>
      </c>
    </row>
    <row r="104" spans="2:16" ht="38.25" customHeight="1" outlineLevel="1">
      <c r="B104" s="1242" t="s">
        <v>641</v>
      </c>
      <c r="C104" s="1273"/>
      <c r="D104" s="65">
        <v>5</v>
      </c>
      <c r="E104" s="1268" t="s">
        <v>628</v>
      </c>
      <c r="F104" s="1275" t="s">
        <v>1458</v>
      </c>
      <c r="G104" s="1269" t="s">
        <v>1640</v>
      </c>
      <c r="H104" s="1270">
        <v>10</v>
      </c>
      <c r="I104" s="1270">
        <v>14</v>
      </c>
      <c r="J104" s="1270">
        <v>70</v>
      </c>
      <c r="K104" s="1270">
        <v>5</v>
      </c>
      <c r="L104" s="1271">
        <v>3</v>
      </c>
      <c r="M104" s="1276">
        <v>525</v>
      </c>
      <c r="N104" s="1271"/>
      <c r="O104" s="1272" t="s">
        <v>137</v>
      </c>
      <c r="P104" s="1846">
        <v>890</v>
      </c>
    </row>
    <row r="105" spans="2:16" ht="39.75" customHeight="1" outlineLevel="1">
      <c r="B105" s="1322" t="s">
        <v>613</v>
      </c>
      <c r="C105" s="1323"/>
      <c r="D105" s="125">
        <v>5</v>
      </c>
      <c r="E105" s="126" t="s">
        <v>628</v>
      </c>
      <c r="F105" s="133" t="s">
        <v>1458</v>
      </c>
      <c r="G105" s="128" t="s">
        <v>1640</v>
      </c>
      <c r="H105" s="129">
        <v>11</v>
      </c>
      <c r="I105" s="129">
        <v>16</v>
      </c>
      <c r="J105" s="130">
        <v>70</v>
      </c>
      <c r="K105" s="129">
        <v>6</v>
      </c>
      <c r="L105" s="131">
        <v>3</v>
      </c>
      <c r="M105" s="1326">
        <v>600</v>
      </c>
      <c r="N105" s="131"/>
      <c r="O105" s="151" t="s">
        <v>1060</v>
      </c>
      <c r="P105" s="1848">
        <v>1028</v>
      </c>
    </row>
    <row r="106" spans="2:16" ht="38.25" customHeight="1" outlineLevel="1">
      <c r="B106" s="1242" t="s">
        <v>614</v>
      </c>
      <c r="C106" s="1273"/>
      <c r="D106" s="65">
        <v>6</v>
      </c>
      <c r="E106" s="1268" t="s">
        <v>628</v>
      </c>
      <c r="F106" s="1275" t="s">
        <v>1665</v>
      </c>
      <c r="G106" s="1269" t="s">
        <v>1905</v>
      </c>
      <c r="H106" s="1270">
        <v>14</v>
      </c>
      <c r="I106" s="1270">
        <v>14</v>
      </c>
      <c r="J106" s="1270">
        <v>70</v>
      </c>
      <c r="K106" s="1270">
        <v>7</v>
      </c>
      <c r="L106" s="1271">
        <v>2</v>
      </c>
      <c r="M106" s="1276">
        <v>800</v>
      </c>
      <c r="N106" s="1271"/>
      <c r="O106" s="1272" t="s">
        <v>3369</v>
      </c>
      <c r="P106" s="1846">
        <v>1350</v>
      </c>
    </row>
    <row r="107" spans="2:16" ht="39" customHeight="1" outlineLevel="1">
      <c r="B107" s="1322" t="s">
        <v>3466</v>
      </c>
      <c r="C107" s="1323"/>
      <c r="D107" s="125">
        <v>6</v>
      </c>
      <c r="E107" s="126" t="s">
        <v>628</v>
      </c>
      <c r="F107" s="127" t="s">
        <v>1905</v>
      </c>
      <c r="G107" s="135" t="s">
        <v>3162</v>
      </c>
      <c r="H107" s="130">
        <v>14</v>
      </c>
      <c r="I107" s="130">
        <v>14</v>
      </c>
      <c r="J107" s="130">
        <v>70</v>
      </c>
      <c r="K107" s="129">
        <v>11</v>
      </c>
      <c r="L107" s="131">
        <v>2</v>
      </c>
      <c r="M107" s="1326">
        <v>1100</v>
      </c>
      <c r="N107" s="131"/>
      <c r="O107" s="151" t="s">
        <v>3567</v>
      </c>
      <c r="P107" s="1848">
        <v>1518</v>
      </c>
    </row>
    <row r="108" spans="2:16" ht="39" customHeight="1" outlineLevel="1">
      <c r="B108" s="1242" t="s">
        <v>651</v>
      </c>
      <c r="C108" s="1273"/>
      <c r="D108" s="65">
        <v>7</v>
      </c>
      <c r="E108" s="1268" t="s">
        <v>628</v>
      </c>
      <c r="F108" s="1275" t="s">
        <v>2350</v>
      </c>
      <c r="G108" s="1269" t="s">
        <v>3182</v>
      </c>
      <c r="H108" s="1270">
        <v>16</v>
      </c>
      <c r="I108" s="1270">
        <v>18</v>
      </c>
      <c r="J108" s="1270">
        <v>175</v>
      </c>
      <c r="K108" s="1270">
        <v>5</v>
      </c>
      <c r="L108" s="1271">
        <v>1</v>
      </c>
      <c r="M108" s="1276">
        <v>2200</v>
      </c>
      <c r="N108" s="1271"/>
      <c r="O108" s="1272" t="s">
        <v>3568</v>
      </c>
      <c r="P108" s="1846">
        <v>4120</v>
      </c>
    </row>
    <row r="109" spans="2:16" ht="37.5" customHeight="1" outlineLevel="1" thickBot="1">
      <c r="B109" s="1327" t="s">
        <v>2611</v>
      </c>
      <c r="C109" s="1328"/>
      <c r="D109" s="136">
        <v>7</v>
      </c>
      <c r="E109" s="137" t="s">
        <v>628</v>
      </c>
      <c r="F109" s="138" t="s">
        <v>2350</v>
      </c>
      <c r="G109" s="139" t="s">
        <v>3182</v>
      </c>
      <c r="H109" s="140">
        <v>18</v>
      </c>
      <c r="I109" s="140">
        <v>20</v>
      </c>
      <c r="J109" s="140">
        <v>250</v>
      </c>
      <c r="K109" s="140">
        <v>7</v>
      </c>
      <c r="L109" s="141">
        <v>1</v>
      </c>
      <c r="M109" s="1335">
        <v>3500</v>
      </c>
      <c r="N109" s="1336" t="s">
        <v>411</v>
      </c>
      <c r="O109" s="152" t="s">
        <v>3568</v>
      </c>
      <c r="P109" s="1849">
        <v>5931</v>
      </c>
    </row>
    <row r="110" spans="2:16" ht="38.25" customHeight="1">
      <c r="B110" s="1244" t="s">
        <v>1538</v>
      </c>
      <c r="C110" s="1278"/>
      <c r="D110" s="389">
        <v>1</v>
      </c>
      <c r="E110" s="1279" t="s">
        <v>627</v>
      </c>
      <c r="F110" s="1280" t="s">
        <v>729</v>
      </c>
      <c r="G110" s="1281" t="s">
        <v>2135</v>
      </c>
      <c r="H110" s="1282">
        <v>4</v>
      </c>
      <c r="I110" s="1282">
        <v>2</v>
      </c>
      <c r="J110" s="1282">
        <v>5</v>
      </c>
      <c r="K110" s="1282">
        <v>5</v>
      </c>
      <c r="L110" s="1291">
        <v>15</v>
      </c>
      <c r="M110" s="1284">
        <v>40</v>
      </c>
      <c r="N110" s="1283"/>
      <c r="O110" s="1285" t="s">
        <v>137</v>
      </c>
      <c r="P110" s="1229">
        <v>60</v>
      </c>
    </row>
    <row r="111" spans="2:16" ht="38.25" customHeight="1" outlineLevel="1">
      <c r="B111" s="1322" t="s">
        <v>1539</v>
      </c>
      <c r="C111" s="1323"/>
      <c r="D111" s="125">
        <v>1</v>
      </c>
      <c r="E111" s="126" t="s">
        <v>627</v>
      </c>
      <c r="F111" s="133" t="s">
        <v>729</v>
      </c>
      <c r="G111" s="128" t="s">
        <v>2135</v>
      </c>
      <c r="H111" s="129">
        <v>5</v>
      </c>
      <c r="I111" s="129">
        <v>3</v>
      </c>
      <c r="J111" s="130">
        <v>5</v>
      </c>
      <c r="K111" s="129">
        <v>7</v>
      </c>
      <c r="L111" s="131">
        <v>15</v>
      </c>
      <c r="M111" s="1326">
        <v>50</v>
      </c>
      <c r="N111" s="131"/>
      <c r="O111" s="151" t="s">
        <v>137</v>
      </c>
      <c r="P111" s="1848">
        <v>78</v>
      </c>
    </row>
    <row r="112" spans="2:16" ht="36.75" customHeight="1" outlineLevel="1">
      <c r="B112" s="1242" t="s">
        <v>3467</v>
      </c>
      <c r="C112" s="1273"/>
      <c r="D112" s="65">
        <v>2</v>
      </c>
      <c r="E112" s="1268" t="s">
        <v>627</v>
      </c>
      <c r="F112" s="1275" t="s">
        <v>2135</v>
      </c>
      <c r="G112" s="1269" t="s">
        <v>755</v>
      </c>
      <c r="H112" s="1270">
        <v>7</v>
      </c>
      <c r="I112" s="1270">
        <v>5</v>
      </c>
      <c r="J112" s="1270">
        <v>10</v>
      </c>
      <c r="K112" s="1270">
        <v>6</v>
      </c>
      <c r="L112" s="1271">
        <v>9</v>
      </c>
      <c r="M112" s="1276">
        <v>100</v>
      </c>
      <c r="N112" s="1271"/>
      <c r="O112" s="1272" t="s">
        <v>137</v>
      </c>
      <c r="P112" s="1846">
        <v>130</v>
      </c>
    </row>
    <row r="113" spans="2:16" ht="39" customHeight="1" outlineLevel="1">
      <c r="B113" s="1322" t="s">
        <v>3468</v>
      </c>
      <c r="C113" s="1323"/>
      <c r="D113" s="125">
        <v>2</v>
      </c>
      <c r="E113" s="126" t="s">
        <v>627</v>
      </c>
      <c r="F113" s="127" t="s">
        <v>844</v>
      </c>
      <c r="G113" s="128" t="s">
        <v>755</v>
      </c>
      <c r="H113" s="129">
        <v>8</v>
      </c>
      <c r="I113" s="130">
        <v>5</v>
      </c>
      <c r="J113" s="130">
        <v>10</v>
      </c>
      <c r="K113" s="129">
        <v>8</v>
      </c>
      <c r="L113" s="131">
        <v>9</v>
      </c>
      <c r="M113" s="1326">
        <v>140</v>
      </c>
      <c r="N113" s="131"/>
      <c r="O113" s="151" t="s">
        <v>3527</v>
      </c>
      <c r="P113" s="1848">
        <v>203</v>
      </c>
    </row>
    <row r="114" spans="2:16" ht="37.5" customHeight="1" outlineLevel="1">
      <c r="B114" s="1242" t="s">
        <v>372</v>
      </c>
      <c r="C114" s="1273"/>
      <c r="D114" s="65">
        <v>3</v>
      </c>
      <c r="E114" s="1268" t="s">
        <v>627</v>
      </c>
      <c r="F114" s="1275" t="s">
        <v>2135</v>
      </c>
      <c r="G114" s="1269" t="s">
        <v>756</v>
      </c>
      <c r="H114" s="1270">
        <v>8</v>
      </c>
      <c r="I114" s="1270">
        <v>4</v>
      </c>
      <c r="J114" s="1270">
        <v>15</v>
      </c>
      <c r="K114" s="1270">
        <v>4</v>
      </c>
      <c r="L114" s="1271">
        <v>7</v>
      </c>
      <c r="M114" s="1276">
        <v>150</v>
      </c>
      <c r="N114" s="1271"/>
      <c r="O114" s="1272" t="s">
        <v>136</v>
      </c>
      <c r="P114" s="1846">
        <v>192</v>
      </c>
    </row>
    <row r="115" spans="2:16" ht="39" customHeight="1" outlineLevel="1">
      <c r="B115" s="1322" t="s">
        <v>3469</v>
      </c>
      <c r="C115" s="1323"/>
      <c r="D115" s="125">
        <v>3</v>
      </c>
      <c r="E115" s="126" t="s">
        <v>627</v>
      </c>
      <c r="F115" s="133" t="s">
        <v>2135</v>
      </c>
      <c r="G115" s="128" t="s">
        <v>756</v>
      </c>
      <c r="H115" s="130">
        <v>8</v>
      </c>
      <c r="I115" s="130">
        <v>4</v>
      </c>
      <c r="J115" s="129">
        <v>20</v>
      </c>
      <c r="K115" s="129">
        <v>5</v>
      </c>
      <c r="L115" s="131">
        <v>7</v>
      </c>
      <c r="M115" s="1326">
        <v>165</v>
      </c>
      <c r="N115" s="131"/>
      <c r="O115" s="151" t="s">
        <v>136</v>
      </c>
      <c r="P115" s="1848">
        <v>240</v>
      </c>
    </row>
    <row r="116" spans="2:16" ht="39" customHeight="1" outlineLevel="1">
      <c r="B116" s="1242" t="s">
        <v>2322</v>
      </c>
      <c r="C116" s="1273"/>
      <c r="D116" s="65">
        <v>4</v>
      </c>
      <c r="E116" s="1268" t="s">
        <v>627</v>
      </c>
      <c r="F116" s="1275" t="s">
        <v>2158</v>
      </c>
      <c r="G116" s="1269" t="s">
        <v>1458</v>
      </c>
      <c r="H116" s="1270">
        <v>13</v>
      </c>
      <c r="I116" s="1270">
        <v>7</v>
      </c>
      <c r="J116" s="1270">
        <v>40</v>
      </c>
      <c r="K116" s="1270">
        <v>4</v>
      </c>
      <c r="L116" s="1271">
        <v>4</v>
      </c>
      <c r="M116" s="1276">
        <v>300</v>
      </c>
      <c r="N116" s="1271"/>
      <c r="O116" s="1272" t="s">
        <v>137</v>
      </c>
      <c r="P116" s="1846">
        <v>416</v>
      </c>
    </row>
    <row r="117" spans="2:16" ht="38.25" customHeight="1" outlineLevel="1">
      <c r="B117" s="1322" t="s">
        <v>3470</v>
      </c>
      <c r="C117" s="1323"/>
      <c r="D117" s="125">
        <v>4</v>
      </c>
      <c r="E117" s="126" t="s">
        <v>627</v>
      </c>
      <c r="F117" s="133" t="s">
        <v>2158</v>
      </c>
      <c r="G117" s="128" t="s">
        <v>1458</v>
      </c>
      <c r="H117" s="130">
        <v>13</v>
      </c>
      <c r="I117" s="130">
        <v>7</v>
      </c>
      <c r="J117" s="129">
        <v>60</v>
      </c>
      <c r="K117" s="129">
        <v>5</v>
      </c>
      <c r="L117" s="131">
        <v>4</v>
      </c>
      <c r="M117" s="1326">
        <v>400</v>
      </c>
      <c r="N117" s="131"/>
      <c r="O117" s="151" t="s">
        <v>2371</v>
      </c>
      <c r="P117" s="1848">
        <v>672</v>
      </c>
    </row>
    <row r="118" spans="2:16" ht="37.5" customHeight="1" outlineLevel="1">
      <c r="B118" s="1242" t="s">
        <v>1309</v>
      </c>
      <c r="C118" s="1273"/>
      <c r="D118" s="65">
        <v>5</v>
      </c>
      <c r="E118" s="1268" t="s">
        <v>627</v>
      </c>
      <c r="F118" s="1275" t="s">
        <v>3158</v>
      </c>
      <c r="G118" s="1269" t="s">
        <v>678</v>
      </c>
      <c r="H118" s="1270">
        <v>13</v>
      </c>
      <c r="I118" s="1270">
        <v>11</v>
      </c>
      <c r="J118" s="1270">
        <v>60</v>
      </c>
      <c r="K118" s="1270">
        <v>7</v>
      </c>
      <c r="L118" s="1271">
        <v>3</v>
      </c>
      <c r="M118" s="1276">
        <v>600</v>
      </c>
      <c r="N118" s="1271"/>
      <c r="O118" s="1272" t="s">
        <v>3369</v>
      </c>
      <c r="P118" s="1846">
        <v>1027</v>
      </c>
    </row>
    <row r="119" spans="2:16" ht="39.75" customHeight="1" outlineLevel="1">
      <c r="B119" s="1322" t="s">
        <v>149</v>
      </c>
      <c r="C119" s="1323"/>
      <c r="D119" s="125">
        <v>5</v>
      </c>
      <c r="E119" s="126" t="s">
        <v>627</v>
      </c>
      <c r="F119" s="133" t="s">
        <v>3158</v>
      </c>
      <c r="G119" s="128" t="s">
        <v>678</v>
      </c>
      <c r="H119" s="130">
        <v>13</v>
      </c>
      <c r="I119" s="130">
        <v>11</v>
      </c>
      <c r="J119" s="130">
        <v>60</v>
      </c>
      <c r="K119" s="129">
        <v>11</v>
      </c>
      <c r="L119" s="131">
        <v>3</v>
      </c>
      <c r="M119" s="1326">
        <v>700</v>
      </c>
      <c r="N119" s="131"/>
      <c r="O119" s="151" t="s">
        <v>3569</v>
      </c>
      <c r="P119" s="1848">
        <v>1106</v>
      </c>
    </row>
    <row r="120" spans="2:16" ht="37.5" customHeight="1" outlineLevel="1">
      <c r="B120" s="1242" t="s">
        <v>1062</v>
      </c>
      <c r="C120" s="1273"/>
      <c r="D120" s="65">
        <v>6</v>
      </c>
      <c r="E120" s="1268" t="s">
        <v>627</v>
      </c>
      <c r="F120" s="1275" t="s">
        <v>1640</v>
      </c>
      <c r="G120" s="1269" t="s">
        <v>1393</v>
      </c>
      <c r="H120" s="1270">
        <v>15</v>
      </c>
      <c r="I120" s="1270">
        <v>12</v>
      </c>
      <c r="J120" s="1270">
        <v>70</v>
      </c>
      <c r="K120" s="1270">
        <v>6</v>
      </c>
      <c r="L120" s="1271">
        <v>2</v>
      </c>
      <c r="M120" s="1276">
        <v>750</v>
      </c>
      <c r="N120" s="1271"/>
      <c r="O120" s="1272" t="s">
        <v>3570</v>
      </c>
      <c r="P120" s="1846">
        <v>1266</v>
      </c>
    </row>
    <row r="121" spans="2:16" ht="38.25" customHeight="1" outlineLevel="1">
      <c r="B121" s="1322" t="s">
        <v>150</v>
      </c>
      <c r="C121" s="1323"/>
      <c r="D121" s="125">
        <v>6</v>
      </c>
      <c r="E121" s="126" t="s">
        <v>627</v>
      </c>
      <c r="F121" s="133" t="s">
        <v>1640</v>
      </c>
      <c r="G121" s="128" t="s">
        <v>1393</v>
      </c>
      <c r="H121" s="129">
        <v>17</v>
      </c>
      <c r="I121" s="129">
        <v>13</v>
      </c>
      <c r="J121" s="130">
        <v>70</v>
      </c>
      <c r="K121" s="129">
        <v>8</v>
      </c>
      <c r="L121" s="131">
        <v>2</v>
      </c>
      <c r="M121" s="1326">
        <v>1100</v>
      </c>
      <c r="N121" s="131"/>
      <c r="O121" s="151" t="s">
        <v>3570</v>
      </c>
      <c r="P121" s="1848">
        <v>1443</v>
      </c>
    </row>
    <row r="122" spans="2:16" ht="36.75" customHeight="1" outlineLevel="1">
      <c r="B122" s="1242" t="s">
        <v>653</v>
      </c>
      <c r="C122" s="1273"/>
      <c r="D122" s="65">
        <v>7</v>
      </c>
      <c r="E122" s="1268" t="s">
        <v>627</v>
      </c>
      <c r="F122" s="1275" t="s">
        <v>561</v>
      </c>
      <c r="G122" s="1269" t="s">
        <v>1666</v>
      </c>
      <c r="H122" s="1270">
        <v>17</v>
      </c>
      <c r="I122" s="1270">
        <v>17</v>
      </c>
      <c r="J122" s="1270">
        <v>160</v>
      </c>
      <c r="K122" s="1270">
        <v>6</v>
      </c>
      <c r="L122" s="1271">
        <v>1</v>
      </c>
      <c r="M122" s="1276">
        <v>1500</v>
      </c>
      <c r="N122" s="1271"/>
      <c r="O122" s="1272" t="s">
        <v>3571</v>
      </c>
      <c r="P122" s="1846">
        <v>3162</v>
      </c>
    </row>
    <row r="123" spans="2:16" ht="39" customHeight="1" outlineLevel="1" thickBot="1">
      <c r="B123" s="1329" t="s">
        <v>151</v>
      </c>
      <c r="C123" s="1330"/>
      <c r="D123" s="142">
        <v>7</v>
      </c>
      <c r="E123" s="1094" t="s">
        <v>627</v>
      </c>
      <c r="F123" s="143" t="s">
        <v>561</v>
      </c>
      <c r="G123" s="144" t="s">
        <v>1666</v>
      </c>
      <c r="H123" s="145">
        <v>19</v>
      </c>
      <c r="I123" s="145">
        <v>19</v>
      </c>
      <c r="J123" s="145">
        <v>300</v>
      </c>
      <c r="K123" s="145">
        <v>9</v>
      </c>
      <c r="L123" s="146">
        <v>1</v>
      </c>
      <c r="M123" s="1338">
        <v>3000</v>
      </c>
      <c r="N123" s="1339" t="s">
        <v>1436</v>
      </c>
      <c r="O123" s="154" t="s">
        <v>3571</v>
      </c>
      <c r="P123" s="1850">
        <v>6168</v>
      </c>
    </row>
    <row r="124" spans="2:16" ht="39.75" customHeight="1">
      <c r="B124" s="1244" t="s">
        <v>2663</v>
      </c>
      <c r="C124" s="1278"/>
      <c r="D124" s="389">
        <v>1</v>
      </c>
      <c r="E124" s="1279" t="s">
        <v>2259</v>
      </c>
      <c r="F124" s="1280" t="s">
        <v>729</v>
      </c>
      <c r="G124" s="1281" t="s">
        <v>2135</v>
      </c>
      <c r="H124" s="1282">
        <v>2</v>
      </c>
      <c r="I124" s="1282">
        <v>2</v>
      </c>
      <c r="J124" s="1282">
        <v>3</v>
      </c>
      <c r="K124" s="1282">
        <v>7</v>
      </c>
      <c r="L124" s="1291">
        <v>20</v>
      </c>
      <c r="M124" s="1284">
        <v>25</v>
      </c>
      <c r="N124" s="1283"/>
      <c r="O124" s="1285" t="s">
        <v>3369</v>
      </c>
      <c r="P124" s="1229">
        <v>55</v>
      </c>
    </row>
    <row r="125" spans="2:16" ht="39" customHeight="1" outlineLevel="1">
      <c r="B125" s="1322" t="s">
        <v>1531</v>
      </c>
      <c r="C125" s="1323"/>
      <c r="D125" s="125">
        <v>1</v>
      </c>
      <c r="E125" s="2317" t="s">
        <v>2259</v>
      </c>
      <c r="F125" s="133" t="s">
        <v>729</v>
      </c>
      <c r="G125" s="135" t="s">
        <v>844</v>
      </c>
      <c r="H125" s="130">
        <v>2</v>
      </c>
      <c r="I125" s="130">
        <v>2</v>
      </c>
      <c r="J125" s="130">
        <v>3</v>
      </c>
      <c r="K125" s="129">
        <v>9</v>
      </c>
      <c r="L125" s="131">
        <v>20</v>
      </c>
      <c r="M125" s="1326">
        <v>30</v>
      </c>
      <c r="N125" s="131"/>
      <c r="O125" s="151" t="s">
        <v>3564</v>
      </c>
      <c r="P125" s="1848">
        <v>95</v>
      </c>
    </row>
    <row r="126" spans="2:16" ht="39" customHeight="1" outlineLevel="1">
      <c r="B126" s="1242" t="s">
        <v>3372</v>
      </c>
      <c r="C126" s="1273"/>
      <c r="D126" s="65">
        <v>2</v>
      </c>
      <c r="E126" s="2318" t="s">
        <v>2259</v>
      </c>
      <c r="F126" s="1275" t="s">
        <v>2135</v>
      </c>
      <c r="G126" s="1269" t="s">
        <v>2137</v>
      </c>
      <c r="H126" s="1270">
        <v>9</v>
      </c>
      <c r="I126" s="1270">
        <v>9</v>
      </c>
      <c r="J126" s="1270">
        <v>25</v>
      </c>
      <c r="K126" s="1270">
        <v>7</v>
      </c>
      <c r="L126" s="1271">
        <v>6</v>
      </c>
      <c r="M126" s="1276">
        <v>250</v>
      </c>
      <c r="N126" s="1271"/>
      <c r="O126" s="1272" t="s">
        <v>3572</v>
      </c>
      <c r="P126" s="1846">
        <v>356</v>
      </c>
    </row>
    <row r="127" spans="2:16" ht="36" outlineLevel="1">
      <c r="B127" s="1322" t="s">
        <v>988</v>
      </c>
      <c r="C127" s="1323"/>
      <c r="D127" s="125">
        <v>2</v>
      </c>
      <c r="E127" s="2317" t="s">
        <v>2259</v>
      </c>
      <c r="F127" s="133" t="s">
        <v>2135</v>
      </c>
      <c r="G127" s="128" t="s">
        <v>2137</v>
      </c>
      <c r="H127" s="130">
        <v>9</v>
      </c>
      <c r="I127" s="130">
        <v>9</v>
      </c>
      <c r="J127" s="130">
        <v>25</v>
      </c>
      <c r="K127" s="129">
        <v>8</v>
      </c>
      <c r="L127" s="131">
        <v>6</v>
      </c>
      <c r="M127" s="1326">
        <v>275</v>
      </c>
      <c r="N127" s="131"/>
      <c r="O127" s="151" t="s">
        <v>3574</v>
      </c>
      <c r="P127" s="1848">
        <v>486</v>
      </c>
    </row>
    <row r="128" spans="2:16" ht="38.25" customHeight="1" outlineLevel="1">
      <c r="B128" s="1242" t="s">
        <v>2664</v>
      </c>
      <c r="C128" s="1273"/>
      <c r="D128" s="65">
        <v>3</v>
      </c>
      <c r="E128" s="2318" t="s">
        <v>2259</v>
      </c>
      <c r="F128" s="1275" t="s">
        <v>844</v>
      </c>
      <c r="G128" s="1269" t="s">
        <v>1888</v>
      </c>
      <c r="H128" s="1270">
        <v>8</v>
      </c>
      <c r="I128" s="1270">
        <v>10</v>
      </c>
      <c r="J128" s="1270">
        <v>30</v>
      </c>
      <c r="K128" s="1270">
        <v>5</v>
      </c>
      <c r="L128" s="1271">
        <v>6</v>
      </c>
      <c r="M128" s="1276">
        <v>300</v>
      </c>
      <c r="N128" s="1271"/>
      <c r="O128" s="1272" t="s">
        <v>3573</v>
      </c>
      <c r="P128" s="1846">
        <v>315</v>
      </c>
    </row>
    <row r="129" spans="2:16" ht="36" outlineLevel="1">
      <c r="B129" s="1322" t="s">
        <v>2665</v>
      </c>
      <c r="C129" s="1323"/>
      <c r="D129" s="125">
        <v>3</v>
      </c>
      <c r="E129" s="2317" t="s">
        <v>2259</v>
      </c>
      <c r="F129" s="133" t="s">
        <v>844</v>
      </c>
      <c r="G129" s="128" t="s">
        <v>1888</v>
      </c>
      <c r="H129" s="130">
        <v>8</v>
      </c>
      <c r="I129" s="130">
        <v>10</v>
      </c>
      <c r="J129" s="130">
        <v>30</v>
      </c>
      <c r="K129" s="129">
        <v>6</v>
      </c>
      <c r="L129" s="131">
        <v>6</v>
      </c>
      <c r="M129" s="1326">
        <v>375</v>
      </c>
      <c r="N129" s="131"/>
      <c r="O129" s="151" t="s">
        <v>3575</v>
      </c>
      <c r="P129" s="1848">
        <v>380</v>
      </c>
    </row>
    <row r="130" spans="2:16" ht="36" outlineLevel="1">
      <c r="B130" s="1242" t="s">
        <v>100</v>
      </c>
      <c r="C130" s="1273"/>
      <c r="D130" s="65">
        <v>4</v>
      </c>
      <c r="E130" s="2318" t="s">
        <v>2259</v>
      </c>
      <c r="F130" s="1275" t="s">
        <v>755</v>
      </c>
      <c r="G130" s="1269" t="s">
        <v>2158</v>
      </c>
      <c r="H130" s="1270">
        <v>10</v>
      </c>
      <c r="I130" s="1270">
        <v>8</v>
      </c>
      <c r="J130" s="1270">
        <v>35</v>
      </c>
      <c r="K130" s="1270">
        <v>6</v>
      </c>
      <c r="L130" s="1271">
        <v>5</v>
      </c>
      <c r="M130" s="1276">
        <v>350</v>
      </c>
      <c r="N130" s="1271"/>
      <c r="O130" s="1272" t="s">
        <v>5294</v>
      </c>
      <c r="P130" s="1846">
        <v>345</v>
      </c>
    </row>
    <row r="131" spans="2:16" ht="48" outlineLevel="1">
      <c r="B131" s="1322" t="s">
        <v>2666</v>
      </c>
      <c r="C131" s="1323"/>
      <c r="D131" s="125">
        <v>4</v>
      </c>
      <c r="E131" s="2317" t="s">
        <v>2259</v>
      </c>
      <c r="F131" s="133" t="s">
        <v>755</v>
      </c>
      <c r="G131" s="128" t="s">
        <v>2158</v>
      </c>
      <c r="H131" s="129">
        <v>12</v>
      </c>
      <c r="I131" s="130">
        <v>8</v>
      </c>
      <c r="J131" s="130">
        <v>35</v>
      </c>
      <c r="K131" s="129">
        <v>8</v>
      </c>
      <c r="L131" s="131">
        <v>5</v>
      </c>
      <c r="M131" s="1326">
        <v>400</v>
      </c>
      <c r="N131" s="131"/>
      <c r="O131" s="151" t="s">
        <v>5330</v>
      </c>
      <c r="P131" s="1848">
        <v>470</v>
      </c>
    </row>
    <row r="132" spans="2:16" ht="39" customHeight="1" outlineLevel="1">
      <c r="B132" s="1242" t="s">
        <v>2667</v>
      </c>
      <c r="C132" s="1273"/>
      <c r="D132" s="65">
        <v>5</v>
      </c>
      <c r="E132" s="2318" t="s">
        <v>2259</v>
      </c>
      <c r="F132" s="1275" t="s">
        <v>755</v>
      </c>
      <c r="G132" s="1269" t="s">
        <v>2137</v>
      </c>
      <c r="H132" s="1270">
        <v>10</v>
      </c>
      <c r="I132" s="1270">
        <v>10</v>
      </c>
      <c r="J132" s="1270">
        <v>40</v>
      </c>
      <c r="K132" s="1270">
        <v>4</v>
      </c>
      <c r="L132" s="1271">
        <v>4</v>
      </c>
      <c r="M132" s="1276">
        <v>400</v>
      </c>
      <c r="N132" s="1271"/>
      <c r="O132" s="1272" t="s">
        <v>3576</v>
      </c>
      <c r="P132" s="1846">
        <v>330</v>
      </c>
    </row>
    <row r="133" spans="2:16" ht="36" outlineLevel="1">
      <c r="B133" s="1322" t="s">
        <v>3471</v>
      </c>
      <c r="C133" s="1323"/>
      <c r="D133" s="125">
        <v>5</v>
      </c>
      <c r="E133" s="2317" t="s">
        <v>2259</v>
      </c>
      <c r="F133" s="127" t="s">
        <v>2158</v>
      </c>
      <c r="G133" s="135" t="s">
        <v>2136</v>
      </c>
      <c r="H133" s="129">
        <v>11</v>
      </c>
      <c r="I133" s="129">
        <v>11</v>
      </c>
      <c r="J133" s="130">
        <v>40</v>
      </c>
      <c r="K133" s="129">
        <v>6</v>
      </c>
      <c r="L133" s="131">
        <v>4</v>
      </c>
      <c r="M133" s="1326">
        <v>500</v>
      </c>
      <c r="N133" s="131"/>
      <c r="O133" s="151" t="s">
        <v>3577</v>
      </c>
      <c r="P133" s="1848">
        <v>490</v>
      </c>
    </row>
    <row r="134" spans="2:16" ht="51.95" customHeight="1" outlineLevel="1">
      <c r="B134" s="1242" t="s">
        <v>2668</v>
      </c>
      <c r="C134" s="1273"/>
      <c r="D134" s="65">
        <v>6</v>
      </c>
      <c r="E134" s="2318" t="s">
        <v>2259</v>
      </c>
      <c r="F134" s="1275" t="s">
        <v>2136</v>
      </c>
      <c r="G134" s="1269" t="s">
        <v>1393</v>
      </c>
      <c r="H134" s="1270">
        <v>15</v>
      </c>
      <c r="I134" s="1270">
        <v>13</v>
      </c>
      <c r="J134" s="1270">
        <v>75</v>
      </c>
      <c r="K134" s="1270">
        <v>7</v>
      </c>
      <c r="L134" s="1271">
        <v>2</v>
      </c>
      <c r="M134" s="1276">
        <v>750</v>
      </c>
      <c r="N134" s="1271"/>
      <c r="O134" s="1272" t="s">
        <v>10053</v>
      </c>
      <c r="P134" s="1846">
        <v>1669</v>
      </c>
    </row>
    <row r="135" spans="2:16" ht="60" outlineLevel="1">
      <c r="B135" s="1322" t="s">
        <v>2669</v>
      </c>
      <c r="C135" s="1323"/>
      <c r="D135" s="125">
        <v>6</v>
      </c>
      <c r="E135" s="2317" t="s">
        <v>2259</v>
      </c>
      <c r="F135" s="127" t="s">
        <v>678</v>
      </c>
      <c r="G135" s="135" t="s">
        <v>2350</v>
      </c>
      <c r="H135" s="130">
        <v>15</v>
      </c>
      <c r="I135" s="130">
        <v>13</v>
      </c>
      <c r="J135" s="129">
        <v>80</v>
      </c>
      <c r="K135" s="129">
        <v>9</v>
      </c>
      <c r="L135" s="131">
        <v>2</v>
      </c>
      <c r="M135" s="1326">
        <v>800</v>
      </c>
      <c r="N135" s="131"/>
      <c r="O135" s="151" t="s">
        <v>10054</v>
      </c>
      <c r="P135" s="1848">
        <v>2012</v>
      </c>
    </row>
    <row r="136" spans="2:16" ht="39.75" customHeight="1" outlineLevel="1">
      <c r="B136" s="1242" t="s">
        <v>2670</v>
      </c>
      <c r="C136" s="1273"/>
      <c r="D136" s="65">
        <v>7</v>
      </c>
      <c r="E136" s="2318" t="s">
        <v>2259</v>
      </c>
      <c r="F136" s="1275" t="s">
        <v>561</v>
      </c>
      <c r="G136" s="1269" t="s">
        <v>3177</v>
      </c>
      <c r="H136" s="1270">
        <v>18</v>
      </c>
      <c r="I136" s="1270">
        <v>18</v>
      </c>
      <c r="J136" s="1270">
        <v>150</v>
      </c>
      <c r="K136" s="1270">
        <v>15</v>
      </c>
      <c r="L136" s="1271">
        <v>2</v>
      </c>
      <c r="M136" s="1276">
        <v>1500</v>
      </c>
      <c r="N136" s="1271"/>
      <c r="O136" s="1272" t="s">
        <v>8762</v>
      </c>
      <c r="P136" s="1846">
        <v>4547</v>
      </c>
    </row>
    <row r="137" spans="2:16" ht="36.75" outlineLevel="1" thickBot="1">
      <c r="B137" s="1329" t="s">
        <v>1223</v>
      </c>
      <c r="C137" s="1330"/>
      <c r="D137" s="142">
        <v>7</v>
      </c>
      <c r="E137" s="2316" t="s">
        <v>2259</v>
      </c>
      <c r="F137" s="143" t="s">
        <v>561</v>
      </c>
      <c r="G137" s="144" t="s">
        <v>3177</v>
      </c>
      <c r="H137" s="145">
        <v>21</v>
      </c>
      <c r="I137" s="2319">
        <v>18</v>
      </c>
      <c r="J137" s="145">
        <v>200</v>
      </c>
      <c r="K137" s="145">
        <v>21</v>
      </c>
      <c r="L137" s="146">
        <v>2</v>
      </c>
      <c r="M137" s="1338">
        <v>2000</v>
      </c>
      <c r="N137" s="1339" t="s">
        <v>1438</v>
      </c>
      <c r="O137" s="2315" t="s">
        <v>3578</v>
      </c>
      <c r="P137" s="1850">
        <v>6721</v>
      </c>
    </row>
    <row r="138" spans="2:16" ht="39" customHeight="1">
      <c r="B138" s="1244" t="s">
        <v>2015</v>
      </c>
      <c r="C138" s="1278"/>
      <c r="D138" s="1293">
        <v>1</v>
      </c>
      <c r="E138" s="1294" t="s">
        <v>728</v>
      </c>
      <c r="F138" s="1280" t="s">
        <v>729</v>
      </c>
      <c r="G138" s="1281" t="s">
        <v>729</v>
      </c>
      <c r="H138" s="1282">
        <v>1</v>
      </c>
      <c r="I138" s="1282">
        <v>1</v>
      </c>
      <c r="J138" s="1282">
        <v>1</v>
      </c>
      <c r="K138" s="1282">
        <v>3</v>
      </c>
      <c r="L138" s="1291">
        <v>25</v>
      </c>
      <c r="M138" s="1284">
        <v>10</v>
      </c>
      <c r="N138" s="1283"/>
      <c r="O138" s="1285" t="s">
        <v>137</v>
      </c>
      <c r="P138" s="1229">
        <v>15</v>
      </c>
    </row>
    <row r="139" spans="2:16" ht="38.25" customHeight="1" outlineLevel="1">
      <c r="B139" s="1255" t="s">
        <v>2014</v>
      </c>
      <c r="C139" s="1325"/>
      <c r="D139" s="147">
        <v>1</v>
      </c>
      <c r="E139" s="148" t="s">
        <v>728</v>
      </c>
      <c r="F139" s="133" t="s">
        <v>729</v>
      </c>
      <c r="G139" s="128" t="s">
        <v>844</v>
      </c>
      <c r="H139" s="130">
        <v>4</v>
      </c>
      <c r="I139" s="130">
        <v>2</v>
      </c>
      <c r="J139" s="130">
        <v>4</v>
      </c>
      <c r="K139" s="130">
        <v>5</v>
      </c>
      <c r="L139" s="131">
        <v>15</v>
      </c>
      <c r="M139" s="149">
        <v>40</v>
      </c>
      <c r="N139" s="131"/>
      <c r="O139" s="151" t="s">
        <v>3579</v>
      </c>
      <c r="P139" s="1198">
        <v>75</v>
      </c>
    </row>
    <row r="140" spans="2:16" ht="39" customHeight="1" outlineLevel="1">
      <c r="B140" s="1242" t="s">
        <v>3472</v>
      </c>
      <c r="C140" s="1273"/>
      <c r="D140" s="1295">
        <v>2</v>
      </c>
      <c r="E140" s="1296" t="s">
        <v>728</v>
      </c>
      <c r="F140" s="1275" t="s">
        <v>2135</v>
      </c>
      <c r="G140" s="1269" t="s">
        <v>844</v>
      </c>
      <c r="H140" s="1270">
        <v>6</v>
      </c>
      <c r="I140" s="1270">
        <v>5</v>
      </c>
      <c r="J140" s="1270">
        <v>15</v>
      </c>
      <c r="K140" s="1270">
        <v>6</v>
      </c>
      <c r="L140" s="1271">
        <v>8</v>
      </c>
      <c r="M140" s="1276">
        <v>150</v>
      </c>
      <c r="N140" s="1271"/>
      <c r="O140" s="1272" t="s">
        <v>137</v>
      </c>
      <c r="P140" s="1846">
        <v>145</v>
      </c>
    </row>
    <row r="141" spans="2:16" ht="38.25" customHeight="1" outlineLevel="1">
      <c r="B141" s="1255" t="s">
        <v>379</v>
      </c>
      <c r="C141" s="1325"/>
      <c r="D141" s="147">
        <v>2</v>
      </c>
      <c r="E141" s="148" t="s">
        <v>728</v>
      </c>
      <c r="F141" s="133" t="s">
        <v>2135</v>
      </c>
      <c r="G141" s="128" t="s">
        <v>755</v>
      </c>
      <c r="H141" s="130">
        <v>8</v>
      </c>
      <c r="I141" s="130">
        <v>3</v>
      </c>
      <c r="J141" s="130">
        <v>10</v>
      </c>
      <c r="K141" s="130">
        <v>6</v>
      </c>
      <c r="L141" s="131">
        <v>8</v>
      </c>
      <c r="M141" s="149">
        <v>100</v>
      </c>
      <c r="N141" s="131"/>
      <c r="O141" s="151" t="s">
        <v>1864</v>
      </c>
      <c r="P141" s="1198">
        <v>135</v>
      </c>
    </row>
    <row r="142" spans="2:16" ht="39" customHeight="1" outlineLevel="1">
      <c r="B142" s="1242" t="s">
        <v>901</v>
      </c>
      <c r="C142" s="1273"/>
      <c r="D142" s="1295">
        <v>3</v>
      </c>
      <c r="E142" s="1296" t="s">
        <v>728</v>
      </c>
      <c r="F142" s="1275" t="s">
        <v>2135</v>
      </c>
      <c r="G142" s="1269" t="s">
        <v>2158</v>
      </c>
      <c r="H142" s="1270">
        <v>9</v>
      </c>
      <c r="I142" s="1270">
        <v>8</v>
      </c>
      <c r="J142" s="1270">
        <v>30</v>
      </c>
      <c r="K142" s="1270">
        <v>7</v>
      </c>
      <c r="L142" s="1271">
        <v>7</v>
      </c>
      <c r="M142" s="1276">
        <v>200</v>
      </c>
      <c r="N142" s="1271"/>
      <c r="O142" s="1272" t="s">
        <v>3580</v>
      </c>
      <c r="P142" s="1846">
        <v>345</v>
      </c>
    </row>
    <row r="143" spans="2:16" ht="38.25" customHeight="1" outlineLevel="1">
      <c r="B143" s="1255" t="s">
        <v>1596</v>
      </c>
      <c r="C143" s="1325"/>
      <c r="D143" s="147">
        <v>3</v>
      </c>
      <c r="E143" s="148" t="s">
        <v>728</v>
      </c>
      <c r="F143" s="133" t="s">
        <v>844</v>
      </c>
      <c r="G143" s="128" t="s">
        <v>756</v>
      </c>
      <c r="H143" s="130">
        <v>7</v>
      </c>
      <c r="I143" s="130">
        <v>7</v>
      </c>
      <c r="J143" s="130">
        <v>30</v>
      </c>
      <c r="K143" s="130">
        <v>5</v>
      </c>
      <c r="L143" s="131">
        <v>7</v>
      </c>
      <c r="M143" s="149">
        <v>300</v>
      </c>
      <c r="N143" s="131"/>
      <c r="O143" s="151" t="s">
        <v>3548</v>
      </c>
      <c r="P143" s="1198">
        <v>270</v>
      </c>
    </row>
    <row r="144" spans="2:16" ht="39" customHeight="1" outlineLevel="1">
      <c r="B144" s="1242" t="s">
        <v>644</v>
      </c>
      <c r="C144" s="1273"/>
      <c r="D144" s="1295">
        <v>4</v>
      </c>
      <c r="E144" s="1296" t="s">
        <v>728</v>
      </c>
      <c r="F144" s="1275" t="s">
        <v>2137</v>
      </c>
      <c r="G144" s="1269" t="s">
        <v>2136</v>
      </c>
      <c r="H144" s="1270">
        <v>12</v>
      </c>
      <c r="I144" s="1270">
        <v>10</v>
      </c>
      <c r="J144" s="1270">
        <v>15</v>
      </c>
      <c r="K144" s="1270">
        <v>9</v>
      </c>
      <c r="L144" s="1271">
        <v>4</v>
      </c>
      <c r="M144" s="1276">
        <v>400</v>
      </c>
      <c r="N144" s="1271"/>
      <c r="O144" s="1272" t="s">
        <v>3582</v>
      </c>
      <c r="P144" s="1846">
        <v>585</v>
      </c>
    </row>
    <row r="145" spans="2:16" ht="38.25" customHeight="1" outlineLevel="1">
      <c r="B145" s="1255" t="s">
        <v>1984</v>
      </c>
      <c r="C145" s="1325"/>
      <c r="D145" s="147">
        <v>5</v>
      </c>
      <c r="E145" s="148" t="s">
        <v>728</v>
      </c>
      <c r="F145" s="133" t="s">
        <v>2137</v>
      </c>
      <c r="G145" s="128" t="s">
        <v>2136</v>
      </c>
      <c r="H145" s="130">
        <v>11</v>
      </c>
      <c r="I145" s="130">
        <v>12</v>
      </c>
      <c r="J145" s="130">
        <v>50</v>
      </c>
      <c r="K145" s="130">
        <v>5</v>
      </c>
      <c r="L145" s="131">
        <v>3</v>
      </c>
      <c r="M145" s="149">
        <v>500</v>
      </c>
      <c r="N145" s="131"/>
      <c r="O145" s="151" t="s">
        <v>3581</v>
      </c>
      <c r="P145" s="1198">
        <v>600</v>
      </c>
    </row>
    <row r="146" spans="2:16" ht="38.25" customHeight="1" outlineLevel="1">
      <c r="B146" s="1242" t="s">
        <v>640</v>
      </c>
      <c r="C146" s="1273"/>
      <c r="D146" s="1295">
        <v>5</v>
      </c>
      <c r="E146" s="1296" t="s">
        <v>728</v>
      </c>
      <c r="F146" s="1275" t="s">
        <v>2136</v>
      </c>
      <c r="G146" s="1269" t="s">
        <v>678</v>
      </c>
      <c r="H146" s="1270">
        <v>14</v>
      </c>
      <c r="I146" s="1270">
        <v>7</v>
      </c>
      <c r="J146" s="1270">
        <v>40</v>
      </c>
      <c r="K146" s="1270">
        <v>7</v>
      </c>
      <c r="L146" s="1271">
        <v>3</v>
      </c>
      <c r="M146" s="1276">
        <v>500</v>
      </c>
      <c r="N146" s="1271"/>
      <c r="O146" s="1272" t="s">
        <v>1782</v>
      </c>
      <c r="P146" s="1846">
        <v>1024</v>
      </c>
    </row>
    <row r="147" spans="2:16" ht="39.75" customHeight="1" outlineLevel="1">
      <c r="B147" s="1255" t="s">
        <v>2534</v>
      </c>
      <c r="C147" s="1325"/>
      <c r="D147" s="147">
        <v>6</v>
      </c>
      <c r="E147" s="148" t="s">
        <v>728</v>
      </c>
      <c r="F147" s="133" t="s">
        <v>2136</v>
      </c>
      <c r="G147" s="128" t="s">
        <v>1665</v>
      </c>
      <c r="H147" s="130">
        <v>13</v>
      </c>
      <c r="I147" s="130">
        <v>12</v>
      </c>
      <c r="J147" s="130">
        <v>60</v>
      </c>
      <c r="K147" s="130">
        <v>5</v>
      </c>
      <c r="L147" s="131">
        <v>2</v>
      </c>
      <c r="M147" s="149">
        <v>750</v>
      </c>
      <c r="N147" s="131"/>
      <c r="O147" s="151" t="s">
        <v>3583</v>
      </c>
      <c r="P147" s="1198">
        <v>775</v>
      </c>
    </row>
    <row r="148" spans="2:16" ht="36.75" customHeight="1" outlineLevel="1">
      <c r="B148" s="1242" t="s">
        <v>1063</v>
      </c>
      <c r="C148" s="1273"/>
      <c r="D148" s="1295">
        <v>6</v>
      </c>
      <c r="E148" s="1296" t="s">
        <v>728</v>
      </c>
      <c r="F148" s="1275" t="s">
        <v>1665</v>
      </c>
      <c r="G148" s="1269" t="s">
        <v>1665</v>
      </c>
      <c r="H148" s="1270">
        <v>17</v>
      </c>
      <c r="I148" s="1270">
        <v>12</v>
      </c>
      <c r="J148" s="1270">
        <v>30</v>
      </c>
      <c r="K148" s="1270">
        <v>9</v>
      </c>
      <c r="L148" s="1271">
        <v>2</v>
      </c>
      <c r="M148" s="1276">
        <v>750</v>
      </c>
      <c r="N148" s="1271"/>
      <c r="O148" s="1272" t="s">
        <v>8033</v>
      </c>
      <c r="P148" s="1846">
        <v>1210</v>
      </c>
    </row>
    <row r="149" spans="2:16" ht="36.75" customHeight="1" outlineLevel="1">
      <c r="B149" s="1255" t="s">
        <v>1985</v>
      </c>
      <c r="C149" s="1325"/>
      <c r="D149" s="147">
        <v>7</v>
      </c>
      <c r="E149" s="148" t="s">
        <v>728</v>
      </c>
      <c r="F149" s="133" t="s">
        <v>1393</v>
      </c>
      <c r="G149" s="128" t="s">
        <v>561</v>
      </c>
      <c r="H149" s="130">
        <v>20</v>
      </c>
      <c r="I149" s="130">
        <v>20</v>
      </c>
      <c r="J149" s="130">
        <v>500</v>
      </c>
      <c r="K149" s="130">
        <v>15</v>
      </c>
      <c r="L149" s="131">
        <v>1</v>
      </c>
      <c r="M149" s="149">
        <v>10000</v>
      </c>
      <c r="N149" s="131" t="s">
        <v>3483</v>
      </c>
      <c r="O149" s="151" t="s">
        <v>3584</v>
      </c>
      <c r="P149" s="1198">
        <v>19580</v>
      </c>
    </row>
    <row r="150" spans="2:16" ht="38.25" customHeight="1" outlineLevel="1">
      <c r="B150" s="1242" t="s">
        <v>726</v>
      </c>
      <c r="C150" s="1273"/>
      <c r="D150" s="1295">
        <v>7</v>
      </c>
      <c r="E150" s="1296" t="s">
        <v>728</v>
      </c>
      <c r="F150" s="1275" t="s">
        <v>1666</v>
      </c>
      <c r="G150" s="1269" t="s">
        <v>1666</v>
      </c>
      <c r="H150" s="1270">
        <v>30</v>
      </c>
      <c r="I150" s="1270">
        <v>30</v>
      </c>
      <c r="J150" s="1270">
        <v>750</v>
      </c>
      <c r="K150" s="1270">
        <v>17</v>
      </c>
      <c r="L150" s="1271">
        <v>1</v>
      </c>
      <c r="M150" s="1276">
        <v>15000</v>
      </c>
      <c r="N150" s="1271" t="s">
        <v>1667</v>
      </c>
      <c r="O150" s="1272" t="s">
        <v>3585</v>
      </c>
      <c r="P150" s="1846">
        <v>26433</v>
      </c>
    </row>
    <row r="151" spans="2:16" ht="38.25" customHeight="1" outlineLevel="1">
      <c r="B151" s="1255" t="s">
        <v>3473</v>
      </c>
      <c r="C151" s="1325"/>
      <c r="D151" s="147">
        <v>7</v>
      </c>
      <c r="E151" s="148" t="s">
        <v>728</v>
      </c>
      <c r="F151" s="133" t="s">
        <v>3196</v>
      </c>
      <c r="G151" s="128" t="s">
        <v>3478</v>
      </c>
      <c r="H151" s="130">
        <v>40</v>
      </c>
      <c r="I151" s="130">
        <v>40</v>
      </c>
      <c r="J151" s="130">
        <v>800</v>
      </c>
      <c r="K151" s="130">
        <v>16</v>
      </c>
      <c r="L151" s="131">
        <v>1</v>
      </c>
      <c r="M151" s="149">
        <v>20000</v>
      </c>
      <c r="N151" s="131" t="s">
        <v>3484</v>
      </c>
      <c r="O151" s="151" t="s">
        <v>3586</v>
      </c>
      <c r="P151" s="1198">
        <v>39338</v>
      </c>
    </row>
    <row r="152" spans="2:16" ht="38.25" customHeight="1" outlineLevel="1" thickBot="1">
      <c r="B152" s="1247" t="s">
        <v>727</v>
      </c>
      <c r="C152" s="1297"/>
      <c r="D152" s="1298">
        <v>7</v>
      </c>
      <c r="E152" s="1299" t="s">
        <v>728</v>
      </c>
      <c r="F152" s="1287" t="s">
        <v>3206</v>
      </c>
      <c r="G152" s="1288" t="s">
        <v>3479</v>
      </c>
      <c r="H152" s="1300">
        <v>50</v>
      </c>
      <c r="I152" s="1300">
        <v>50</v>
      </c>
      <c r="J152" s="1300">
        <v>1000</v>
      </c>
      <c r="K152" s="1300">
        <v>19</v>
      </c>
      <c r="L152" s="1289">
        <v>1</v>
      </c>
      <c r="M152" s="1301">
        <v>30000</v>
      </c>
      <c r="N152" s="1289" t="s">
        <v>1199</v>
      </c>
      <c r="O152" s="1290" t="s">
        <v>8028</v>
      </c>
      <c r="P152" s="1847">
        <v>78845</v>
      </c>
    </row>
    <row r="153" spans="2:16" ht="5.0999999999999996" customHeight="1"/>
    <row r="154" spans="2:16">
      <c r="B154" s="3340" t="s">
        <v>7257</v>
      </c>
      <c r="C154" s="3340"/>
      <c r="D154" s="3340"/>
      <c r="E154" s="3340"/>
      <c r="F154" s="3340"/>
      <c r="G154" s="3340"/>
      <c r="H154" s="3340"/>
      <c r="I154" s="3340"/>
      <c r="J154" s="3340"/>
      <c r="K154" s="3340"/>
      <c r="L154" s="3340"/>
      <c r="M154" s="3340"/>
      <c r="N154" s="3340"/>
      <c r="O154" s="3340"/>
      <c r="P154" s="3340"/>
    </row>
    <row r="155" spans="2:16" ht="26.1" customHeight="1">
      <c r="B155" s="3340" t="s">
        <v>7258</v>
      </c>
      <c r="C155" s="3340"/>
      <c r="D155" s="3340"/>
      <c r="E155" s="3340"/>
      <c r="F155" s="3340"/>
      <c r="G155" s="3340"/>
      <c r="H155" s="3340"/>
      <c r="I155" s="3340"/>
      <c r="J155" s="3340"/>
      <c r="K155" s="3340"/>
      <c r="L155" s="3340"/>
      <c r="M155" s="3340"/>
      <c r="N155" s="3340"/>
      <c r="O155" s="3340"/>
      <c r="P155" s="3340"/>
    </row>
    <row r="156" spans="2:16" ht="26.1" customHeight="1">
      <c r="B156" s="3340" t="s">
        <v>8786</v>
      </c>
      <c r="C156" s="3340"/>
      <c r="D156" s="3340"/>
      <c r="E156" s="3340"/>
      <c r="F156" s="3340"/>
      <c r="G156" s="3340"/>
      <c r="H156" s="3340"/>
      <c r="I156" s="3340"/>
      <c r="J156" s="3340"/>
      <c r="K156" s="3340"/>
      <c r="L156" s="3340"/>
      <c r="M156" s="3340"/>
      <c r="N156" s="3340"/>
      <c r="O156" s="3340"/>
      <c r="P156" s="3340"/>
    </row>
  </sheetData>
  <sheetProtection autoFilter="0"/>
  <autoFilter ref="B11:N152">
    <filterColumn colId="8"/>
    <filterColumn colId="9"/>
  </autoFilter>
  <mergeCells count="22">
    <mergeCell ref="F9:G9"/>
    <mergeCell ref="B154:P154"/>
    <mergeCell ref="B155:P155"/>
    <mergeCell ref="H9:H10"/>
    <mergeCell ref="O8:O10"/>
    <mergeCell ref="I9:I10"/>
    <mergeCell ref="B156:P156"/>
    <mergeCell ref="C1:P1"/>
    <mergeCell ref="B3:P3"/>
    <mergeCell ref="P8:P10"/>
    <mergeCell ref="J9:J10"/>
    <mergeCell ref="K9:K10"/>
    <mergeCell ref="L9:L10"/>
    <mergeCell ref="M8:N8"/>
    <mergeCell ref="M9:M10"/>
    <mergeCell ref="N9:N10"/>
    <mergeCell ref="F8:L8"/>
    <mergeCell ref="B5:N5"/>
    <mergeCell ref="B6:N6"/>
    <mergeCell ref="B8:C10"/>
    <mergeCell ref="D8:D10"/>
    <mergeCell ref="E8:E10"/>
  </mergeCells>
  <phoneticPr fontId="9" type="noConversion"/>
  <hyperlinks>
    <hyperlink ref="B1" location="Index!A1" display="Назад"/>
  </hyperlinks>
  <pageMargins left="0.74803149606299213" right="0.74803149606299213" top="0.98425196850393704" bottom="0.98425196850393704" header="0.51181102362204722" footer="0.51181102362204722"/>
  <pageSetup paperSize="9" scale="85" orientation="landscape" r:id="rId1"/>
  <headerFooter alignWithMargins="0"/>
  <rowBreaks count="12" manualBreakCount="12">
    <brk id="33" max="15" man="1"/>
    <brk id="45" max="15" man="1"/>
    <brk id="57" max="15" man="1"/>
    <brk id="67" max="15" man="1"/>
    <brk id="77" max="15" man="1"/>
    <brk id="89" max="15" man="1"/>
    <brk id="101" max="15" man="1"/>
    <brk id="113" max="15" man="1"/>
    <brk id="125" max="15" man="1"/>
    <brk id="136" max="15" man="1"/>
    <brk id="146" max="15" man="1"/>
    <brk id="187" max="37" man="1"/>
  </rowBreaks>
  <colBreaks count="1" manualBreakCount="1">
    <brk id="16" max="176" man="1"/>
  </colBreaks>
  <ignoredErrors>
    <ignoredError sqref="E77 E76" twoDigitTextYear="1"/>
    <ignoredError sqref="F12:G152" numberStoredAsText="1"/>
  </ignoredErrors>
  <drawing r:id="rId2"/>
  <legacyDrawing r:id="rId3"/>
</worksheet>
</file>

<file path=xl/worksheets/sheet29.xml><?xml version="1.0" encoding="utf-8"?>
<worksheet xmlns="http://schemas.openxmlformats.org/spreadsheetml/2006/main" xmlns:r="http://schemas.openxmlformats.org/officeDocument/2006/relationships">
  <sheetPr>
    <outlinePr summaryBelow="0"/>
  </sheetPr>
  <dimension ref="B1:F155"/>
  <sheetViews>
    <sheetView zoomScaleNormal="100" workbookViewId="0">
      <pane ySplit="8" topLeftCell="A9" activePane="bottomLeft" state="frozen"/>
      <selection pane="bottomLeft" activeCell="B1" sqref="B1"/>
    </sheetView>
  </sheetViews>
  <sheetFormatPr defaultRowHeight="12.95" customHeight="1" outlineLevelRow="1"/>
  <cols>
    <col min="1" max="1" width="3.7109375" style="292" customWidth="1"/>
    <col min="2" max="2" width="22.140625" style="292" bestFit="1" customWidth="1"/>
    <col min="3" max="3" width="2" style="292" bestFit="1" customWidth="1"/>
    <col min="4" max="4" width="2" style="969" customWidth="1"/>
    <col min="5" max="5" width="11.5703125" style="969" bestFit="1" customWidth="1"/>
    <col min="6" max="6" width="93.5703125" style="292" customWidth="1"/>
    <col min="7" max="16384" width="9.140625" style="292"/>
  </cols>
  <sheetData>
    <row r="1" spans="2:6" ht="12.95" customHeight="1">
      <c r="B1" s="1716" t="s">
        <v>2706</v>
      </c>
      <c r="C1" s="3074" t="s">
        <v>8269</v>
      </c>
      <c r="D1" s="3074"/>
      <c r="E1" s="3074"/>
      <c r="F1" s="3074"/>
    </row>
    <row r="2" spans="2:6" ht="5.0999999999999996" customHeight="1"/>
    <row r="3" spans="2:6" ht="12.95" customHeight="1">
      <c r="B3" s="2978" t="s">
        <v>3485</v>
      </c>
      <c r="C3" s="2978"/>
      <c r="D3" s="2978"/>
      <c r="E3" s="2978"/>
      <c r="F3" s="2978"/>
    </row>
    <row r="4" spans="2:6" s="387" customFormat="1" ht="11.25">
      <c r="B4" s="3371" t="s">
        <v>5952</v>
      </c>
      <c r="C4" s="3371"/>
      <c r="D4" s="3371"/>
      <c r="E4" s="3371"/>
      <c r="F4" s="3371"/>
    </row>
    <row r="5" spans="2:6" ht="5.0999999999999996" customHeight="1">
      <c r="B5" s="1240"/>
      <c r="C5" s="1240"/>
      <c r="D5" s="1240"/>
      <c r="E5" s="1240"/>
      <c r="F5" s="1240"/>
    </row>
    <row r="6" spans="2:6" ht="39" customHeight="1">
      <c r="B6" s="2980" t="s">
        <v>8910</v>
      </c>
      <c r="C6" s="2960"/>
      <c r="D6" s="2960"/>
      <c r="E6" s="2960"/>
      <c r="F6" s="2960"/>
    </row>
    <row r="7" spans="2:6" ht="5.0999999999999996" customHeight="1" thickBot="1">
      <c r="B7" s="432"/>
      <c r="C7" s="431"/>
      <c r="D7" s="432"/>
      <c r="E7" s="432"/>
      <c r="F7" s="432"/>
    </row>
    <row r="8" spans="2:6" s="967" customFormat="1" ht="12.95" customHeight="1" thickBot="1">
      <c r="B8" s="976" t="s">
        <v>3476</v>
      </c>
      <c r="C8" s="1254" t="s">
        <v>1857</v>
      </c>
      <c r="D8" s="963" t="s">
        <v>3500</v>
      </c>
      <c r="E8" s="963" t="s">
        <v>310</v>
      </c>
      <c r="F8" s="964" t="s">
        <v>3486</v>
      </c>
    </row>
    <row r="9" spans="2:6" s="965" customFormat="1" ht="12" thickBot="1">
      <c r="B9" s="1249"/>
      <c r="C9" s="1250"/>
      <c r="D9" s="1251"/>
      <c r="E9" s="1252"/>
      <c r="F9" s="1253"/>
    </row>
    <row r="10" spans="2:6" ht="12.95" customHeight="1">
      <c r="B10" s="1244" t="s">
        <v>2232</v>
      </c>
      <c r="C10" s="1245"/>
      <c r="D10" s="1246"/>
      <c r="E10" s="1246" t="s">
        <v>2156</v>
      </c>
      <c r="F10" s="2814" t="s">
        <v>3489</v>
      </c>
    </row>
    <row r="11" spans="2:6" ht="12.95" customHeight="1" outlineLevel="1">
      <c r="B11" s="1255" t="s">
        <v>2233</v>
      </c>
      <c r="C11" s="1256"/>
      <c r="D11" s="2804"/>
      <c r="E11" s="2804" t="s">
        <v>2156</v>
      </c>
      <c r="F11" s="2808" t="s">
        <v>3489</v>
      </c>
    </row>
    <row r="12" spans="2:6" ht="12.95" customHeight="1" outlineLevel="1">
      <c r="B12" s="1242" t="s">
        <v>373</v>
      </c>
      <c r="C12" s="1243" t="s">
        <v>455</v>
      </c>
      <c r="D12" s="2803"/>
      <c r="E12" s="2803" t="s">
        <v>2156</v>
      </c>
      <c r="F12" s="2809" t="s">
        <v>3488</v>
      </c>
    </row>
    <row r="13" spans="2:6" ht="12.95" customHeight="1" outlineLevel="1">
      <c r="B13" s="1255" t="s">
        <v>343</v>
      </c>
      <c r="C13" s="1256" t="s">
        <v>455</v>
      </c>
      <c r="D13" s="2804"/>
      <c r="E13" s="2804" t="s">
        <v>2156</v>
      </c>
      <c r="F13" s="2808" t="s">
        <v>3487</v>
      </c>
    </row>
    <row r="14" spans="2:6" ht="12.95" customHeight="1" outlineLevel="1">
      <c r="B14" s="1242" t="s">
        <v>2324</v>
      </c>
      <c r="C14" s="1243"/>
      <c r="D14" s="2803" t="s">
        <v>3500</v>
      </c>
      <c r="E14" s="2803" t="s">
        <v>2156</v>
      </c>
      <c r="F14" s="2809" t="s">
        <v>3490</v>
      </c>
    </row>
    <row r="15" spans="2:6" ht="12.95" customHeight="1" outlineLevel="1">
      <c r="B15" s="1255" t="s">
        <v>344</v>
      </c>
      <c r="C15" s="1256"/>
      <c r="D15" s="2804" t="s">
        <v>3500</v>
      </c>
      <c r="E15" s="2804" t="s">
        <v>2156</v>
      </c>
      <c r="F15" s="2808" t="s">
        <v>3491</v>
      </c>
    </row>
    <row r="16" spans="2:6" ht="12.95" customHeight="1" outlineLevel="1">
      <c r="B16" s="1242" t="s">
        <v>2152</v>
      </c>
      <c r="C16" s="1243"/>
      <c r="D16" s="2803"/>
      <c r="E16" s="2803" t="s">
        <v>2156</v>
      </c>
      <c r="F16" s="2809" t="s">
        <v>137</v>
      </c>
    </row>
    <row r="17" spans="2:6" ht="12.95" customHeight="1" outlineLevel="1">
      <c r="B17" s="1255" t="s">
        <v>1645</v>
      </c>
      <c r="C17" s="1256"/>
      <c r="D17" s="2804"/>
      <c r="E17" s="2804" t="s">
        <v>2156</v>
      </c>
      <c r="F17" s="2808" t="s">
        <v>3492</v>
      </c>
    </row>
    <row r="18" spans="2:6" ht="12.95" customHeight="1" outlineLevel="1">
      <c r="B18" s="1242" t="s">
        <v>1948</v>
      </c>
      <c r="C18" s="1243" t="s">
        <v>455</v>
      </c>
      <c r="D18" s="2803"/>
      <c r="E18" s="2803" t="s">
        <v>2156</v>
      </c>
      <c r="F18" s="2809" t="s">
        <v>3488</v>
      </c>
    </row>
    <row r="19" spans="2:6" ht="12.95" customHeight="1" outlineLevel="1">
      <c r="B19" s="1255" t="s">
        <v>1644</v>
      </c>
      <c r="C19" s="1256" t="s">
        <v>455</v>
      </c>
      <c r="D19" s="2804"/>
      <c r="E19" s="2804" t="s">
        <v>2156</v>
      </c>
      <c r="F19" s="2808" t="s">
        <v>3493</v>
      </c>
    </row>
    <row r="20" spans="2:6" ht="26.1" customHeight="1" outlineLevel="1">
      <c r="B20" s="1242" t="s">
        <v>567</v>
      </c>
      <c r="C20" s="1243"/>
      <c r="D20" s="2803"/>
      <c r="E20" s="2803" t="s">
        <v>2156</v>
      </c>
      <c r="F20" s="1031" t="s">
        <v>7937</v>
      </c>
    </row>
    <row r="21" spans="2:6" ht="26.1" customHeight="1" outlineLevel="1">
      <c r="B21" s="1255" t="s">
        <v>654</v>
      </c>
      <c r="C21" s="1256"/>
      <c r="D21" s="2804"/>
      <c r="E21" s="2804" t="s">
        <v>2156</v>
      </c>
      <c r="F21" s="2532" t="s">
        <v>7937</v>
      </c>
    </row>
    <row r="22" spans="2:6" ht="26.1" customHeight="1" outlineLevel="1">
      <c r="B22" s="1242" t="s">
        <v>650</v>
      </c>
      <c r="C22" s="1243"/>
      <c r="D22" s="2803" t="s">
        <v>3500</v>
      </c>
      <c r="E22" s="2803" t="s">
        <v>2156</v>
      </c>
      <c r="F22" s="2809" t="s">
        <v>8769</v>
      </c>
    </row>
    <row r="23" spans="2:6" ht="51.95" customHeight="1" outlineLevel="1" thickBot="1">
      <c r="B23" s="1257" t="s">
        <v>1220</v>
      </c>
      <c r="C23" s="1258"/>
      <c r="D23" s="2805" t="s">
        <v>3500</v>
      </c>
      <c r="E23" s="2805" t="s">
        <v>2156</v>
      </c>
      <c r="F23" s="2822" t="s">
        <v>8768</v>
      </c>
    </row>
    <row r="24" spans="2:6" ht="12.95" customHeight="1">
      <c r="B24" s="1244" t="s">
        <v>2234</v>
      </c>
      <c r="C24" s="1245"/>
      <c r="D24" s="1246"/>
      <c r="E24" s="1246" t="s">
        <v>893</v>
      </c>
      <c r="F24" s="990" t="s">
        <v>137</v>
      </c>
    </row>
    <row r="25" spans="2:6" ht="12.95" customHeight="1" outlineLevel="1">
      <c r="B25" s="1255" t="s">
        <v>3444</v>
      </c>
      <c r="C25" s="1256"/>
      <c r="D25" s="998"/>
      <c r="E25" s="998" t="s">
        <v>893</v>
      </c>
      <c r="F25" s="1010" t="s">
        <v>137</v>
      </c>
    </row>
    <row r="26" spans="2:6" ht="12.95" customHeight="1" outlineLevel="1">
      <c r="B26" s="1242" t="s">
        <v>374</v>
      </c>
      <c r="C26" s="1243"/>
      <c r="D26" s="607"/>
      <c r="E26" s="607" t="s">
        <v>893</v>
      </c>
      <c r="F26" s="968" t="s">
        <v>3494</v>
      </c>
    </row>
    <row r="27" spans="2:6" ht="12.95" customHeight="1" outlineLevel="1">
      <c r="B27" s="1255" t="s">
        <v>1597</v>
      </c>
      <c r="C27" s="1256"/>
      <c r="D27" s="998"/>
      <c r="E27" s="998" t="s">
        <v>893</v>
      </c>
      <c r="F27" s="1010" t="s">
        <v>3495</v>
      </c>
    </row>
    <row r="28" spans="2:6" ht="12.95" customHeight="1" outlineLevel="1">
      <c r="B28" s="1242" t="s">
        <v>2844</v>
      </c>
      <c r="C28" s="1243" t="s">
        <v>455</v>
      </c>
      <c r="D28" s="607"/>
      <c r="E28" s="607" t="s">
        <v>893</v>
      </c>
      <c r="F28" s="968" t="s">
        <v>3496</v>
      </c>
    </row>
    <row r="29" spans="2:6" ht="12.95" customHeight="1" outlineLevel="1">
      <c r="B29" s="1255" t="s">
        <v>840</v>
      </c>
      <c r="C29" s="1256" t="s">
        <v>455</v>
      </c>
      <c r="D29" s="998"/>
      <c r="E29" s="998" t="s">
        <v>893</v>
      </c>
      <c r="F29" s="1010" t="s">
        <v>3487</v>
      </c>
    </row>
    <row r="30" spans="2:6" ht="26.1" customHeight="1" outlineLevel="1">
      <c r="B30" s="1242" t="s">
        <v>1949</v>
      </c>
      <c r="C30" s="1243"/>
      <c r="D30" s="607" t="s">
        <v>3500</v>
      </c>
      <c r="E30" s="607" t="s">
        <v>893</v>
      </c>
      <c r="F30" s="2594" t="s">
        <v>8354</v>
      </c>
    </row>
    <row r="31" spans="2:6" ht="26.1" customHeight="1" outlineLevel="1">
      <c r="B31" s="1255" t="s">
        <v>900</v>
      </c>
      <c r="C31" s="1256"/>
      <c r="D31" s="998" t="s">
        <v>3500</v>
      </c>
      <c r="E31" s="998" t="s">
        <v>893</v>
      </c>
      <c r="F31" s="2595" t="s">
        <v>8354</v>
      </c>
    </row>
    <row r="32" spans="2:6" ht="51.95" customHeight="1" outlineLevel="1">
      <c r="B32" s="1242" t="s">
        <v>3445</v>
      </c>
      <c r="C32" s="1243"/>
      <c r="D32" s="607"/>
      <c r="E32" s="607" t="s">
        <v>893</v>
      </c>
      <c r="F32" s="1031" t="s">
        <v>5953</v>
      </c>
    </row>
    <row r="33" spans="2:6" ht="39" customHeight="1" outlineLevel="1">
      <c r="B33" s="1255" t="s">
        <v>3446</v>
      </c>
      <c r="C33" s="1256"/>
      <c r="D33" s="998"/>
      <c r="E33" s="998" t="s">
        <v>893</v>
      </c>
      <c r="F33" s="150" t="s">
        <v>6236</v>
      </c>
    </row>
    <row r="34" spans="2:6" ht="65.099999999999994" customHeight="1" outlineLevel="1">
      <c r="B34" s="1242" t="s">
        <v>1052</v>
      </c>
      <c r="C34" s="1243"/>
      <c r="D34" s="607"/>
      <c r="E34" s="607" t="s">
        <v>893</v>
      </c>
      <c r="F34" s="2674" t="s">
        <v>8766</v>
      </c>
    </row>
    <row r="35" spans="2:6" ht="65.099999999999994" customHeight="1" outlineLevel="1">
      <c r="B35" s="1255" t="s">
        <v>841</v>
      </c>
      <c r="C35" s="1256"/>
      <c r="D35" s="998"/>
      <c r="E35" s="998" t="s">
        <v>893</v>
      </c>
      <c r="F35" s="2674" t="s">
        <v>8767</v>
      </c>
    </row>
    <row r="36" spans="2:6" ht="12.95" customHeight="1" outlineLevel="1">
      <c r="B36" s="1242" t="s">
        <v>3447</v>
      </c>
      <c r="C36" s="1243"/>
      <c r="D36" s="607" t="s">
        <v>3500</v>
      </c>
      <c r="E36" s="607" t="s">
        <v>893</v>
      </c>
      <c r="F36" s="968" t="s">
        <v>3497</v>
      </c>
    </row>
    <row r="37" spans="2:6" ht="12.95" customHeight="1" outlineLevel="1" thickBot="1">
      <c r="B37" s="1257" t="s">
        <v>842</v>
      </c>
      <c r="C37" s="1258"/>
      <c r="D37" s="999" t="s">
        <v>3500</v>
      </c>
      <c r="E37" s="999" t="s">
        <v>893</v>
      </c>
      <c r="F37" s="1008" t="s">
        <v>3498</v>
      </c>
    </row>
    <row r="38" spans="2:6" ht="12.95" customHeight="1">
      <c r="B38" s="1244" t="s">
        <v>1532</v>
      </c>
      <c r="C38" s="1245"/>
      <c r="D38" s="1246"/>
      <c r="E38" s="1246" t="s">
        <v>2141</v>
      </c>
      <c r="F38" s="1751" t="s">
        <v>137</v>
      </c>
    </row>
    <row r="39" spans="2:6" ht="12.95" customHeight="1" outlineLevel="1">
      <c r="B39" s="1255" t="s">
        <v>1533</v>
      </c>
      <c r="C39" s="1256" t="s">
        <v>455</v>
      </c>
      <c r="D39" s="1728"/>
      <c r="E39" s="1728" t="s">
        <v>2141</v>
      </c>
      <c r="F39" s="1737" t="s">
        <v>3499</v>
      </c>
    </row>
    <row r="40" spans="2:6" ht="12.95" customHeight="1" outlineLevel="1">
      <c r="B40" s="1242" t="s">
        <v>3448</v>
      </c>
      <c r="C40" s="1243"/>
      <c r="D40" s="1727" t="s">
        <v>3500</v>
      </c>
      <c r="E40" s="1727" t="s">
        <v>2141</v>
      </c>
      <c r="F40" s="1031" t="s">
        <v>5452</v>
      </c>
    </row>
    <row r="41" spans="2:6" ht="12.95" customHeight="1" outlineLevel="1">
      <c r="B41" s="1255" t="s">
        <v>3449</v>
      </c>
      <c r="C41" s="1256"/>
      <c r="D41" s="1728" t="s">
        <v>3500</v>
      </c>
      <c r="E41" s="1728" t="s">
        <v>2141</v>
      </c>
      <c r="F41" s="150" t="s">
        <v>5452</v>
      </c>
    </row>
    <row r="42" spans="2:6" ht="12.95" customHeight="1" outlineLevel="1">
      <c r="B42" s="1242" t="s">
        <v>2260</v>
      </c>
      <c r="C42" s="1243"/>
      <c r="D42" s="1727"/>
      <c r="E42" s="1727" t="s">
        <v>2141</v>
      </c>
      <c r="F42" s="1738" t="s">
        <v>5460</v>
      </c>
    </row>
    <row r="43" spans="2:6" ht="12.95" customHeight="1" outlineLevel="1">
      <c r="B43" s="1255" t="s">
        <v>3450</v>
      </c>
      <c r="C43" s="1256"/>
      <c r="D43" s="1728"/>
      <c r="E43" s="1728" t="s">
        <v>2141</v>
      </c>
      <c r="F43" s="1737" t="s">
        <v>5461</v>
      </c>
    </row>
    <row r="44" spans="2:6" ht="26.1" customHeight="1" outlineLevel="1">
      <c r="B44" s="1242" t="s">
        <v>1817</v>
      </c>
      <c r="C44" s="1243" t="s">
        <v>455</v>
      </c>
      <c r="D44" s="1727"/>
      <c r="E44" s="1727" t="s">
        <v>2141</v>
      </c>
      <c r="F44" s="1738" t="s">
        <v>5423</v>
      </c>
    </row>
    <row r="45" spans="2:6" ht="26.1" customHeight="1" outlineLevel="1">
      <c r="B45" s="1255" t="s">
        <v>3451</v>
      </c>
      <c r="C45" s="1256" t="s">
        <v>455</v>
      </c>
      <c r="D45" s="1728"/>
      <c r="E45" s="1728" t="s">
        <v>2141</v>
      </c>
      <c r="F45" s="1737" t="s">
        <v>5423</v>
      </c>
    </row>
    <row r="46" spans="2:6" ht="12.95" customHeight="1" outlineLevel="1">
      <c r="B46" s="1242" t="s">
        <v>3062</v>
      </c>
      <c r="C46" s="1243"/>
      <c r="D46" s="1727" t="s">
        <v>3500</v>
      </c>
      <c r="E46" s="1727" t="s">
        <v>2141</v>
      </c>
      <c r="F46" s="2647" t="s">
        <v>8770</v>
      </c>
    </row>
    <row r="47" spans="2:6" ht="78" customHeight="1" outlineLevel="1">
      <c r="B47" s="1255" t="s">
        <v>3452</v>
      </c>
      <c r="C47" s="1256"/>
      <c r="D47" s="1728" t="s">
        <v>3500</v>
      </c>
      <c r="E47" s="1728" t="s">
        <v>2141</v>
      </c>
      <c r="F47" s="2648" t="s">
        <v>8771</v>
      </c>
    </row>
    <row r="48" spans="2:6" ht="12.95" customHeight="1" outlineLevel="1">
      <c r="B48" s="1242" t="s">
        <v>566</v>
      </c>
      <c r="C48" s="1243"/>
      <c r="D48" s="1727"/>
      <c r="E48" s="1727" t="s">
        <v>2141</v>
      </c>
      <c r="F48" s="1738" t="s">
        <v>3501</v>
      </c>
    </row>
    <row r="49" spans="2:6" ht="12.95" customHeight="1" outlineLevel="1">
      <c r="B49" s="1255" t="s">
        <v>3453</v>
      </c>
      <c r="C49" s="1256"/>
      <c r="D49" s="1728"/>
      <c r="E49" s="1728" t="s">
        <v>2141</v>
      </c>
      <c r="F49" s="1737" t="s">
        <v>3501</v>
      </c>
    </row>
    <row r="50" spans="2:6" ht="12.95" customHeight="1" outlineLevel="1">
      <c r="B50" s="1242" t="s">
        <v>652</v>
      </c>
      <c r="C50" s="1243"/>
      <c r="D50" s="1727"/>
      <c r="E50" s="1727" t="s">
        <v>2141</v>
      </c>
      <c r="F50" s="1738" t="s">
        <v>3502</v>
      </c>
    </row>
    <row r="51" spans="2:6" ht="26.1" customHeight="1" outlineLevel="1" thickBot="1">
      <c r="B51" s="1257" t="s">
        <v>1221</v>
      </c>
      <c r="C51" s="1258" t="s">
        <v>455</v>
      </c>
      <c r="D51" s="1729"/>
      <c r="E51" s="1729" t="s">
        <v>2141</v>
      </c>
      <c r="F51" s="2649" t="s">
        <v>8772</v>
      </c>
    </row>
    <row r="52" spans="2:6" ht="12.95" customHeight="1">
      <c r="B52" s="1244" t="s">
        <v>1536</v>
      </c>
      <c r="C52" s="1245"/>
      <c r="D52" s="1246"/>
      <c r="E52" s="1246" t="s">
        <v>625</v>
      </c>
      <c r="F52" s="990" t="s">
        <v>5453</v>
      </c>
    </row>
    <row r="53" spans="2:6" ht="12.95" customHeight="1" outlineLevel="1">
      <c r="B53" s="1255" t="s">
        <v>3454</v>
      </c>
      <c r="C53" s="1256"/>
      <c r="D53" s="998"/>
      <c r="E53" s="998" t="s">
        <v>625</v>
      </c>
      <c r="F53" s="1010" t="s">
        <v>5453</v>
      </c>
    </row>
    <row r="54" spans="2:6" ht="12.95" customHeight="1" outlineLevel="1">
      <c r="B54" s="1242" t="s">
        <v>2528</v>
      </c>
      <c r="C54" s="1243"/>
      <c r="D54" s="607"/>
      <c r="E54" s="607" t="s">
        <v>625</v>
      </c>
      <c r="F54" s="968" t="s">
        <v>5453</v>
      </c>
    </row>
    <row r="55" spans="2:6" ht="12.95" customHeight="1" outlineLevel="1">
      <c r="B55" s="1255" t="s">
        <v>376</v>
      </c>
      <c r="C55" s="1256"/>
      <c r="D55" s="998"/>
      <c r="E55" s="998" t="s">
        <v>625</v>
      </c>
      <c r="F55" s="1010" t="s">
        <v>5454</v>
      </c>
    </row>
    <row r="56" spans="2:6" ht="12.95" customHeight="1" outlineLevel="1">
      <c r="B56" s="1242" t="s">
        <v>1594</v>
      </c>
      <c r="C56" s="1243"/>
      <c r="D56" s="607" t="s">
        <v>3500</v>
      </c>
      <c r="E56" s="607" t="s">
        <v>625</v>
      </c>
      <c r="F56" s="968" t="s">
        <v>5455</v>
      </c>
    </row>
    <row r="57" spans="2:6" ht="26.1" customHeight="1" outlineLevel="1">
      <c r="B57" s="1255" t="s">
        <v>1619</v>
      </c>
      <c r="C57" s="1256"/>
      <c r="D57" s="998" t="s">
        <v>3500</v>
      </c>
      <c r="E57" s="998" t="s">
        <v>625</v>
      </c>
      <c r="F57" s="1010" t="s">
        <v>5456</v>
      </c>
    </row>
    <row r="58" spans="2:6" ht="12.95" customHeight="1" outlineLevel="1">
      <c r="B58" s="1242" t="s">
        <v>895</v>
      </c>
      <c r="C58" s="1243"/>
      <c r="D58" s="607" t="s">
        <v>3500</v>
      </c>
      <c r="E58" s="607" t="s">
        <v>625</v>
      </c>
      <c r="F58" s="1634" t="s">
        <v>5457</v>
      </c>
    </row>
    <row r="59" spans="2:6" ht="39" customHeight="1" outlineLevel="1">
      <c r="B59" s="1255" t="s">
        <v>3455</v>
      </c>
      <c r="C59" s="1256"/>
      <c r="D59" s="998" t="s">
        <v>3500</v>
      </c>
      <c r="E59" s="998" t="s">
        <v>625</v>
      </c>
      <c r="F59" s="2937" t="s">
        <v>10055</v>
      </c>
    </row>
    <row r="60" spans="2:6" ht="26.1" customHeight="1" outlineLevel="1">
      <c r="B60" s="1242" t="s">
        <v>642</v>
      </c>
      <c r="C60" s="1243" t="s">
        <v>455</v>
      </c>
      <c r="D60" s="607"/>
      <c r="E60" s="607" t="s">
        <v>625</v>
      </c>
      <c r="F60" s="2392" t="s">
        <v>7559</v>
      </c>
    </row>
    <row r="61" spans="2:6" ht="26.1" customHeight="1" outlineLevel="1">
      <c r="B61" s="1255" t="s">
        <v>898</v>
      </c>
      <c r="C61" s="1256" t="s">
        <v>455</v>
      </c>
      <c r="D61" s="998"/>
      <c r="E61" s="998" t="s">
        <v>625</v>
      </c>
      <c r="F61" s="1010" t="s">
        <v>5458</v>
      </c>
    </row>
    <row r="62" spans="2:6" ht="12.95" customHeight="1" outlineLevel="1">
      <c r="B62" s="1242" t="s">
        <v>3456</v>
      </c>
      <c r="C62" s="1243"/>
      <c r="D62" s="607"/>
      <c r="E62" s="607" t="s">
        <v>625</v>
      </c>
      <c r="F62" s="1718" t="s">
        <v>6211</v>
      </c>
    </row>
    <row r="63" spans="2:6" ht="26.1" customHeight="1" outlineLevel="1">
      <c r="B63" s="1255" t="s">
        <v>2607</v>
      </c>
      <c r="C63" s="1256"/>
      <c r="D63" s="998"/>
      <c r="E63" s="998" t="s">
        <v>625</v>
      </c>
      <c r="F63" s="1717" t="s">
        <v>6212</v>
      </c>
    </row>
    <row r="64" spans="2:6" ht="12.95" customHeight="1" outlineLevel="1">
      <c r="B64" s="1242" t="s">
        <v>899</v>
      </c>
      <c r="C64" s="1243"/>
      <c r="D64" s="607" t="s">
        <v>3500</v>
      </c>
      <c r="E64" s="607" t="s">
        <v>625</v>
      </c>
      <c r="F64" s="1009" t="s">
        <v>5459</v>
      </c>
    </row>
    <row r="65" spans="2:6" ht="26.1" customHeight="1" outlineLevel="1" thickBot="1">
      <c r="B65" s="1257" t="s">
        <v>3457</v>
      </c>
      <c r="C65" s="1258"/>
      <c r="D65" s="999" t="s">
        <v>3500</v>
      </c>
      <c r="E65" s="999" t="s">
        <v>625</v>
      </c>
      <c r="F65" s="1719" t="s">
        <v>6215</v>
      </c>
    </row>
    <row r="66" spans="2:6" ht="12.95" customHeight="1">
      <c r="B66" s="1244" t="s">
        <v>1537</v>
      </c>
      <c r="C66" s="1245"/>
      <c r="D66" s="1246"/>
      <c r="E66" s="1246" t="s">
        <v>626</v>
      </c>
      <c r="F66" s="2814" t="s">
        <v>3503</v>
      </c>
    </row>
    <row r="67" spans="2:6" ht="12.95" customHeight="1" outlineLevel="1">
      <c r="B67" s="1255" t="s">
        <v>1721</v>
      </c>
      <c r="C67" s="1256"/>
      <c r="D67" s="2804"/>
      <c r="E67" s="2804" t="s">
        <v>626</v>
      </c>
      <c r="F67" s="2808" t="s">
        <v>3503</v>
      </c>
    </row>
    <row r="68" spans="2:6" ht="39" customHeight="1" outlineLevel="1">
      <c r="B68" s="1242" t="s">
        <v>377</v>
      </c>
      <c r="C68" s="1243"/>
      <c r="D68" s="2803" t="s">
        <v>3500</v>
      </c>
      <c r="E68" s="2803" t="s">
        <v>626</v>
      </c>
      <c r="F68" s="2809" t="s">
        <v>6238</v>
      </c>
    </row>
    <row r="69" spans="2:6" ht="12.95" customHeight="1" outlineLevel="1">
      <c r="B69" s="1255" t="s">
        <v>3458</v>
      </c>
      <c r="C69" s="1256"/>
      <c r="D69" s="2804" t="s">
        <v>3500</v>
      </c>
      <c r="E69" s="2804" t="s">
        <v>626</v>
      </c>
      <c r="F69" s="2808" t="s">
        <v>3504</v>
      </c>
    </row>
    <row r="70" spans="2:6" ht="12.95" customHeight="1" outlineLevel="1">
      <c r="B70" s="1242" t="s">
        <v>2325</v>
      </c>
      <c r="C70" s="1243" t="s">
        <v>455</v>
      </c>
      <c r="D70" s="2803"/>
      <c r="E70" s="2803" t="s">
        <v>626</v>
      </c>
      <c r="F70" s="2809" t="s">
        <v>3505</v>
      </c>
    </row>
    <row r="71" spans="2:6" ht="12.95" customHeight="1" outlineLevel="1">
      <c r="B71" s="1255" t="s">
        <v>3459</v>
      </c>
      <c r="C71" s="1256" t="s">
        <v>455</v>
      </c>
      <c r="D71" s="2804"/>
      <c r="E71" s="2804" t="s">
        <v>626</v>
      </c>
      <c r="F71" s="2808" t="s">
        <v>3493</v>
      </c>
    </row>
    <row r="72" spans="2:6" ht="51.95" customHeight="1" outlineLevel="1">
      <c r="B72" s="1242" t="s">
        <v>490</v>
      </c>
      <c r="C72" s="1243" t="s">
        <v>455</v>
      </c>
      <c r="D72" s="2803"/>
      <c r="E72" s="2803" t="s">
        <v>626</v>
      </c>
      <c r="F72" s="2809" t="s">
        <v>5957</v>
      </c>
    </row>
    <row r="73" spans="2:6" ht="51.95" customHeight="1" outlineLevel="1">
      <c r="B73" s="1255" t="s">
        <v>3460</v>
      </c>
      <c r="C73" s="1256" t="s">
        <v>455</v>
      </c>
      <c r="D73" s="2804"/>
      <c r="E73" s="2804" t="s">
        <v>626</v>
      </c>
      <c r="F73" s="2808" t="s">
        <v>5956</v>
      </c>
    </row>
    <row r="74" spans="2:6" ht="12.95" customHeight="1" outlineLevel="1">
      <c r="B74" s="1242" t="s">
        <v>643</v>
      </c>
      <c r="C74" s="1243"/>
      <c r="D74" s="2803"/>
      <c r="E74" s="2803" t="s">
        <v>626</v>
      </c>
      <c r="F74" s="2809" t="s">
        <v>3506</v>
      </c>
    </row>
    <row r="75" spans="2:6" ht="12.95" customHeight="1" outlineLevel="1">
      <c r="B75" s="1255" t="s">
        <v>3461</v>
      </c>
      <c r="C75" s="1256"/>
      <c r="D75" s="2804"/>
      <c r="E75" s="2804" t="s">
        <v>626</v>
      </c>
      <c r="F75" s="2808" t="s">
        <v>3506</v>
      </c>
    </row>
    <row r="76" spans="2:6" ht="12.95" customHeight="1" outlineLevel="1">
      <c r="B76" s="1242" t="s">
        <v>1054</v>
      </c>
      <c r="C76" s="1243"/>
      <c r="D76" s="2803" t="s">
        <v>3500</v>
      </c>
      <c r="E76" s="2803" t="s">
        <v>626</v>
      </c>
      <c r="F76" s="2809" t="s">
        <v>137</v>
      </c>
    </row>
    <row r="77" spans="2:6" ht="51.95" customHeight="1" outlineLevel="1">
      <c r="B77" s="1255" t="s">
        <v>1053</v>
      </c>
      <c r="C77" s="1256"/>
      <c r="D77" s="2804" t="s">
        <v>3500</v>
      </c>
      <c r="E77" s="2804" t="s">
        <v>626</v>
      </c>
      <c r="F77" s="2808" t="s">
        <v>6214</v>
      </c>
    </row>
    <row r="78" spans="2:6" ht="12.95" customHeight="1" outlineLevel="1">
      <c r="B78" s="1242" t="s">
        <v>1100</v>
      </c>
      <c r="C78" s="1243"/>
      <c r="D78" s="2803" t="s">
        <v>3500</v>
      </c>
      <c r="E78" s="2803" t="s">
        <v>626</v>
      </c>
      <c r="F78" s="2809" t="s">
        <v>3497</v>
      </c>
    </row>
    <row r="79" spans="2:6" ht="26.1" customHeight="1" outlineLevel="1" thickBot="1">
      <c r="B79" s="1257" t="s">
        <v>3462</v>
      </c>
      <c r="C79" s="1258"/>
      <c r="D79" s="2805" t="s">
        <v>3500</v>
      </c>
      <c r="E79" s="2805" t="s">
        <v>626</v>
      </c>
      <c r="F79" s="2822" t="s">
        <v>8773</v>
      </c>
    </row>
    <row r="80" spans="2:6" ht="12.95" customHeight="1">
      <c r="B80" s="1244" t="s">
        <v>1534</v>
      </c>
      <c r="C80" s="1245"/>
      <c r="D80" s="1246"/>
      <c r="E80" s="1246" t="s">
        <v>2557</v>
      </c>
      <c r="F80" s="990" t="s">
        <v>137</v>
      </c>
    </row>
    <row r="81" spans="2:6" ht="39" customHeight="1" outlineLevel="1">
      <c r="B81" s="1255" t="s">
        <v>1535</v>
      </c>
      <c r="C81" s="1256"/>
      <c r="D81" s="998"/>
      <c r="E81" s="998" t="s">
        <v>2557</v>
      </c>
      <c r="F81" s="2603" t="s">
        <v>8456</v>
      </c>
    </row>
    <row r="82" spans="2:6" ht="12.95" customHeight="1" outlineLevel="1">
      <c r="B82" s="1242" t="s">
        <v>375</v>
      </c>
      <c r="C82" s="1243" t="s">
        <v>455</v>
      </c>
      <c r="D82" s="607"/>
      <c r="E82" s="607" t="s">
        <v>2557</v>
      </c>
      <c r="F82" s="968" t="s">
        <v>3507</v>
      </c>
    </row>
    <row r="83" spans="2:6" ht="26.1" customHeight="1" outlineLevel="1">
      <c r="B83" s="1255" t="s">
        <v>1593</v>
      </c>
      <c r="C83" s="1256" t="s">
        <v>455</v>
      </c>
      <c r="D83" s="998"/>
      <c r="E83" s="998" t="s">
        <v>2557</v>
      </c>
      <c r="F83" s="1010" t="s">
        <v>3508</v>
      </c>
    </row>
    <row r="84" spans="2:6" ht="12.95" customHeight="1" outlineLevel="1">
      <c r="B84" s="1242" t="s">
        <v>1518</v>
      </c>
      <c r="C84" s="1243"/>
      <c r="D84" s="607"/>
      <c r="E84" s="607" t="s">
        <v>2557</v>
      </c>
      <c r="F84" s="968" t="s">
        <v>137</v>
      </c>
    </row>
    <row r="85" spans="2:6" ht="26.1" customHeight="1" outlineLevel="1">
      <c r="B85" s="1255" t="s">
        <v>2323</v>
      </c>
      <c r="C85" s="1256"/>
      <c r="D85" s="998"/>
      <c r="E85" s="998" t="s">
        <v>2557</v>
      </c>
      <c r="F85" s="1010" t="s">
        <v>3561</v>
      </c>
    </row>
    <row r="86" spans="2:6" ht="12.95" customHeight="1" outlineLevel="1">
      <c r="B86" s="1242" t="s">
        <v>1686</v>
      </c>
      <c r="C86" s="1243"/>
      <c r="D86" s="607"/>
      <c r="E86" s="607" t="s">
        <v>2557</v>
      </c>
      <c r="F86" s="968" t="s">
        <v>137</v>
      </c>
    </row>
    <row r="87" spans="2:6" ht="12.95" customHeight="1" outlineLevel="1">
      <c r="B87" s="1255" t="s">
        <v>1519</v>
      </c>
      <c r="C87" s="1256"/>
      <c r="D87" s="998"/>
      <c r="E87" s="998" t="s">
        <v>2557</v>
      </c>
      <c r="F87" s="1010" t="s">
        <v>137</v>
      </c>
    </row>
    <row r="88" spans="2:6" ht="12.95" customHeight="1" outlineLevel="1">
      <c r="B88" s="1242" t="s">
        <v>1520</v>
      </c>
      <c r="C88" s="1243"/>
      <c r="D88" s="607"/>
      <c r="E88" s="607" t="s">
        <v>2557</v>
      </c>
      <c r="F88" s="968" t="s">
        <v>137</v>
      </c>
    </row>
    <row r="89" spans="2:6" ht="39" customHeight="1" outlineLevel="1">
      <c r="B89" s="3374" t="s">
        <v>1521</v>
      </c>
      <c r="C89" s="3369"/>
      <c r="D89" s="3369"/>
      <c r="E89" s="3369" t="s">
        <v>2557</v>
      </c>
      <c r="F89" s="2676" t="s">
        <v>9768</v>
      </c>
    </row>
    <row r="90" spans="2:6" ht="12.75" outlineLevel="1">
      <c r="B90" s="3375"/>
      <c r="C90" s="3370"/>
      <c r="D90" s="3370"/>
      <c r="E90" s="3370"/>
      <c r="F90" s="2792" t="s">
        <v>6010</v>
      </c>
    </row>
    <row r="91" spans="2:6" ht="26.1" customHeight="1" outlineLevel="1">
      <c r="B91" s="1242" t="s">
        <v>3063</v>
      </c>
      <c r="C91" s="1243"/>
      <c r="D91" s="607" t="s">
        <v>3500</v>
      </c>
      <c r="E91" s="607" t="s">
        <v>2557</v>
      </c>
      <c r="F91" s="2647" t="s">
        <v>8774</v>
      </c>
    </row>
    <row r="92" spans="2:6" ht="39" customHeight="1" outlineLevel="1">
      <c r="B92" s="3374" t="s">
        <v>3463</v>
      </c>
      <c r="C92" s="3369"/>
      <c r="D92" s="3369" t="s">
        <v>3500</v>
      </c>
      <c r="E92" s="3369" t="s">
        <v>2557</v>
      </c>
      <c r="F92" s="2648" t="s">
        <v>8775</v>
      </c>
    </row>
    <row r="93" spans="2:6" ht="12.75" outlineLevel="1">
      <c r="B93" s="3375"/>
      <c r="C93" s="3370"/>
      <c r="D93" s="3370"/>
      <c r="E93" s="3370"/>
      <c r="F93" s="2792" t="s">
        <v>6009</v>
      </c>
    </row>
    <row r="94" spans="2:6" ht="26.1" customHeight="1" outlineLevel="1">
      <c r="B94" s="1242" t="s">
        <v>1941</v>
      </c>
      <c r="C94" s="1243"/>
      <c r="D94" s="607" t="s">
        <v>3500</v>
      </c>
      <c r="E94" s="607" t="s">
        <v>2557</v>
      </c>
      <c r="F94" s="2647" t="s">
        <v>8776</v>
      </c>
    </row>
    <row r="95" spans="2:6" ht="26.1" customHeight="1" outlineLevel="1" thickBot="1">
      <c r="B95" s="1257" t="s">
        <v>1222</v>
      </c>
      <c r="C95" s="1258"/>
      <c r="D95" s="999" t="s">
        <v>3500</v>
      </c>
      <c r="E95" s="999" t="s">
        <v>2557</v>
      </c>
      <c r="F95" s="2649" t="s">
        <v>8776</v>
      </c>
    </row>
    <row r="96" spans="2:6" ht="12.95" customHeight="1">
      <c r="B96" s="1244" t="s">
        <v>1540</v>
      </c>
      <c r="C96" s="1245"/>
      <c r="D96" s="1246"/>
      <c r="E96" s="1246" t="s">
        <v>628</v>
      </c>
      <c r="F96" s="2814" t="s">
        <v>137</v>
      </c>
    </row>
    <row r="97" spans="2:6" ht="12.95" customHeight="1" outlineLevel="1">
      <c r="B97" s="1255" t="s">
        <v>3464</v>
      </c>
      <c r="C97" s="1256"/>
      <c r="D97" s="2804"/>
      <c r="E97" s="2804" t="s">
        <v>628</v>
      </c>
      <c r="F97" s="2808" t="s">
        <v>137</v>
      </c>
    </row>
    <row r="98" spans="2:6" ht="12.95" customHeight="1" outlineLevel="1">
      <c r="B98" s="1242" t="s">
        <v>378</v>
      </c>
      <c r="C98" s="1243" t="s">
        <v>455</v>
      </c>
      <c r="D98" s="2803"/>
      <c r="E98" s="2803" t="s">
        <v>628</v>
      </c>
      <c r="F98" s="2809" t="s">
        <v>3488</v>
      </c>
    </row>
    <row r="99" spans="2:6" ht="12.95" customHeight="1" outlineLevel="1">
      <c r="B99" s="1255" t="s">
        <v>3465</v>
      </c>
      <c r="C99" s="1256" t="s">
        <v>455</v>
      </c>
      <c r="D99" s="2804"/>
      <c r="E99" s="2804" t="s">
        <v>628</v>
      </c>
      <c r="F99" s="2808" t="s">
        <v>3496</v>
      </c>
    </row>
    <row r="100" spans="2:6" ht="12.95" customHeight="1" outlineLevel="1">
      <c r="B100" s="1242" t="s">
        <v>1595</v>
      </c>
      <c r="C100" s="1243"/>
      <c r="D100" s="2803" t="s">
        <v>3500</v>
      </c>
      <c r="E100" s="2803" t="s">
        <v>628</v>
      </c>
      <c r="F100" s="2809" t="s">
        <v>3509</v>
      </c>
    </row>
    <row r="101" spans="2:6" ht="26.1" customHeight="1" outlineLevel="1">
      <c r="B101" s="1255" t="s">
        <v>612</v>
      </c>
      <c r="C101" s="1256"/>
      <c r="D101" s="2804" t="s">
        <v>3500</v>
      </c>
      <c r="E101" s="2804" t="s">
        <v>628</v>
      </c>
      <c r="F101" s="2808" t="s">
        <v>3510</v>
      </c>
    </row>
    <row r="102" spans="2:6" ht="51.95" customHeight="1" outlineLevel="1">
      <c r="B102" s="1242" t="s">
        <v>1947</v>
      </c>
      <c r="C102" s="1243"/>
      <c r="D102" s="2803"/>
      <c r="E102" s="2803" t="s">
        <v>628</v>
      </c>
      <c r="F102" s="1031" t="s">
        <v>5955</v>
      </c>
    </row>
    <row r="103" spans="2:6" ht="51.95" customHeight="1" outlineLevel="1">
      <c r="B103" s="1255" t="s">
        <v>2545</v>
      </c>
      <c r="C103" s="1256"/>
      <c r="D103" s="2804"/>
      <c r="E103" s="2804" t="s">
        <v>628</v>
      </c>
      <c r="F103" s="150" t="s">
        <v>5955</v>
      </c>
    </row>
    <row r="104" spans="2:6" ht="12.95" customHeight="1" outlineLevel="1">
      <c r="B104" s="1242" t="s">
        <v>641</v>
      </c>
      <c r="C104" s="1243"/>
      <c r="D104" s="2803"/>
      <c r="E104" s="2803" t="s">
        <v>628</v>
      </c>
      <c r="F104" s="2809" t="s">
        <v>137</v>
      </c>
    </row>
    <row r="105" spans="2:6" ht="51.95" customHeight="1" outlineLevel="1">
      <c r="B105" s="3372" t="s">
        <v>613</v>
      </c>
      <c r="C105" s="3369"/>
      <c r="D105" s="3369"/>
      <c r="E105" s="3369" t="s">
        <v>628</v>
      </c>
      <c r="F105" s="2937" t="s">
        <v>10057</v>
      </c>
    </row>
    <row r="106" spans="2:6" ht="12.95" customHeight="1" outlineLevel="1">
      <c r="B106" s="3373"/>
      <c r="C106" s="3370"/>
      <c r="D106" s="3370"/>
      <c r="E106" s="3370"/>
      <c r="F106" s="2792" t="s">
        <v>10056</v>
      </c>
    </row>
    <row r="107" spans="2:6" ht="12.95" customHeight="1" outlineLevel="1">
      <c r="B107" s="1242" t="s">
        <v>614</v>
      </c>
      <c r="C107" s="1243"/>
      <c r="D107" s="2803" t="s">
        <v>3500</v>
      </c>
      <c r="E107" s="2803" t="s">
        <v>628</v>
      </c>
      <c r="F107" s="2809" t="s">
        <v>137</v>
      </c>
    </row>
    <row r="108" spans="2:6" ht="39" customHeight="1" outlineLevel="1">
      <c r="B108" s="1255" t="s">
        <v>3466</v>
      </c>
      <c r="C108" s="1256"/>
      <c r="D108" s="2804" t="s">
        <v>3500</v>
      </c>
      <c r="E108" s="2804" t="s">
        <v>628</v>
      </c>
      <c r="F108" s="2808" t="s">
        <v>8739</v>
      </c>
    </row>
    <row r="109" spans="2:6" ht="26.1" customHeight="1" outlineLevel="1">
      <c r="B109" s="1242" t="s">
        <v>651</v>
      </c>
      <c r="C109" s="1243"/>
      <c r="D109" s="2803"/>
      <c r="E109" s="2803" t="s">
        <v>628</v>
      </c>
      <c r="F109" s="2809" t="s">
        <v>3511</v>
      </c>
    </row>
    <row r="110" spans="2:6" ht="26.1" customHeight="1" outlineLevel="1" thickBot="1">
      <c r="B110" s="1257" t="s">
        <v>2611</v>
      </c>
      <c r="C110" s="1258"/>
      <c r="D110" s="2805"/>
      <c r="E110" s="2805" t="s">
        <v>628</v>
      </c>
      <c r="F110" s="2822" t="s">
        <v>3511</v>
      </c>
    </row>
    <row r="111" spans="2:6" ht="12.95" customHeight="1">
      <c r="B111" s="1244" t="s">
        <v>1538</v>
      </c>
      <c r="C111" s="1245"/>
      <c r="D111" s="1246"/>
      <c r="E111" s="1246" t="s">
        <v>627</v>
      </c>
      <c r="F111" s="990" t="s">
        <v>137</v>
      </c>
    </row>
    <row r="112" spans="2:6" ht="12.95" customHeight="1" outlineLevel="1">
      <c r="B112" s="1255" t="s">
        <v>1539</v>
      </c>
      <c r="C112" s="1256"/>
      <c r="D112" s="998"/>
      <c r="E112" s="998" t="s">
        <v>627</v>
      </c>
      <c r="F112" s="1010" t="s">
        <v>137</v>
      </c>
    </row>
    <row r="113" spans="2:6" ht="12.95" customHeight="1" outlineLevel="1">
      <c r="B113" s="1242" t="s">
        <v>3467</v>
      </c>
      <c r="C113" s="1243"/>
      <c r="D113" s="607"/>
      <c r="E113" s="607" t="s">
        <v>627</v>
      </c>
      <c r="F113" s="968" t="s">
        <v>137</v>
      </c>
    </row>
    <row r="114" spans="2:6" ht="12.95" customHeight="1" outlineLevel="1">
      <c r="B114" s="1255" t="s">
        <v>3468</v>
      </c>
      <c r="C114" s="1256"/>
      <c r="D114" s="998"/>
      <c r="E114" s="998" t="s">
        <v>627</v>
      </c>
      <c r="F114" s="1010" t="s">
        <v>3492</v>
      </c>
    </row>
    <row r="115" spans="2:6" ht="12.95" customHeight="1" outlineLevel="1">
      <c r="B115" s="1242" t="s">
        <v>372</v>
      </c>
      <c r="C115" s="1243"/>
      <c r="D115" s="607"/>
      <c r="E115" s="607" t="s">
        <v>627</v>
      </c>
      <c r="F115" s="968" t="s">
        <v>3488</v>
      </c>
    </row>
    <row r="116" spans="2:6" ht="12.95" customHeight="1" outlineLevel="1">
      <c r="B116" s="1255" t="s">
        <v>3469</v>
      </c>
      <c r="C116" s="1256"/>
      <c r="D116" s="998"/>
      <c r="E116" s="998" t="s">
        <v>627</v>
      </c>
      <c r="F116" s="1010" t="s">
        <v>3496</v>
      </c>
    </row>
    <row r="117" spans="2:6" ht="12.95" customHeight="1" outlineLevel="1">
      <c r="B117" s="1242" t="s">
        <v>2322</v>
      </c>
      <c r="C117" s="1243"/>
      <c r="D117" s="607"/>
      <c r="E117" s="607" t="s">
        <v>627</v>
      </c>
      <c r="F117" s="968" t="s">
        <v>137</v>
      </c>
    </row>
    <row r="118" spans="2:6" ht="12.95" customHeight="1" outlineLevel="1">
      <c r="B118" s="1255" t="s">
        <v>3470</v>
      </c>
      <c r="C118" s="1256"/>
      <c r="D118" s="998"/>
      <c r="E118" s="998" t="s">
        <v>627</v>
      </c>
      <c r="F118" s="1010" t="s">
        <v>3512</v>
      </c>
    </row>
    <row r="119" spans="2:6" ht="12.95" customHeight="1" outlineLevel="1">
      <c r="B119" s="1242" t="s">
        <v>1309</v>
      </c>
      <c r="C119" s="1243"/>
      <c r="D119" s="607" t="s">
        <v>3500</v>
      </c>
      <c r="E119" s="607" t="s">
        <v>627</v>
      </c>
      <c r="F119" s="968" t="s">
        <v>137</v>
      </c>
    </row>
    <row r="120" spans="2:6" ht="39" customHeight="1" outlineLevel="1">
      <c r="B120" s="1255" t="s">
        <v>149</v>
      </c>
      <c r="C120" s="1256"/>
      <c r="D120" s="998" t="s">
        <v>3500</v>
      </c>
      <c r="E120" s="998" t="s">
        <v>627</v>
      </c>
      <c r="F120" s="1010" t="s">
        <v>3513</v>
      </c>
    </row>
    <row r="121" spans="2:6" ht="39" customHeight="1" outlineLevel="1">
      <c r="B121" s="1242" t="s">
        <v>1062</v>
      </c>
      <c r="C121" s="1243" t="s">
        <v>455</v>
      </c>
      <c r="D121" s="607"/>
      <c r="E121" s="607" t="s">
        <v>627</v>
      </c>
      <c r="F121" s="1009" t="s">
        <v>5905</v>
      </c>
    </row>
    <row r="122" spans="2:6" ht="39" customHeight="1" outlineLevel="1">
      <c r="B122" s="1255" t="s">
        <v>150</v>
      </c>
      <c r="C122" s="1256" t="s">
        <v>455</v>
      </c>
      <c r="D122" s="998"/>
      <c r="E122" s="998" t="s">
        <v>627</v>
      </c>
      <c r="F122" s="1010" t="s">
        <v>5404</v>
      </c>
    </row>
    <row r="123" spans="2:6" ht="12.95" customHeight="1" outlineLevel="1">
      <c r="B123" s="1242" t="s">
        <v>653</v>
      </c>
      <c r="C123" s="1243"/>
      <c r="D123" s="607"/>
      <c r="E123" s="607" t="s">
        <v>627</v>
      </c>
      <c r="F123" s="2612" t="s">
        <v>7943</v>
      </c>
    </row>
    <row r="124" spans="2:6" ht="12.95" customHeight="1" outlineLevel="1" thickBot="1">
      <c r="B124" s="1257" t="s">
        <v>151</v>
      </c>
      <c r="C124" s="1258"/>
      <c r="D124" s="999"/>
      <c r="E124" s="999" t="s">
        <v>627</v>
      </c>
      <c r="F124" s="2526" t="s">
        <v>7942</v>
      </c>
    </row>
    <row r="125" spans="2:6" ht="12.95" customHeight="1">
      <c r="B125" s="1244" t="s">
        <v>2663</v>
      </c>
      <c r="C125" s="1245"/>
      <c r="D125" s="1246" t="s">
        <v>3500</v>
      </c>
      <c r="E125" s="1246" t="s">
        <v>2259</v>
      </c>
      <c r="F125" s="2814" t="s">
        <v>137</v>
      </c>
    </row>
    <row r="126" spans="2:6" ht="12.95" customHeight="1" outlineLevel="1">
      <c r="B126" s="1255" t="s">
        <v>1531</v>
      </c>
      <c r="C126" s="1256"/>
      <c r="D126" s="2804" t="s">
        <v>3500</v>
      </c>
      <c r="E126" s="2804" t="s">
        <v>2259</v>
      </c>
      <c r="F126" s="2808" t="s">
        <v>3501</v>
      </c>
    </row>
    <row r="127" spans="2:6" ht="39" customHeight="1" outlineLevel="1">
      <c r="B127" s="1242" t="s">
        <v>3372</v>
      </c>
      <c r="C127" s="1243"/>
      <c r="D127" s="2803"/>
      <c r="E127" s="2803" t="s">
        <v>2259</v>
      </c>
      <c r="F127" s="2809" t="s">
        <v>8777</v>
      </c>
    </row>
    <row r="128" spans="2:6" ht="51.95" customHeight="1" outlineLevel="1">
      <c r="B128" s="1255" t="s">
        <v>988</v>
      </c>
      <c r="C128" s="1256" t="s">
        <v>455</v>
      </c>
      <c r="D128" s="2804"/>
      <c r="E128" s="2804" t="s">
        <v>2259</v>
      </c>
      <c r="F128" s="2808" t="s">
        <v>8778</v>
      </c>
    </row>
    <row r="129" spans="2:6" ht="26.1" customHeight="1" outlineLevel="1">
      <c r="B129" s="1242" t="s">
        <v>2664</v>
      </c>
      <c r="C129" s="1243"/>
      <c r="D129" s="2803"/>
      <c r="E129" s="2803" t="s">
        <v>2259</v>
      </c>
      <c r="F129" s="2809" t="s">
        <v>8779</v>
      </c>
    </row>
    <row r="130" spans="2:6" ht="51.95" customHeight="1" outlineLevel="1">
      <c r="B130" s="1255" t="s">
        <v>2665</v>
      </c>
      <c r="C130" s="1256" t="s">
        <v>455</v>
      </c>
      <c r="D130" s="2804"/>
      <c r="E130" s="2804" t="s">
        <v>2259</v>
      </c>
      <c r="F130" s="2808" t="s">
        <v>8780</v>
      </c>
    </row>
    <row r="131" spans="2:6" ht="26.1" customHeight="1" outlineLevel="1">
      <c r="B131" s="1242" t="s">
        <v>100</v>
      </c>
      <c r="C131" s="1243"/>
      <c r="D131" s="2803"/>
      <c r="E131" s="2803" t="s">
        <v>2259</v>
      </c>
      <c r="F131" s="2809" t="s">
        <v>8781</v>
      </c>
    </row>
    <row r="132" spans="2:6" ht="39" customHeight="1" outlineLevel="1">
      <c r="B132" s="1255" t="s">
        <v>2666</v>
      </c>
      <c r="C132" s="1256"/>
      <c r="D132" s="2804" t="s">
        <v>3500</v>
      </c>
      <c r="E132" s="2804" t="s">
        <v>2259</v>
      </c>
      <c r="F132" s="2808" t="s">
        <v>8782</v>
      </c>
    </row>
    <row r="133" spans="2:6" ht="39" customHeight="1" outlineLevel="1">
      <c r="B133" s="1242" t="s">
        <v>2667</v>
      </c>
      <c r="C133" s="1243"/>
      <c r="D133" s="2803"/>
      <c r="E133" s="2803" t="s">
        <v>2259</v>
      </c>
      <c r="F133" s="2809" t="s">
        <v>8783</v>
      </c>
    </row>
    <row r="134" spans="2:6" ht="51.95" customHeight="1" outlineLevel="1">
      <c r="B134" s="1255" t="s">
        <v>3471</v>
      </c>
      <c r="C134" s="1256"/>
      <c r="D134" s="2804"/>
      <c r="E134" s="2804" t="s">
        <v>2259</v>
      </c>
      <c r="F134" s="2808" t="s">
        <v>8784</v>
      </c>
    </row>
    <row r="135" spans="2:6" ht="51.95" customHeight="1" outlineLevel="1">
      <c r="B135" s="1242" t="s">
        <v>2668</v>
      </c>
      <c r="C135" s="1243"/>
      <c r="D135" s="2803"/>
      <c r="E135" s="2803" t="s">
        <v>2259</v>
      </c>
      <c r="F135" s="2809" t="s">
        <v>5954</v>
      </c>
    </row>
    <row r="136" spans="2:6" ht="51.95" customHeight="1" outlineLevel="1">
      <c r="B136" s="1255" t="s">
        <v>2669</v>
      </c>
      <c r="C136" s="1256"/>
      <c r="D136" s="2804"/>
      <c r="E136" s="2804" t="s">
        <v>2259</v>
      </c>
      <c r="F136" s="2808" t="s">
        <v>7287</v>
      </c>
    </row>
    <row r="137" spans="2:6" ht="12.95" customHeight="1" outlineLevel="1">
      <c r="B137" s="1242" t="s">
        <v>2670</v>
      </c>
      <c r="C137" s="1243"/>
      <c r="D137" s="2803" t="s">
        <v>3500</v>
      </c>
      <c r="E137" s="2803" t="s">
        <v>2259</v>
      </c>
      <c r="F137" s="2809" t="s">
        <v>8763</v>
      </c>
    </row>
    <row r="138" spans="2:6" ht="90.95" customHeight="1" outlineLevel="1" thickBot="1">
      <c r="B138" s="1257" t="s">
        <v>1223</v>
      </c>
      <c r="C138" s="1258"/>
      <c r="D138" s="2805" t="s">
        <v>3500</v>
      </c>
      <c r="E138" s="2805" t="s">
        <v>2259</v>
      </c>
      <c r="F138" s="2822" t="s">
        <v>6216</v>
      </c>
    </row>
    <row r="139" spans="2:6" ht="12.95" customHeight="1">
      <c r="B139" s="1244" t="s">
        <v>2015</v>
      </c>
      <c r="C139" s="1245"/>
      <c r="D139" s="1246"/>
      <c r="E139" s="1246" t="s">
        <v>728</v>
      </c>
      <c r="F139" s="990" t="s">
        <v>137</v>
      </c>
    </row>
    <row r="140" spans="2:6" ht="12.95" customHeight="1" outlineLevel="1">
      <c r="B140" s="1255" t="s">
        <v>2014</v>
      </c>
      <c r="C140" s="1256" t="s">
        <v>455</v>
      </c>
      <c r="D140" s="998"/>
      <c r="E140" s="998" t="s">
        <v>728</v>
      </c>
      <c r="F140" s="1010" t="s">
        <v>3514</v>
      </c>
    </row>
    <row r="141" spans="2:6" ht="12.95" customHeight="1" outlineLevel="1">
      <c r="B141" s="1242" t="s">
        <v>3472</v>
      </c>
      <c r="C141" s="1243"/>
      <c r="D141" s="607"/>
      <c r="E141" s="607" t="s">
        <v>728</v>
      </c>
      <c r="F141" s="968" t="s">
        <v>137</v>
      </c>
    </row>
    <row r="142" spans="2:6" ht="39" customHeight="1" outlineLevel="1">
      <c r="B142" s="1255" t="s">
        <v>379</v>
      </c>
      <c r="C142" s="1256"/>
      <c r="D142" s="998"/>
      <c r="E142" s="998" t="s">
        <v>728</v>
      </c>
      <c r="F142" s="2620" t="s">
        <v>3604</v>
      </c>
    </row>
    <row r="143" spans="2:6" ht="12.95" customHeight="1" outlineLevel="1">
      <c r="B143" s="1242" t="s">
        <v>901</v>
      </c>
      <c r="C143" s="1243"/>
      <c r="D143" s="607"/>
      <c r="E143" s="607" t="s">
        <v>728</v>
      </c>
      <c r="F143" s="968" t="s">
        <v>3515</v>
      </c>
    </row>
    <row r="144" spans="2:6" ht="12.95" customHeight="1" outlineLevel="1">
      <c r="B144" s="1255" t="s">
        <v>1596</v>
      </c>
      <c r="C144" s="1256"/>
      <c r="D144" s="998"/>
      <c r="E144" s="998" t="s">
        <v>728</v>
      </c>
      <c r="F144" s="1717" t="s">
        <v>6213</v>
      </c>
    </row>
    <row r="145" spans="2:6" ht="12.95" customHeight="1" outlineLevel="1">
      <c r="B145" s="1242" t="s">
        <v>1984</v>
      </c>
      <c r="C145" s="1243"/>
      <c r="D145" s="2803"/>
      <c r="E145" s="2803" t="s">
        <v>728</v>
      </c>
      <c r="F145" s="2809" t="s">
        <v>5462</v>
      </c>
    </row>
    <row r="146" spans="2:6" ht="12.95" customHeight="1" outlineLevel="1">
      <c r="B146" s="1255" t="s">
        <v>644</v>
      </c>
      <c r="C146" s="1256" t="s">
        <v>455</v>
      </c>
      <c r="D146" s="2804"/>
      <c r="E146" s="2804" t="s">
        <v>728</v>
      </c>
      <c r="F146" s="2808" t="s">
        <v>3516</v>
      </c>
    </row>
    <row r="147" spans="2:6" ht="12.95" customHeight="1" outlineLevel="1">
      <c r="B147" s="1242" t="s">
        <v>2534</v>
      </c>
      <c r="C147" s="1243"/>
      <c r="D147" s="2803"/>
      <c r="E147" s="2803" t="s">
        <v>728</v>
      </c>
      <c r="F147" s="2809" t="s">
        <v>5463</v>
      </c>
    </row>
    <row r="148" spans="2:6" ht="12.95" customHeight="1" outlineLevel="1">
      <c r="B148" s="1255" t="s">
        <v>640</v>
      </c>
      <c r="C148" s="1256"/>
      <c r="D148" s="2804"/>
      <c r="E148" s="2804" t="s">
        <v>728</v>
      </c>
      <c r="F148" s="2808" t="s">
        <v>8785</v>
      </c>
    </row>
    <row r="149" spans="2:6" ht="90.95" customHeight="1" outlineLevel="1">
      <c r="B149" s="1242" t="s">
        <v>1063</v>
      </c>
      <c r="C149" s="1243" t="s">
        <v>455</v>
      </c>
      <c r="D149" s="607"/>
      <c r="E149" s="607" t="s">
        <v>728</v>
      </c>
      <c r="F149" s="2560" t="s">
        <v>8032</v>
      </c>
    </row>
    <row r="150" spans="2:6" ht="182.1" customHeight="1" outlineLevel="1">
      <c r="B150" s="1255" t="s">
        <v>1985</v>
      </c>
      <c r="C150" s="1256"/>
      <c r="D150" s="998" t="s">
        <v>3500</v>
      </c>
      <c r="E150" s="998" t="s">
        <v>728</v>
      </c>
      <c r="F150" s="1715" t="s">
        <v>6204</v>
      </c>
    </row>
    <row r="151" spans="2:6" ht="39" customHeight="1" outlineLevel="1">
      <c r="B151" s="1242" t="s">
        <v>726</v>
      </c>
      <c r="C151" s="1243"/>
      <c r="D151" s="607" t="s">
        <v>3500</v>
      </c>
      <c r="E151" s="607" t="s">
        <v>728</v>
      </c>
      <c r="F151" s="2627" t="s">
        <v>6217</v>
      </c>
    </row>
    <row r="152" spans="2:6" ht="26.1" customHeight="1" outlineLevel="1">
      <c r="B152" s="1255" t="s">
        <v>3473</v>
      </c>
      <c r="C152" s="1256"/>
      <c r="D152" s="998"/>
      <c r="E152" s="998" t="s">
        <v>728</v>
      </c>
      <c r="F152" s="2625" t="s">
        <v>3517</v>
      </c>
    </row>
    <row r="153" spans="2:6" ht="51.95" customHeight="1" outlineLevel="1" thickBot="1">
      <c r="B153" s="1247" t="s">
        <v>727</v>
      </c>
      <c r="C153" s="1248"/>
      <c r="D153" s="840" t="s">
        <v>3500</v>
      </c>
      <c r="E153" s="840" t="s">
        <v>728</v>
      </c>
      <c r="F153" s="2626" t="s">
        <v>7603</v>
      </c>
    </row>
    <row r="154" spans="2:6" ht="5.0999999999999996" customHeight="1"/>
    <row r="155" spans="2:6" ht="65.099999999999994" customHeight="1">
      <c r="B155" s="2960" t="s">
        <v>8911</v>
      </c>
      <c r="C155" s="2960"/>
      <c r="D155" s="2960"/>
      <c r="E155" s="2960"/>
      <c r="F155" s="2960"/>
    </row>
  </sheetData>
  <sheetProtection autoFilter="0"/>
  <autoFilter ref="B9:E153"/>
  <mergeCells count="17">
    <mergeCell ref="C1:F1"/>
    <mergeCell ref="B92:B93"/>
    <mergeCell ref="C92:C93"/>
    <mergeCell ref="D92:D93"/>
    <mergeCell ref="E92:E93"/>
    <mergeCell ref="B89:B90"/>
    <mergeCell ref="C89:C90"/>
    <mergeCell ref="D89:D90"/>
    <mergeCell ref="E89:E90"/>
    <mergeCell ref="D105:D106"/>
    <mergeCell ref="B6:F6"/>
    <mergeCell ref="B155:F155"/>
    <mergeCell ref="B3:F3"/>
    <mergeCell ref="B4:F4"/>
    <mergeCell ref="B105:B106"/>
    <mergeCell ref="C105:C106"/>
    <mergeCell ref="E105:E106"/>
  </mergeCells>
  <phoneticPr fontId="9" type="noConversion"/>
  <hyperlinks>
    <hyperlink ref="B1" location="Index!A1" display="Назад"/>
    <hyperlink ref="F93" location="'2.6'!A1" display="&gt;&gt; Подробнее об Огненном щите"/>
    <hyperlink ref="F90" location="'3.3.1'!A1" display="&gt;&gt; Подробнее о Демонологии"/>
    <hyperlink ref="F106" location="'3.4'!A1" display="&gt;&gt; Подробнее о Смертельном взгляде"/>
  </hyperlinks>
  <printOptions horizontalCentered="1"/>
  <pageMargins left="0.23622047244094491" right="0.23622047244094491" top="0.74803149606299213" bottom="0.74803149606299213" header="0.31496062992125984" footer="0.31496062992125984"/>
  <pageSetup paperSize="9" orientation="landscape" r:id="rId1"/>
  <headerFooter alignWithMargins="0"/>
  <rowBreaks count="10" manualBreakCount="10">
    <brk id="23" max="5" man="1"/>
    <brk id="37" max="5" man="1"/>
    <brk id="51" max="5" man="1"/>
    <brk id="65" max="5" man="1"/>
    <brk id="79" max="5" man="1"/>
    <brk id="95" max="5" man="1"/>
    <brk id="110" max="5" man="1"/>
    <brk id="124" max="5" man="1"/>
    <brk id="134" max="5" man="1"/>
    <brk id="148" max="5" man="1"/>
  </rowBreaks>
</worksheet>
</file>

<file path=xl/worksheets/sheet30.xml><?xml version="1.0" encoding="utf-8"?>
<worksheet xmlns="http://schemas.openxmlformats.org/spreadsheetml/2006/main" xmlns:r="http://schemas.openxmlformats.org/officeDocument/2006/relationships">
  <dimension ref="B1:L89"/>
  <sheetViews>
    <sheetView zoomScaleNormal="100" workbookViewId="0">
      <pane ySplit="9" topLeftCell="A10" activePane="bottomLeft" state="frozen"/>
      <selection pane="bottomLeft" activeCell="B1" sqref="B1"/>
    </sheetView>
  </sheetViews>
  <sheetFormatPr defaultRowHeight="12.95" customHeight="1"/>
  <cols>
    <col min="1" max="1" width="3.7109375" style="292" customWidth="1"/>
    <col min="2" max="2" width="18.140625" style="288" bestFit="1" customWidth="1"/>
    <col min="3" max="3" width="21.140625" style="969" bestFit="1" customWidth="1"/>
    <col min="4" max="4" width="2" style="969" bestFit="1" customWidth="1"/>
    <col min="5" max="5" width="5.7109375" style="969" bestFit="1" customWidth="1"/>
    <col min="6" max="6" width="3" style="969" customWidth="1"/>
    <col min="7" max="7" width="37.7109375" style="292" customWidth="1"/>
    <col min="8" max="8" width="8.42578125" style="387" bestFit="1" customWidth="1"/>
    <col min="9" max="9" width="7.85546875" style="387" bestFit="1" customWidth="1"/>
    <col min="10" max="10" width="8.7109375" style="387" bestFit="1" customWidth="1"/>
    <col min="11" max="11" width="9.7109375" style="387" bestFit="1" customWidth="1"/>
    <col min="12" max="12" width="8.85546875" style="387" bestFit="1" customWidth="1"/>
    <col min="13" max="16384" width="9.140625" style="292"/>
  </cols>
  <sheetData>
    <row r="1" spans="2:12" s="952" customFormat="1" ht="12.95" customHeight="1">
      <c r="B1" s="987" t="s">
        <v>2706</v>
      </c>
      <c r="C1" s="3195" t="s">
        <v>8269</v>
      </c>
      <c r="D1" s="3195"/>
      <c r="E1" s="3195"/>
      <c r="F1" s="3195"/>
      <c r="G1" s="3195"/>
      <c r="H1" s="3195"/>
      <c r="I1" s="3195"/>
      <c r="J1" s="3195"/>
      <c r="K1" s="3195"/>
      <c r="L1" s="3195"/>
    </row>
    <row r="2" spans="2:12" ht="5.0999999999999996" customHeight="1"/>
    <row r="3" spans="2:12" ht="12.95" customHeight="1">
      <c r="B3" s="3075" t="s">
        <v>7567</v>
      </c>
      <c r="C3" s="3075"/>
      <c r="D3" s="3075"/>
      <c r="E3" s="3075"/>
      <c r="F3" s="3075"/>
      <c r="G3" s="3075"/>
      <c r="H3" s="3075"/>
      <c r="I3" s="3075"/>
      <c r="J3" s="3075"/>
      <c r="K3" s="3075"/>
      <c r="L3" s="3075"/>
    </row>
    <row r="4" spans="2:12" ht="5.0999999999999996" customHeight="1"/>
    <row r="5" spans="2:12" ht="51.95" customHeight="1">
      <c r="B5" s="2960" t="s">
        <v>8912</v>
      </c>
      <c r="C5" s="2960"/>
      <c r="D5" s="2960"/>
      <c r="E5" s="2960"/>
      <c r="F5" s="2960"/>
      <c r="G5" s="2960"/>
      <c r="H5" s="2960"/>
      <c r="I5" s="2960"/>
      <c r="J5" s="2960"/>
      <c r="K5" s="2960"/>
      <c r="L5" s="2960"/>
    </row>
    <row r="6" spans="2:12" ht="26.1" customHeight="1">
      <c r="B6" s="2980" t="s">
        <v>8913</v>
      </c>
      <c r="C6" s="2980"/>
      <c r="D6" s="2980"/>
      <c r="E6" s="2980"/>
      <c r="F6" s="2980"/>
      <c r="G6" s="2980"/>
      <c r="H6" s="2980"/>
      <c r="I6" s="2980"/>
      <c r="J6" s="2980"/>
      <c r="K6" s="2980"/>
      <c r="L6" s="2980"/>
    </row>
    <row r="7" spans="2:12" ht="5.0999999999999996" customHeight="1" thickBot="1">
      <c r="B7" s="952"/>
      <c r="C7" s="952"/>
      <c r="D7" s="952"/>
      <c r="E7" s="952"/>
      <c r="F7" s="952"/>
      <c r="G7" s="952"/>
    </row>
    <row r="8" spans="2:12" ht="12.95" customHeight="1" thickBot="1">
      <c r="B8" s="2378" t="s">
        <v>3476</v>
      </c>
      <c r="C8" s="2374" t="s">
        <v>2147</v>
      </c>
      <c r="D8" s="3415" t="s">
        <v>1051</v>
      </c>
      <c r="E8" s="3416"/>
      <c r="F8" s="2373" t="s">
        <v>3226</v>
      </c>
      <c r="G8" s="2372" t="s">
        <v>3518</v>
      </c>
      <c r="H8" s="3417" t="s">
        <v>7552</v>
      </c>
      <c r="I8" s="3418"/>
      <c r="J8" s="3418"/>
      <c r="K8" s="3418"/>
      <c r="L8" s="3419"/>
    </row>
    <row r="9" spans="2:12" s="965" customFormat="1" ht="13.5" customHeight="1" thickBot="1">
      <c r="B9" s="1233"/>
      <c r="C9" s="1234"/>
      <c r="D9" s="1235"/>
      <c r="E9" s="1236"/>
      <c r="F9" s="1237"/>
      <c r="G9" s="3103"/>
      <c r="H9" s="3104"/>
      <c r="I9" s="3104"/>
      <c r="J9" s="3104"/>
      <c r="K9" s="3104"/>
      <c r="L9" s="3105"/>
    </row>
    <row r="10" spans="2:12" ht="39" customHeight="1">
      <c r="B10" s="2128" t="s">
        <v>7263</v>
      </c>
      <c r="C10" s="1204" t="s">
        <v>2375</v>
      </c>
      <c r="D10" s="1205" t="s">
        <v>137</v>
      </c>
      <c r="E10" s="1206" t="s">
        <v>3607</v>
      </c>
      <c r="F10" s="1207" t="s">
        <v>137</v>
      </c>
      <c r="G10" s="2386" t="s">
        <v>7549</v>
      </c>
      <c r="H10" s="3409" t="s">
        <v>7550</v>
      </c>
      <c r="I10" s="3410"/>
      <c r="J10" s="3410"/>
      <c r="K10" s="3410"/>
      <c r="L10" s="3411"/>
    </row>
    <row r="11" spans="2:12" ht="65.099999999999994" customHeight="1" thickBot="1">
      <c r="B11" s="1238" t="s">
        <v>1220</v>
      </c>
      <c r="C11" s="1191" t="s">
        <v>1214</v>
      </c>
      <c r="D11" s="1186">
        <v>4</v>
      </c>
      <c r="E11" s="1192" t="s">
        <v>3607</v>
      </c>
      <c r="F11" s="1193" t="s">
        <v>137</v>
      </c>
      <c r="G11" s="1201" t="s">
        <v>7551</v>
      </c>
      <c r="H11" s="3391" t="s">
        <v>7558</v>
      </c>
      <c r="I11" s="3392"/>
      <c r="J11" s="3392"/>
      <c r="K11" s="3392"/>
      <c r="L11" s="3393"/>
    </row>
    <row r="12" spans="2:12" ht="90.95" customHeight="1">
      <c r="B12" s="1208" t="s">
        <v>3520</v>
      </c>
      <c r="C12" s="1204" t="s">
        <v>3519</v>
      </c>
      <c r="D12" s="1205" t="s">
        <v>137</v>
      </c>
      <c r="E12" s="1206" t="s">
        <v>3607</v>
      </c>
      <c r="F12" s="1207" t="s">
        <v>137</v>
      </c>
      <c r="G12" s="2936" t="s">
        <v>10058</v>
      </c>
      <c r="H12" s="3409" t="s">
        <v>7580</v>
      </c>
      <c r="I12" s="3410"/>
      <c r="J12" s="3410"/>
      <c r="K12" s="3410"/>
      <c r="L12" s="3411"/>
    </row>
    <row r="13" spans="2:12" ht="39" customHeight="1" thickBot="1">
      <c r="B13" s="1194" t="s">
        <v>7259</v>
      </c>
      <c r="C13" s="120" t="s">
        <v>2359</v>
      </c>
      <c r="D13" s="1195">
        <v>2</v>
      </c>
      <c r="E13" s="1196" t="s">
        <v>1014</v>
      </c>
      <c r="F13" s="1239">
        <v>3</v>
      </c>
      <c r="G13" s="1194" t="s">
        <v>3237</v>
      </c>
      <c r="H13" s="3391" t="s">
        <v>7553</v>
      </c>
      <c r="I13" s="3392"/>
      <c r="J13" s="3392"/>
      <c r="K13" s="3392"/>
      <c r="L13" s="3393"/>
    </row>
    <row r="14" spans="2:12" ht="12.95" customHeight="1">
      <c r="B14" s="3413" t="s">
        <v>3452</v>
      </c>
      <c r="C14" s="1204" t="s">
        <v>138</v>
      </c>
      <c r="D14" s="1205">
        <v>3</v>
      </c>
      <c r="E14" s="1206" t="s">
        <v>3608</v>
      </c>
      <c r="F14" s="1207">
        <v>6</v>
      </c>
      <c r="G14" s="3431" t="s">
        <v>7555</v>
      </c>
      <c r="H14" s="3420" t="s">
        <v>7554</v>
      </c>
      <c r="I14" s="3421"/>
      <c r="J14" s="3421"/>
      <c r="K14" s="3421"/>
      <c r="L14" s="3422"/>
    </row>
    <row r="15" spans="2:12" ht="12.95" customHeight="1">
      <c r="B15" s="3147"/>
      <c r="C15" s="118" t="s">
        <v>2382</v>
      </c>
      <c r="D15" s="1187">
        <v>4</v>
      </c>
      <c r="E15" s="1189" t="s">
        <v>3608</v>
      </c>
      <c r="F15" s="1190">
        <v>1</v>
      </c>
      <c r="G15" s="3432"/>
      <c r="H15" s="3382"/>
      <c r="I15" s="3383"/>
      <c r="J15" s="3383"/>
      <c r="K15" s="3383"/>
      <c r="L15" s="3384"/>
    </row>
    <row r="16" spans="2:12" ht="12.95" customHeight="1">
      <c r="B16" s="3147"/>
      <c r="C16" s="1057" t="s">
        <v>1150</v>
      </c>
      <c r="D16" s="1216">
        <v>1</v>
      </c>
      <c r="E16" s="1217" t="s">
        <v>3608</v>
      </c>
      <c r="F16" s="1218">
        <v>6</v>
      </c>
      <c r="G16" s="3432"/>
      <c r="H16" s="3382"/>
      <c r="I16" s="3383"/>
      <c r="J16" s="3383"/>
      <c r="K16" s="3383"/>
      <c r="L16" s="3384"/>
    </row>
    <row r="17" spans="2:12" ht="12.95" customHeight="1">
      <c r="B17" s="3147"/>
      <c r="C17" s="118" t="s">
        <v>139</v>
      </c>
      <c r="D17" s="1187">
        <v>3</v>
      </c>
      <c r="E17" s="1189" t="s">
        <v>3608</v>
      </c>
      <c r="F17" s="1190">
        <v>6</v>
      </c>
      <c r="G17" s="3432"/>
      <c r="H17" s="3382"/>
      <c r="I17" s="3383"/>
      <c r="J17" s="3383"/>
      <c r="K17" s="3383"/>
      <c r="L17" s="3384"/>
    </row>
    <row r="18" spans="2:12" ht="12.95" customHeight="1">
      <c r="B18" s="3147"/>
      <c r="C18" s="1057" t="s">
        <v>6209</v>
      </c>
      <c r="D18" s="1216">
        <v>1</v>
      </c>
      <c r="E18" s="1217" t="s">
        <v>3608</v>
      </c>
      <c r="F18" s="1218">
        <v>6</v>
      </c>
      <c r="G18" s="3432"/>
      <c r="H18" s="3382"/>
      <c r="I18" s="3383"/>
      <c r="J18" s="3383"/>
      <c r="K18" s="3383"/>
      <c r="L18" s="3384"/>
    </row>
    <row r="19" spans="2:12" ht="12.95" customHeight="1">
      <c r="B19" s="3147"/>
      <c r="C19" s="118" t="s">
        <v>143</v>
      </c>
      <c r="D19" s="1187">
        <v>1</v>
      </c>
      <c r="E19" s="1189" t="s">
        <v>3608</v>
      </c>
      <c r="F19" s="1190">
        <v>6</v>
      </c>
      <c r="G19" s="3432"/>
      <c r="H19" s="3382"/>
      <c r="I19" s="3383"/>
      <c r="J19" s="3383"/>
      <c r="K19" s="3383"/>
      <c r="L19" s="3384"/>
    </row>
    <row r="20" spans="2:12" ht="12.95" customHeight="1">
      <c r="B20" s="3147"/>
      <c r="C20" s="1057" t="s">
        <v>1617</v>
      </c>
      <c r="D20" s="1216">
        <v>2</v>
      </c>
      <c r="E20" s="1217" t="s">
        <v>3608</v>
      </c>
      <c r="F20" s="1218">
        <v>6</v>
      </c>
      <c r="G20" s="3432"/>
      <c r="H20" s="3382"/>
      <c r="I20" s="3383"/>
      <c r="J20" s="3383"/>
      <c r="K20" s="3383"/>
      <c r="L20" s="3384"/>
    </row>
    <row r="21" spans="2:12" ht="12.95" customHeight="1">
      <c r="B21" s="3147"/>
      <c r="C21" s="118" t="s">
        <v>144</v>
      </c>
      <c r="D21" s="1187">
        <v>3</v>
      </c>
      <c r="E21" s="1189" t="s">
        <v>3608</v>
      </c>
      <c r="F21" s="1190">
        <v>6</v>
      </c>
      <c r="G21" s="3432"/>
      <c r="H21" s="3382"/>
      <c r="I21" s="3383"/>
      <c r="J21" s="3383"/>
      <c r="K21" s="3383"/>
      <c r="L21" s="3384"/>
    </row>
    <row r="22" spans="2:12" ht="12.95" customHeight="1">
      <c r="B22" s="3147"/>
      <c r="C22" s="1057" t="s">
        <v>145</v>
      </c>
      <c r="D22" s="1216">
        <v>1</v>
      </c>
      <c r="E22" s="1217" t="s">
        <v>3608</v>
      </c>
      <c r="F22" s="1218">
        <v>6</v>
      </c>
      <c r="G22" s="3432"/>
      <c r="H22" s="3382"/>
      <c r="I22" s="3383"/>
      <c r="J22" s="3383"/>
      <c r="K22" s="3383"/>
      <c r="L22" s="3384"/>
    </row>
    <row r="23" spans="2:12" ht="12.95" customHeight="1">
      <c r="B23" s="3147"/>
      <c r="C23" s="118" t="s">
        <v>1147</v>
      </c>
      <c r="D23" s="1187">
        <v>1</v>
      </c>
      <c r="E23" s="1189" t="s">
        <v>3608</v>
      </c>
      <c r="F23" s="1190">
        <v>6</v>
      </c>
      <c r="G23" s="3432"/>
      <c r="H23" s="3382"/>
      <c r="I23" s="3383"/>
      <c r="J23" s="3383"/>
      <c r="K23" s="3383"/>
      <c r="L23" s="3384"/>
    </row>
    <row r="24" spans="2:12" ht="12.95" customHeight="1">
      <c r="B24" s="3147"/>
      <c r="C24" s="1057" t="s">
        <v>681</v>
      </c>
      <c r="D24" s="1216">
        <v>4</v>
      </c>
      <c r="E24" s="1217" t="s">
        <v>3608</v>
      </c>
      <c r="F24" s="1218">
        <v>6</v>
      </c>
      <c r="G24" s="3432"/>
      <c r="H24" s="3382"/>
      <c r="I24" s="3383"/>
      <c r="J24" s="3383"/>
      <c r="K24" s="3383"/>
      <c r="L24" s="3384"/>
    </row>
    <row r="25" spans="2:12" ht="12.95" customHeight="1">
      <c r="B25" s="3147"/>
      <c r="C25" s="118" t="s">
        <v>140</v>
      </c>
      <c r="D25" s="1187">
        <v>1</v>
      </c>
      <c r="E25" s="1189" t="s">
        <v>3608</v>
      </c>
      <c r="F25" s="1190" t="s">
        <v>137</v>
      </c>
      <c r="G25" s="3432"/>
      <c r="H25" s="3382"/>
      <c r="I25" s="3383"/>
      <c r="J25" s="3383"/>
      <c r="K25" s="3383"/>
      <c r="L25" s="3384"/>
    </row>
    <row r="26" spans="2:12" ht="12.95" customHeight="1">
      <c r="B26" s="3147"/>
      <c r="C26" s="1057" t="s">
        <v>5153</v>
      </c>
      <c r="D26" s="1216">
        <v>5</v>
      </c>
      <c r="E26" s="1217" t="s">
        <v>3608</v>
      </c>
      <c r="F26" s="1218">
        <v>6</v>
      </c>
      <c r="G26" s="3432"/>
      <c r="H26" s="3382"/>
      <c r="I26" s="3383"/>
      <c r="J26" s="3383"/>
      <c r="K26" s="3383"/>
      <c r="L26" s="3384"/>
    </row>
    <row r="27" spans="2:12" ht="12.95" customHeight="1">
      <c r="B27" s="3147"/>
      <c r="C27" s="118" t="s">
        <v>6206</v>
      </c>
      <c r="D27" s="1187">
        <v>4</v>
      </c>
      <c r="E27" s="1189" t="s">
        <v>3608</v>
      </c>
      <c r="F27" s="1190">
        <v>6</v>
      </c>
      <c r="G27" s="3432"/>
      <c r="H27" s="3382"/>
      <c r="I27" s="3383"/>
      <c r="J27" s="3383"/>
      <c r="K27" s="3383"/>
      <c r="L27" s="3384"/>
    </row>
    <row r="28" spans="2:12" ht="12.95" customHeight="1">
      <c r="B28" s="3147"/>
      <c r="C28" s="1057" t="s">
        <v>6208</v>
      </c>
      <c r="D28" s="1216">
        <v>4</v>
      </c>
      <c r="E28" s="1217" t="s">
        <v>3608</v>
      </c>
      <c r="F28" s="1218">
        <v>6</v>
      </c>
      <c r="G28" s="3432"/>
      <c r="H28" s="3382"/>
      <c r="I28" s="3383"/>
      <c r="J28" s="3383"/>
      <c r="K28" s="3383"/>
      <c r="L28" s="3384"/>
    </row>
    <row r="29" spans="2:12" ht="12.95" customHeight="1">
      <c r="B29" s="3147"/>
      <c r="C29" s="118" t="s">
        <v>141</v>
      </c>
      <c r="D29" s="1187">
        <v>4</v>
      </c>
      <c r="E29" s="2083" t="s">
        <v>3608</v>
      </c>
      <c r="F29" s="1190">
        <v>6</v>
      </c>
      <c r="G29" s="3432"/>
      <c r="H29" s="3382"/>
      <c r="I29" s="3383"/>
      <c r="J29" s="3383"/>
      <c r="K29" s="3383"/>
      <c r="L29" s="3384"/>
    </row>
    <row r="30" spans="2:12" ht="12.95" customHeight="1">
      <c r="B30" s="3147"/>
      <c r="C30" s="1057" t="s">
        <v>2375</v>
      </c>
      <c r="D30" s="1216">
        <v>3</v>
      </c>
      <c r="E30" s="1217" t="s">
        <v>3608</v>
      </c>
      <c r="F30" s="1218">
        <v>6</v>
      </c>
      <c r="G30" s="3432"/>
      <c r="H30" s="3382"/>
      <c r="I30" s="3383"/>
      <c r="J30" s="3383"/>
      <c r="K30" s="3383"/>
      <c r="L30" s="3384"/>
    </row>
    <row r="31" spans="2:12" ht="12.95" customHeight="1">
      <c r="B31" s="3147"/>
      <c r="C31" s="118" t="s">
        <v>142</v>
      </c>
      <c r="D31" s="1187">
        <v>3</v>
      </c>
      <c r="E31" s="1189" t="s">
        <v>3608</v>
      </c>
      <c r="F31" s="1190">
        <v>6</v>
      </c>
      <c r="G31" s="3432"/>
      <c r="H31" s="3382"/>
      <c r="I31" s="3383"/>
      <c r="J31" s="3383"/>
      <c r="K31" s="3383"/>
      <c r="L31" s="3384"/>
    </row>
    <row r="32" spans="2:12" ht="12.95" customHeight="1">
      <c r="B32" s="3147"/>
      <c r="C32" s="1057" t="s">
        <v>2377</v>
      </c>
      <c r="D32" s="1216">
        <v>2</v>
      </c>
      <c r="E32" s="1217" t="s">
        <v>3608</v>
      </c>
      <c r="F32" s="1218">
        <v>6</v>
      </c>
      <c r="G32" s="3432"/>
      <c r="H32" s="3382"/>
      <c r="I32" s="3383"/>
      <c r="J32" s="3383"/>
      <c r="K32" s="3383"/>
      <c r="L32" s="3384"/>
    </row>
    <row r="33" spans="2:12" ht="12.95" customHeight="1">
      <c r="B33" s="3147"/>
      <c r="C33" s="118" t="s">
        <v>2379</v>
      </c>
      <c r="D33" s="1187">
        <v>1</v>
      </c>
      <c r="E33" s="1189" t="s">
        <v>3608</v>
      </c>
      <c r="F33" s="1190">
        <v>6</v>
      </c>
      <c r="G33" s="3432"/>
      <c r="H33" s="3382"/>
      <c r="I33" s="3383"/>
      <c r="J33" s="3383"/>
      <c r="K33" s="3383"/>
      <c r="L33" s="3384"/>
    </row>
    <row r="34" spans="2:12" ht="20.100000000000001" customHeight="1" thickBot="1">
      <c r="B34" s="3414"/>
      <c r="C34" s="1210" t="s">
        <v>6207</v>
      </c>
      <c r="D34" s="1211">
        <v>1</v>
      </c>
      <c r="E34" s="1212" t="s">
        <v>3608</v>
      </c>
      <c r="F34" s="1226">
        <v>6</v>
      </c>
      <c r="G34" s="3159"/>
      <c r="H34" s="3423"/>
      <c r="I34" s="3424"/>
      <c r="J34" s="3424"/>
      <c r="K34" s="3424"/>
      <c r="L34" s="3425"/>
    </row>
    <row r="35" spans="2:12" ht="26.1" customHeight="1">
      <c r="B35" s="1185" t="s">
        <v>376</v>
      </c>
      <c r="C35" s="1181" t="s">
        <v>1171</v>
      </c>
      <c r="D35" s="1182">
        <v>2</v>
      </c>
      <c r="E35" s="1183" t="s">
        <v>3607</v>
      </c>
      <c r="F35" s="1184">
        <v>3</v>
      </c>
      <c r="G35" s="1200" t="s">
        <v>7556</v>
      </c>
      <c r="H35" s="3406" t="s">
        <v>7557</v>
      </c>
      <c r="I35" s="3407"/>
      <c r="J35" s="3407"/>
      <c r="K35" s="3407"/>
      <c r="L35" s="3408"/>
    </row>
    <row r="36" spans="2:12" ht="26.1" customHeight="1">
      <c r="B36" s="1222" t="s">
        <v>7283</v>
      </c>
      <c r="C36" s="1055" t="s">
        <v>1286</v>
      </c>
      <c r="D36" s="1213" t="s">
        <v>137</v>
      </c>
      <c r="E36" s="1214" t="s">
        <v>3607</v>
      </c>
      <c r="F36" s="1215" t="s">
        <v>137</v>
      </c>
      <c r="G36" s="1223" t="s">
        <v>7560</v>
      </c>
      <c r="H36" s="3388" t="s">
        <v>7561</v>
      </c>
      <c r="I36" s="3389"/>
      <c r="J36" s="3389"/>
      <c r="K36" s="3389"/>
      <c r="L36" s="3390"/>
    </row>
    <row r="37" spans="2:12" ht="26.1" customHeight="1">
      <c r="B37" s="1188" t="s">
        <v>3522</v>
      </c>
      <c r="C37" s="118" t="s">
        <v>2056</v>
      </c>
      <c r="D37" s="1187">
        <v>1</v>
      </c>
      <c r="E37" s="1189" t="s">
        <v>1014</v>
      </c>
      <c r="F37" s="1190">
        <v>3</v>
      </c>
      <c r="G37" s="2377" t="s">
        <v>7562</v>
      </c>
      <c r="H37" s="3376" t="s">
        <v>7563</v>
      </c>
      <c r="I37" s="3377"/>
      <c r="J37" s="3377"/>
      <c r="K37" s="3377"/>
      <c r="L37" s="3378"/>
    </row>
    <row r="38" spans="2:12" ht="26.1" customHeight="1">
      <c r="B38" s="1224" t="s">
        <v>1847</v>
      </c>
      <c r="C38" s="1057" t="s">
        <v>1625</v>
      </c>
      <c r="D38" s="1216" t="s">
        <v>137</v>
      </c>
      <c r="E38" s="1217" t="s">
        <v>3607</v>
      </c>
      <c r="F38" s="1218" t="s">
        <v>137</v>
      </c>
      <c r="G38" s="2376" t="s">
        <v>7564</v>
      </c>
      <c r="H38" s="3388" t="s">
        <v>7565</v>
      </c>
      <c r="I38" s="3389"/>
      <c r="J38" s="3389"/>
      <c r="K38" s="3389"/>
      <c r="L38" s="3390"/>
    </row>
    <row r="39" spans="2:12" ht="39" customHeight="1">
      <c r="B39" s="1188" t="s">
        <v>3523</v>
      </c>
      <c r="C39" s="118" t="s">
        <v>2376</v>
      </c>
      <c r="D39" s="1187" t="s">
        <v>137</v>
      </c>
      <c r="E39" s="1189" t="s">
        <v>1014</v>
      </c>
      <c r="F39" s="1190" t="s">
        <v>137</v>
      </c>
      <c r="G39" s="2377" t="s">
        <v>7566</v>
      </c>
      <c r="H39" s="3376" t="s">
        <v>7550</v>
      </c>
      <c r="I39" s="3377"/>
      <c r="J39" s="3377"/>
      <c r="K39" s="3377"/>
      <c r="L39" s="3378"/>
    </row>
    <row r="40" spans="2:12" ht="65.099999999999994" customHeight="1" thickBot="1">
      <c r="B40" s="1225" t="s">
        <v>3457</v>
      </c>
      <c r="C40" s="1210" t="s">
        <v>3524</v>
      </c>
      <c r="D40" s="1211">
        <v>5</v>
      </c>
      <c r="E40" s="1212" t="s">
        <v>3607</v>
      </c>
      <c r="F40" s="1226">
        <v>3</v>
      </c>
      <c r="G40" s="1227" t="s">
        <v>8267</v>
      </c>
      <c r="H40" s="3394" t="s">
        <v>7568</v>
      </c>
      <c r="I40" s="3395"/>
      <c r="J40" s="3395"/>
      <c r="K40" s="3395"/>
      <c r="L40" s="3396"/>
    </row>
    <row r="41" spans="2:12" ht="39" customHeight="1">
      <c r="B41" s="1185" t="s">
        <v>7260</v>
      </c>
      <c r="C41" s="1181" t="s">
        <v>1367</v>
      </c>
      <c r="D41" s="1182">
        <v>3</v>
      </c>
      <c r="E41" s="1183" t="s">
        <v>3607</v>
      </c>
      <c r="F41" s="1184">
        <v>3</v>
      </c>
      <c r="G41" s="1185" t="s">
        <v>7572</v>
      </c>
      <c r="H41" s="3406" t="s">
        <v>7571</v>
      </c>
      <c r="I41" s="3407"/>
      <c r="J41" s="3407"/>
      <c r="K41" s="3407"/>
      <c r="L41" s="3408"/>
    </row>
    <row r="42" spans="2:12" ht="51.95" customHeight="1" thickBot="1">
      <c r="B42" s="1222" t="s">
        <v>1053</v>
      </c>
      <c r="C42" s="2381" t="s">
        <v>1173</v>
      </c>
      <c r="D42" s="1213">
        <v>4</v>
      </c>
      <c r="E42" s="1214" t="s">
        <v>3607</v>
      </c>
      <c r="F42" s="1215">
        <v>3</v>
      </c>
      <c r="G42" s="1223" t="s">
        <v>7570</v>
      </c>
      <c r="H42" s="3385" t="s">
        <v>7569</v>
      </c>
      <c r="I42" s="3386"/>
      <c r="J42" s="3386"/>
      <c r="K42" s="3386"/>
      <c r="L42" s="3387"/>
    </row>
    <row r="43" spans="2:12" ht="78" customHeight="1">
      <c r="B43" s="1185" t="s">
        <v>1521</v>
      </c>
      <c r="C43" s="2780" t="s">
        <v>3525</v>
      </c>
      <c r="D43" s="1182">
        <v>2</v>
      </c>
      <c r="E43" s="1183" t="s">
        <v>3607</v>
      </c>
      <c r="F43" s="1184" t="s">
        <v>137</v>
      </c>
      <c r="G43" s="1200" t="s">
        <v>7573</v>
      </c>
      <c r="H43" s="3406" t="s">
        <v>7575</v>
      </c>
      <c r="I43" s="3407"/>
      <c r="J43" s="3407"/>
      <c r="K43" s="3407"/>
      <c r="L43" s="3408"/>
    </row>
    <row r="44" spans="2:12" ht="65.099999999999994" customHeight="1">
      <c r="B44" s="1224" t="s">
        <v>3463</v>
      </c>
      <c r="C44" s="1057" t="s">
        <v>2184</v>
      </c>
      <c r="D44" s="1216">
        <v>4</v>
      </c>
      <c r="E44" s="1217" t="s">
        <v>1014</v>
      </c>
      <c r="F44" s="1218" t="s">
        <v>137</v>
      </c>
      <c r="G44" s="2387" t="s">
        <v>7574</v>
      </c>
      <c r="H44" s="3388" t="s">
        <v>7576</v>
      </c>
      <c r="I44" s="3389"/>
      <c r="J44" s="3389"/>
      <c r="K44" s="3389"/>
      <c r="L44" s="3390"/>
    </row>
    <row r="45" spans="2:12" ht="26.1" customHeight="1" thickBot="1">
      <c r="B45" s="1194" t="s">
        <v>7264</v>
      </c>
      <c r="C45" s="120" t="s">
        <v>2378</v>
      </c>
      <c r="D45" s="1195" t="s">
        <v>137</v>
      </c>
      <c r="E45" s="1196" t="s">
        <v>1014</v>
      </c>
      <c r="F45" s="1197" t="s">
        <v>137</v>
      </c>
      <c r="G45" s="1194" t="s">
        <v>7577</v>
      </c>
      <c r="H45" s="3391" t="s">
        <v>7578</v>
      </c>
      <c r="I45" s="3392"/>
      <c r="J45" s="3392"/>
      <c r="K45" s="3392"/>
      <c r="L45" s="3393"/>
    </row>
    <row r="46" spans="2:12" ht="26.1" customHeight="1">
      <c r="B46" s="1918" t="s">
        <v>7261</v>
      </c>
      <c r="C46" s="1229" t="s">
        <v>102</v>
      </c>
      <c r="D46" s="1230" t="s">
        <v>137</v>
      </c>
      <c r="E46" s="1206" t="s">
        <v>3607</v>
      </c>
      <c r="F46" s="1207" t="s">
        <v>137</v>
      </c>
      <c r="G46" s="2385" t="s">
        <v>7579</v>
      </c>
      <c r="H46" s="3409" t="s">
        <v>7580</v>
      </c>
      <c r="I46" s="3410"/>
      <c r="J46" s="3410"/>
      <c r="K46" s="3410"/>
      <c r="L46" s="3411"/>
    </row>
    <row r="47" spans="2:12" ht="26.1" customHeight="1">
      <c r="B47" s="1188" t="s">
        <v>612</v>
      </c>
      <c r="C47" s="1198" t="s">
        <v>657</v>
      </c>
      <c r="D47" s="1199">
        <v>2</v>
      </c>
      <c r="E47" s="1189" t="s">
        <v>3608</v>
      </c>
      <c r="F47" s="1190">
        <v>3</v>
      </c>
      <c r="G47" s="2377" t="s">
        <v>3335</v>
      </c>
      <c r="H47" s="3376" t="s">
        <v>7581</v>
      </c>
      <c r="I47" s="3377"/>
      <c r="J47" s="3377"/>
      <c r="K47" s="3377"/>
      <c r="L47" s="3378"/>
    </row>
    <row r="48" spans="2:12" ht="39" customHeight="1">
      <c r="B48" s="1915" t="s">
        <v>7262</v>
      </c>
      <c r="C48" s="1057" t="s">
        <v>1367</v>
      </c>
      <c r="D48" s="1216">
        <v>3</v>
      </c>
      <c r="E48" s="1217" t="s">
        <v>3607</v>
      </c>
      <c r="F48" s="1218">
        <v>3</v>
      </c>
      <c r="G48" s="2376" t="s">
        <v>7572</v>
      </c>
      <c r="H48" s="3388" t="s">
        <v>7582</v>
      </c>
      <c r="I48" s="3389"/>
      <c r="J48" s="3389"/>
      <c r="K48" s="3389"/>
      <c r="L48" s="3390"/>
    </row>
    <row r="49" spans="2:12" ht="39" customHeight="1">
      <c r="B49" s="1188" t="s">
        <v>613</v>
      </c>
      <c r="C49" s="2781" t="s">
        <v>1060</v>
      </c>
      <c r="D49" s="1187" t="s">
        <v>137</v>
      </c>
      <c r="E49" s="1189" t="s">
        <v>3607</v>
      </c>
      <c r="F49" s="1190" t="s">
        <v>137</v>
      </c>
      <c r="G49" s="1202" t="s">
        <v>7583</v>
      </c>
      <c r="H49" s="3376" t="s">
        <v>7584</v>
      </c>
      <c r="I49" s="3377"/>
      <c r="J49" s="3377"/>
      <c r="K49" s="3377"/>
      <c r="L49" s="3378"/>
    </row>
    <row r="50" spans="2:12" ht="104.1" customHeight="1" thickBot="1">
      <c r="B50" s="1228" t="s">
        <v>3466</v>
      </c>
      <c r="C50" s="1219" t="s">
        <v>950</v>
      </c>
      <c r="D50" s="1220">
        <v>1</v>
      </c>
      <c r="E50" s="1221" t="s">
        <v>3607</v>
      </c>
      <c r="F50" s="1231">
        <v>3</v>
      </c>
      <c r="G50" s="1232" t="s">
        <v>8268</v>
      </c>
      <c r="H50" s="3394" t="s">
        <v>8740</v>
      </c>
      <c r="I50" s="3395"/>
      <c r="J50" s="3395"/>
      <c r="K50" s="3395"/>
      <c r="L50" s="3396"/>
    </row>
    <row r="51" spans="2:12" ht="26.1" customHeight="1">
      <c r="B51" s="1185" t="s">
        <v>3470</v>
      </c>
      <c r="C51" s="1181" t="s">
        <v>2371</v>
      </c>
      <c r="D51" s="1182">
        <v>1</v>
      </c>
      <c r="E51" s="1183" t="s">
        <v>3608</v>
      </c>
      <c r="F51" s="1184">
        <v>6</v>
      </c>
      <c r="G51" s="1200" t="s">
        <v>6014</v>
      </c>
      <c r="H51" s="3406" t="s">
        <v>7585</v>
      </c>
      <c r="I51" s="3407"/>
      <c r="J51" s="3407"/>
      <c r="K51" s="3407"/>
      <c r="L51" s="3408"/>
    </row>
    <row r="52" spans="2:12" ht="39" customHeight="1" thickBot="1">
      <c r="B52" s="1209" t="s">
        <v>149</v>
      </c>
      <c r="C52" s="1210" t="s">
        <v>2554</v>
      </c>
      <c r="D52" s="1211">
        <v>2</v>
      </c>
      <c r="E52" s="1212" t="s">
        <v>3607</v>
      </c>
      <c r="F52" s="1226" t="s">
        <v>137</v>
      </c>
      <c r="G52" s="1227" t="s">
        <v>7587</v>
      </c>
      <c r="H52" s="3394" t="s">
        <v>7586</v>
      </c>
      <c r="I52" s="3395"/>
      <c r="J52" s="3395"/>
      <c r="K52" s="3395"/>
      <c r="L52" s="3396"/>
    </row>
    <row r="53" spans="2:12" ht="26.1" customHeight="1">
      <c r="B53" s="1185" t="s">
        <v>3653</v>
      </c>
      <c r="C53" s="1181" t="s">
        <v>2237</v>
      </c>
      <c r="D53" s="1182">
        <v>3</v>
      </c>
      <c r="E53" s="1183" t="s">
        <v>3608</v>
      </c>
      <c r="F53" s="1184">
        <v>3</v>
      </c>
      <c r="G53" s="1200" t="s">
        <v>7588</v>
      </c>
      <c r="H53" s="3406" t="s">
        <v>7589</v>
      </c>
      <c r="I53" s="3407"/>
      <c r="J53" s="3407"/>
      <c r="K53" s="3407"/>
      <c r="L53" s="3408"/>
    </row>
    <row r="54" spans="2:12" ht="26.1" customHeight="1">
      <c r="B54" s="1726" t="s">
        <v>3654</v>
      </c>
      <c r="C54" s="1057" t="s">
        <v>2185</v>
      </c>
      <c r="D54" s="1216">
        <v>2</v>
      </c>
      <c r="E54" s="1217" t="s">
        <v>3608</v>
      </c>
      <c r="F54" s="1218">
        <v>3</v>
      </c>
      <c r="G54" s="2387" t="s">
        <v>7590</v>
      </c>
      <c r="H54" s="3388" t="s">
        <v>10059</v>
      </c>
      <c r="I54" s="3389"/>
      <c r="J54" s="3389"/>
      <c r="K54" s="3389"/>
      <c r="L54" s="3390"/>
    </row>
    <row r="55" spans="2:12" ht="26.1" customHeight="1">
      <c r="B55" s="1725" t="s">
        <v>3657</v>
      </c>
      <c r="C55" s="118" t="s">
        <v>2187</v>
      </c>
      <c r="D55" s="1187">
        <v>1</v>
      </c>
      <c r="E55" s="1189" t="s">
        <v>3608</v>
      </c>
      <c r="F55" s="1190">
        <v>3</v>
      </c>
      <c r="G55" s="1202" t="s">
        <v>7591</v>
      </c>
      <c r="H55" s="3376" t="s">
        <v>10060</v>
      </c>
      <c r="I55" s="3377"/>
      <c r="J55" s="3377"/>
      <c r="K55" s="3377"/>
      <c r="L55" s="3378"/>
    </row>
    <row r="56" spans="2:12" ht="39" customHeight="1" thickBot="1">
      <c r="B56" s="1209" t="s">
        <v>3655</v>
      </c>
      <c r="C56" s="1210" t="s">
        <v>2186</v>
      </c>
      <c r="D56" s="1211">
        <v>1</v>
      </c>
      <c r="E56" s="1212" t="s">
        <v>3608</v>
      </c>
      <c r="F56" s="1226">
        <v>3</v>
      </c>
      <c r="G56" s="1227" t="s">
        <v>7592</v>
      </c>
      <c r="H56" s="3394" t="s">
        <v>10061</v>
      </c>
      <c r="I56" s="3395"/>
      <c r="J56" s="3395"/>
      <c r="K56" s="3395"/>
      <c r="L56" s="3396"/>
    </row>
    <row r="57" spans="2:12" ht="12.95" customHeight="1">
      <c r="B57" s="3413" t="s">
        <v>1063</v>
      </c>
      <c r="C57" s="1181" t="s">
        <v>657</v>
      </c>
      <c r="D57" s="1182">
        <v>2</v>
      </c>
      <c r="E57" s="1183" t="s">
        <v>1017</v>
      </c>
      <c r="F57" s="1184">
        <v>3</v>
      </c>
      <c r="G57" s="3426" t="s">
        <v>8414</v>
      </c>
      <c r="H57" s="3397" t="s">
        <v>10062</v>
      </c>
      <c r="I57" s="3398"/>
      <c r="J57" s="3398"/>
      <c r="K57" s="3398"/>
      <c r="L57" s="3399"/>
    </row>
    <row r="58" spans="2:12" ht="12.95" customHeight="1">
      <c r="B58" s="3147"/>
      <c r="C58" s="1057" t="s">
        <v>2380</v>
      </c>
      <c r="D58" s="1216">
        <v>1</v>
      </c>
      <c r="E58" s="1217" t="s">
        <v>1017</v>
      </c>
      <c r="F58" s="1218">
        <v>3</v>
      </c>
      <c r="G58" s="3427"/>
      <c r="H58" s="3400"/>
      <c r="I58" s="3401"/>
      <c r="J58" s="3401"/>
      <c r="K58" s="3401"/>
      <c r="L58" s="3402"/>
    </row>
    <row r="59" spans="2:12" ht="12.95" customHeight="1">
      <c r="B59" s="3147"/>
      <c r="C59" s="118" t="s">
        <v>2379</v>
      </c>
      <c r="D59" s="1187">
        <v>1</v>
      </c>
      <c r="E59" s="1189" t="s">
        <v>1017</v>
      </c>
      <c r="F59" s="1190">
        <v>3</v>
      </c>
      <c r="G59" s="3427"/>
      <c r="H59" s="3400"/>
      <c r="I59" s="3401"/>
      <c r="J59" s="3401"/>
      <c r="K59" s="3401"/>
      <c r="L59" s="3402"/>
    </row>
    <row r="60" spans="2:12" ht="12.95" customHeight="1">
      <c r="B60" s="3147"/>
      <c r="C60" s="1057" t="s">
        <v>1147</v>
      </c>
      <c r="D60" s="1216">
        <v>1</v>
      </c>
      <c r="E60" s="1217" t="s">
        <v>1017</v>
      </c>
      <c r="F60" s="1218">
        <v>3</v>
      </c>
      <c r="G60" s="3427"/>
      <c r="H60" s="3400"/>
      <c r="I60" s="3401"/>
      <c r="J60" s="3401"/>
      <c r="K60" s="3401"/>
      <c r="L60" s="3402"/>
    </row>
    <row r="61" spans="2:12" ht="12.95" customHeight="1">
      <c r="B61" s="3147"/>
      <c r="C61" s="118" t="s">
        <v>1150</v>
      </c>
      <c r="D61" s="1187">
        <v>1</v>
      </c>
      <c r="E61" s="1189" t="s">
        <v>1017</v>
      </c>
      <c r="F61" s="1190">
        <v>3</v>
      </c>
      <c r="G61" s="3427"/>
      <c r="H61" s="3400"/>
      <c r="I61" s="3401"/>
      <c r="J61" s="3401"/>
      <c r="K61" s="3401"/>
      <c r="L61" s="3402"/>
    </row>
    <row r="62" spans="2:12" ht="12.95" customHeight="1">
      <c r="B62" s="3147"/>
      <c r="C62" s="1057" t="s">
        <v>6210</v>
      </c>
      <c r="D62" s="1216">
        <v>1</v>
      </c>
      <c r="E62" s="1217" t="s">
        <v>1017</v>
      </c>
      <c r="F62" s="1218">
        <v>3</v>
      </c>
      <c r="G62" s="3427"/>
      <c r="H62" s="3400"/>
      <c r="I62" s="3401"/>
      <c r="J62" s="3401"/>
      <c r="K62" s="3401"/>
      <c r="L62" s="3402"/>
    </row>
    <row r="63" spans="2:12" ht="12.95" customHeight="1">
      <c r="B63" s="3147"/>
      <c r="C63" s="118" t="s">
        <v>6205</v>
      </c>
      <c r="D63" s="1187">
        <v>1</v>
      </c>
      <c r="E63" s="1189" t="s">
        <v>1017</v>
      </c>
      <c r="F63" s="1190">
        <v>3</v>
      </c>
      <c r="G63" s="3427"/>
      <c r="H63" s="3400"/>
      <c r="I63" s="3401"/>
      <c r="J63" s="3401"/>
      <c r="K63" s="3401"/>
      <c r="L63" s="3402"/>
    </row>
    <row r="64" spans="2:12" ht="39" customHeight="1">
      <c r="B64" s="3147"/>
      <c r="C64" s="1057" t="s">
        <v>139</v>
      </c>
      <c r="D64" s="1216">
        <v>2</v>
      </c>
      <c r="E64" s="1217" t="s">
        <v>1017</v>
      </c>
      <c r="F64" s="1218">
        <v>3</v>
      </c>
      <c r="G64" s="3427"/>
      <c r="H64" s="3403"/>
      <c r="I64" s="3404"/>
      <c r="J64" s="3404"/>
      <c r="K64" s="3404"/>
      <c r="L64" s="3405"/>
    </row>
    <row r="65" spans="2:12" ht="51.95" customHeight="1">
      <c r="B65" s="1188" t="s">
        <v>379</v>
      </c>
      <c r="C65" s="118" t="s">
        <v>1864</v>
      </c>
      <c r="D65" s="1187">
        <v>1</v>
      </c>
      <c r="E65" s="1189" t="s">
        <v>1017</v>
      </c>
      <c r="F65" s="1190" t="s">
        <v>137</v>
      </c>
      <c r="G65" s="1202" t="s">
        <v>7594</v>
      </c>
      <c r="H65" s="3376" t="s">
        <v>7595</v>
      </c>
      <c r="I65" s="3377"/>
      <c r="J65" s="3377"/>
      <c r="K65" s="3377"/>
      <c r="L65" s="3378"/>
    </row>
    <row r="66" spans="2:12" ht="26.1" customHeight="1">
      <c r="B66" s="1224" t="s">
        <v>1596</v>
      </c>
      <c r="C66" s="1057" t="s">
        <v>2056</v>
      </c>
      <c r="D66" s="1216">
        <v>1</v>
      </c>
      <c r="E66" s="1217" t="s">
        <v>1014</v>
      </c>
      <c r="F66" s="1218">
        <v>3</v>
      </c>
      <c r="G66" s="2377" t="s">
        <v>7562</v>
      </c>
      <c r="H66" s="3376" t="s">
        <v>7563</v>
      </c>
      <c r="I66" s="3377"/>
      <c r="J66" s="3377"/>
      <c r="K66" s="3377"/>
      <c r="L66" s="3378"/>
    </row>
    <row r="67" spans="2:12" ht="26.1" customHeight="1">
      <c r="B67" s="3428" t="s">
        <v>1985</v>
      </c>
      <c r="C67" s="118" t="s">
        <v>656</v>
      </c>
      <c r="D67" s="1187">
        <v>1</v>
      </c>
      <c r="E67" s="1189" t="s">
        <v>3608</v>
      </c>
      <c r="F67" s="1190" t="s">
        <v>137</v>
      </c>
      <c r="G67" s="1202" t="s">
        <v>5945</v>
      </c>
      <c r="H67" s="3379" t="s">
        <v>7596</v>
      </c>
      <c r="I67" s="3380"/>
      <c r="J67" s="3380"/>
      <c r="K67" s="3380"/>
      <c r="L67" s="3381"/>
    </row>
    <row r="68" spans="2:12" ht="26.1" customHeight="1">
      <c r="B68" s="3429"/>
      <c r="C68" s="1057" t="s">
        <v>2558</v>
      </c>
      <c r="D68" s="1216">
        <v>4</v>
      </c>
      <c r="E68" s="1217" t="s">
        <v>3608</v>
      </c>
      <c r="F68" s="1218" t="s">
        <v>137</v>
      </c>
      <c r="G68" s="1919" t="s">
        <v>5946</v>
      </c>
      <c r="H68" s="3382"/>
      <c r="I68" s="3383"/>
      <c r="J68" s="3383"/>
      <c r="K68" s="3383"/>
      <c r="L68" s="3384"/>
    </row>
    <row r="69" spans="2:12" ht="26.1" customHeight="1">
      <c r="B69" s="3429"/>
      <c r="C69" s="118" t="s">
        <v>294</v>
      </c>
      <c r="D69" s="1187">
        <v>2</v>
      </c>
      <c r="E69" s="1189" t="s">
        <v>3608</v>
      </c>
      <c r="F69" s="1190" t="s">
        <v>137</v>
      </c>
      <c r="G69" s="1202" t="s">
        <v>5947</v>
      </c>
      <c r="H69" s="3382"/>
      <c r="I69" s="3383"/>
      <c r="J69" s="3383"/>
      <c r="K69" s="3383"/>
      <c r="L69" s="3384"/>
    </row>
    <row r="70" spans="2:12" ht="26.1" customHeight="1">
      <c r="B70" s="3429"/>
      <c r="C70" s="1057" t="s">
        <v>867</v>
      </c>
      <c r="D70" s="1216">
        <v>3</v>
      </c>
      <c r="E70" s="1217" t="s">
        <v>3608</v>
      </c>
      <c r="F70" s="1218" t="s">
        <v>137</v>
      </c>
      <c r="G70" s="1919" t="s">
        <v>5948</v>
      </c>
      <c r="H70" s="3382"/>
      <c r="I70" s="3383"/>
      <c r="J70" s="3383"/>
      <c r="K70" s="3383"/>
      <c r="L70" s="3384"/>
    </row>
    <row r="71" spans="2:12" ht="26.1" customHeight="1">
      <c r="B71" s="3429"/>
      <c r="C71" s="118" t="s">
        <v>1306</v>
      </c>
      <c r="D71" s="1187">
        <v>3</v>
      </c>
      <c r="E71" s="1189" t="s">
        <v>3608</v>
      </c>
      <c r="F71" s="1190" t="s">
        <v>137</v>
      </c>
      <c r="G71" s="1202" t="s">
        <v>5948</v>
      </c>
      <c r="H71" s="3382"/>
      <c r="I71" s="3383"/>
      <c r="J71" s="3383"/>
      <c r="K71" s="3383"/>
      <c r="L71" s="3384"/>
    </row>
    <row r="72" spans="2:12" ht="26.1" customHeight="1">
      <c r="B72" s="3429"/>
      <c r="C72" s="1057" t="s">
        <v>2557</v>
      </c>
      <c r="D72" s="1216">
        <v>4</v>
      </c>
      <c r="E72" s="1217" t="s">
        <v>3608</v>
      </c>
      <c r="F72" s="1218" t="s">
        <v>137</v>
      </c>
      <c r="G72" s="1919" t="s">
        <v>5949</v>
      </c>
      <c r="H72" s="3382"/>
      <c r="I72" s="3383"/>
      <c r="J72" s="3383"/>
      <c r="K72" s="3383"/>
      <c r="L72" s="3384"/>
    </row>
    <row r="73" spans="2:12" ht="26.1" customHeight="1">
      <c r="B73" s="3429"/>
      <c r="C73" s="118" t="s">
        <v>2554</v>
      </c>
      <c r="D73" s="1187">
        <v>2</v>
      </c>
      <c r="E73" s="1189" t="s">
        <v>3608</v>
      </c>
      <c r="F73" s="1190" t="s">
        <v>137</v>
      </c>
      <c r="G73" s="1202" t="s">
        <v>5950</v>
      </c>
      <c r="H73" s="3382"/>
      <c r="I73" s="3383"/>
      <c r="J73" s="3383"/>
      <c r="K73" s="3383"/>
      <c r="L73" s="3384"/>
    </row>
    <row r="74" spans="2:12" ht="26.1" customHeight="1">
      <c r="B74" s="3429"/>
      <c r="C74" s="1057" t="s">
        <v>621</v>
      </c>
      <c r="D74" s="1216">
        <v>4</v>
      </c>
      <c r="E74" s="1217" t="s">
        <v>3608</v>
      </c>
      <c r="F74" s="1218" t="s">
        <v>137</v>
      </c>
      <c r="G74" s="1919" t="s">
        <v>5951</v>
      </c>
      <c r="H74" s="3385"/>
      <c r="I74" s="3386"/>
      <c r="J74" s="3386"/>
      <c r="K74" s="3386"/>
      <c r="L74" s="3387"/>
    </row>
    <row r="75" spans="2:12" ht="65.099999999999994" customHeight="1">
      <c r="B75" s="3430"/>
      <c r="C75" s="2382" t="s">
        <v>1668</v>
      </c>
      <c r="D75" s="1187" t="s">
        <v>137</v>
      </c>
      <c r="E75" s="1189" t="s">
        <v>1014</v>
      </c>
      <c r="F75" s="1190" t="s">
        <v>137</v>
      </c>
      <c r="G75" s="1202" t="s">
        <v>7597</v>
      </c>
      <c r="H75" s="3376" t="s">
        <v>7598</v>
      </c>
      <c r="I75" s="3377"/>
      <c r="J75" s="3377"/>
      <c r="K75" s="3377"/>
      <c r="L75" s="3378"/>
    </row>
    <row r="76" spans="2:12" ht="51.95" customHeight="1">
      <c r="B76" s="1224" t="s">
        <v>726</v>
      </c>
      <c r="C76" s="1057" t="s">
        <v>2055</v>
      </c>
      <c r="D76" s="1216" t="s">
        <v>137</v>
      </c>
      <c r="E76" s="1217" t="s">
        <v>3607</v>
      </c>
      <c r="F76" s="1218" t="s">
        <v>137</v>
      </c>
      <c r="G76" s="2387" t="s">
        <v>7599</v>
      </c>
      <c r="H76" s="3388" t="s">
        <v>7600</v>
      </c>
      <c r="I76" s="3389"/>
      <c r="J76" s="3389"/>
      <c r="K76" s="3389"/>
      <c r="L76" s="3390"/>
    </row>
    <row r="77" spans="2:12" ht="51.95" customHeight="1" thickBot="1">
      <c r="B77" s="1194" t="s">
        <v>727</v>
      </c>
      <c r="C77" s="120" t="s">
        <v>655</v>
      </c>
      <c r="D77" s="1195" t="s">
        <v>137</v>
      </c>
      <c r="E77" s="1196" t="s">
        <v>3607</v>
      </c>
      <c r="F77" s="1197" t="s">
        <v>137</v>
      </c>
      <c r="G77" s="1203" t="s">
        <v>7601</v>
      </c>
      <c r="H77" s="3391" t="s">
        <v>7602</v>
      </c>
      <c r="I77" s="3392"/>
      <c r="J77" s="3392"/>
      <c r="K77" s="3392"/>
      <c r="L77" s="3393"/>
    </row>
    <row r="78" spans="2:12" ht="5.0999999999999996" customHeight="1"/>
    <row r="79" spans="2:12" ht="12.95" customHeight="1">
      <c r="B79" s="2980" t="s">
        <v>3605</v>
      </c>
      <c r="C79" s="2980"/>
      <c r="D79" s="2980"/>
      <c r="E79" s="2980"/>
      <c r="F79" s="2980"/>
      <c r="G79" s="2980"/>
      <c r="H79" s="2980"/>
      <c r="I79" s="2980"/>
      <c r="J79" s="2980"/>
      <c r="K79" s="2980"/>
    </row>
    <row r="80" spans="2:12" ht="12.95" customHeight="1">
      <c r="B80" s="2960" t="s">
        <v>5943</v>
      </c>
      <c r="C80" s="2960"/>
      <c r="D80" s="2960"/>
      <c r="E80" s="2960"/>
      <c r="F80" s="2960"/>
      <c r="G80" s="2960"/>
    </row>
    <row r="81" spans="2:12" ht="12.95" customHeight="1">
      <c r="B81" s="3412" t="s">
        <v>10063</v>
      </c>
      <c r="C81" s="3412"/>
      <c r="D81" s="3412"/>
      <c r="E81" s="3412"/>
      <c r="F81" s="3412"/>
      <c r="G81" s="3412"/>
    </row>
    <row r="82" spans="2:12" ht="12.95" customHeight="1">
      <c r="B82" s="3412" t="s">
        <v>10064</v>
      </c>
      <c r="C82" s="3412"/>
      <c r="D82" s="3412"/>
      <c r="E82" s="3412"/>
      <c r="F82" s="3412"/>
      <c r="G82" s="3412"/>
    </row>
    <row r="83" spans="2:12" ht="12.95" customHeight="1">
      <c r="B83" s="3412" t="s">
        <v>10065</v>
      </c>
      <c r="C83" s="3412"/>
      <c r="D83" s="3412"/>
      <c r="E83" s="3412"/>
      <c r="F83" s="3412"/>
      <c r="G83" s="3412"/>
    </row>
    <row r="84" spans="2:12" ht="12.95" customHeight="1">
      <c r="B84" s="3412" t="s">
        <v>10066</v>
      </c>
      <c r="C84" s="3412"/>
      <c r="D84" s="3412"/>
      <c r="E84" s="3412"/>
      <c r="F84" s="3412"/>
      <c r="G84" s="3412"/>
    </row>
    <row r="85" spans="2:12" ht="12.95" customHeight="1">
      <c r="B85" s="2960" t="s">
        <v>5944</v>
      </c>
      <c r="C85" s="2960"/>
      <c r="D85" s="2960"/>
      <c r="E85" s="2960"/>
      <c r="F85" s="2960"/>
      <c r="G85" s="2960"/>
    </row>
    <row r="86" spans="2:12" ht="12.95" customHeight="1">
      <c r="B86" s="3412" t="s">
        <v>10067</v>
      </c>
      <c r="C86" s="3412"/>
      <c r="D86" s="3412"/>
      <c r="E86" s="3412"/>
      <c r="F86" s="3412"/>
      <c r="G86" s="3412"/>
    </row>
    <row r="87" spans="2:12" ht="12.95" customHeight="1">
      <c r="B87" s="3412" t="s">
        <v>10068</v>
      </c>
      <c r="C87" s="3412"/>
      <c r="D87" s="3412"/>
      <c r="E87" s="3412"/>
      <c r="F87" s="3412"/>
      <c r="G87" s="3412"/>
      <c r="H87" s="3412"/>
      <c r="I87" s="3412"/>
      <c r="J87" s="3412"/>
      <c r="K87" s="3412"/>
      <c r="L87" s="3412"/>
    </row>
    <row r="88" spans="2:12" ht="12.95" customHeight="1">
      <c r="B88" s="3412" t="s">
        <v>10069</v>
      </c>
      <c r="C88" s="3412"/>
      <c r="D88" s="3412"/>
      <c r="E88" s="3412"/>
      <c r="F88" s="3412"/>
      <c r="G88" s="3412"/>
    </row>
    <row r="89" spans="2:12" ht="39" customHeight="1">
      <c r="B89" s="2960" t="s">
        <v>3606</v>
      </c>
      <c r="C89" s="2960"/>
      <c r="D89" s="2960"/>
      <c r="E89" s="2960"/>
      <c r="F89" s="2960"/>
      <c r="G89" s="2960"/>
      <c r="H89" s="2960"/>
      <c r="I89" s="2960"/>
      <c r="J89" s="2960"/>
      <c r="K89" s="2960"/>
      <c r="L89" s="2960"/>
    </row>
  </sheetData>
  <sheetProtection autoFilter="0"/>
  <autoFilter ref="B9:F9">
    <filterColumn colId="2"/>
  </autoFilter>
  <mergeCells count="57">
    <mergeCell ref="B5:L5"/>
    <mergeCell ref="B6:L6"/>
    <mergeCell ref="C1:L1"/>
    <mergeCell ref="B88:G88"/>
    <mergeCell ref="B57:B64"/>
    <mergeCell ref="G57:G64"/>
    <mergeCell ref="B67:B75"/>
    <mergeCell ref="B85:G85"/>
    <mergeCell ref="B82:G82"/>
    <mergeCell ref="B83:G83"/>
    <mergeCell ref="B84:G84"/>
    <mergeCell ref="B86:G86"/>
    <mergeCell ref="B79:K79"/>
    <mergeCell ref="B81:G81"/>
    <mergeCell ref="B80:G80"/>
    <mergeCell ref="G14:G34"/>
    <mergeCell ref="B3:L3"/>
    <mergeCell ref="B89:L89"/>
    <mergeCell ref="B87:L87"/>
    <mergeCell ref="B14:B34"/>
    <mergeCell ref="D8:E8"/>
    <mergeCell ref="H8:L8"/>
    <mergeCell ref="H10:L10"/>
    <mergeCell ref="G9:L9"/>
    <mergeCell ref="H11:L11"/>
    <mergeCell ref="H12:L12"/>
    <mergeCell ref="H13:L13"/>
    <mergeCell ref="H14:L34"/>
    <mergeCell ref="H35:L35"/>
    <mergeCell ref="H36:L36"/>
    <mergeCell ref="H37:L37"/>
    <mergeCell ref="H38:L38"/>
    <mergeCell ref="H39:L39"/>
    <mergeCell ref="H40:L40"/>
    <mergeCell ref="H42:L42"/>
    <mergeCell ref="H41:L41"/>
    <mergeCell ref="H43:L43"/>
    <mergeCell ref="H44:L44"/>
    <mergeCell ref="H45:L45"/>
    <mergeCell ref="H46:L46"/>
    <mergeCell ref="H47:L47"/>
    <mergeCell ref="H48:L48"/>
    <mergeCell ref="H49:L49"/>
    <mergeCell ref="H50:L50"/>
    <mergeCell ref="H51:L51"/>
    <mergeCell ref="H52:L52"/>
    <mergeCell ref="H53:L53"/>
    <mergeCell ref="H54:L54"/>
    <mergeCell ref="H55:L55"/>
    <mergeCell ref="H56:L56"/>
    <mergeCell ref="H57:L64"/>
    <mergeCell ref="H65:L65"/>
    <mergeCell ref="H66:L66"/>
    <mergeCell ref="H67:L74"/>
    <mergeCell ref="H75:L75"/>
    <mergeCell ref="H76:L76"/>
    <mergeCell ref="H77:L77"/>
  </mergeCells>
  <phoneticPr fontId="9" type="noConversion"/>
  <hyperlinks>
    <hyperlink ref="B1" location="Index!A1" display="Назад"/>
    <hyperlink ref="C43" location="'3.3.1'!A1" display="Поднятие демонов"/>
    <hyperlink ref="C49" location="'3.4'!A1" display="Смертельный взгляд"/>
  </hyperlinks>
  <printOptions horizontalCentered="1"/>
  <pageMargins left="0.74803149606299213" right="0.74803149606299213" top="0.98425196850393704" bottom="0.98425196850393704" header="0.51181102362204722" footer="0.51181102362204722"/>
  <pageSetup paperSize="0" scale="98" orientation="landscape" r:id="rId1"/>
  <headerFooter alignWithMargins="0"/>
  <rowBreaks count="2" manualBreakCount="2">
    <brk id="13" max="11" man="1"/>
    <brk id="77" max="11" man="1"/>
  </rowBreaks>
</worksheet>
</file>

<file path=xl/worksheets/sheet31.xml><?xml version="1.0" encoding="utf-8"?>
<worksheet xmlns="http://schemas.openxmlformats.org/spreadsheetml/2006/main" xmlns:r="http://schemas.openxmlformats.org/officeDocument/2006/relationships">
  <dimension ref="B1:N46"/>
  <sheetViews>
    <sheetView zoomScaleNormal="100" workbookViewId="0">
      <pane xSplit="1" ySplit="8" topLeftCell="B9" activePane="bottomRight" state="frozen"/>
      <selection pane="topRight" activeCell="B1" sqref="B1"/>
      <selection pane="bottomLeft" activeCell="A9" sqref="A9"/>
      <selection pane="bottomRight" activeCell="B1" sqref="B1"/>
    </sheetView>
  </sheetViews>
  <sheetFormatPr defaultRowHeight="12.95" customHeight="1"/>
  <cols>
    <col min="1" max="1" width="3.7109375" style="292" customWidth="1"/>
    <col min="2" max="2" width="19.140625" style="288" bestFit="1" customWidth="1"/>
    <col min="3" max="3" width="18" style="2389" bestFit="1" customWidth="1"/>
    <col min="4" max="4" width="21" style="2389" bestFit="1" customWidth="1"/>
    <col min="5" max="5" width="18.7109375" style="2389" bestFit="1" customWidth="1"/>
    <col min="6" max="6" width="18" style="292" bestFit="1" customWidth="1"/>
    <col min="7" max="7" width="9.5703125" style="387" bestFit="1" customWidth="1"/>
    <col min="8" max="8" width="10.42578125" style="387" bestFit="1" customWidth="1"/>
    <col min="9" max="9" width="10.28515625" style="387" bestFit="1" customWidth="1"/>
    <col min="10" max="10" width="12.42578125" style="387" bestFit="1" customWidth="1"/>
    <col min="11" max="11" width="10.28515625" style="387" customWidth="1"/>
    <col min="12" max="12" width="9.42578125" style="387" bestFit="1" customWidth="1"/>
    <col min="13" max="13" width="10.28515625" style="2389" bestFit="1" customWidth="1"/>
    <col min="14" max="14" width="12.140625" style="2389" bestFit="1" customWidth="1"/>
    <col min="15" max="16384" width="9.140625" style="292"/>
  </cols>
  <sheetData>
    <row r="1" spans="2:14" s="2371" customFormat="1" ht="12.95" customHeight="1">
      <c r="B1" s="2403" t="s">
        <v>2706</v>
      </c>
      <c r="C1" s="3195" t="s">
        <v>8269</v>
      </c>
      <c r="D1" s="3195"/>
      <c r="E1" s="3195"/>
      <c r="F1" s="3195"/>
      <c r="G1" s="3195"/>
      <c r="H1" s="3195"/>
      <c r="I1" s="3195"/>
      <c r="J1" s="3195"/>
      <c r="K1" s="3195"/>
      <c r="L1" s="3195"/>
      <c r="M1" s="3195"/>
      <c r="N1" s="3195"/>
    </row>
    <row r="2" spans="2:14" ht="5.0999999999999996" customHeight="1"/>
    <row r="3" spans="2:14" ht="12.95" customHeight="1">
      <c r="B3" s="3075" t="s">
        <v>7528</v>
      </c>
      <c r="C3" s="3075"/>
      <c r="D3" s="3075"/>
      <c r="E3" s="3075"/>
      <c r="F3" s="3075"/>
      <c r="G3" s="3075"/>
      <c r="H3" s="3075"/>
      <c r="I3" s="3075"/>
      <c r="J3" s="3075"/>
      <c r="K3" s="3075"/>
      <c r="L3" s="3075"/>
      <c r="M3" s="3075"/>
      <c r="N3" s="3075"/>
    </row>
    <row r="4" spans="2:14" ht="5.0999999999999996" customHeight="1"/>
    <row r="5" spans="2:14" ht="26.1" customHeight="1">
      <c r="B5" s="2960" t="s">
        <v>8914</v>
      </c>
      <c r="C5" s="2960"/>
      <c r="D5" s="2960"/>
      <c r="E5" s="2960"/>
      <c r="F5" s="2960"/>
      <c r="G5" s="2960"/>
      <c r="H5" s="2960"/>
      <c r="I5" s="2960"/>
      <c r="J5" s="2960"/>
      <c r="K5" s="2960"/>
      <c r="L5" s="2960"/>
      <c r="M5" s="2960"/>
      <c r="N5" s="2960"/>
    </row>
    <row r="6" spans="2:14" ht="5.0999999999999996" customHeight="1" thickBot="1"/>
    <row r="7" spans="2:14" s="288" customFormat="1" ht="51.95" customHeight="1" thickBot="1">
      <c r="B7" s="172" t="s">
        <v>7529</v>
      </c>
      <c r="C7" s="2905" t="s">
        <v>7545</v>
      </c>
      <c r="D7" s="2658" t="s">
        <v>7532</v>
      </c>
      <c r="E7" s="2658" t="s">
        <v>7530</v>
      </c>
      <c r="F7" s="2658" t="s">
        <v>7531</v>
      </c>
      <c r="G7" s="2658" t="s">
        <v>2186</v>
      </c>
      <c r="H7" s="2658" t="s">
        <v>3539</v>
      </c>
      <c r="I7" s="2658" t="s">
        <v>3541</v>
      </c>
      <c r="J7" s="2658" t="s">
        <v>7533</v>
      </c>
      <c r="K7" s="2658" t="s">
        <v>2597</v>
      </c>
      <c r="L7" s="2658" t="s">
        <v>2829</v>
      </c>
      <c r="M7" s="2658" t="s">
        <v>5317</v>
      </c>
      <c r="N7" s="2659" t="s">
        <v>1714</v>
      </c>
    </row>
    <row r="8" spans="2:14" s="641" customFormat="1" ht="12" thickBot="1">
      <c r="B8" s="267"/>
      <c r="C8" s="3078"/>
      <c r="D8" s="3078"/>
      <c r="E8" s="3078"/>
      <c r="F8" s="3078"/>
      <c r="G8" s="3078"/>
      <c r="H8" s="3078"/>
      <c r="I8" s="3078"/>
      <c r="J8" s="3078"/>
      <c r="K8" s="3078"/>
      <c r="L8" s="3078"/>
      <c r="M8" s="3078"/>
      <c r="N8" s="3079"/>
    </row>
    <row r="9" spans="2:14" s="288" customFormat="1" ht="39" customHeight="1">
      <c r="B9" s="2931" t="s">
        <v>7534</v>
      </c>
      <c r="C9" s="2909" t="s">
        <v>7538</v>
      </c>
      <c r="D9" s="2663" t="s">
        <v>7535</v>
      </c>
      <c r="E9" s="2663" t="s">
        <v>7535</v>
      </c>
      <c r="F9" s="2663" t="s">
        <v>7535</v>
      </c>
      <c r="G9" s="2663" t="s">
        <v>7537</v>
      </c>
      <c r="H9" s="2663" t="s">
        <v>7537</v>
      </c>
      <c r="I9" s="2663" t="s">
        <v>7536</v>
      </c>
      <c r="J9" s="2663" t="s">
        <v>7536</v>
      </c>
      <c r="K9" s="2663" t="s">
        <v>7536</v>
      </c>
      <c r="L9" s="2663" t="s">
        <v>7536</v>
      </c>
      <c r="M9" s="2663" t="s">
        <v>7536</v>
      </c>
      <c r="N9" s="2667" t="s">
        <v>7537</v>
      </c>
    </row>
    <row r="10" spans="2:14" s="288" customFormat="1" ht="26.1" customHeight="1">
      <c r="B10" s="2932" t="s">
        <v>7604</v>
      </c>
      <c r="C10" s="2907" t="s">
        <v>7537</v>
      </c>
      <c r="D10" s="2661" t="s">
        <v>3521</v>
      </c>
      <c r="E10" s="2661" t="s">
        <v>3521</v>
      </c>
      <c r="F10" s="2661" t="s">
        <v>3521</v>
      </c>
      <c r="G10" s="2661" t="s">
        <v>7537</v>
      </c>
      <c r="H10" s="2661" t="s">
        <v>7537</v>
      </c>
      <c r="I10" s="2661" t="s">
        <v>7536</v>
      </c>
      <c r="J10" s="2661" t="s">
        <v>7536</v>
      </c>
      <c r="K10" s="2661" t="s">
        <v>7536</v>
      </c>
      <c r="L10" s="2661" t="s">
        <v>7537</v>
      </c>
      <c r="M10" s="2661" t="s">
        <v>7536</v>
      </c>
      <c r="N10" s="2664" t="s">
        <v>7537</v>
      </c>
    </row>
    <row r="11" spans="2:14" ht="26.1" customHeight="1">
      <c r="B11" s="2933" t="s">
        <v>7605</v>
      </c>
      <c r="C11" s="2915" t="s">
        <v>7537</v>
      </c>
      <c r="D11" s="2672" t="s">
        <v>3521</v>
      </c>
      <c r="E11" s="2672" t="s">
        <v>3521</v>
      </c>
      <c r="F11" s="2672" t="s">
        <v>3521</v>
      </c>
      <c r="G11" s="2672" t="s">
        <v>7537</v>
      </c>
      <c r="H11" s="2672" t="s">
        <v>7537</v>
      </c>
      <c r="I11" s="2672" t="s">
        <v>7537</v>
      </c>
      <c r="J11" s="2672" t="s">
        <v>7537</v>
      </c>
      <c r="K11" s="2672" t="s">
        <v>7537</v>
      </c>
      <c r="L11" s="2672" t="s">
        <v>7537</v>
      </c>
      <c r="M11" s="2672" t="s">
        <v>7537</v>
      </c>
      <c r="N11" s="2668" t="s">
        <v>7537</v>
      </c>
    </row>
    <row r="12" spans="2:14" ht="26.1" customHeight="1">
      <c r="B12" s="2932" t="s">
        <v>7606</v>
      </c>
      <c r="C12" s="2907" t="s">
        <v>7536</v>
      </c>
      <c r="D12" s="2661" t="s">
        <v>3521</v>
      </c>
      <c r="E12" s="2661" t="s">
        <v>7535</v>
      </c>
      <c r="F12" s="2661" t="s">
        <v>3521</v>
      </c>
      <c r="G12" s="2661" t="s">
        <v>7536</v>
      </c>
      <c r="H12" s="2661" t="s">
        <v>7536</v>
      </c>
      <c r="I12" s="2661" t="s">
        <v>7536</v>
      </c>
      <c r="J12" s="2661" t="s">
        <v>7536</v>
      </c>
      <c r="K12" s="2661" t="s">
        <v>7536</v>
      </c>
      <c r="L12" s="2661" t="s">
        <v>7537</v>
      </c>
      <c r="M12" s="2661" t="s">
        <v>7536</v>
      </c>
      <c r="N12" s="2664" t="s">
        <v>7536</v>
      </c>
    </row>
    <row r="13" spans="2:14" ht="39" customHeight="1">
      <c r="B13" s="2933" t="s">
        <v>7607</v>
      </c>
      <c r="C13" s="2906" t="s">
        <v>7539</v>
      </c>
      <c r="D13" s="2660" t="s">
        <v>7535</v>
      </c>
      <c r="E13" s="2660" t="s">
        <v>7535</v>
      </c>
      <c r="F13" s="2660" t="s">
        <v>7540</v>
      </c>
      <c r="G13" s="2660" t="s">
        <v>7541</v>
      </c>
      <c r="H13" s="2660" t="s">
        <v>7542</v>
      </c>
      <c r="I13" s="2660" t="s">
        <v>7543</v>
      </c>
      <c r="J13" s="2660" t="s">
        <v>7543</v>
      </c>
      <c r="K13" s="2660" t="s">
        <v>7543</v>
      </c>
      <c r="L13" s="2660" t="s">
        <v>7537</v>
      </c>
      <c r="M13" s="2660" t="s">
        <v>7543</v>
      </c>
      <c r="N13" s="2665" t="s">
        <v>7537</v>
      </c>
    </row>
    <row r="14" spans="2:14" ht="26.1" customHeight="1">
      <c r="B14" s="2932" t="s">
        <v>7608</v>
      </c>
      <c r="C14" s="2907" t="s">
        <v>7536</v>
      </c>
      <c r="D14" s="2661" t="s">
        <v>3521</v>
      </c>
      <c r="E14" s="2661" t="s">
        <v>7535</v>
      </c>
      <c r="F14" s="2661" t="s">
        <v>3521</v>
      </c>
      <c r="G14" s="2661" t="s">
        <v>7537</v>
      </c>
      <c r="H14" s="2661" t="s">
        <v>7537</v>
      </c>
      <c r="I14" s="2661" t="s">
        <v>7536</v>
      </c>
      <c r="J14" s="2661" t="s">
        <v>7536</v>
      </c>
      <c r="K14" s="2661" t="s">
        <v>7536</v>
      </c>
      <c r="L14" s="2661" t="s">
        <v>7536</v>
      </c>
      <c r="M14" s="2661" t="s">
        <v>7536</v>
      </c>
      <c r="N14" s="2664" t="s">
        <v>7537</v>
      </c>
    </row>
    <row r="15" spans="2:14" ht="12.95" customHeight="1">
      <c r="B15" s="2933" t="s">
        <v>1782</v>
      </c>
      <c r="C15" s="2906" t="s">
        <v>3521</v>
      </c>
      <c r="D15" s="2660" t="s">
        <v>3521</v>
      </c>
      <c r="E15" s="2660" t="s">
        <v>3521</v>
      </c>
      <c r="F15" s="2660" t="s">
        <v>3521</v>
      </c>
      <c r="G15" s="2660" t="s">
        <v>137</v>
      </c>
      <c r="H15" s="2660" t="s">
        <v>137</v>
      </c>
      <c r="I15" s="2660" t="s">
        <v>137</v>
      </c>
      <c r="J15" s="2660" t="s">
        <v>137</v>
      </c>
      <c r="K15" s="2660" t="s">
        <v>137</v>
      </c>
      <c r="L15" s="2660" t="s">
        <v>137</v>
      </c>
      <c r="M15" s="2660" t="s">
        <v>137</v>
      </c>
      <c r="N15" s="2665" t="s">
        <v>137</v>
      </c>
    </row>
    <row r="16" spans="2:14" ht="26.1" customHeight="1">
      <c r="B16" s="2932" t="s">
        <v>7639</v>
      </c>
      <c r="C16" s="2907" t="s">
        <v>3521</v>
      </c>
      <c r="D16" s="2661" t="s">
        <v>3521</v>
      </c>
      <c r="E16" s="2661" t="s">
        <v>3521</v>
      </c>
      <c r="F16" s="2661" t="s">
        <v>3521</v>
      </c>
      <c r="G16" s="2661" t="s">
        <v>137</v>
      </c>
      <c r="H16" s="2661" t="s">
        <v>137</v>
      </c>
      <c r="I16" s="2661" t="s">
        <v>137</v>
      </c>
      <c r="J16" s="2661" t="s">
        <v>137</v>
      </c>
      <c r="K16" s="2661" t="s">
        <v>137</v>
      </c>
      <c r="L16" s="2661" t="s">
        <v>137</v>
      </c>
      <c r="M16" s="2661" t="s">
        <v>137</v>
      </c>
      <c r="N16" s="2664" t="s">
        <v>137</v>
      </c>
    </row>
    <row r="17" spans="2:14" ht="26.1" customHeight="1">
      <c r="B17" s="2933" t="s">
        <v>7609</v>
      </c>
      <c r="C17" s="2906" t="s">
        <v>7537</v>
      </c>
      <c r="D17" s="2660" t="s">
        <v>3521</v>
      </c>
      <c r="E17" s="2660" t="s">
        <v>3521</v>
      </c>
      <c r="F17" s="2660" t="s">
        <v>3521</v>
      </c>
      <c r="G17" s="2660" t="s">
        <v>7537</v>
      </c>
      <c r="H17" s="2660" t="s">
        <v>7537</v>
      </c>
      <c r="I17" s="2660" t="s">
        <v>7536</v>
      </c>
      <c r="J17" s="2660" t="s">
        <v>7536</v>
      </c>
      <c r="K17" s="2660" t="s">
        <v>7536</v>
      </c>
      <c r="L17" s="2660" t="s">
        <v>7536</v>
      </c>
      <c r="M17" s="2660" t="s">
        <v>7536</v>
      </c>
      <c r="N17" s="2665" t="s">
        <v>7537</v>
      </c>
    </row>
    <row r="18" spans="2:14" ht="26.1" customHeight="1">
      <c r="B18" s="2932" t="s">
        <v>7610</v>
      </c>
      <c r="C18" s="2907" t="s">
        <v>7537</v>
      </c>
      <c r="D18" s="2661" t="s">
        <v>3521</v>
      </c>
      <c r="E18" s="2661" t="s">
        <v>3521</v>
      </c>
      <c r="F18" s="2661" t="s">
        <v>3521</v>
      </c>
      <c r="G18" s="2661" t="s">
        <v>7537</v>
      </c>
      <c r="H18" s="2661" t="s">
        <v>7537</v>
      </c>
      <c r="I18" s="2661" t="s">
        <v>7536</v>
      </c>
      <c r="J18" s="2661" t="s">
        <v>7536</v>
      </c>
      <c r="K18" s="2661" t="s">
        <v>7536</v>
      </c>
      <c r="L18" s="2661" t="s">
        <v>7536</v>
      </c>
      <c r="M18" s="2661" t="s">
        <v>7536</v>
      </c>
      <c r="N18" s="2664" t="s">
        <v>7537</v>
      </c>
    </row>
    <row r="19" spans="2:14" ht="39" customHeight="1">
      <c r="B19" s="2933" t="s">
        <v>7611</v>
      </c>
      <c r="C19" s="2906" t="s">
        <v>7536</v>
      </c>
      <c r="D19" s="2660" t="s">
        <v>3521</v>
      </c>
      <c r="E19" s="2660" t="s">
        <v>3521</v>
      </c>
      <c r="F19" s="2660" t="s">
        <v>3521</v>
      </c>
      <c r="G19" s="2660" t="s">
        <v>7536</v>
      </c>
      <c r="H19" s="2660" t="s">
        <v>7537</v>
      </c>
      <c r="I19" s="2660" t="s">
        <v>7536</v>
      </c>
      <c r="J19" s="2660" t="s">
        <v>7537</v>
      </c>
      <c r="K19" s="2660" t="s">
        <v>7537</v>
      </c>
      <c r="L19" s="2660" t="s">
        <v>7537</v>
      </c>
      <c r="M19" s="2660" t="s">
        <v>7536</v>
      </c>
      <c r="N19" s="2665" t="s">
        <v>7537</v>
      </c>
    </row>
    <row r="20" spans="2:14" ht="26.1" customHeight="1">
      <c r="B20" s="2932" t="s">
        <v>7638</v>
      </c>
      <c r="C20" s="2907" t="s">
        <v>7537</v>
      </c>
      <c r="D20" s="2661" t="s">
        <v>3521</v>
      </c>
      <c r="E20" s="2661" t="s">
        <v>3521</v>
      </c>
      <c r="F20" s="2661" t="s">
        <v>3521</v>
      </c>
      <c r="G20" s="2661" t="s">
        <v>7537</v>
      </c>
      <c r="H20" s="2661" t="s">
        <v>7537</v>
      </c>
      <c r="I20" s="2661" t="s">
        <v>7537</v>
      </c>
      <c r="J20" s="2661" t="s">
        <v>7537</v>
      </c>
      <c r="K20" s="2661" t="s">
        <v>7537</v>
      </c>
      <c r="L20" s="2661" t="s">
        <v>7537</v>
      </c>
      <c r="M20" s="2661" t="s">
        <v>7537</v>
      </c>
      <c r="N20" s="2664" t="s">
        <v>7537</v>
      </c>
    </row>
    <row r="21" spans="2:14" ht="26.1" customHeight="1">
      <c r="B21" s="2933" t="s">
        <v>7612</v>
      </c>
      <c r="C21" s="2906" t="s">
        <v>7537</v>
      </c>
      <c r="D21" s="2660" t="s">
        <v>3521</v>
      </c>
      <c r="E21" s="2660" t="s">
        <v>3521</v>
      </c>
      <c r="F21" s="2660" t="s">
        <v>3521</v>
      </c>
      <c r="G21" s="2660" t="s">
        <v>7537</v>
      </c>
      <c r="H21" s="2660" t="s">
        <v>7537</v>
      </c>
      <c r="I21" s="2660" t="s">
        <v>7536</v>
      </c>
      <c r="J21" s="2660" t="s">
        <v>7536</v>
      </c>
      <c r="K21" s="2660" t="s">
        <v>7536</v>
      </c>
      <c r="L21" s="2660" t="s">
        <v>7537</v>
      </c>
      <c r="M21" s="2660" t="s">
        <v>7536</v>
      </c>
      <c r="N21" s="2665" t="s">
        <v>7537</v>
      </c>
    </row>
    <row r="22" spans="2:14" ht="39" customHeight="1">
      <c r="B22" s="2932" t="s">
        <v>7613</v>
      </c>
      <c r="C22" s="2907" t="s">
        <v>7544</v>
      </c>
      <c r="D22" s="2661" t="s">
        <v>3521</v>
      </c>
      <c r="E22" s="2661" t="s">
        <v>7535</v>
      </c>
      <c r="F22" s="2661" t="s">
        <v>7535</v>
      </c>
      <c r="G22" s="2661" t="s">
        <v>7537</v>
      </c>
      <c r="H22" s="2661" t="s">
        <v>7537</v>
      </c>
      <c r="I22" s="2661" t="s">
        <v>7536</v>
      </c>
      <c r="J22" s="2661" t="s">
        <v>7536</v>
      </c>
      <c r="K22" s="2661" t="s">
        <v>7536</v>
      </c>
      <c r="L22" s="2661" t="s">
        <v>7536</v>
      </c>
      <c r="M22" s="2661" t="s">
        <v>7536</v>
      </c>
      <c r="N22" s="2664" t="s">
        <v>7537</v>
      </c>
    </row>
    <row r="23" spans="2:14" ht="39" customHeight="1">
      <c r="B23" s="2933" t="s">
        <v>7614</v>
      </c>
      <c r="C23" s="2906" t="s">
        <v>7536</v>
      </c>
      <c r="D23" s="2660" t="s">
        <v>3521</v>
      </c>
      <c r="E23" s="2660" t="s">
        <v>7535</v>
      </c>
      <c r="F23" s="2660" t="s">
        <v>7535</v>
      </c>
      <c r="G23" s="2660" t="s">
        <v>7537</v>
      </c>
      <c r="H23" s="2660" t="s">
        <v>7537</v>
      </c>
      <c r="I23" s="2660" t="s">
        <v>7537</v>
      </c>
      <c r="J23" s="2660" t="s">
        <v>7537</v>
      </c>
      <c r="K23" s="2660" t="s">
        <v>7537</v>
      </c>
      <c r="L23" s="2660" t="s">
        <v>7537</v>
      </c>
      <c r="M23" s="2660" t="s">
        <v>7536</v>
      </c>
      <c r="N23" s="2665" t="s">
        <v>7536</v>
      </c>
    </row>
    <row r="24" spans="2:14" ht="26.1" customHeight="1">
      <c r="B24" s="2932" t="s">
        <v>7615</v>
      </c>
      <c r="C24" s="2907" t="s">
        <v>7538</v>
      </c>
      <c r="D24" s="2661" t="s">
        <v>3521</v>
      </c>
      <c r="E24" s="2661" t="s">
        <v>7535</v>
      </c>
      <c r="F24" s="2661" t="s">
        <v>7535</v>
      </c>
      <c r="G24" s="2661" t="s">
        <v>7537</v>
      </c>
      <c r="H24" s="2661" t="s">
        <v>7537</v>
      </c>
      <c r="I24" s="2661" t="s">
        <v>7537</v>
      </c>
      <c r="J24" s="2661" t="s">
        <v>7537</v>
      </c>
      <c r="K24" s="2661" t="s">
        <v>7537</v>
      </c>
      <c r="L24" s="2661" t="s">
        <v>7537</v>
      </c>
      <c r="M24" s="2661" t="s">
        <v>7536</v>
      </c>
      <c r="N24" s="2664" t="s">
        <v>7537</v>
      </c>
    </row>
    <row r="25" spans="2:14" ht="12.95" customHeight="1">
      <c r="B25" s="2933" t="s">
        <v>7616</v>
      </c>
      <c r="C25" s="2906" t="s">
        <v>3521</v>
      </c>
      <c r="D25" s="2660" t="s">
        <v>3521</v>
      </c>
      <c r="E25" s="2660" t="s">
        <v>3521</v>
      </c>
      <c r="F25" s="2660" t="s">
        <v>3521</v>
      </c>
      <c r="G25" s="2660" t="s">
        <v>137</v>
      </c>
      <c r="H25" s="2660" t="s">
        <v>137</v>
      </c>
      <c r="I25" s="2660" t="s">
        <v>137</v>
      </c>
      <c r="J25" s="2660" t="s">
        <v>137</v>
      </c>
      <c r="K25" s="2660" t="s">
        <v>137</v>
      </c>
      <c r="L25" s="2660" t="s">
        <v>137</v>
      </c>
      <c r="M25" s="2660" t="s">
        <v>137</v>
      </c>
      <c r="N25" s="2665" t="s">
        <v>137</v>
      </c>
    </row>
    <row r="26" spans="2:14" ht="26.1" customHeight="1">
      <c r="B26" s="2932" t="s">
        <v>7617</v>
      </c>
      <c r="C26" s="2907" t="s">
        <v>7537</v>
      </c>
      <c r="D26" s="2661" t="s">
        <v>3521</v>
      </c>
      <c r="E26" s="2661" t="s">
        <v>3521</v>
      </c>
      <c r="F26" s="2661" t="s">
        <v>3521</v>
      </c>
      <c r="G26" s="2661" t="s">
        <v>7537</v>
      </c>
      <c r="H26" s="2661" t="s">
        <v>7537</v>
      </c>
      <c r="I26" s="2661" t="s">
        <v>7537</v>
      </c>
      <c r="J26" s="2661" t="s">
        <v>7537</v>
      </c>
      <c r="K26" s="2661" t="s">
        <v>7537</v>
      </c>
      <c r="L26" s="2661" t="s">
        <v>7537</v>
      </c>
      <c r="M26" s="2661" t="s">
        <v>7537</v>
      </c>
      <c r="N26" s="2664" t="s">
        <v>7537</v>
      </c>
    </row>
    <row r="27" spans="2:14" ht="26.1" customHeight="1">
      <c r="B27" s="2933" t="s">
        <v>7618</v>
      </c>
      <c r="C27" s="2906" t="s">
        <v>7537</v>
      </c>
      <c r="D27" s="2660" t="s">
        <v>7535</v>
      </c>
      <c r="E27" s="2660" t="s">
        <v>7535</v>
      </c>
      <c r="F27" s="2660" t="s">
        <v>3521</v>
      </c>
      <c r="G27" s="2660" t="s">
        <v>7537</v>
      </c>
      <c r="H27" s="2660" t="s">
        <v>7537</v>
      </c>
      <c r="I27" s="2660" t="s">
        <v>7536</v>
      </c>
      <c r="J27" s="2660" t="s">
        <v>7536</v>
      </c>
      <c r="K27" s="2660" t="s">
        <v>7536</v>
      </c>
      <c r="L27" s="2660" t="s">
        <v>7536</v>
      </c>
      <c r="M27" s="2660" t="s">
        <v>7536</v>
      </c>
      <c r="N27" s="2665" t="s">
        <v>7537</v>
      </c>
    </row>
    <row r="28" spans="2:14" ht="26.1" customHeight="1">
      <c r="B28" s="2932" t="s">
        <v>7619</v>
      </c>
      <c r="C28" s="2907" t="s">
        <v>7537</v>
      </c>
      <c r="D28" s="2661" t="s">
        <v>3521</v>
      </c>
      <c r="E28" s="2661" t="s">
        <v>3521</v>
      </c>
      <c r="F28" s="2661" t="s">
        <v>3521</v>
      </c>
      <c r="G28" s="2661" t="s">
        <v>7536</v>
      </c>
      <c r="H28" s="2661" t="s">
        <v>7537</v>
      </c>
      <c r="I28" s="2661" t="s">
        <v>7537</v>
      </c>
      <c r="J28" s="2661" t="s">
        <v>7537</v>
      </c>
      <c r="K28" s="2661" t="s">
        <v>7537</v>
      </c>
      <c r="L28" s="2661" t="s">
        <v>7537</v>
      </c>
      <c r="M28" s="2661" t="s">
        <v>137</v>
      </c>
      <c r="N28" s="2664" t="s">
        <v>7537</v>
      </c>
    </row>
    <row r="29" spans="2:14" ht="26.1" customHeight="1">
      <c r="B29" s="2933" t="s">
        <v>7620</v>
      </c>
      <c r="C29" s="2906" t="s">
        <v>7537</v>
      </c>
      <c r="D29" s="2660" t="s">
        <v>3521</v>
      </c>
      <c r="E29" s="2660" t="s">
        <v>3521</v>
      </c>
      <c r="F29" s="2660" t="s">
        <v>3521</v>
      </c>
      <c r="G29" s="2660" t="s">
        <v>7537</v>
      </c>
      <c r="H29" s="2660" t="s">
        <v>7537</v>
      </c>
      <c r="I29" s="2660" t="s">
        <v>7537</v>
      </c>
      <c r="J29" s="2660" t="s">
        <v>7537</v>
      </c>
      <c r="K29" s="2660" t="s">
        <v>7537</v>
      </c>
      <c r="L29" s="2660" t="s">
        <v>7537</v>
      </c>
      <c r="M29" s="2660" t="s">
        <v>7543</v>
      </c>
      <c r="N29" s="2665" t="s">
        <v>7537</v>
      </c>
    </row>
    <row r="30" spans="2:14" ht="26.1" customHeight="1">
      <c r="B30" s="2932" t="s">
        <v>7621</v>
      </c>
      <c r="C30" s="2907" t="s">
        <v>7537</v>
      </c>
      <c r="D30" s="2661" t="s">
        <v>137</v>
      </c>
      <c r="E30" s="2661" t="s">
        <v>3521</v>
      </c>
      <c r="F30" s="2661" t="s">
        <v>3521</v>
      </c>
      <c r="G30" s="2661" t="s">
        <v>7537</v>
      </c>
      <c r="H30" s="2661" t="s">
        <v>7537</v>
      </c>
      <c r="I30" s="2661" t="s">
        <v>7537</v>
      </c>
      <c r="J30" s="2661" t="s">
        <v>7537</v>
      </c>
      <c r="K30" s="2661" t="s">
        <v>7537</v>
      </c>
      <c r="L30" s="2661" t="s">
        <v>7537</v>
      </c>
      <c r="M30" s="2661" t="s">
        <v>7537</v>
      </c>
      <c r="N30" s="2664" t="s">
        <v>7537</v>
      </c>
    </row>
    <row r="31" spans="2:14" ht="12.95" customHeight="1">
      <c r="B31" s="2933" t="s">
        <v>7622</v>
      </c>
      <c r="C31" s="2906" t="s">
        <v>7536</v>
      </c>
      <c r="D31" s="2660" t="s">
        <v>3521</v>
      </c>
      <c r="E31" s="2660" t="s">
        <v>7535</v>
      </c>
      <c r="F31" s="2660" t="s">
        <v>3521</v>
      </c>
      <c r="G31" s="2660" t="s">
        <v>7537</v>
      </c>
      <c r="H31" s="2660" t="s">
        <v>7537</v>
      </c>
      <c r="I31" s="2660" t="s">
        <v>7537</v>
      </c>
      <c r="J31" s="2660" t="s">
        <v>7537</v>
      </c>
      <c r="K31" s="2660" t="s">
        <v>7537</v>
      </c>
      <c r="L31" s="2660" t="s">
        <v>7537</v>
      </c>
      <c r="M31" s="2660" t="s">
        <v>7537</v>
      </c>
      <c r="N31" s="2665" t="s">
        <v>7537</v>
      </c>
    </row>
    <row r="32" spans="2:14" ht="26.1" customHeight="1">
      <c r="B32" s="2932" t="s">
        <v>7623</v>
      </c>
      <c r="C32" s="2907" t="s">
        <v>7537</v>
      </c>
      <c r="D32" s="2661" t="s">
        <v>3521</v>
      </c>
      <c r="E32" s="2661" t="s">
        <v>3521</v>
      </c>
      <c r="F32" s="2661" t="s">
        <v>3521</v>
      </c>
      <c r="G32" s="2661" t="s">
        <v>7537</v>
      </c>
      <c r="H32" s="2661" t="s">
        <v>7537</v>
      </c>
      <c r="I32" s="2661" t="s">
        <v>7536</v>
      </c>
      <c r="J32" s="2661" t="s">
        <v>7536</v>
      </c>
      <c r="K32" s="2661" t="s">
        <v>7536</v>
      </c>
      <c r="L32" s="2661" t="s">
        <v>7536</v>
      </c>
      <c r="M32" s="2661" t="s">
        <v>7536</v>
      </c>
      <c r="N32" s="2664" t="s">
        <v>7537</v>
      </c>
    </row>
    <row r="33" spans="2:14" ht="26.1" customHeight="1">
      <c r="B33" s="2933" t="s">
        <v>7624</v>
      </c>
      <c r="C33" s="2906" t="s">
        <v>7536</v>
      </c>
      <c r="D33" s="2660" t="s">
        <v>3521</v>
      </c>
      <c r="E33" s="2660" t="s">
        <v>3521</v>
      </c>
      <c r="F33" s="2660" t="s">
        <v>3521</v>
      </c>
      <c r="G33" s="2660" t="s">
        <v>7537</v>
      </c>
      <c r="H33" s="2660" t="s">
        <v>7537</v>
      </c>
      <c r="I33" s="2660" t="s">
        <v>7536</v>
      </c>
      <c r="J33" s="2660" t="s">
        <v>7536</v>
      </c>
      <c r="K33" s="2660" t="s">
        <v>7536</v>
      </c>
      <c r="L33" s="2660" t="s">
        <v>7536</v>
      </c>
      <c r="M33" s="2660" t="s">
        <v>7536</v>
      </c>
      <c r="N33" s="2665" t="s">
        <v>7537</v>
      </c>
    </row>
    <row r="34" spans="2:14" ht="26.1" customHeight="1">
      <c r="B34" s="2932" t="s">
        <v>7625</v>
      </c>
      <c r="C34" s="2907" t="s">
        <v>7536</v>
      </c>
      <c r="D34" s="2661" t="s">
        <v>3521</v>
      </c>
      <c r="E34" s="2661" t="s">
        <v>3521</v>
      </c>
      <c r="F34" s="2661" t="s">
        <v>3521</v>
      </c>
      <c r="G34" s="2661" t="s">
        <v>7536</v>
      </c>
      <c r="H34" s="2661" t="s">
        <v>7537</v>
      </c>
      <c r="I34" s="2661" t="s">
        <v>7537</v>
      </c>
      <c r="J34" s="2661" t="s">
        <v>7537</v>
      </c>
      <c r="K34" s="2661" t="s">
        <v>7537</v>
      </c>
      <c r="L34" s="2661" t="s">
        <v>7537</v>
      </c>
      <c r="M34" s="2661" t="s">
        <v>7537</v>
      </c>
      <c r="N34" s="2664" t="s">
        <v>7537</v>
      </c>
    </row>
    <row r="35" spans="2:14" ht="26.1" customHeight="1">
      <c r="B35" s="2933" t="s">
        <v>7626</v>
      </c>
      <c r="C35" s="2906" t="s">
        <v>7536</v>
      </c>
      <c r="D35" s="2660" t="s">
        <v>3521</v>
      </c>
      <c r="E35" s="2660" t="s">
        <v>7535</v>
      </c>
      <c r="F35" s="2660" t="s">
        <v>3521</v>
      </c>
      <c r="G35" s="2660" t="s">
        <v>7537</v>
      </c>
      <c r="H35" s="2660" t="s">
        <v>7537</v>
      </c>
      <c r="I35" s="2660" t="s">
        <v>7537</v>
      </c>
      <c r="J35" s="2660" t="s">
        <v>7537</v>
      </c>
      <c r="K35" s="2660" t="s">
        <v>7537</v>
      </c>
      <c r="L35" s="2660" t="s">
        <v>7537</v>
      </c>
      <c r="M35" s="2660" t="s">
        <v>7537</v>
      </c>
      <c r="N35" s="2665" t="s">
        <v>7537</v>
      </c>
    </row>
    <row r="36" spans="2:14" ht="26.1" customHeight="1">
      <c r="B36" s="2932" t="s">
        <v>7627</v>
      </c>
      <c r="C36" s="2907" t="s">
        <v>7536</v>
      </c>
      <c r="D36" s="2661" t="s">
        <v>7535</v>
      </c>
      <c r="E36" s="2661" t="s">
        <v>7535</v>
      </c>
      <c r="F36" s="2661" t="s">
        <v>3521</v>
      </c>
      <c r="G36" s="2661" t="s">
        <v>7537</v>
      </c>
      <c r="H36" s="2661" t="s">
        <v>7537</v>
      </c>
      <c r="I36" s="2661" t="s">
        <v>7537</v>
      </c>
      <c r="J36" s="2661" t="s">
        <v>7537</v>
      </c>
      <c r="K36" s="2661" t="s">
        <v>7537</v>
      </c>
      <c r="L36" s="2661" t="s">
        <v>7537</v>
      </c>
      <c r="M36" s="2661" t="s">
        <v>7537</v>
      </c>
      <c r="N36" s="2664" t="s">
        <v>7537</v>
      </c>
    </row>
    <row r="37" spans="2:14" ht="26.1" customHeight="1">
      <c r="B37" s="2933" t="s">
        <v>7628</v>
      </c>
      <c r="C37" s="2906" t="s">
        <v>7536</v>
      </c>
      <c r="D37" s="2660" t="s">
        <v>7535</v>
      </c>
      <c r="E37" s="2660" t="s">
        <v>7535</v>
      </c>
      <c r="F37" s="2660" t="s">
        <v>3521</v>
      </c>
      <c r="G37" s="2660" t="s">
        <v>7537</v>
      </c>
      <c r="H37" s="2660" t="s">
        <v>7537</v>
      </c>
      <c r="I37" s="2660" t="s">
        <v>7537</v>
      </c>
      <c r="J37" s="2660" t="s">
        <v>7537</v>
      </c>
      <c r="K37" s="2660" t="s">
        <v>7537</v>
      </c>
      <c r="L37" s="2660" t="s">
        <v>7537</v>
      </c>
      <c r="M37" s="2660" t="s">
        <v>7537</v>
      </c>
      <c r="N37" s="2665" t="s">
        <v>7537</v>
      </c>
    </row>
    <row r="38" spans="2:14" ht="26.1" customHeight="1">
      <c r="B38" s="2932" t="s">
        <v>7629</v>
      </c>
      <c r="C38" s="2907" t="s">
        <v>7536</v>
      </c>
      <c r="D38" s="2661" t="s">
        <v>7535</v>
      </c>
      <c r="E38" s="2661" t="s">
        <v>7535</v>
      </c>
      <c r="F38" s="2661" t="s">
        <v>7535</v>
      </c>
      <c r="G38" s="2661" t="s">
        <v>7536</v>
      </c>
      <c r="H38" s="2661" t="s">
        <v>7537</v>
      </c>
      <c r="I38" s="2661" t="s">
        <v>7537</v>
      </c>
      <c r="J38" s="2661" t="s">
        <v>7543</v>
      </c>
      <c r="K38" s="2661" t="s">
        <v>7537</v>
      </c>
      <c r="L38" s="2661" t="s">
        <v>7537</v>
      </c>
      <c r="M38" s="2661" t="s">
        <v>7537</v>
      </c>
      <c r="N38" s="2664" t="s">
        <v>7537</v>
      </c>
    </row>
    <row r="39" spans="2:14" ht="26.1" customHeight="1">
      <c r="B39" s="2933" t="s">
        <v>7630</v>
      </c>
      <c r="C39" s="2906" t="s">
        <v>7536</v>
      </c>
      <c r="D39" s="2660" t="s">
        <v>7535</v>
      </c>
      <c r="E39" s="2660" t="s">
        <v>7535</v>
      </c>
      <c r="F39" s="2660" t="s">
        <v>3521</v>
      </c>
      <c r="G39" s="2660" t="s">
        <v>7537</v>
      </c>
      <c r="H39" s="2660" t="s">
        <v>7537</v>
      </c>
      <c r="I39" s="2660" t="s">
        <v>7537</v>
      </c>
      <c r="J39" s="2660" t="s">
        <v>7537</v>
      </c>
      <c r="K39" s="2660" t="s">
        <v>7537</v>
      </c>
      <c r="L39" s="2660" t="s">
        <v>7537</v>
      </c>
      <c r="M39" s="2660" t="s">
        <v>7537</v>
      </c>
      <c r="N39" s="2665" t="s">
        <v>7537</v>
      </c>
    </row>
    <row r="40" spans="2:14" ht="26.1" customHeight="1">
      <c r="B40" s="2932" t="s">
        <v>7637</v>
      </c>
      <c r="C40" s="2907" t="s">
        <v>3521</v>
      </c>
      <c r="D40" s="2661" t="s">
        <v>3521</v>
      </c>
      <c r="E40" s="2661" t="s">
        <v>3521</v>
      </c>
      <c r="F40" s="2661" t="s">
        <v>3521</v>
      </c>
      <c r="G40" s="2661" t="s">
        <v>137</v>
      </c>
      <c r="H40" s="2661" t="s">
        <v>137</v>
      </c>
      <c r="I40" s="2661" t="s">
        <v>137</v>
      </c>
      <c r="J40" s="2661" t="s">
        <v>137</v>
      </c>
      <c r="K40" s="2661" t="s">
        <v>137</v>
      </c>
      <c r="L40" s="2661" t="s">
        <v>137</v>
      </c>
      <c r="M40" s="2661" t="s">
        <v>137</v>
      </c>
      <c r="N40" s="2664" t="s">
        <v>137</v>
      </c>
    </row>
    <row r="41" spans="2:14" ht="12.95" customHeight="1">
      <c r="B41" s="2933" t="s">
        <v>7631</v>
      </c>
      <c r="C41" s="2906" t="s">
        <v>137</v>
      </c>
      <c r="D41" s="2660" t="s">
        <v>3521</v>
      </c>
      <c r="E41" s="2660" t="s">
        <v>3521</v>
      </c>
      <c r="F41" s="2660" t="s">
        <v>3521</v>
      </c>
      <c r="G41" s="2660" t="s">
        <v>137</v>
      </c>
      <c r="H41" s="2660" t="s">
        <v>137</v>
      </c>
      <c r="I41" s="2660" t="s">
        <v>137</v>
      </c>
      <c r="J41" s="2660" t="s">
        <v>137</v>
      </c>
      <c r="K41" s="2660" t="s">
        <v>137</v>
      </c>
      <c r="L41" s="2660" t="s">
        <v>137</v>
      </c>
      <c r="M41" s="2660" t="s">
        <v>137</v>
      </c>
      <c r="N41" s="2665" t="s">
        <v>137</v>
      </c>
    </row>
    <row r="42" spans="2:14" ht="39" customHeight="1">
      <c r="B42" s="2932" t="s">
        <v>7632</v>
      </c>
      <c r="C42" s="2907" t="s">
        <v>7536</v>
      </c>
      <c r="D42" s="2661" t="s">
        <v>7535</v>
      </c>
      <c r="E42" s="2661" t="s">
        <v>7535</v>
      </c>
      <c r="F42" s="2661" t="s">
        <v>3521</v>
      </c>
      <c r="G42" s="2661" t="s">
        <v>7541</v>
      </c>
      <c r="H42" s="2661" t="s">
        <v>7537</v>
      </c>
      <c r="I42" s="2661" t="s">
        <v>7543</v>
      </c>
      <c r="J42" s="2661" t="s">
        <v>7537</v>
      </c>
      <c r="K42" s="2661" t="s">
        <v>7537</v>
      </c>
      <c r="L42" s="2661" t="s">
        <v>7537</v>
      </c>
      <c r="M42" s="2661" t="s">
        <v>7543</v>
      </c>
      <c r="N42" s="2664" t="s">
        <v>7537</v>
      </c>
    </row>
    <row r="43" spans="2:14" ht="51.95" customHeight="1">
      <c r="B43" s="2933" t="s">
        <v>7633</v>
      </c>
      <c r="C43" s="2906" t="s">
        <v>7539</v>
      </c>
      <c r="D43" s="2660" t="s">
        <v>7546</v>
      </c>
      <c r="E43" s="2660" t="s">
        <v>7547</v>
      </c>
      <c r="F43" s="2660" t="s">
        <v>7548</v>
      </c>
      <c r="G43" s="2660" t="s">
        <v>7541</v>
      </c>
      <c r="H43" s="2660" t="s">
        <v>7537</v>
      </c>
      <c r="I43" s="2660" t="s">
        <v>7537</v>
      </c>
      <c r="J43" s="2660" t="s">
        <v>7537</v>
      </c>
      <c r="K43" s="2660" t="s">
        <v>7537</v>
      </c>
      <c r="L43" s="2660" t="s">
        <v>7537</v>
      </c>
      <c r="M43" s="2660" t="s">
        <v>7537</v>
      </c>
      <c r="N43" s="2665" t="s">
        <v>7537</v>
      </c>
    </row>
    <row r="44" spans="2:14" ht="26.1" customHeight="1">
      <c r="B44" s="2932" t="s">
        <v>7634</v>
      </c>
      <c r="C44" s="2907" t="s">
        <v>3521</v>
      </c>
      <c r="D44" s="2661" t="s">
        <v>137</v>
      </c>
      <c r="E44" s="2661" t="s">
        <v>3521</v>
      </c>
      <c r="F44" s="2661" t="s">
        <v>3521</v>
      </c>
      <c r="G44" s="2661" t="s">
        <v>137</v>
      </c>
      <c r="H44" s="2661" t="s">
        <v>137</v>
      </c>
      <c r="I44" s="2661" t="s">
        <v>137</v>
      </c>
      <c r="J44" s="2661" t="s">
        <v>137</v>
      </c>
      <c r="K44" s="2661" t="s">
        <v>137</v>
      </c>
      <c r="L44" s="2661" t="s">
        <v>137</v>
      </c>
      <c r="M44" s="2661" t="s">
        <v>137</v>
      </c>
      <c r="N44" s="2664" t="s">
        <v>137</v>
      </c>
    </row>
    <row r="45" spans="2:14" ht="26.1" customHeight="1">
      <c r="B45" s="2933" t="s">
        <v>7635</v>
      </c>
      <c r="C45" s="2906" t="s">
        <v>7537</v>
      </c>
      <c r="D45" s="2660" t="s">
        <v>3521</v>
      </c>
      <c r="E45" s="2660" t="s">
        <v>7546</v>
      </c>
      <c r="F45" s="2660" t="s">
        <v>3521</v>
      </c>
      <c r="G45" s="2660" t="s">
        <v>7537</v>
      </c>
      <c r="H45" s="2660" t="s">
        <v>7537</v>
      </c>
      <c r="I45" s="2660" t="s">
        <v>7537</v>
      </c>
      <c r="J45" s="2660" t="s">
        <v>7537</v>
      </c>
      <c r="K45" s="2660" t="s">
        <v>7537</v>
      </c>
      <c r="L45" s="2660" t="s">
        <v>7537</v>
      </c>
      <c r="M45" s="2660" t="s">
        <v>7537</v>
      </c>
      <c r="N45" s="2665" t="s">
        <v>7537</v>
      </c>
    </row>
    <row r="46" spans="2:14" ht="26.1" customHeight="1" thickBot="1">
      <c r="B46" s="2934" t="s">
        <v>7636</v>
      </c>
      <c r="C46" s="2908" t="s">
        <v>7537</v>
      </c>
      <c r="D46" s="2662" t="s">
        <v>3521</v>
      </c>
      <c r="E46" s="2662" t="s">
        <v>3521</v>
      </c>
      <c r="F46" s="2662" t="s">
        <v>3521</v>
      </c>
      <c r="G46" s="2662" t="s">
        <v>7537</v>
      </c>
      <c r="H46" s="2662" t="s">
        <v>7537</v>
      </c>
      <c r="I46" s="2662" t="s">
        <v>7536</v>
      </c>
      <c r="J46" s="2662" t="s">
        <v>7536</v>
      </c>
      <c r="K46" s="2662" t="s">
        <v>7536</v>
      </c>
      <c r="L46" s="2662" t="s">
        <v>7536</v>
      </c>
      <c r="M46" s="2662" t="s">
        <v>7536</v>
      </c>
      <c r="N46" s="2666" t="s">
        <v>7537</v>
      </c>
    </row>
  </sheetData>
  <sheetProtection autoFilter="0"/>
  <autoFilter ref="B8"/>
  <mergeCells count="4">
    <mergeCell ref="B3:N3"/>
    <mergeCell ref="C1:N1"/>
    <mergeCell ref="B5:N5"/>
    <mergeCell ref="C8:N8"/>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72" orientation="landscape" r:id="rId1"/>
  <headerFooter alignWithMargins="0"/>
  <legacyDrawing r:id="rId2"/>
</worksheet>
</file>

<file path=xl/worksheets/sheet32.xml><?xml version="1.0" encoding="utf-8"?>
<worksheet xmlns="http://schemas.openxmlformats.org/spreadsheetml/2006/main" xmlns:r="http://schemas.openxmlformats.org/officeDocument/2006/relationships">
  <dimension ref="B1:E28"/>
  <sheetViews>
    <sheetView zoomScaleNormal="100" workbookViewId="0">
      <pane ySplit="4" topLeftCell="A5" activePane="bottomLeft" state="frozen"/>
      <selection pane="bottomLeft" activeCell="B1" sqref="B1"/>
    </sheetView>
  </sheetViews>
  <sheetFormatPr defaultRowHeight="12.95" customHeight="1"/>
  <cols>
    <col min="1" max="1" width="3.7109375" style="292" customWidth="1"/>
    <col min="2" max="5" width="30.7109375" style="292" customWidth="1"/>
    <col min="6" max="16384" width="9.140625" style="292"/>
  </cols>
  <sheetData>
    <row r="1" spans="2:5" s="293" customFormat="1" ht="12.95" customHeight="1">
      <c r="B1" s="298" t="s">
        <v>2706</v>
      </c>
      <c r="C1" s="3195" t="s">
        <v>8269</v>
      </c>
      <c r="D1" s="3195"/>
      <c r="E1" s="3195"/>
    </row>
    <row r="2" spans="2:5" ht="5.0999999999999996" customHeight="1"/>
    <row r="3" spans="2:5" ht="12.95" customHeight="1">
      <c r="B3" s="3075" t="s">
        <v>5045</v>
      </c>
      <c r="C3" s="3075"/>
      <c r="D3" s="3075"/>
      <c r="E3" s="3075"/>
    </row>
    <row r="4" spans="2:5" ht="5.0999999999999996" customHeight="1"/>
    <row r="5" spans="2:5" ht="26.1" customHeight="1">
      <c r="B5" s="2960" t="s">
        <v>8915</v>
      </c>
      <c r="C5" s="2960"/>
      <c r="D5" s="2960"/>
      <c r="E5" s="2960"/>
    </row>
    <row r="6" spans="2:5" ht="12.95" customHeight="1">
      <c r="B6" s="2960" t="s">
        <v>8916</v>
      </c>
      <c r="C6" s="2960"/>
      <c r="D6" s="2960"/>
      <c r="E6" s="2960"/>
    </row>
    <row r="7" spans="2:5" ht="12.95" customHeight="1">
      <c r="B7" s="3000" t="s">
        <v>8917</v>
      </c>
      <c r="C7" s="3000"/>
      <c r="D7" s="3000"/>
      <c r="E7" s="3000"/>
    </row>
    <row r="8" spans="2:5" ht="12.95" customHeight="1">
      <c r="B8" s="2960" t="s">
        <v>8918</v>
      </c>
      <c r="C8" s="2960"/>
      <c r="D8" s="2960"/>
      <c r="E8" s="2960"/>
    </row>
    <row r="9" spans="2:5" ht="26.1" customHeight="1">
      <c r="B9" s="2960" t="s">
        <v>8919</v>
      </c>
      <c r="C9" s="2960"/>
      <c r="D9" s="2960"/>
      <c r="E9" s="2960"/>
    </row>
    <row r="10" spans="2:5" ht="12.95" customHeight="1">
      <c r="B10" s="2960" t="s">
        <v>8920</v>
      </c>
      <c r="C10" s="2960"/>
      <c r="D10" s="2960"/>
      <c r="E10" s="2960"/>
    </row>
    <row r="11" spans="2:5" ht="5.0999999999999996" customHeight="1"/>
    <row r="12" spans="2:5" ht="26.1" customHeight="1">
      <c r="B12" s="2980" t="s">
        <v>10071</v>
      </c>
      <c r="C12" s="2960"/>
      <c r="D12" s="2960"/>
      <c r="E12" s="2960"/>
    </row>
    <row r="13" spans="2:5" ht="12.95" customHeight="1">
      <c r="B13" s="2960" t="s">
        <v>8921</v>
      </c>
      <c r="C13" s="2960"/>
      <c r="D13" s="2960"/>
      <c r="E13" s="2960"/>
    </row>
    <row r="14" spans="2:5" ht="26.1" customHeight="1">
      <c r="B14" s="2960" t="s">
        <v>8923</v>
      </c>
      <c r="C14" s="2960"/>
      <c r="D14" s="2960"/>
      <c r="E14" s="2960"/>
    </row>
    <row r="15" spans="2:5" ht="12.95" customHeight="1">
      <c r="B15" s="3433" t="s">
        <v>8922</v>
      </c>
      <c r="C15" s="2960"/>
      <c r="D15" s="2960"/>
      <c r="E15" s="2960"/>
    </row>
    <row r="16" spans="2:5" ht="26.1" customHeight="1">
      <c r="B16" s="2960" t="s">
        <v>8924</v>
      </c>
      <c r="C16" s="2960"/>
      <c r="D16" s="2960"/>
      <c r="E16" s="2960"/>
    </row>
    <row r="17" spans="2:5" ht="12.95" customHeight="1">
      <c r="B17" s="3000" t="s">
        <v>8925</v>
      </c>
      <c r="C17" s="3000"/>
      <c r="D17" s="3000"/>
      <c r="E17" s="3000"/>
    </row>
    <row r="18" spans="2:5" ht="5.0999999999999996" customHeight="1"/>
    <row r="19" spans="2:5" ht="12.95" customHeight="1">
      <c r="B19" s="3102" t="s">
        <v>8926</v>
      </c>
      <c r="C19" s="3102"/>
      <c r="D19" s="3102"/>
      <c r="E19" s="3102"/>
    </row>
    <row r="20" spans="2:5" ht="12.95" customHeight="1">
      <c r="B20" s="3000" t="s">
        <v>8927</v>
      </c>
      <c r="C20" s="3000"/>
      <c r="D20" s="3000"/>
      <c r="E20" s="3000"/>
    </row>
    <row r="21" spans="2:5" ht="26.1" customHeight="1">
      <c r="B21" s="2960" t="s">
        <v>8928</v>
      </c>
      <c r="C21" s="2960"/>
      <c r="D21" s="2960"/>
      <c r="E21" s="2960"/>
    </row>
    <row r="22" spans="2:5" ht="12.95" customHeight="1">
      <c r="B22" s="3000" t="s">
        <v>8929</v>
      </c>
      <c r="C22" s="3000"/>
      <c r="D22" s="3000"/>
      <c r="E22" s="3000"/>
    </row>
    <row r="23" spans="2:5" ht="12.95" customHeight="1">
      <c r="B23" s="3000" t="s">
        <v>8930</v>
      </c>
      <c r="C23" s="3000"/>
      <c r="D23" s="3000"/>
      <c r="E23" s="3000"/>
    </row>
    <row r="24" spans="2:5" ht="12.95" customHeight="1">
      <c r="B24" s="3000" t="s">
        <v>8931</v>
      </c>
      <c r="C24" s="3000"/>
      <c r="D24" s="3000"/>
      <c r="E24" s="3000"/>
    </row>
    <row r="25" spans="2:5" ht="5.0999999999999996" customHeight="1"/>
    <row r="26" spans="2:5" ht="26.1" customHeight="1">
      <c r="B26" s="2960" t="s">
        <v>10070</v>
      </c>
      <c r="C26" s="2960"/>
      <c r="D26" s="2960"/>
      <c r="E26" s="2960"/>
    </row>
    <row r="27" spans="2:5" ht="12.95" customHeight="1">
      <c r="B27" s="2960" t="s">
        <v>8921</v>
      </c>
      <c r="C27" s="2960"/>
      <c r="D27" s="2960"/>
      <c r="E27" s="2960"/>
    </row>
    <row r="28" spans="2:5" ht="26.1" customHeight="1">
      <c r="B28" s="2960" t="s">
        <v>8932</v>
      </c>
      <c r="C28" s="2960"/>
      <c r="D28" s="2960"/>
      <c r="E28" s="2960"/>
    </row>
  </sheetData>
  <sheetProtection autoFilter="0"/>
  <mergeCells count="23">
    <mergeCell ref="C1:E1"/>
    <mergeCell ref="B3:E3"/>
    <mergeCell ref="B5:E5"/>
    <mergeCell ref="B8:E8"/>
    <mergeCell ref="B9:E9"/>
    <mergeCell ref="B7:E7"/>
    <mergeCell ref="B6:E6"/>
    <mergeCell ref="B28:E28"/>
    <mergeCell ref="B10:E10"/>
    <mergeCell ref="B12:E12"/>
    <mergeCell ref="B14:E14"/>
    <mergeCell ref="B15:E15"/>
    <mergeCell ref="B21:E21"/>
    <mergeCell ref="B17:E17"/>
    <mergeCell ref="B20:E20"/>
    <mergeCell ref="B22:E22"/>
    <mergeCell ref="B23:E23"/>
    <mergeCell ref="B24:E24"/>
    <mergeCell ref="B13:E13"/>
    <mergeCell ref="B19:E19"/>
    <mergeCell ref="B27:E27"/>
    <mergeCell ref="B16:E16"/>
    <mergeCell ref="B26:E26"/>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33.xml><?xml version="1.0" encoding="utf-8"?>
<worksheet xmlns="http://schemas.openxmlformats.org/spreadsheetml/2006/main" xmlns:r="http://schemas.openxmlformats.org/officeDocument/2006/relationships">
  <dimension ref="B1:CH87"/>
  <sheetViews>
    <sheetView zoomScaleNormal="100" workbookViewId="0">
      <pane ySplit="9" topLeftCell="A10" activePane="bottomLeft" state="frozen"/>
      <selection pane="bottomLeft" activeCell="B1" sqref="B1:D1"/>
    </sheetView>
  </sheetViews>
  <sheetFormatPr defaultRowHeight="12.95" customHeight="1"/>
  <cols>
    <col min="1" max="1" width="3.7109375" style="292" customWidth="1"/>
    <col min="2" max="2" width="7.42578125" style="1666" customWidth="1"/>
    <col min="3" max="3" width="8" style="2389" customWidth="1"/>
    <col min="4" max="4" width="8.85546875" style="292" bestFit="1" customWidth="1"/>
    <col min="5" max="8" width="8.7109375" style="292" customWidth="1"/>
    <col min="9" max="9" width="9.7109375" style="292" customWidth="1"/>
    <col min="10" max="11" width="8.7109375" style="292" customWidth="1"/>
    <col min="12" max="12" width="8.28515625" style="292" bestFit="1" customWidth="1"/>
    <col min="13" max="14" width="8.7109375" style="292" customWidth="1"/>
    <col min="15" max="15" width="18.28515625" style="292" bestFit="1" customWidth="1"/>
    <col min="16" max="16" width="4" style="292" hidden="1" customWidth="1"/>
    <col min="17" max="17" width="2" style="292" hidden="1" customWidth="1"/>
    <col min="18" max="35" width="3" style="292" hidden="1" customWidth="1"/>
    <col min="36" max="44" width="4" style="292" hidden="1" customWidth="1"/>
    <col min="45" max="16384" width="9.140625" style="292"/>
  </cols>
  <sheetData>
    <row r="1" spans="2:86" s="1665" customFormat="1" ht="12.95" customHeight="1">
      <c r="B1" s="3252" t="s">
        <v>2706</v>
      </c>
      <c r="C1" s="3252"/>
      <c r="D1" s="3252"/>
      <c r="E1" s="3195" t="s">
        <v>8269</v>
      </c>
      <c r="F1" s="3195"/>
      <c r="G1" s="3195"/>
      <c r="H1" s="3195"/>
      <c r="I1" s="3195"/>
      <c r="J1" s="3195"/>
      <c r="K1" s="3195"/>
      <c r="L1" s="3195"/>
      <c r="M1" s="3195"/>
      <c r="N1" s="3195"/>
      <c r="O1" s="3195"/>
    </row>
    <row r="2" spans="2:86" ht="5.0999999999999996" customHeight="1"/>
    <row r="3" spans="2:86" ht="12.95" customHeight="1">
      <c r="B3" s="3075" t="s">
        <v>6116</v>
      </c>
      <c r="C3" s="3075"/>
      <c r="D3" s="3075"/>
      <c r="E3" s="3075"/>
      <c r="F3" s="3075"/>
      <c r="G3" s="3075"/>
      <c r="H3" s="3075"/>
      <c r="I3" s="3075"/>
      <c r="J3" s="3075"/>
      <c r="K3" s="3075"/>
      <c r="L3" s="3075"/>
      <c r="M3" s="3075"/>
      <c r="N3" s="3075"/>
      <c r="O3" s="3075"/>
    </row>
    <row r="4" spans="2:86" ht="5.0999999999999996" customHeight="1"/>
    <row r="5" spans="2:86" ht="26.1" customHeight="1">
      <c r="B5" s="2960" t="s">
        <v>8933</v>
      </c>
      <c r="C5" s="2960"/>
      <c r="D5" s="2960"/>
      <c r="E5" s="2960"/>
      <c r="F5" s="2960"/>
      <c r="G5" s="2960"/>
      <c r="H5" s="2960"/>
      <c r="I5" s="2960"/>
      <c r="J5" s="2960"/>
      <c r="K5" s="2960"/>
      <c r="L5" s="2960"/>
      <c r="M5" s="2960"/>
      <c r="N5" s="2960"/>
      <c r="O5" s="2960"/>
    </row>
    <row r="6" spans="2:86" ht="5.0999999999999996" customHeight="1" thickBot="1"/>
    <row r="7" spans="2:86" s="1666" customFormat="1" ht="12.95" customHeight="1" thickBot="1">
      <c r="B7" s="3442" t="s">
        <v>6117</v>
      </c>
      <c r="C7" s="3445" t="s">
        <v>6118</v>
      </c>
      <c r="D7" s="3415" t="s">
        <v>6119</v>
      </c>
      <c r="E7" s="3441"/>
      <c r="F7" s="3441"/>
      <c r="G7" s="3441"/>
      <c r="H7" s="3441"/>
      <c r="I7" s="3441"/>
      <c r="J7" s="3441"/>
      <c r="K7" s="3441"/>
      <c r="L7" s="3441"/>
      <c r="M7" s="3441"/>
      <c r="N7" s="3441"/>
      <c r="O7" s="3416"/>
    </row>
    <row r="8" spans="2:86" s="1666" customFormat="1" ht="16.5" thickBot="1">
      <c r="B8" s="3443"/>
      <c r="C8" s="3446"/>
      <c r="D8" s="2405">
        <v>3</v>
      </c>
      <c r="E8" s="2398">
        <v>4</v>
      </c>
      <c r="F8" s="2398">
        <v>5</v>
      </c>
      <c r="G8" s="2398">
        <v>6</v>
      </c>
      <c r="H8" s="2398">
        <v>8</v>
      </c>
      <c r="I8" s="2398">
        <v>10</v>
      </c>
      <c r="J8" s="2398">
        <v>13</v>
      </c>
      <c r="K8" s="2398">
        <v>14</v>
      </c>
      <c r="L8" s="2398">
        <v>15</v>
      </c>
      <c r="M8" s="2398">
        <v>20</v>
      </c>
      <c r="N8" s="2406">
        <v>25</v>
      </c>
      <c r="O8" s="2745">
        <v>50</v>
      </c>
      <c r="P8" s="2399">
        <v>7</v>
      </c>
      <c r="Q8" s="744">
        <f>ROUNDUP($C10*35/$P8,0)</f>
        <v>5</v>
      </c>
      <c r="R8" s="42">
        <f>ROUNDUP($C11*35/$P8,0)</f>
        <v>10</v>
      </c>
      <c r="S8" s="745">
        <f>ROUNDUP($C12*35/$P8,0)</f>
        <v>15</v>
      </c>
      <c r="T8" s="42">
        <f>ROUNDUP($C13*35/$P8,0)</f>
        <v>20</v>
      </c>
      <c r="U8" s="745">
        <f>ROUNDUP($C14*35/$P8,0)</f>
        <v>25</v>
      </c>
      <c r="V8" s="42">
        <f>ROUNDUP($C15*35/$P8,0)</f>
        <v>30</v>
      </c>
      <c r="W8" s="745">
        <f>ROUNDUP($C16*35/$P8,0)</f>
        <v>35</v>
      </c>
      <c r="X8" s="42">
        <f>ROUNDUP($C17*35/$P8,0)</f>
        <v>40</v>
      </c>
      <c r="Y8" s="745">
        <f>ROUNDUP($C18*35/$P8,0)</f>
        <v>45</v>
      </c>
      <c r="Z8" s="42">
        <f>ROUNDUP($C19*35/$P8,0)</f>
        <v>50</v>
      </c>
      <c r="AA8" s="745">
        <f>ROUNDUP($C20*35/$P8,0)</f>
        <v>55</v>
      </c>
      <c r="AB8" s="42">
        <f>ROUNDUP($C21*35/$P8,0)</f>
        <v>60</v>
      </c>
      <c r="AC8" s="745">
        <f>ROUNDUP($C22*35/$P8,0)</f>
        <v>65</v>
      </c>
      <c r="AD8" s="42">
        <f>ROUNDUP($C23*35/$P8,0)</f>
        <v>70</v>
      </c>
      <c r="AE8" s="745">
        <f>ROUNDUP($C24*35/$P8,0)</f>
        <v>75</v>
      </c>
      <c r="AF8" s="42">
        <f>ROUNDUP($C25*35/$P8,0)</f>
        <v>80</v>
      </c>
      <c r="AG8" s="745">
        <f>ROUNDUP($C26*35/$P8,0)</f>
        <v>85</v>
      </c>
      <c r="AH8" s="42">
        <f>ROUNDUP($C27*35/$P8,0)</f>
        <v>90</v>
      </c>
      <c r="AI8" s="745">
        <f>ROUNDUP($C28*35/$P8,0)</f>
        <v>95</v>
      </c>
      <c r="AJ8" s="42">
        <f>ROUNDUP($C29*35/$P8,0)</f>
        <v>100</v>
      </c>
      <c r="AK8" s="745">
        <f>ROUNDUP($C30*35/$P8,0)</f>
        <v>105</v>
      </c>
      <c r="AL8" s="42">
        <f>ROUNDUP($C31*35/$P8,0)</f>
        <v>110</v>
      </c>
      <c r="AM8" s="745" t="e">
        <f>ROUNDUP(#REF!*35/$P8,0)</f>
        <v>#REF!</v>
      </c>
      <c r="AN8" s="42">
        <f>ROUNDUP($C32*35/$P8,0)</f>
        <v>120</v>
      </c>
      <c r="AO8" s="745">
        <f>ROUNDUP($C33*35/$P8,0)</f>
        <v>125</v>
      </c>
      <c r="AP8" s="42" t="e">
        <f>ROUNDUP(#REF!*35/$P8,0)</f>
        <v>#REF!</v>
      </c>
      <c r="AQ8" s="745">
        <f>ROUNDUP($C34*35/$P8,0)</f>
        <v>135</v>
      </c>
      <c r="AR8" s="189">
        <f>ROUNDUP($C35*35/$P8,0)</f>
        <v>140</v>
      </c>
      <c r="AS8" s="2389"/>
      <c r="AT8" s="2389"/>
      <c r="AU8" s="2389"/>
      <c r="AV8" s="2389"/>
      <c r="AW8" s="2389"/>
      <c r="AX8" s="2389"/>
      <c r="AY8" s="2389"/>
      <c r="AZ8" s="2389"/>
      <c r="BA8" s="2389"/>
      <c r="BB8" s="2389"/>
      <c r="BC8" s="2389"/>
      <c r="BD8" s="2389"/>
      <c r="BE8" s="2389"/>
      <c r="BF8" s="2389"/>
      <c r="BG8" s="2389"/>
      <c r="BH8" s="2389"/>
      <c r="BI8" s="2389"/>
      <c r="BJ8" s="2389"/>
      <c r="BK8" s="2389"/>
      <c r="BL8" s="2389"/>
      <c r="BM8" s="2389"/>
      <c r="BN8" s="2389"/>
      <c r="BO8" s="2389"/>
      <c r="BP8" s="2389"/>
      <c r="BQ8" s="2389"/>
      <c r="BR8" s="2389"/>
      <c r="BS8" s="2389"/>
      <c r="BT8" s="2389"/>
      <c r="BU8" s="2389"/>
      <c r="BV8" s="2389"/>
      <c r="BW8" s="2389"/>
      <c r="BX8" s="2389"/>
      <c r="BY8" s="2389"/>
      <c r="BZ8" s="2389"/>
      <c r="CA8" s="2389"/>
      <c r="CB8" s="2389"/>
      <c r="CC8" s="2389"/>
      <c r="CD8" s="2389"/>
      <c r="CE8" s="2389"/>
      <c r="CF8" s="2389"/>
      <c r="CG8" s="2389"/>
      <c r="CH8" s="2389"/>
    </row>
    <row r="9" spans="2:86" s="1666" customFormat="1" ht="39" customHeight="1" thickBot="1">
      <c r="B9" s="3444"/>
      <c r="C9" s="3447"/>
      <c r="D9" s="2408" t="s">
        <v>7647</v>
      </c>
      <c r="E9" s="2409" t="s">
        <v>7640</v>
      </c>
      <c r="F9" s="2409" t="s">
        <v>7641</v>
      </c>
      <c r="G9" s="2409" t="s">
        <v>7642</v>
      </c>
      <c r="H9" s="2409" t="s">
        <v>2234</v>
      </c>
      <c r="I9" s="2409" t="s">
        <v>7643</v>
      </c>
      <c r="J9" s="2410" t="s">
        <v>7648</v>
      </c>
      <c r="K9" s="2409" t="s">
        <v>6120</v>
      </c>
      <c r="L9" s="2409" t="s">
        <v>7650</v>
      </c>
      <c r="M9" s="2409" t="s">
        <v>7644</v>
      </c>
      <c r="N9" s="2411" t="s">
        <v>7645</v>
      </c>
      <c r="O9" s="2407" t="s">
        <v>7646</v>
      </c>
      <c r="P9" s="2399">
        <v>9</v>
      </c>
      <c r="Q9" s="2402">
        <f>ROUNDUP($C10*35/$P9,0)</f>
        <v>4</v>
      </c>
      <c r="R9" s="2395">
        <f>ROUNDUP($C11*35/$P9,0)</f>
        <v>8</v>
      </c>
      <c r="S9" s="2383">
        <f>ROUNDUP($C12*35/$P9,0)</f>
        <v>12</v>
      </c>
      <c r="T9" s="2395">
        <f>ROUNDUP($C13*35/$P9,0)</f>
        <v>16</v>
      </c>
      <c r="U9" s="2383">
        <f>ROUNDUP($C14*35/$P9,0)</f>
        <v>20</v>
      </c>
      <c r="V9" s="2395">
        <f>ROUNDUP($C15*35/$P9,0)</f>
        <v>24</v>
      </c>
      <c r="W9" s="2383">
        <f>ROUNDUP($C16*35/$P9,0)</f>
        <v>28</v>
      </c>
      <c r="X9" s="2395">
        <f>ROUNDUP($C17*35/$P9,0)</f>
        <v>32</v>
      </c>
      <c r="Y9" s="2383">
        <f>ROUNDUP($C18*35/$P9,0)</f>
        <v>35</v>
      </c>
      <c r="Z9" s="2395">
        <f>ROUNDUP($C19*35/$P9,0)</f>
        <v>39</v>
      </c>
      <c r="AA9" s="2383">
        <f>ROUNDUP($C20*35/$P9,0)</f>
        <v>43</v>
      </c>
      <c r="AB9" s="2395">
        <f>ROUNDUP($C21*35/$P9,0)</f>
        <v>47</v>
      </c>
      <c r="AC9" s="2383">
        <f>ROUNDUP($C22*35/$P9,0)</f>
        <v>51</v>
      </c>
      <c r="AD9" s="2395">
        <f>ROUNDUP($C23*35/$P9,0)</f>
        <v>55</v>
      </c>
      <c r="AE9" s="2383">
        <f>ROUNDUP($C24*35/$P9,0)</f>
        <v>59</v>
      </c>
      <c r="AF9" s="2395">
        <f>ROUNDUP($C25*35/$P9,0)</f>
        <v>63</v>
      </c>
      <c r="AG9" s="2383">
        <f>ROUNDUP($C26*35/$P9,0)</f>
        <v>67</v>
      </c>
      <c r="AH9" s="2395">
        <f>ROUNDUP($C27*35/$P9,0)</f>
        <v>70</v>
      </c>
      <c r="AI9" s="2383">
        <f>ROUNDUP($C28*35/$P9,0)</f>
        <v>74</v>
      </c>
      <c r="AJ9" s="2395">
        <f>ROUNDUP($C29*35/$P9,0)</f>
        <v>78</v>
      </c>
      <c r="AK9" s="2383">
        <f>ROUNDUP($C30*35/$P9,0)</f>
        <v>82</v>
      </c>
      <c r="AL9" s="2395">
        <f>ROUNDUP($C31*35/$P9,0)</f>
        <v>86</v>
      </c>
      <c r="AM9" s="2383" t="e">
        <f>ROUNDUP(#REF!*35/$P9,0)</f>
        <v>#REF!</v>
      </c>
      <c r="AN9" s="2395">
        <f>ROUNDUP($C32*35/$P9,0)</f>
        <v>94</v>
      </c>
      <c r="AO9" s="2383">
        <f>ROUNDUP($C33*35/$P9,0)</f>
        <v>98</v>
      </c>
      <c r="AP9" s="2395" t="e">
        <f>ROUNDUP(#REF!*35/$P9,0)</f>
        <v>#REF!</v>
      </c>
      <c r="AQ9" s="2383">
        <f>ROUNDUP($C34*35/$P9,0)</f>
        <v>105</v>
      </c>
      <c r="AR9" s="2384">
        <f>ROUNDUP($C35*35/$P9,0)</f>
        <v>109</v>
      </c>
    </row>
    <row r="10" spans="2:86" s="1666" customFormat="1" ht="12.95" customHeight="1" thickBot="1">
      <c r="B10" s="1682">
        <v>1</v>
      </c>
      <c r="C10" s="507">
        <v>1</v>
      </c>
      <c r="D10" s="764">
        <f t="shared" ref="D10:I11" si="0">ROUNDUP($C10*35/D$8,0)</f>
        <v>12</v>
      </c>
      <c r="E10" s="2401">
        <f t="shared" si="0"/>
        <v>9</v>
      </c>
      <c r="F10" s="2401">
        <f t="shared" si="0"/>
        <v>7</v>
      </c>
      <c r="G10" s="2401">
        <f t="shared" si="0"/>
        <v>6</v>
      </c>
      <c r="H10" s="2401">
        <f t="shared" si="0"/>
        <v>5</v>
      </c>
      <c r="I10" s="2401">
        <f t="shared" si="0"/>
        <v>4</v>
      </c>
      <c r="J10" s="2401">
        <f t="shared" ref="J10:N11" si="1">ROUNDUP($C10*35/J$8,0)</f>
        <v>3</v>
      </c>
      <c r="K10" s="2401">
        <f t="shared" si="1"/>
        <v>3</v>
      </c>
      <c r="L10" s="2401">
        <f t="shared" si="1"/>
        <v>3</v>
      </c>
      <c r="M10" s="2401">
        <f t="shared" si="1"/>
        <v>2</v>
      </c>
      <c r="N10" s="2401">
        <f t="shared" si="1"/>
        <v>2</v>
      </c>
      <c r="O10" s="2402">
        <f>IF(O8&gt;35,C10,VLOOKUP(O8,P8:AR31,2,FALSE))</f>
        <v>1</v>
      </c>
      <c r="P10" s="2399">
        <v>11</v>
      </c>
      <c r="Q10" s="2402">
        <f>ROUNDUP($C10*35/$P10,0)</f>
        <v>4</v>
      </c>
      <c r="R10" s="2395">
        <f>ROUNDUP($C11*35/$P10,0)</f>
        <v>7</v>
      </c>
      <c r="S10" s="2383">
        <f>ROUNDUP($C12*35/$P10,0)</f>
        <v>10</v>
      </c>
      <c r="T10" s="2395">
        <f>ROUNDUP($C13*35/$P10,0)</f>
        <v>13</v>
      </c>
      <c r="U10" s="2383">
        <f>ROUNDUP($C14*35/$P10,0)</f>
        <v>16</v>
      </c>
      <c r="V10" s="2395">
        <f>ROUNDUP($C15*35/$P10,0)</f>
        <v>20</v>
      </c>
      <c r="W10" s="2383">
        <f>ROUNDUP($C16*35/$P10,0)</f>
        <v>23</v>
      </c>
      <c r="X10" s="2395">
        <f>ROUNDUP($C17*35/$P10,0)</f>
        <v>26</v>
      </c>
      <c r="Y10" s="2383">
        <f>ROUNDUP($C18*35/$P10,0)</f>
        <v>29</v>
      </c>
      <c r="Z10" s="2395">
        <f>ROUNDUP($C19*35/$P10,0)</f>
        <v>32</v>
      </c>
      <c r="AA10" s="2383">
        <f>ROUNDUP($C20*35/$P10,0)</f>
        <v>35</v>
      </c>
      <c r="AB10" s="2395">
        <f>ROUNDUP($C21*35/$P10,0)</f>
        <v>39</v>
      </c>
      <c r="AC10" s="2383">
        <f>ROUNDUP($C22*35/$P10,0)</f>
        <v>42</v>
      </c>
      <c r="AD10" s="2395">
        <f>ROUNDUP($C23*35/$P10,0)</f>
        <v>45</v>
      </c>
      <c r="AE10" s="2383">
        <f>ROUNDUP($C24*35/$P10,0)</f>
        <v>48</v>
      </c>
      <c r="AF10" s="2395">
        <f>ROUNDUP($C25*35/$P10,0)</f>
        <v>51</v>
      </c>
      <c r="AG10" s="2383">
        <f>ROUNDUP($C26*35/$P10,0)</f>
        <v>55</v>
      </c>
      <c r="AH10" s="2395">
        <f>ROUNDUP($C27*35/$P10,0)</f>
        <v>58</v>
      </c>
      <c r="AI10" s="2383">
        <f>ROUNDUP($C28*35/$P10,0)</f>
        <v>61</v>
      </c>
      <c r="AJ10" s="2395">
        <f>ROUNDUP($C29*35/$P10,0)</f>
        <v>64</v>
      </c>
      <c r="AK10" s="2383">
        <f>ROUNDUP($C30*35/$P10,0)</f>
        <v>67</v>
      </c>
      <c r="AL10" s="2395">
        <f>ROUNDUP($C31*35/$P10,0)</f>
        <v>70</v>
      </c>
      <c r="AM10" s="2383" t="e">
        <f>ROUNDUP(#REF!*35/$P10,0)</f>
        <v>#REF!</v>
      </c>
      <c r="AN10" s="2395">
        <f>ROUNDUP($C32*35/$P10,0)</f>
        <v>77</v>
      </c>
      <c r="AO10" s="2383">
        <f>ROUNDUP($C33*35/$P10,0)</f>
        <v>80</v>
      </c>
      <c r="AP10" s="2395" t="e">
        <f>ROUNDUP(#REF!*35/$P10,0)</f>
        <v>#REF!</v>
      </c>
      <c r="AQ10" s="2383">
        <f>ROUNDUP($C34*35/$P10,0)</f>
        <v>86</v>
      </c>
      <c r="AR10" s="2384">
        <f>ROUNDUP($C35*35/$P10,0)</f>
        <v>90</v>
      </c>
    </row>
    <row r="11" spans="2:86" s="1666" customFormat="1" ht="12.95" customHeight="1" thickBot="1">
      <c r="B11" s="438">
        <v>2</v>
      </c>
      <c r="C11" s="28">
        <v>2</v>
      </c>
      <c r="D11" s="2394">
        <f t="shared" si="0"/>
        <v>24</v>
      </c>
      <c r="E11" s="2400">
        <f t="shared" si="0"/>
        <v>18</v>
      </c>
      <c r="F11" s="2400">
        <f t="shared" si="0"/>
        <v>14</v>
      </c>
      <c r="G11" s="2400">
        <f t="shared" si="0"/>
        <v>12</v>
      </c>
      <c r="H11" s="2400">
        <f t="shared" si="0"/>
        <v>9</v>
      </c>
      <c r="I11" s="2400">
        <f t="shared" si="0"/>
        <v>7</v>
      </c>
      <c r="J11" s="2400">
        <f t="shared" si="1"/>
        <v>6</v>
      </c>
      <c r="K11" s="2400">
        <f t="shared" si="1"/>
        <v>5</v>
      </c>
      <c r="L11" s="2400">
        <f t="shared" si="1"/>
        <v>5</v>
      </c>
      <c r="M11" s="2400">
        <f t="shared" si="1"/>
        <v>4</v>
      </c>
      <c r="N11" s="2400">
        <f t="shared" si="1"/>
        <v>3</v>
      </c>
      <c r="O11" s="2395">
        <f>IF(O8&gt;35,C11,VLOOKUP(O8,P8:AR31,3,FALSE))</f>
        <v>2</v>
      </c>
      <c r="P11" s="2399">
        <v>12</v>
      </c>
      <c r="Q11" s="2402">
        <f>ROUNDUP($C10*35/$P11,0)</f>
        <v>3</v>
      </c>
      <c r="R11" s="2395">
        <f>ROUNDUP($C11*35/$P11,0)</f>
        <v>6</v>
      </c>
      <c r="S11" s="2383">
        <f>ROUNDUP($C12*35/$P11,0)</f>
        <v>9</v>
      </c>
      <c r="T11" s="2395">
        <f>ROUNDUP($C13*35/$P11,0)</f>
        <v>12</v>
      </c>
      <c r="U11" s="2383">
        <f>ROUNDUP($C14*35/$P11,0)</f>
        <v>15</v>
      </c>
      <c r="V11" s="2395">
        <f>ROUNDUP($C15*35/$P11,0)</f>
        <v>18</v>
      </c>
      <c r="W11" s="2383">
        <f>ROUNDUP($C16*35/$P11,0)</f>
        <v>21</v>
      </c>
      <c r="X11" s="2395">
        <f>ROUNDUP($C17*35/$P11,0)</f>
        <v>24</v>
      </c>
      <c r="Y11" s="2383">
        <f>ROUNDUP($C18*35/$P11,0)</f>
        <v>27</v>
      </c>
      <c r="Z11" s="2395">
        <f>ROUNDUP($C19*35/$P11,0)</f>
        <v>30</v>
      </c>
      <c r="AA11" s="2383">
        <f>ROUNDUP($C20*35/$P11,0)</f>
        <v>33</v>
      </c>
      <c r="AB11" s="2395">
        <f>ROUNDUP($C21*35/$P11,0)</f>
        <v>35</v>
      </c>
      <c r="AC11" s="2383">
        <f>ROUNDUP($C22*35/$P11,0)</f>
        <v>38</v>
      </c>
      <c r="AD11" s="2395">
        <f>ROUNDUP($C23*35/$P11,0)</f>
        <v>41</v>
      </c>
      <c r="AE11" s="2383">
        <f>ROUNDUP($C24*35/$P11,0)</f>
        <v>44</v>
      </c>
      <c r="AF11" s="2395">
        <f>ROUNDUP($C25*35/$P11,0)</f>
        <v>47</v>
      </c>
      <c r="AG11" s="2383">
        <f>ROUNDUP($C26*35/$P11,0)</f>
        <v>50</v>
      </c>
      <c r="AH11" s="2395">
        <f>ROUNDUP($C27*35/$P11,0)</f>
        <v>53</v>
      </c>
      <c r="AI11" s="2383">
        <f>ROUNDUP($C28*35/$P11,0)</f>
        <v>56</v>
      </c>
      <c r="AJ11" s="2395">
        <f>ROUNDUP($C29*35/$P11,0)</f>
        <v>59</v>
      </c>
      <c r="AK11" s="2383">
        <f>ROUNDUP($C30*35/$P11,0)</f>
        <v>62</v>
      </c>
      <c r="AL11" s="2395">
        <f>ROUNDUP($C31*35/$P11,0)</f>
        <v>65</v>
      </c>
      <c r="AM11" s="2383" t="e">
        <f>ROUNDUP(#REF!*35/$P11,0)</f>
        <v>#REF!</v>
      </c>
      <c r="AN11" s="2395">
        <f>ROUNDUP($C32*35/$P11,0)</f>
        <v>70</v>
      </c>
      <c r="AO11" s="2383">
        <f>ROUNDUP($C33*35/$P11,0)</f>
        <v>73</v>
      </c>
      <c r="AP11" s="2395" t="e">
        <f>ROUNDUP(#REF!*35/$P11,0)</f>
        <v>#REF!</v>
      </c>
      <c r="AQ11" s="2383">
        <f>ROUNDUP($C34*35/$P11,0)</f>
        <v>79</v>
      </c>
      <c r="AR11" s="2384">
        <f>ROUNDUP($C35*35/$P11,0)</f>
        <v>82</v>
      </c>
    </row>
    <row r="12" spans="2:86" s="1666" customFormat="1" ht="12.95" customHeight="1" thickBot="1">
      <c r="B12" s="3440">
        <v>3</v>
      </c>
      <c r="C12" s="511">
        <v>3</v>
      </c>
      <c r="D12" s="2396">
        <f t="shared" ref="D12:L35" si="2">ROUNDUP($C12*35/D$8,0)</f>
        <v>35</v>
      </c>
      <c r="E12" s="2380">
        <f t="shared" si="2"/>
        <v>27</v>
      </c>
      <c r="F12" s="2380">
        <f t="shared" si="2"/>
        <v>21</v>
      </c>
      <c r="G12" s="2380">
        <f t="shared" si="2"/>
        <v>18</v>
      </c>
      <c r="H12" s="2380">
        <f t="shared" si="2"/>
        <v>14</v>
      </c>
      <c r="I12" s="2380">
        <f t="shared" si="2"/>
        <v>11</v>
      </c>
      <c r="J12" s="2380">
        <f t="shared" si="2"/>
        <v>9</v>
      </c>
      <c r="K12" s="2380">
        <f t="shared" si="2"/>
        <v>8</v>
      </c>
      <c r="L12" s="2380">
        <f t="shared" si="2"/>
        <v>7</v>
      </c>
      <c r="M12" s="2380">
        <f t="shared" ref="M12:N23" si="3">ROUNDUP($C12*35/M$8,0)</f>
        <v>6</v>
      </c>
      <c r="N12" s="2380">
        <f t="shared" si="3"/>
        <v>5</v>
      </c>
      <c r="O12" s="2383">
        <f>IF(O8&gt;35,C12,VLOOKUP(O8,P8:AR31,4,FALSE))</f>
        <v>3</v>
      </c>
      <c r="P12" s="2399">
        <v>16</v>
      </c>
      <c r="Q12" s="2402">
        <f>ROUNDUP($C10*35/$P12,0)</f>
        <v>3</v>
      </c>
      <c r="R12" s="2395">
        <f>ROUNDUP($C11*35/$P12,0)</f>
        <v>5</v>
      </c>
      <c r="S12" s="2383">
        <f>ROUNDUP($C12*35/$P12,0)</f>
        <v>7</v>
      </c>
      <c r="T12" s="2395">
        <f>ROUNDUP($C13*35/$P12,0)</f>
        <v>9</v>
      </c>
      <c r="U12" s="2383">
        <f>ROUNDUP($C14*35/$P12,0)</f>
        <v>11</v>
      </c>
      <c r="V12" s="2395">
        <f>ROUNDUP($C15*35/$P12,0)</f>
        <v>14</v>
      </c>
      <c r="W12" s="2383">
        <f>ROUNDUP($C16*35/$P12,0)</f>
        <v>16</v>
      </c>
      <c r="X12" s="2395">
        <f>ROUNDUP($C17*35/$P12,0)</f>
        <v>18</v>
      </c>
      <c r="Y12" s="2383">
        <f>ROUNDUP($C18*35/$P12,0)</f>
        <v>20</v>
      </c>
      <c r="Z12" s="2395">
        <f>ROUNDUP($C19*35/$P12,0)</f>
        <v>22</v>
      </c>
      <c r="AA12" s="2383">
        <f>ROUNDUP($C20*35/$P12,0)</f>
        <v>25</v>
      </c>
      <c r="AB12" s="2395">
        <f>ROUNDUP($C21*35/$P12,0)</f>
        <v>27</v>
      </c>
      <c r="AC12" s="2383">
        <f>ROUNDUP($C22*35/$P12,0)</f>
        <v>29</v>
      </c>
      <c r="AD12" s="2395">
        <f>ROUNDUP($C23*35/$P12,0)</f>
        <v>31</v>
      </c>
      <c r="AE12" s="2383">
        <f>ROUNDUP($C24*35/$P12,0)</f>
        <v>33</v>
      </c>
      <c r="AF12" s="2395">
        <f>ROUNDUP($C25*35/$P12,0)</f>
        <v>35</v>
      </c>
      <c r="AG12" s="2383">
        <f>ROUNDUP($C26*35/$P12,0)</f>
        <v>38</v>
      </c>
      <c r="AH12" s="2395">
        <f>ROUNDUP($C27*35/$P12,0)</f>
        <v>40</v>
      </c>
      <c r="AI12" s="2383">
        <f>ROUNDUP($C28*35/$P12,0)</f>
        <v>42</v>
      </c>
      <c r="AJ12" s="2395">
        <f>ROUNDUP($C29*35/$P12,0)</f>
        <v>44</v>
      </c>
      <c r="AK12" s="2383">
        <f>ROUNDUP($C30*35/$P12,0)</f>
        <v>46</v>
      </c>
      <c r="AL12" s="2395">
        <f>ROUNDUP($C31*35/$P12,0)</f>
        <v>49</v>
      </c>
      <c r="AM12" s="2383" t="e">
        <f>ROUNDUP(#REF!*35/$P12,0)</f>
        <v>#REF!</v>
      </c>
      <c r="AN12" s="2395">
        <f>ROUNDUP($C32*35/$P12,0)</f>
        <v>53</v>
      </c>
      <c r="AO12" s="2383">
        <f>ROUNDUP($C33*35/$P12,0)</f>
        <v>55</v>
      </c>
      <c r="AP12" s="2395" t="e">
        <f>ROUNDUP(#REF!*35/$P12,0)</f>
        <v>#REF!</v>
      </c>
      <c r="AQ12" s="2383">
        <f>ROUNDUP($C34*35/$P12,0)</f>
        <v>60</v>
      </c>
      <c r="AR12" s="2384">
        <f>ROUNDUP($C35*35/$P12,0)</f>
        <v>62</v>
      </c>
    </row>
    <row r="13" spans="2:86" s="1666" customFormat="1" ht="12.95" customHeight="1" thickBot="1">
      <c r="B13" s="3440"/>
      <c r="C13" s="28">
        <v>4</v>
      </c>
      <c r="D13" s="2394">
        <f t="shared" si="2"/>
        <v>47</v>
      </c>
      <c r="E13" s="2400">
        <f t="shared" ref="E13:L24" si="4">ROUNDUP($C13*35/E$8,0)</f>
        <v>35</v>
      </c>
      <c r="F13" s="2400">
        <f t="shared" si="4"/>
        <v>28</v>
      </c>
      <c r="G13" s="2400">
        <f t="shared" si="4"/>
        <v>24</v>
      </c>
      <c r="H13" s="2400">
        <f t="shared" si="4"/>
        <v>18</v>
      </c>
      <c r="I13" s="2400">
        <f t="shared" si="4"/>
        <v>14</v>
      </c>
      <c r="J13" s="2400">
        <f t="shared" si="4"/>
        <v>11</v>
      </c>
      <c r="K13" s="2400">
        <f t="shared" si="4"/>
        <v>10</v>
      </c>
      <c r="L13" s="2400">
        <f t="shared" si="4"/>
        <v>10</v>
      </c>
      <c r="M13" s="2400">
        <f t="shared" si="3"/>
        <v>7</v>
      </c>
      <c r="N13" s="2400">
        <f t="shared" si="3"/>
        <v>6</v>
      </c>
      <c r="O13" s="2395">
        <f>IF(O8&gt;35,C13,VLOOKUP(O8,P8:AR31,5,FALSE))</f>
        <v>4</v>
      </c>
      <c r="P13" s="2399">
        <v>17</v>
      </c>
      <c r="Q13" s="2402">
        <f>ROUNDUP($C10*35/$P13,0)</f>
        <v>3</v>
      </c>
      <c r="R13" s="2395">
        <f>ROUNDUP($C11*35/$P13,0)</f>
        <v>5</v>
      </c>
      <c r="S13" s="2383">
        <f>ROUNDUP($C12*35/$P13,0)</f>
        <v>7</v>
      </c>
      <c r="T13" s="2395">
        <f>ROUNDUP($C13*35/$P13,0)</f>
        <v>9</v>
      </c>
      <c r="U13" s="2383">
        <f>ROUNDUP($C14*35/$P13,0)</f>
        <v>11</v>
      </c>
      <c r="V13" s="2395">
        <f>ROUNDUP($C15*35/$P13,0)</f>
        <v>13</v>
      </c>
      <c r="W13" s="2383">
        <f>ROUNDUP($C16*35/$P13,0)</f>
        <v>15</v>
      </c>
      <c r="X13" s="2395">
        <f>ROUNDUP($C17*35/$P13,0)</f>
        <v>17</v>
      </c>
      <c r="Y13" s="2383">
        <f>ROUNDUP($C18*35/$P13,0)</f>
        <v>19</v>
      </c>
      <c r="Z13" s="2395">
        <f>ROUNDUP($C19*35/$P13,0)</f>
        <v>21</v>
      </c>
      <c r="AA13" s="2383">
        <f>ROUNDUP($C20*35/$P13,0)</f>
        <v>23</v>
      </c>
      <c r="AB13" s="2395">
        <f>ROUNDUP($C21*35/$P13,0)</f>
        <v>25</v>
      </c>
      <c r="AC13" s="2383">
        <f>ROUNDUP($C22*35/$P13,0)</f>
        <v>27</v>
      </c>
      <c r="AD13" s="2395">
        <f>ROUNDUP($C23*35/$P13,0)</f>
        <v>29</v>
      </c>
      <c r="AE13" s="2383">
        <f>ROUNDUP($C24*35/$P13,0)</f>
        <v>31</v>
      </c>
      <c r="AF13" s="2395">
        <f>ROUNDUP($C25*35/$P13,0)</f>
        <v>33</v>
      </c>
      <c r="AG13" s="2383">
        <f>ROUNDUP($C26*35/$P13,0)</f>
        <v>35</v>
      </c>
      <c r="AH13" s="2395">
        <f>ROUNDUP($C27*35/$P13,0)</f>
        <v>38</v>
      </c>
      <c r="AI13" s="2383">
        <f>ROUNDUP($C28*35/$P13,0)</f>
        <v>40</v>
      </c>
      <c r="AJ13" s="2395">
        <f>ROUNDUP($C29*35/$P13,0)</f>
        <v>42</v>
      </c>
      <c r="AK13" s="2383">
        <f>ROUNDUP($C30*35/$P13,0)</f>
        <v>44</v>
      </c>
      <c r="AL13" s="2395">
        <f>ROUNDUP($C31*35/$P13,0)</f>
        <v>46</v>
      </c>
      <c r="AM13" s="2383" t="e">
        <f>ROUNDUP(#REF!*35/$P13,0)</f>
        <v>#REF!</v>
      </c>
      <c r="AN13" s="2395">
        <f>ROUNDUP($C32*35/$P13,0)</f>
        <v>50</v>
      </c>
      <c r="AO13" s="2383">
        <f>ROUNDUP($C33*35/$P13,0)</f>
        <v>52</v>
      </c>
      <c r="AP13" s="2395" t="e">
        <f>ROUNDUP(#REF!*35/$P13,0)</f>
        <v>#REF!</v>
      </c>
      <c r="AQ13" s="2383">
        <f>ROUNDUP($C34*35/$P13,0)</f>
        <v>56</v>
      </c>
      <c r="AR13" s="2384">
        <f>ROUNDUP($C35*35/$P13,0)</f>
        <v>58</v>
      </c>
    </row>
    <row r="14" spans="2:86" s="1666" customFormat="1" ht="12.95" customHeight="1" thickBot="1">
      <c r="B14" s="427">
        <v>4</v>
      </c>
      <c r="C14" s="511">
        <v>5</v>
      </c>
      <c r="D14" s="2396">
        <f t="shared" si="2"/>
        <v>59</v>
      </c>
      <c r="E14" s="2380">
        <f t="shared" si="4"/>
        <v>44</v>
      </c>
      <c r="F14" s="2380">
        <f t="shared" si="4"/>
        <v>35</v>
      </c>
      <c r="G14" s="2380">
        <f t="shared" si="4"/>
        <v>30</v>
      </c>
      <c r="H14" s="2380">
        <f t="shared" si="4"/>
        <v>22</v>
      </c>
      <c r="I14" s="2380">
        <f t="shared" si="4"/>
        <v>18</v>
      </c>
      <c r="J14" s="2380">
        <f t="shared" si="4"/>
        <v>14</v>
      </c>
      <c r="K14" s="2380">
        <f t="shared" si="4"/>
        <v>13</v>
      </c>
      <c r="L14" s="2380">
        <f t="shared" si="4"/>
        <v>12</v>
      </c>
      <c r="M14" s="2380">
        <f t="shared" si="3"/>
        <v>9</v>
      </c>
      <c r="N14" s="2380">
        <f t="shared" si="3"/>
        <v>7</v>
      </c>
      <c r="O14" s="2383">
        <f>IF(O8&gt;35,C14,VLOOKUP(O8,P8:AR31,6,FALSE))</f>
        <v>5</v>
      </c>
      <c r="P14" s="2399">
        <v>18</v>
      </c>
      <c r="Q14" s="2402">
        <f>ROUNDUP($C10*35/$P14,0)</f>
        <v>2</v>
      </c>
      <c r="R14" s="2395">
        <f>ROUNDUP($C11*35/$P14,0)</f>
        <v>4</v>
      </c>
      <c r="S14" s="2383">
        <f>ROUNDUP($C12*35/$P14,0)</f>
        <v>6</v>
      </c>
      <c r="T14" s="2395">
        <f>ROUNDUP($C13*35/$P14,0)</f>
        <v>8</v>
      </c>
      <c r="U14" s="2383">
        <f>ROUNDUP($C14*35/$P14,0)</f>
        <v>10</v>
      </c>
      <c r="V14" s="2395">
        <f>ROUNDUP($C15*35/$P14,0)</f>
        <v>12</v>
      </c>
      <c r="W14" s="2383">
        <f>ROUNDUP($C16*35/$P14,0)</f>
        <v>14</v>
      </c>
      <c r="X14" s="2395">
        <f>ROUNDUP($C17*35/$P14,0)</f>
        <v>16</v>
      </c>
      <c r="Y14" s="2383">
        <f>ROUNDUP($C18*35/$P14,0)</f>
        <v>18</v>
      </c>
      <c r="Z14" s="2395">
        <f>ROUNDUP($C19*35/$P14,0)</f>
        <v>20</v>
      </c>
      <c r="AA14" s="2383">
        <f>ROUNDUP($C20*35/$P14,0)</f>
        <v>22</v>
      </c>
      <c r="AB14" s="2395">
        <f>ROUNDUP($C21*35/$P14,0)</f>
        <v>24</v>
      </c>
      <c r="AC14" s="2383">
        <f>ROUNDUP($C22*35/$P14,0)</f>
        <v>26</v>
      </c>
      <c r="AD14" s="2395">
        <f>ROUNDUP($C23*35/$P14,0)</f>
        <v>28</v>
      </c>
      <c r="AE14" s="2383">
        <f>ROUNDUP($C24*35/$P14,0)</f>
        <v>30</v>
      </c>
      <c r="AF14" s="2395">
        <f>ROUNDUP($C25*35/$P14,0)</f>
        <v>32</v>
      </c>
      <c r="AG14" s="2383">
        <f>ROUNDUP($C26*35/$P14,0)</f>
        <v>34</v>
      </c>
      <c r="AH14" s="2395">
        <f>ROUNDUP($C27*35/$P14,0)</f>
        <v>35</v>
      </c>
      <c r="AI14" s="2383">
        <f>ROUNDUP($C28*35/$P14,0)</f>
        <v>37</v>
      </c>
      <c r="AJ14" s="2395">
        <f>ROUNDUP($C29*35/$P14,0)</f>
        <v>39</v>
      </c>
      <c r="AK14" s="2383">
        <f>ROUNDUP($C30*35/$P14,0)</f>
        <v>41</v>
      </c>
      <c r="AL14" s="2395">
        <f>ROUNDUP($C31*35/$P14,0)</f>
        <v>43</v>
      </c>
      <c r="AM14" s="2383" t="e">
        <f>ROUNDUP(#REF!*35/$P14,0)</f>
        <v>#REF!</v>
      </c>
      <c r="AN14" s="2395">
        <f>ROUNDUP($C32*35/$P14,0)</f>
        <v>47</v>
      </c>
      <c r="AO14" s="2383">
        <f>ROUNDUP($C33*35/$P14,0)</f>
        <v>49</v>
      </c>
      <c r="AP14" s="2395" t="e">
        <f>ROUNDUP(#REF!*35/$P14,0)</f>
        <v>#REF!</v>
      </c>
      <c r="AQ14" s="2383">
        <f>ROUNDUP($C34*35/$P14,0)</f>
        <v>53</v>
      </c>
      <c r="AR14" s="2384">
        <f>ROUNDUP($C35*35/$P14,0)</f>
        <v>55</v>
      </c>
    </row>
    <row r="15" spans="2:86" s="1666" customFormat="1" ht="12.95" customHeight="1" thickBot="1">
      <c r="B15" s="3440">
        <v>5</v>
      </c>
      <c r="C15" s="28">
        <v>6</v>
      </c>
      <c r="D15" s="2394">
        <f t="shared" si="2"/>
        <v>70</v>
      </c>
      <c r="E15" s="2400">
        <f t="shared" si="4"/>
        <v>53</v>
      </c>
      <c r="F15" s="2400">
        <f t="shared" si="4"/>
        <v>42</v>
      </c>
      <c r="G15" s="2400">
        <f t="shared" si="4"/>
        <v>35</v>
      </c>
      <c r="H15" s="2400">
        <f t="shared" si="4"/>
        <v>27</v>
      </c>
      <c r="I15" s="2400">
        <f t="shared" si="4"/>
        <v>21</v>
      </c>
      <c r="J15" s="2400">
        <f t="shared" si="4"/>
        <v>17</v>
      </c>
      <c r="K15" s="2400">
        <f t="shared" si="4"/>
        <v>15</v>
      </c>
      <c r="L15" s="2400">
        <f t="shared" si="4"/>
        <v>14</v>
      </c>
      <c r="M15" s="2400">
        <f t="shared" si="3"/>
        <v>11</v>
      </c>
      <c r="N15" s="2400">
        <f t="shared" si="3"/>
        <v>9</v>
      </c>
      <c r="O15" s="2395">
        <f>IF(O8&gt;35,C15,VLOOKUP(O8,P8:AR31,7,FALSE))</f>
        <v>6</v>
      </c>
      <c r="P15" s="2399">
        <v>19</v>
      </c>
      <c r="Q15" s="2402">
        <f>ROUNDUP($C10*35/$P15,0)</f>
        <v>2</v>
      </c>
      <c r="R15" s="2395">
        <f>ROUNDUP($C11*35/$P15,0)</f>
        <v>4</v>
      </c>
      <c r="S15" s="2383">
        <f>ROUNDUP($C12*35/$P15,0)</f>
        <v>6</v>
      </c>
      <c r="T15" s="2395">
        <f>ROUNDUP($C13*35/$P15,0)</f>
        <v>8</v>
      </c>
      <c r="U15" s="2383">
        <f>ROUNDUP($C14*35/$P15,0)</f>
        <v>10</v>
      </c>
      <c r="V15" s="2395">
        <f>ROUNDUP($C15*35/$P15,0)</f>
        <v>12</v>
      </c>
      <c r="W15" s="2383">
        <f>ROUNDUP($C16*35/$P15,0)</f>
        <v>13</v>
      </c>
      <c r="X15" s="2395">
        <f>ROUNDUP($C17*35/$P15,0)</f>
        <v>15</v>
      </c>
      <c r="Y15" s="2383">
        <f>ROUNDUP($C18*35/$P15,0)</f>
        <v>17</v>
      </c>
      <c r="Z15" s="2395">
        <f>ROUNDUP($C19*35/$P15,0)</f>
        <v>19</v>
      </c>
      <c r="AA15" s="2383">
        <f>ROUNDUP($C20*35/$P15,0)</f>
        <v>21</v>
      </c>
      <c r="AB15" s="2395">
        <f>ROUNDUP($C21*35/$P15,0)</f>
        <v>23</v>
      </c>
      <c r="AC15" s="2383">
        <f>ROUNDUP($C22*35/$P15,0)</f>
        <v>24</v>
      </c>
      <c r="AD15" s="2395">
        <f>ROUNDUP($C23*35/$P15,0)</f>
        <v>26</v>
      </c>
      <c r="AE15" s="2383">
        <f>ROUNDUP($C24*35/$P15,0)</f>
        <v>28</v>
      </c>
      <c r="AF15" s="2395">
        <f>ROUNDUP($C25*35/$P15,0)</f>
        <v>30</v>
      </c>
      <c r="AG15" s="2383">
        <f>ROUNDUP($C26*35/$P15,0)</f>
        <v>32</v>
      </c>
      <c r="AH15" s="2395">
        <f>ROUNDUP($C27*35/$P15,0)</f>
        <v>34</v>
      </c>
      <c r="AI15" s="2383">
        <f>ROUNDUP($C28*35/$P15,0)</f>
        <v>35</v>
      </c>
      <c r="AJ15" s="2395">
        <f>ROUNDUP($C29*35/$P15,0)</f>
        <v>37</v>
      </c>
      <c r="AK15" s="2383">
        <f>ROUNDUP($C30*35/$P15,0)</f>
        <v>39</v>
      </c>
      <c r="AL15" s="2395">
        <f>ROUNDUP($C31*35/$P15,0)</f>
        <v>41</v>
      </c>
      <c r="AM15" s="2383" t="e">
        <f>ROUNDUP(#REF!*35/$P15,0)</f>
        <v>#REF!</v>
      </c>
      <c r="AN15" s="2395">
        <f>ROUNDUP($C32*35/$P15,0)</f>
        <v>45</v>
      </c>
      <c r="AO15" s="2383">
        <f>ROUNDUP($C33*35/$P15,0)</f>
        <v>47</v>
      </c>
      <c r="AP15" s="2395" t="e">
        <f>ROUNDUP(#REF!*35/$P15,0)</f>
        <v>#REF!</v>
      </c>
      <c r="AQ15" s="2383">
        <f>ROUNDUP($C34*35/$P15,0)</f>
        <v>50</v>
      </c>
      <c r="AR15" s="2384">
        <f>ROUNDUP($C35*35/$P15,0)</f>
        <v>52</v>
      </c>
    </row>
    <row r="16" spans="2:86" s="1666" customFormat="1" ht="12.95" customHeight="1" thickBot="1">
      <c r="B16" s="3440"/>
      <c r="C16" s="511">
        <v>7</v>
      </c>
      <c r="D16" s="2396">
        <f t="shared" si="2"/>
        <v>82</v>
      </c>
      <c r="E16" s="2380">
        <f t="shared" si="4"/>
        <v>62</v>
      </c>
      <c r="F16" s="2380">
        <f t="shared" si="4"/>
        <v>49</v>
      </c>
      <c r="G16" s="2380">
        <f t="shared" si="4"/>
        <v>41</v>
      </c>
      <c r="H16" s="2380">
        <f t="shared" si="4"/>
        <v>31</v>
      </c>
      <c r="I16" s="2380">
        <f t="shared" si="4"/>
        <v>25</v>
      </c>
      <c r="J16" s="2380">
        <f t="shared" si="4"/>
        <v>19</v>
      </c>
      <c r="K16" s="2380">
        <f t="shared" si="4"/>
        <v>18</v>
      </c>
      <c r="L16" s="2380">
        <f t="shared" si="4"/>
        <v>17</v>
      </c>
      <c r="M16" s="2380">
        <f t="shared" si="3"/>
        <v>13</v>
      </c>
      <c r="N16" s="2380">
        <f t="shared" si="3"/>
        <v>10</v>
      </c>
      <c r="O16" s="2383">
        <f>IF(O8&gt;35,C16,VLOOKUP(O8,P8:AR31,8,FALSE))</f>
        <v>7</v>
      </c>
      <c r="P16" s="2399">
        <v>21</v>
      </c>
      <c r="Q16" s="2402">
        <f>ROUNDUP($C10*35/$P16,0)</f>
        <v>2</v>
      </c>
      <c r="R16" s="2395">
        <f>ROUNDUP($C11*35/$P16,0)</f>
        <v>4</v>
      </c>
      <c r="S16" s="2383">
        <f>ROUNDUP($C12*35/$P16,0)</f>
        <v>5</v>
      </c>
      <c r="T16" s="2395">
        <f>ROUNDUP($C13*35/$P16,0)</f>
        <v>7</v>
      </c>
      <c r="U16" s="2383">
        <f>ROUNDUP($C14*35/$P16,0)</f>
        <v>9</v>
      </c>
      <c r="V16" s="2395">
        <f>ROUNDUP($C15*35/$P16,0)</f>
        <v>10</v>
      </c>
      <c r="W16" s="2383">
        <f>ROUNDUP($C16*35/$P16,0)</f>
        <v>12</v>
      </c>
      <c r="X16" s="2395">
        <f>ROUNDUP($C17*35/$P16,0)</f>
        <v>14</v>
      </c>
      <c r="Y16" s="2383">
        <f>ROUNDUP($C18*35/$P16,0)</f>
        <v>15</v>
      </c>
      <c r="Z16" s="2395">
        <f>ROUNDUP($C19*35/$P16,0)</f>
        <v>17</v>
      </c>
      <c r="AA16" s="2383">
        <f>ROUNDUP($C20*35/$P16,0)</f>
        <v>19</v>
      </c>
      <c r="AB16" s="2395">
        <f>ROUNDUP($C21*35/$P16,0)</f>
        <v>20</v>
      </c>
      <c r="AC16" s="2383">
        <f>ROUNDUP($C22*35/$P16,0)</f>
        <v>22</v>
      </c>
      <c r="AD16" s="2395">
        <f>ROUNDUP($C23*35/$P16,0)</f>
        <v>24</v>
      </c>
      <c r="AE16" s="2383">
        <f>ROUNDUP($C24*35/$P16,0)</f>
        <v>25</v>
      </c>
      <c r="AF16" s="2395">
        <f>ROUNDUP($C25*35/$P16,0)</f>
        <v>27</v>
      </c>
      <c r="AG16" s="2383">
        <f>ROUNDUP($C26*35/$P16,0)</f>
        <v>29</v>
      </c>
      <c r="AH16" s="2395">
        <f>ROUNDUP($C27*35/$P16,0)</f>
        <v>30</v>
      </c>
      <c r="AI16" s="2383">
        <f>ROUNDUP($C28*35/$P16,0)</f>
        <v>32</v>
      </c>
      <c r="AJ16" s="2395">
        <f>ROUNDUP($C29*35/$P16,0)</f>
        <v>34</v>
      </c>
      <c r="AK16" s="2383">
        <f>ROUNDUP($C30*35/$P16,0)</f>
        <v>35</v>
      </c>
      <c r="AL16" s="2395">
        <f>ROUNDUP($C31*35/$P16,0)</f>
        <v>37</v>
      </c>
      <c r="AM16" s="2383" t="e">
        <f>ROUNDUP(#REF!*35/$P16,0)</f>
        <v>#REF!</v>
      </c>
      <c r="AN16" s="2395">
        <f>ROUNDUP($C32*35/$P16,0)</f>
        <v>40</v>
      </c>
      <c r="AO16" s="2383">
        <f>ROUNDUP($C33*35/$P16,0)</f>
        <v>42</v>
      </c>
      <c r="AP16" s="2395" t="e">
        <f>ROUNDUP(#REF!*35/$P16,0)</f>
        <v>#REF!</v>
      </c>
      <c r="AQ16" s="2383">
        <f>ROUNDUP($C34*35/$P16,0)</f>
        <v>45</v>
      </c>
      <c r="AR16" s="2384">
        <f>ROUNDUP($C35*35/$P16,0)</f>
        <v>47</v>
      </c>
    </row>
    <row r="17" spans="2:44" s="1666" customFormat="1" ht="12.95" customHeight="1" thickBot="1">
      <c r="B17" s="438">
        <v>6</v>
      </c>
      <c r="C17" s="28">
        <v>8</v>
      </c>
      <c r="D17" s="2394">
        <f t="shared" si="2"/>
        <v>94</v>
      </c>
      <c r="E17" s="2400">
        <f t="shared" si="4"/>
        <v>70</v>
      </c>
      <c r="F17" s="2400">
        <f t="shared" si="4"/>
        <v>56</v>
      </c>
      <c r="G17" s="2400">
        <f t="shared" si="4"/>
        <v>47</v>
      </c>
      <c r="H17" s="2400">
        <f t="shared" si="4"/>
        <v>35</v>
      </c>
      <c r="I17" s="2400">
        <f t="shared" si="4"/>
        <v>28</v>
      </c>
      <c r="J17" s="2400">
        <f t="shared" si="4"/>
        <v>22</v>
      </c>
      <c r="K17" s="2400">
        <f t="shared" si="4"/>
        <v>20</v>
      </c>
      <c r="L17" s="2400">
        <f t="shared" si="4"/>
        <v>19</v>
      </c>
      <c r="M17" s="2400">
        <f t="shared" si="3"/>
        <v>14</v>
      </c>
      <c r="N17" s="2400">
        <f t="shared" si="3"/>
        <v>12</v>
      </c>
      <c r="O17" s="2395">
        <f>IF(O8&gt;35,C17,VLOOKUP(O8,P8:AR31,9,FALSE))</f>
        <v>8</v>
      </c>
      <c r="P17" s="2399">
        <v>22</v>
      </c>
      <c r="Q17" s="2402">
        <f>ROUNDUP($C10*35/$P17,0)</f>
        <v>2</v>
      </c>
      <c r="R17" s="2395">
        <f>ROUNDUP($C11*35/$P17,0)</f>
        <v>4</v>
      </c>
      <c r="S17" s="2383">
        <f>ROUNDUP($C12*35/$P17,0)</f>
        <v>5</v>
      </c>
      <c r="T17" s="2395">
        <f>ROUNDUP($C13*35/$P17,0)</f>
        <v>7</v>
      </c>
      <c r="U17" s="2383">
        <f>ROUNDUP($C14*35/$P17,0)</f>
        <v>8</v>
      </c>
      <c r="V17" s="2395">
        <f>ROUNDUP($C15*35/$P17,0)</f>
        <v>10</v>
      </c>
      <c r="W17" s="2383">
        <f>ROUNDUP($C16*35/$P17,0)</f>
        <v>12</v>
      </c>
      <c r="X17" s="2395">
        <f>ROUNDUP($C17*35/$P17,0)</f>
        <v>13</v>
      </c>
      <c r="Y17" s="2383">
        <f>ROUNDUP($C18*35/$P17,0)</f>
        <v>15</v>
      </c>
      <c r="Z17" s="2395">
        <f>ROUNDUP($C19*35/$P17,0)</f>
        <v>16</v>
      </c>
      <c r="AA17" s="2383">
        <f>ROUNDUP($C20*35/$P17,0)</f>
        <v>18</v>
      </c>
      <c r="AB17" s="2395">
        <f>ROUNDUP($C21*35/$P17,0)</f>
        <v>20</v>
      </c>
      <c r="AC17" s="2383">
        <f>ROUNDUP($C22*35/$P17,0)</f>
        <v>21</v>
      </c>
      <c r="AD17" s="2395">
        <f>ROUNDUP($C23*35/$P17,0)</f>
        <v>23</v>
      </c>
      <c r="AE17" s="2383">
        <f>ROUNDUP($C24*35/$P17,0)</f>
        <v>24</v>
      </c>
      <c r="AF17" s="2395">
        <f>ROUNDUP($C25*35/$P17,0)</f>
        <v>26</v>
      </c>
      <c r="AG17" s="2383">
        <f>ROUNDUP($C26*35/$P17,0)</f>
        <v>28</v>
      </c>
      <c r="AH17" s="2395">
        <f>ROUNDUP($C27*35/$P17,0)</f>
        <v>29</v>
      </c>
      <c r="AI17" s="2383">
        <f>ROUNDUP($C28*35/$P17,0)</f>
        <v>31</v>
      </c>
      <c r="AJ17" s="2395">
        <f>ROUNDUP($C29*35/$P17,0)</f>
        <v>32</v>
      </c>
      <c r="AK17" s="2383">
        <f>ROUNDUP($C30*35/$P17,0)</f>
        <v>34</v>
      </c>
      <c r="AL17" s="2395">
        <f>ROUNDUP($C31*35/$P17,0)</f>
        <v>35</v>
      </c>
      <c r="AM17" s="2383" t="e">
        <f>ROUNDUP(#REF!*35/$P17,0)</f>
        <v>#REF!</v>
      </c>
      <c r="AN17" s="2395">
        <f>ROUNDUP($C32*35/$P17,0)</f>
        <v>39</v>
      </c>
      <c r="AO17" s="2383">
        <f>ROUNDUP($C33*35/$P17,0)</f>
        <v>40</v>
      </c>
      <c r="AP17" s="2395" t="e">
        <f>ROUNDUP(#REF!*35/$P17,0)</f>
        <v>#REF!</v>
      </c>
      <c r="AQ17" s="2383">
        <f>ROUNDUP($C34*35/$P17,0)</f>
        <v>43</v>
      </c>
      <c r="AR17" s="2384">
        <f>ROUNDUP($C35*35/$P17,0)</f>
        <v>45</v>
      </c>
    </row>
    <row r="18" spans="2:44" s="1666" customFormat="1" ht="12.95" customHeight="1" thickBot="1">
      <c r="B18" s="3440">
        <v>7</v>
      </c>
      <c r="C18" s="511">
        <v>9</v>
      </c>
      <c r="D18" s="2396">
        <f t="shared" si="2"/>
        <v>105</v>
      </c>
      <c r="E18" s="2380">
        <f t="shared" si="4"/>
        <v>79</v>
      </c>
      <c r="F18" s="2380">
        <f t="shared" si="4"/>
        <v>63</v>
      </c>
      <c r="G18" s="2380">
        <f t="shared" si="4"/>
        <v>53</v>
      </c>
      <c r="H18" s="2380">
        <f t="shared" si="4"/>
        <v>40</v>
      </c>
      <c r="I18" s="2380">
        <f t="shared" si="4"/>
        <v>32</v>
      </c>
      <c r="J18" s="2380">
        <f t="shared" si="4"/>
        <v>25</v>
      </c>
      <c r="K18" s="2380">
        <f t="shared" si="4"/>
        <v>23</v>
      </c>
      <c r="L18" s="2380">
        <f t="shared" si="4"/>
        <v>21</v>
      </c>
      <c r="M18" s="2380">
        <f t="shared" si="3"/>
        <v>16</v>
      </c>
      <c r="N18" s="2380">
        <f t="shared" si="3"/>
        <v>13</v>
      </c>
      <c r="O18" s="2383">
        <f>IF(O8&gt;35,C18,VLOOKUP(O8,P8:AR31,10,FALSE))</f>
        <v>9</v>
      </c>
      <c r="P18" s="2399">
        <v>23</v>
      </c>
      <c r="Q18" s="2402">
        <f>ROUNDUP($C10*35/$P18,0)</f>
        <v>2</v>
      </c>
      <c r="R18" s="2395">
        <f>ROUNDUP($C11*35/$P18,0)</f>
        <v>4</v>
      </c>
      <c r="S18" s="2383">
        <f>ROUNDUP($C12*35/$P18,0)</f>
        <v>5</v>
      </c>
      <c r="T18" s="2395">
        <f>ROUNDUP($C13*35/$P18,0)</f>
        <v>7</v>
      </c>
      <c r="U18" s="2383">
        <f>ROUNDUP($C14*35/$P18,0)</f>
        <v>8</v>
      </c>
      <c r="V18" s="2395">
        <f>ROUNDUP($C15*35/$P18,0)</f>
        <v>10</v>
      </c>
      <c r="W18" s="2383">
        <f>ROUNDUP($C16*35/$P18,0)</f>
        <v>11</v>
      </c>
      <c r="X18" s="2395">
        <f>ROUNDUP($C17*35/$P18,0)</f>
        <v>13</v>
      </c>
      <c r="Y18" s="2383">
        <f>ROUNDUP($C18*35/$P18,0)</f>
        <v>14</v>
      </c>
      <c r="Z18" s="2395">
        <f>ROUNDUP($C19*35/$P18,0)</f>
        <v>16</v>
      </c>
      <c r="AA18" s="2383">
        <f>ROUNDUP($C20*35/$P18,0)</f>
        <v>17</v>
      </c>
      <c r="AB18" s="2395">
        <f>ROUNDUP($C21*35/$P18,0)</f>
        <v>19</v>
      </c>
      <c r="AC18" s="2383">
        <f>ROUNDUP($C22*35/$P18,0)</f>
        <v>20</v>
      </c>
      <c r="AD18" s="2395">
        <f>ROUNDUP($C23*35/$P18,0)</f>
        <v>22</v>
      </c>
      <c r="AE18" s="2383">
        <f>ROUNDUP($C24*35/$P18,0)</f>
        <v>23</v>
      </c>
      <c r="AF18" s="2395">
        <f>ROUNDUP($C25*35/$P18,0)</f>
        <v>25</v>
      </c>
      <c r="AG18" s="2383">
        <f>ROUNDUP($C26*35/$P18,0)</f>
        <v>26</v>
      </c>
      <c r="AH18" s="2395">
        <f>ROUNDUP($C27*35/$P18,0)</f>
        <v>28</v>
      </c>
      <c r="AI18" s="2383">
        <f>ROUNDUP($C28*35/$P18,0)</f>
        <v>29</v>
      </c>
      <c r="AJ18" s="2395">
        <f>ROUNDUP($C29*35/$P18,0)</f>
        <v>31</v>
      </c>
      <c r="AK18" s="2383">
        <f>ROUNDUP($C30*35/$P18,0)</f>
        <v>32</v>
      </c>
      <c r="AL18" s="2395">
        <f>ROUNDUP($C31*35/$P18,0)</f>
        <v>34</v>
      </c>
      <c r="AM18" s="2383" t="e">
        <f>ROUNDUP(#REF!*35/$P18,0)</f>
        <v>#REF!</v>
      </c>
      <c r="AN18" s="2395">
        <f>ROUNDUP($C32*35/$P18,0)</f>
        <v>37</v>
      </c>
      <c r="AO18" s="2383">
        <f>ROUNDUP($C33*35/$P18,0)</f>
        <v>39</v>
      </c>
      <c r="AP18" s="2395" t="e">
        <f>ROUNDUP(#REF!*35/$P18,0)</f>
        <v>#REF!</v>
      </c>
      <c r="AQ18" s="2383">
        <f>ROUNDUP($C34*35/$P18,0)</f>
        <v>42</v>
      </c>
      <c r="AR18" s="2384">
        <f>ROUNDUP($C35*35/$P18,0)</f>
        <v>43</v>
      </c>
    </row>
    <row r="19" spans="2:44" s="1666" customFormat="1" ht="12.95" customHeight="1" thickBot="1">
      <c r="B19" s="3440"/>
      <c r="C19" s="28">
        <v>10</v>
      </c>
      <c r="D19" s="2394">
        <f t="shared" si="2"/>
        <v>117</v>
      </c>
      <c r="E19" s="2400">
        <f t="shared" si="4"/>
        <v>88</v>
      </c>
      <c r="F19" s="2400">
        <f t="shared" si="4"/>
        <v>70</v>
      </c>
      <c r="G19" s="2400">
        <f t="shared" si="4"/>
        <v>59</v>
      </c>
      <c r="H19" s="2400">
        <f t="shared" si="4"/>
        <v>44</v>
      </c>
      <c r="I19" s="2400">
        <f t="shared" si="4"/>
        <v>35</v>
      </c>
      <c r="J19" s="2400">
        <f t="shared" si="4"/>
        <v>27</v>
      </c>
      <c r="K19" s="2400">
        <f t="shared" si="4"/>
        <v>25</v>
      </c>
      <c r="L19" s="2400">
        <f t="shared" si="4"/>
        <v>24</v>
      </c>
      <c r="M19" s="2400">
        <f t="shared" si="3"/>
        <v>18</v>
      </c>
      <c r="N19" s="2400">
        <f t="shared" si="3"/>
        <v>14</v>
      </c>
      <c r="O19" s="2395">
        <f>IF(O8&gt;35,C19,VLOOKUP(O8,P8:AR31,11,FALSE))</f>
        <v>10</v>
      </c>
      <c r="P19" s="2399">
        <v>24</v>
      </c>
      <c r="Q19" s="2402">
        <f>ROUNDUP($C10*35/$P19,0)</f>
        <v>2</v>
      </c>
      <c r="R19" s="2395">
        <f>ROUNDUP($C11*35/$P19,0)</f>
        <v>3</v>
      </c>
      <c r="S19" s="2383">
        <f>ROUNDUP($C12*35/$P19,0)</f>
        <v>5</v>
      </c>
      <c r="T19" s="2395">
        <f>ROUNDUP($C13*35/$P19,0)</f>
        <v>6</v>
      </c>
      <c r="U19" s="2383">
        <f>ROUNDUP($C14*35/$P19,0)</f>
        <v>8</v>
      </c>
      <c r="V19" s="2395">
        <f>ROUNDUP($C15*35/$P19,0)</f>
        <v>9</v>
      </c>
      <c r="W19" s="2383">
        <f>ROUNDUP($C16*35/$P19,0)</f>
        <v>11</v>
      </c>
      <c r="X19" s="2395">
        <f>ROUNDUP($C17*35/$P19,0)</f>
        <v>12</v>
      </c>
      <c r="Y19" s="2383">
        <f>ROUNDUP($C18*35/$P19,0)</f>
        <v>14</v>
      </c>
      <c r="Z19" s="2395">
        <f>ROUNDUP($C19*35/$P19,0)</f>
        <v>15</v>
      </c>
      <c r="AA19" s="2383">
        <f>ROUNDUP($C20*35/$P19,0)</f>
        <v>17</v>
      </c>
      <c r="AB19" s="2395">
        <f>ROUNDUP($C21*35/$P19,0)</f>
        <v>18</v>
      </c>
      <c r="AC19" s="2383">
        <f>ROUNDUP($C22*35/$P19,0)</f>
        <v>19</v>
      </c>
      <c r="AD19" s="2395">
        <f>ROUNDUP($C23*35/$P19,0)</f>
        <v>21</v>
      </c>
      <c r="AE19" s="2383">
        <f>ROUNDUP($C24*35/$P19,0)</f>
        <v>22</v>
      </c>
      <c r="AF19" s="2395">
        <f>ROUNDUP($C25*35/$P19,0)</f>
        <v>24</v>
      </c>
      <c r="AG19" s="2383">
        <f>ROUNDUP($C26*35/$P19,0)</f>
        <v>25</v>
      </c>
      <c r="AH19" s="2395">
        <f>ROUNDUP($C27*35/$P19,0)</f>
        <v>27</v>
      </c>
      <c r="AI19" s="2383">
        <f>ROUNDUP($C28*35/$P19,0)</f>
        <v>28</v>
      </c>
      <c r="AJ19" s="2395">
        <f>ROUNDUP($C29*35/$P19,0)</f>
        <v>30</v>
      </c>
      <c r="AK19" s="2383">
        <f>ROUNDUP($C30*35/$P19,0)</f>
        <v>31</v>
      </c>
      <c r="AL19" s="2395">
        <f>ROUNDUP($C31*35/$P19,0)</f>
        <v>33</v>
      </c>
      <c r="AM19" s="2383" t="e">
        <f>ROUNDUP(#REF!*35/$P19,0)</f>
        <v>#REF!</v>
      </c>
      <c r="AN19" s="2395">
        <f>ROUNDUP($C32*35/$P19,0)</f>
        <v>35</v>
      </c>
      <c r="AO19" s="2383">
        <f>ROUNDUP($C33*35/$P19,0)</f>
        <v>37</v>
      </c>
      <c r="AP19" s="2395" t="e">
        <f>ROUNDUP(#REF!*35/$P19,0)</f>
        <v>#REF!</v>
      </c>
      <c r="AQ19" s="2383">
        <f>ROUNDUP($C34*35/$P19,0)</f>
        <v>40</v>
      </c>
      <c r="AR19" s="2384">
        <f>ROUNDUP($C35*35/$P19,0)</f>
        <v>41</v>
      </c>
    </row>
    <row r="20" spans="2:44" s="1666" customFormat="1" ht="12.95" customHeight="1" thickBot="1">
      <c r="B20" s="427">
        <v>8</v>
      </c>
      <c r="C20" s="511">
        <v>11</v>
      </c>
      <c r="D20" s="2396">
        <f t="shared" si="2"/>
        <v>129</v>
      </c>
      <c r="E20" s="2380">
        <f t="shared" si="4"/>
        <v>97</v>
      </c>
      <c r="F20" s="2380">
        <f t="shared" si="4"/>
        <v>77</v>
      </c>
      <c r="G20" s="2380">
        <f t="shared" si="4"/>
        <v>65</v>
      </c>
      <c r="H20" s="2380">
        <f t="shared" si="4"/>
        <v>49</v>
      </c>
      <c r="I20" s="2380">
        <f t="shared" si="4"/>
        <v>39</v>
      </c>
      <c r="J20" s="2380">
        <f t="shared" si="4"/>
        <v>30</v>
      </c>
      <c r="K20" s="2380">
        <f t="shared" si="4"/>
        <v>28</v>
      </c>
      <c r="L20" s="2380">
        <f t="shared" si="4"/>
        <v>26</v>
      </c>
      <c r="M20" s="2380">
        <f t="shared" si="3"/>
        <v>20</v>
      </c>
      <c r="N20" s="2380">
        <f t="shared" si="3"/>
        <v>16</v>
      </c>
      <c r="O20" s="2383">
        <f>IF(O8&gt;35,C20,VLOOKUP(O8,P8:AR31,12,FALSE))</f>
        <v>11</v>
      </c>
      <c r="P20" s="2399">
        <v>30</v>
      </c>
      <c r="Q20" s="2402">
        <f>ROUNDUP($C10*35/$P20,0)</f>
        <v>2</v>
      </c>
      <c r="R20" s="2395">
        <f>ROUNDUP($C11*35/$P20,0)</f>
        <v>3</v>
      </c>
      <c r="S20" s="2383">
        <f>ROUNDUP($C12*35/$P20,0)</f>
        <v>4</v>
      </c>
      <c r="T20" s="2395">
        <f>ROUNDUP($C13*35/$P20,0)</f>
        <v>5</v>
      </c>
      <c r="U20" s="2383">
        <f>ROUNDUP($C14*35/$P20,0)</f>
        <v>6</v>
      </c>
      <c r="V20" s="2395">
        <f>ROUNDUP($C15*35/$P20,0)</f>
        <v>7</v>
      </c>
      <c r="W20" s="2383">
        <f>ROUNDUP($C16*35/$P20,0)</f>
        <v>9</v>
      </c>
      <c r="X20" s="2395">
        <f>ROUNDUP($C17*35/$P20,0)</f>
        <v>10</v>
      </c>
      <c r="Y20" s="2383">
        <f>ROUNDUP($C18*35/$P20,0)</f>
        <v>11</v>
      </c>
      <c r="Z20" s="2395">
        <f>ROUNDUP($C19*35/$P20,0)</f>
        <v>12</v>
      </c>
      <c r="AA20" s="2383">
        <f>ROUNDUP($C20*35/$P20,0)</f>
        <v>13</v>
      </c>
      <c r="AB20" s="2395">
        <f>ROUNDUP($C21*35/$P20,0)</f>
        <v>14</v>
      </c>
      <c r="AC20" s="2383">
        <f>ROUNDUP($C22*35/$P20,0)</f>
        <v>16</v>
      </c>
      <c r="AD20" s="2395">
        <f>ROUNDUP($C23*35/$P20,0)</f>
        <v>17</v>
      </c>
      <c r="AE20" s="2383">
        <f>ROUNDUP($C24*35/$P20,0)</f>
        <v>18</v>
      </c>
      <c r="AF20" s="2395">
        <f>ROUNDUP($C25*35/$P20,0)</f>
        <v>19</v>
      </c>
      <c r="AG20" s="2383">
        <f>ROUNDUP($C26*35/$P20,0)</f>
        <v>20</v>
      </c>
      <c r="AH20" s="2395">
        <f>ROUNDUP($C27*35/$P20,0)</f>
        <v>21</v>
      </c>
      <c r="AI20" s="2383">
        <f>ROUNDUP($C28*35/$P20,0)</f>
        <v>23</v>
      </c>
      <c r="AJ20" s="2395">
        <f>ROUNDUP($C29*35/$P20,0)</f>
        <v>24</v>
      </c>
      <c r="AK20" s="2383">
        <f>ROUNDUP($C30*35/$P20,0)</f>
        <v>25</v>
      </c>
      <c r="AL20" s="2395">
        <f>ROUNDUP($C31*35/$P20,0)</f>
        <v>26</v>
      </c>
      <c r="AM20" s="2383" t="e">
        <f>ROUNDUP(#REF!*35/$P20,0)</f>
        <v>#REF!</v>
      </c>
      <c r="AN20" s="2395">
        <f>ROUNDUP($C32*35/$P20,0)</f>
        <v>28</v>
      </c>
      <c r="AO20" s="2383">
        <f>ROUNDUP($C33*35/$P20,0)</f>
        <v>30</v>
      </c>
      <c r="AP20" s="2395" t="e">
        <f>ROUNDUP(#REF!*35/$P20,0)</f>
        <v>#REF!</v>
      </c>
      <c r="AQ20" s="2383">
        <f>ROUNDUP($C34*35/$P20,0)</f>
        <v>32</v>
      </c>
      <c r="AR20" s="2384">
        <f>ROUNDUP($C35*35/$P20,0)</f>
        <v>33</v>
      </c>
    </row>
    <row r="21" spans="2:44" s="1666" customFormat="1" ht="12.95" customHeight="1" thickBot="1">
      <c r="B21" s="438">
        <v>9</v>
      </c>
      <c r="C21" s="28">
        <v>12</v>
      </c>
      <c r="D21" s="2394">
        <f t="shared" si="2"/>
        <v>140</v>
      </c>
      <c r="E21" s="2400">
        <f t="shared" si="4"/>
        <v>105</v>
      </c>
      <c r="F21" s="2400">
        <f t="shared" si="4"/>
        <v>84</v>
      </c>
      <c r="G21" s="2400">
        <f t="shared" si="4"/>
        <v>70</v>
      </c>
      <c r="H21" s="2400">
        <f t="shared" si="4"/>
        <v>53</v>
      </c>
      <c r="I21" s="2400">
        <f t="shared" si="4"/>
        <v>42</v>
      </c>
      <c r="J21" s="2400">
        <f t="shared" si="4"/>
        <v>33</v>
      </c>
      <c r="K21" s="2400">
        <f t="shared" si="4"/>
        <v>30</v>
      </c>
      <c r="L21" s="2400">
        <f t="shared" si="4"/>
        <v>28</v>
      </c>
      <c r="M21" s="2400">
        <f t="shared" si="3"/>
        <v>21</v>
      </c>
      <c r="N21" s="2400">
        <f t="shared" si="3"/>
        <v>17</v>
      </c>
      <c r="O21" s="2395">
        <f>IF(O8&gt;35,C21,VLOOKUP(O8,P8:AR31,13,FALSE))</f>
        <v>12</v>
      </c>
      <c r="P21" s="2399">
        <v>35</v>
      </c>
      <c r="Q21" s="2402">
        <f>ROUNDUP($C10*35/$P21,0)</f>
        <v>1</v>
      </c>
      <c r="R21" s="2395">
        <f>ROUNDUP($C11*35/$P21,0)</f>
        <v>2</v>
      </c>
      <c r="S21" s="2383">
        <f>ROUNDUP($C12*35/$P21,0)</f>
        <v>3</v>
      </c>
      <c r="T21" s="2395">
        <f>ROUNDUP($C13*35/$P21,0)</f>
        <v>4</v>
      </c>
      <c r="U21" s="2383">
        <f>ROUNDUP($C14*35/$P21,0)</f>
        <v>5</v>
      </c>
      <c r="V21" s="2395">
        <f>ROUNDUP($C15*35/$P21,0)</f>
        <v>6</v>
      </c>
      <c r="W21" s="2383">
        <f>ROUNDUP($C16*35/$P21,0)</f>
        <v>7</v>
      </c>
      <c r="X21" s="2395">
        <f>ROUNDUP($C17*35/$P21,0)</f>
        <v>8</v>
      </c>
      <c r="Y21" s="2383">
        <f>ROUNDUP($C18*35/$P21,0)</f>
        <v>9</v>
      </c>
      <c r="Z21" s="2395">
        <f>ROUNDUP($C19*35/$P21,0)</f>
        <v>10</v>
      </c>
      <c r="AA21" s="2383">
        <f>ROUNDUP($C20*35/$P21,0)</f>
        <v>11</v>
      </c>
      <c r="AB21" s="2395">
        <f>ROUNDUP($C21*35/$P21,0)</f>
        <v>12</v>
      </c>
      <c r="AC21" s="2383">
        <f>ROUNDUP($C22*35/$P21,0)</f>
        <v>13</v>
      </c>
      <c r="AD21" s="2395">
        <f>ROUNDUP($C23*35/$P21,0)</f>
        <v>14</v>
      </c>
      <c r="AE21" s="2383">
        <f>ROUNDUP($C24*35/$P21,0)</f>
        <v>15</v>
      </c>
      <c r="AF21" s="2395">
        <f>ROUNDUP($C25*35/$P21,0)</f>
        <v>16</v>
      </c>
      <c r="AG21" s="2383">
        <f>ROUNDUP($C26*35/$P21,0)</f>
        <v>17</v>
      </c>
      <c r="AH21" s="2395">
        <f>ROUNDUP($C27*35/$P21,0)</f>
        <v>18</v>
      </c>
      <c r="AI21" s="2383">
        <f>ROUNDUP($C28*35/$P21,0)</f>
        <v>19</v>
      </c>
      <c r="AJ21" s="2395">
        <f>ROUNDUP($C29*35/$P21,0)</f>
        <v>20</v>
      </c>
      <c r="AK21" s="2383">
        <f>ROUNDUP($C30*35/$P21,0)</f>
        <v>21</v>
      </c>
      <c r="AL21" s="2395">
        <f>ROUNDUP($C31*35/$P21,0)</f>
        <v>22</v>
      </c>
      <c r="AM21" s="2383" t="e">
        <f>ROUNDUP(#REF!*35/$P21,0)</f>
        <v>#REF!</v>
      </c>
      <c r="AN21" s="2395">
        <f>ROUNDUP($C32*35/$P21,0)</f>
        <v>24</v>
      </c>
      <c r="AO21" s="2383">
        <f>ROUNDUP($C33*35/$P21,0)</f>
        <v>25</v>
      </c>
      <c r="AP21" s="2395" t="e">
        <f>ROUNDUP(#REF!*35/$P21,0)</f>
        <v>#REF!</v>
      </c>
      <c r="AQ21" s="2383">
        <f>ROUNDUP($C34*35/$P21,0)</f>
        <v>27</v>
      </c>
      <c r="AR21" s="2384">
        <f>ROUNDUP($C35*35/$P21,0)</f>
        <v>28</v>
      </c>
    </row>
    <row r="22" spans="2:44" s="1666" customFormat="1" ht="12.95" customHeight="1" thickBot="1">
      <c r="B22" s="3440">
        <v>10</v>
      </c>
      <c r="C22" s="511">
        <v>13</v>
      </c>
      <c r="D22" s="2396">
        <f t="shared" si="2"/>
        <v>152</v>
      </c>
      <c r="E22" s="2380">
        <f t="shared" si="4"/>
        <v>114</v>
      </c>
      <c r="F22" s="2380">
        <f t="shared" si="4"/>
        <v>91</v>
      </c>
      <c r="G22" s="2380">
        <f t="shared" si="4"/>
        <v>76</v>
      </c>
      <c r="H22" s="2380">
        <f t="shared" si="4"/>
        <v>57</v>
      </c>
      <c r="I22" s="2380">
        <f t="shared" si="4"/>
        <v>46</v>
      </c>
      <c r="J22" s="2380">
        <f t="shared" si="4"/>
        <v>35</v>
      </c>
      <c r="K22" s="2380">
        <f t="shared" si="4"/>
        <v>33</v>
      </c>
      <c r="L22" s="2380">
        <f t="shared" si="4"/>
        <v>31</v>
      </c>
      <c r="M22" s="2380">
        <f t="shared" si="3"/>
        <v>23</v>
      </c>
      <c r="N22" s="2380">
        <f t="shared" si="3"/>
        <v>19</v>
      </c>
      <c r="O22" s="2383">
        <f>IF(O8&gt;35,C22,VLOOKUP(O8,P8:AR31,14,FALSE))</f>
        <v>13</v>
      </c>
      <c r="P22" s="2399">
        <v>45</v>
      </c>
      <c r="Q22" s="2402">
        <f>ROUNDUP($C10*35/$P22,0)</f>
        <v>1</v>
      </c>
      <c r="R22" s="2395">
        <f>ROUNDUP($C11*35/$P22,0)</f>
        <v>2</v>
      </c>
      <c r="S22" s="2383">
        <f>ROUNDUP($C12*35/$P22,0)</f>
        <v>3</v>
      </c>
      <c r="T22" s="2395">
        <f>ROUNDUP($C13*35/$P22,0)</f>
        <v>4</v>
      </c>
      <c r="U22" s="2383">
        <f>ROUNDUP($C14*35/$P22,0)</f>
        <v>4</v>
      </c>
      <c r="V22" s="2395">
        <f>ROUNDUP($C15*35/$P22,0)</f>
        <v>5</v>
      </c>
      <c r="W22" s="2383">
        <f>ROUNDUP($C16*35/$P22,0)</f>
        <v>6</v>
      </c>
      <c r="X22" s="2395">
        <f>ROUNDUP($C17*35/$P22,0)</f>
        <v>7</v>
      </c>
      <c r="Y22" s="2383">
        <f>ROUNDUP($C18*35/$P22,0)</f>
        <v>7</v>
      </c>
      <c r="Z22" s="2395">
        <f>ROUNDUP($C19*35/$P22,0)</f>
        <v>8</v>
      </c>
      <c r="AA22" s="2383">
        <f>ROUNDUP($C20*35/$P22,0)</f>
        <v>9</v>
      </c>
      <c r="AB22" s="2395">
        <f>ROUNDUP($C21*35/$P22,0)</f>
        <v>10</v>
      </c>
      <c r="AC22" s="2383">
        <f>ROUNDUP($C22*35/$P22,0)</f>
        <v>11</v>
      </c>
      <c r="AD22" s="2395">
        <f>ROUNDUP($C23*35/$P22,0)</f>
        <v>11</v>
      </c>
      <c r="AE22" s="2383">
        <f>ROUNDUP($C24*35/$P22,0)</f>
        <v>12</v>
      </c>
      <c r="AF22" s="2395">
        <f>ROUNDUP($C25*35/$P22,0)</f>
        <v>13</v>
      </c>
      <c r="AG22" s="2383">
        <f>ROUNDUP($C26*35/$P22,0)</f>
        <v>14</v>
      </c>
      <c r="AH22" s="2395">
        <f>ROUNDUP($C27*35/$P22,0)</f>
        <v>14</v>
      </c>
      <c r="AI22" s="2383">
        <f>ROUNDUP($C28*35/$P22,0)</f>
        <v>15</v>
      </c>
      <c r="AJ22" s="2395">
        <f>ROUNDUP($C29*35/$P22,0)</f>
        <v>16</v>
      </c>
      <c r="AK22" s="2383">
        <f>ROUNDUP($C30*35/$P22,0)</f>
        <v>17</v>
      </c>
      <c r="AL22" s="2395">
        <f>ROUNDUP($C31*35/$P22,0)</f>
        <v>18</v>
      </c>
      <c r="AM22" s="2383" t="e">
        <f>ROUNDUP(#REF!*35/$P22,0)</f>
        <v>#REF!</v>
      </c>
      <c r="AN22" s="2395">
        <f>ROUNDUP($C32*35/$P22,0)</f>
        <v>19</v>
      </c>
      <c r="AO22" s="2383">
        <f>ROUNDUP($C33*35/$P22,0)</f>
        <v>20</v>
      </c>
      <c r="AP22" s="2395" t="e">
        <f>ROUNDUP(#REF!*35/$P22,0)</f>
        <v>#REF!</v>
      </c>
      <c r="AQ22" s="2383">
        <f>ROUNDUP($C34*35/$P22,0)</f>
        <v>21</v>
      </c>
      <c r="AR22" s="2384">
        <f>ROUNDUP($C35*35/$P22,0)</f>
        <v>22</v>
      </c>
    </row>
    <row r="23" spans="2:44" s="1666" customFormat="1" ht="12.95" customHeight="1" thickBot="1">
      <c r="B23" s="3440"/>
      <c r="C23" s="28">
        <v>14</v>
      </c>
      <c r="D23" s="2394">
        <f t="shared" si="2"/>
        <v>164</v>
      </c>
      <c r="E23" s="2400">
        <f t="shared" si="4"/>
        <v>123</v>
      </c>
      <c r="F23" s="2400">
        <f t="shared" si="4"/>
        <v>98</v>
      </c>
      <c r="G23" s="2400">
        <f t="shared" si="4"/>
        <v>82</v>
      </c>
      <c r="H23" s="2400">
        <f t="shared" si="4"/>
        <v>62</v>
      </c>
      <c r="I23" s="2400">
        <f t="shared" si="4"/>
        <v>49</v>
      </c>
      <c r="J23" s="2400">
        <f t="shared" si="4"/>
        <v>38</v>
      </c>
      <c r="K23" s="2400">
        <f t="shared" si="4"/>
        <v>35</v>
      </c>
      <c r="L23" s="2400">
        <f t="shared" si="4"/>
        <v>33</v>
      </c>
      <c r="M23" s="2400">
        <f t="shared" si="3"/>
        <v>25</v>
      </c>
      <c r="N23" s="2400">
        <f t="shared" si="3"/>
        <v>20</v>
      </c>
      <c r="O23" s="2395">
        <f>IF(O8&gt;35,C23,VLOOKUP(O8,P8:AR31,15,FALSE))</f>
        <v>14</v>
      </c>
      <c r="P23" s="2399">
        <v>45</v>
      </c>
      <c r="Q23" s="2402">
        <f>ROUNDUP($C10*35/$P23,0)</f>
        <v>1</v>
      </c>
      <c r="R23" s="2395">
        <f>ROUNDUP($C11*35/$P23,0)</f>
        <v>2</v>
      </c>
      <c r="S23" s="2383">
        <f>ROUNDUP($C12*35/$P23,0)</f>
        <v>3</v>
      </c>
      <c r="T23" s="2395">
        <f>ROUNDUP($C13*35/$P23,0)</f>
        <v>4</v>
      </c>
      <c r="U23" s="2383">
        <f>ROUNDUP($C14*35/$P23,0)</f>
        <v>4</v>
      </c>
      <c r="V23" s="2395">
        <f>ROUNDUP($C15*35/$P23,0)</f>
        <v>5</v>
      </c>
      <c r="W23" s="2383">
        <f>ROUNDUP($C16*35/$P23,0)</f>
        <v>6</v>
      </c>
      <c r="X23" s="2395">
        <f>ROUNDUP($C17*35/$P23,0)</f>
        <v>7</v>
      </c>
      <c r="Y23" s="2383">
        <f>ROUNDUP($C18*35/$P23,0)</f>
        <v>7</v>
      </c>
      <c r="Z23" s="2395">
        <f>ROUNDUP($C19*35/$P23,0)</f>
        <v>8</v>
      </c>
      <c r="AA23" s="2383">
        <f>ROUNDUP($C20*35/$P23,0)</f>
        <v>9</v>
      </c>
      <c r="AB23" s="2395">
        <f>ROUNDUP($C21*35/$P23,0)</f>
        <v>10</v>
      </c>
      <c r="AC23" s="2383">
        <f>ROUNDUP($C22*35/$P23,0)</f>
        <v>11</v>
      </c>
      <c r="AD23" s="2395">
        <f>ROUNDUP($C23*35/$P23,0)</f>
        <v>11</v>
      </c>
      <c r="AE23" s="2383">
        <f>ROUNDUP($C24*35/$P23,0)</f>
        <v>12</v>
      </c>
      <c r="AF23" s="2395">
        <f>ROUNDUP($C25*35/$P23,0)</f>
        <v>13</v>
      </c>
      <c r="AG23" s="2383">
        <f>ROUNDUP($C26*35/$P23,0)</f>
        <v>14</v>
      </c>
      <c r="AH23" s="2395">
        <f>ROUNDUP($C27*35/$P23,0)</f>
        <v>14</v>
      </c>
      <c r="AI23" s="2383">
        <f>ROUNDUP($C28*35/$P23,0)</f>
        <v>15</v>
      </c>
      <c r="AJ23" s="2395">
        <f>ROUNDUP($C29*35/$P23,0)</f>
        <v>16</v>
      </c>
      <c r="AK23" s="2383">
        <f>ROUNDUP($C30*35/$P23,0)</f>
        <v>17</v>
      </c>
      <c r="AL23" s="2395">
        <f>ROUNDUP($C31*35/$P23,0)</f>
        <v>18</v>
      </c>
      <c r="AM23" s="2383" t="e">
        <f>ROUNDUP(#REF!*35/$P23,0)</f>
        <v>#REF!</v>
      </c>
      <c r="AN23" s="2395">
        <f>ROUNDUP($C32*35/$P23,0)</f>
        <v>19</v>
      </c>
      <c r="AO23" s="2383">
        <f>ROUNDUP($C33*35/$P23,0)</f>
        <v>20</v>
      </c>
      <c r="AP23" s="2395" t="e">
        <f>ROUNDUP(#REF!*35/$P23,0)</f>
        <v>#REF!</v>
      </c>
      <c r="AQ23" s="2383">
        <f>ROUNDUP($C34*35/$P23,0)</f>
        <v>21</v>
      </c>
      <c r="AR23" s="2384">
        <f>ROUNDUP($C35*35/$P23,0)</f>
        <v>22</v>
      </c>
    </row>
    <row r="24" spans="2:44" s="1666" customFormat="1" ht="12.95" customHeight="1" thickBot="1">
      <c r="B24" s="427">
        <v>11</v>
      </c>
      <c r="C24" s="511">
        <v>15</v>
      </c>
      <c r="D24" s="2396">
        <f t="shared" si="2"/>
        <v>175</v>
      </c>
      <c r="E24" s="2380">
        <f t="shared" si="4"/>
        <v>132</v>
      </c>
      <c r="F24" s="2380">
        <f t="shared" si="4"/>
        <v>105</v>
      </c>
      <c r="G24" s="2380">
        <f t="shared" si="4"/>
        <v>88</v>
      </c>
      <c r="H24" s="2380">
        <f t="shared" si="4"/>
        <v>66</v>
      </c>
      <c r="I24" s="2380">
        <f t="shared" si="4"/>
        <v>53</v>
      </c>
      <c r="J24" s="2380">
        <f t="shared" si="4"/>
        <v>41</v>
      </c>
      <c r="K24" s="2380">
        <f t="shared" si="4"/>
        <v>38</v>
      </c>
      <c r="L24" s="2380">
        <f t="shared" si="4"/>
        <v>35</v>
      </c>
      <c r="M24" s="2380">
        <f t="shared" ref="M24:N35" si="5">ROUNDUP($C24*35/M$8,0)</f>
        <v>27</v>
      </c>
      <c r="N24" s="2380">
        <f t="shared" si="5"/>
        <v>21</v>
      </c>
      <c r="O24" s="2383">
        <f>IF(O8&gt;35,C24,VLOOKUP(O8,P8:AR31,16,FALSE))</f>
        <v>15</v>
      </c>
      <c r="P24" s="2399">
        <v>50</v>
      </c>
      <c r="Q24" s="2402">
        <f>ROUNDUP($C10*35/$P24,0)</f>
        <v>1</v>
      </c>
      <c r="R24" s="2395">
        <f>ROUNDUP($C11*35/$P24,0)</f>
        <v>2</v>
      </c>
      <c r="S24" s="2383">
        <f>ROUNDUP($C12*35/$P24,0)</f>
        <v>3</v>
      </c>
      <c r="T24" s="2395">
        <f>ROUNDUP($C13*35/$P24,0)</f>
        <v>3</v>
      </c>
      <c r="U24" s="2383">
        <f>ROUNDUP($C14*35/$P24,0)</f>
        <v>4</v>
      </c>
      <c r="V24" s="2395">
        <f>ROUNDUP($C15*35/$P24,0)</f>
        <v>5</v>
      </c>
      <c r="W24" s="2383">
        <f>ROUNDUP($C16*35/$P24,0)</f>
        <v>5</v>
      </c>
      <c r="X24" s="2395">
        <f>ROUNDUP($C17*35/$P24,0)</f>
        <v>6</v>
      </c>
      <c r="Y24" s="2383">
        <f>ROUNDUP($C18*35/$P24,0)</f>
        <v>7</v>
      </c>
      <c r="Z24" s="2395">
        <f>ROUNDUP($C19*35/$P24,0)</f>
        <v>7</v>
      </c>
      <c r="AA24" s="2383">
        <f>ROUNDUP($C20*35/$P24,0)</f>
        <v>8</v>
      </c>
      <c r="AB24" s="2395">
        <f>ROUNDUP($C21*35/$P24,0)</f>
        <v>9</v>
      </c>
      <c r="AC24" s="2383">
        <f>ROUNDUP($C22*35/$P24,0)</f>
        <v>10</v>
      </c>
      <c r="AD24" s="2395">
        <f>ROUNDUP($C23*35/$P24,0)</f>
        <v>10</v>
      </c>
      <c r="AE24" s="2383">
        <f>ROUNDUP($C24*35/$P24,0)</f>
        <v>11</v>
      </c>
      <c r="AF24" s="2395">
        <f>ROUNDUP($C25*35/$P24,0)</f>
        <v>12</v>
      </c>
      <c r="AG24" s="2383">
        <f>ROUNDUP($C26*35/$P24,0)</f>
        <v>12</v>
      </c>
      <c r="AH24" s="2395">
        <f>ROUNDUP($C27*35/$P24,0)</f>
        <v>13</v>
      </c>
      <c r="AI24" s="2383">
        <f>ROUNDUP($C28*35/$P24,0)</f>
        <v>14</v>
      </c>
      <c r="AJ24" s="2395">
        <f>ROUNDUP($C29*35/$P24,0)</f>
        <v>14</v>
      </c>
      <c r="AK24" s="2383">
        <f>ROUNDUP($C30*35/$P24,0)</f>
        <v>15</v>
      </c>
      <c r="AL24" s="2395">
        <f>ROUNDUP($C31*35/$P24,0)</f>
        <v>16</v>
      </c>
      <c r="AM24" s="2383" t="e">
        <f>ROUNDUP(#REF!*35/$P24,0)</f>
        <v>#REF!</v>
      </c>
      <c r="AN24" s="2395">
        <f>ROUNDUP($C32*35/$P24,0)</f>
        <v>17</v>
      </c>
      <c r="AO24" s="2383">
        <f>ROUNDUP($C33*35/$P24,0)</f>
        <v>18</v>
      </c>
      <c r="AP24" s="2395" t="e">
        <f>ROUNDUP(#REF!*35/$P24,0)</f>
        <v>#REF!</v>
      </c>
      <c r="AQ24" s="2383">
        <f>ROUNDUP($C34*35/$P24,0)</f>
        <v>19</v>
      </c>
      <c r="AR24" s="2384">
        <f>ROUNDUP($C35*35/$P24,0)</f>
        <v>20</v>
      </c>
    </row>
    <row r="25" spans="2:44" s="1666" customFormat="1" ht="12.95" customHeight="1" thickBot="1">
      <c r="B25" s="3440">
        <v>12</v>
      </c>
      <c r="C25" s="28">
        <v>16</v>
      </c>
      <c r="D25" s="2394">
        <f t="shared" si="2"/>
        <v>187</v>
      </c>
      <c r="E25" s="2400">
        <f t="shared" si="2"/>
        <v>140</v>
      </c>
      <c r="F25" s="2400">
        <f t="shared" si="2"/>
        <v>112</v>
      </c>
      <c r="G25" s="2400">
        <f t="shared" si="2"/>
        <v>94</v>
      </c>
      <c r="H25" s="2400">
        <f t="shared" si="2"/>
        <v>70</v>
      </c>
      <c r="I25" s="2400">
        <f t="shared" si="2"/>
        <v>56</v>
      </c>
      <c r="J25" s="2400">
        <f t="shared" si="2"/>
        <v>44</v>
      </c>
      <c r="K25" s="2400">
        <f t="shared" si="2"/>
        <v>40</v>
      </c>
      <c r="L25" s="2400">
        <f t="shared" si="2"/>
        <v>38</v>
      </c>
      <c r="M25" s="2400">
        <f t="shared" si="5"/>
        <v>28</v>
      </c>
      <c r="N25" s="2400">
        <f t="shared" si="5"/>
        <v>23</v>
      </c>
      <c r="O25" s="2395">
        <f>IF(O8&gt;35,C25,VLOOKUP(O8,P8:AR31,17,FALSE))</f>
        <v>16</v>
      </c>
      <c r="P25" s="2399">
        <v>55</v>
      </c>
      <c r="Q25" s="2402">
        <f>ROUNDUP($C10*35/$P25,0)</f>
        <v>1</v>
      </c>
      <c r="R25" s="2395">
        <f>ROUNDUP($C11*35/$P25,0)</f>
        <v>2</v>
      </c>
      <c r="S25" s="2383">
        <f>ROUNDUP($C12*35/$P25,0)</f>
        <v>2</v>
      </c>
      <c r="T25" s="2395">
        <f>ROUNDUP($C13*35/$P25,0)</f>
        <v>3</v>
      </c>
      <c r="U25" s="2383">
        <f>ROUNDUP($C14*35/$P25,0)</f>
        <v>4</v>
      </c>
      <c r="V25" s="2395">
        <f>ROUNDUP($C15*35/$P25,0)</f>
        <v>4</v>
      </c>
      <c r="W25" s="2383">
        <f>ROUNDUP($C16*35/$P25,0)</f>
        <v>5</v>
      </c>
      <c r="X25" s="2395">
        <f>ROUNDUP($C17*35/$P25,0)</f>
        <v>6</v>
      </c>
      <c r="Y25" s="2383">
        <f>ROUNDUP($C18*35/$P25,0)</f>
        <v>6</v>
      </c>
      <c r="Z25" s="2395">
        <f>ROUNDUP($C19*35/$P25,0)</f>
        <v>7</v>
      </c>
      <c r="AA25" s="2383">
        <f>ROUNDUP($C20*35/$P25,0)</f>
        <v>7</v>
      </c>
      <c r="AB25" s="2395">
        <f>ROUNDUP($C21*35/$P25,0)</f>
        <v>8</v>
      </c>
      <c r="AC25" s="2383">
        <f>ROUNDUP($C22*35/$P25,0)</f>
        <v>9</v>
      </c>
      <c r="AD25" s="2395">
        <f>ROUNDUP($C23*35/$P25,0)</f>
        <v>9</v>
      </c>
      <c r="AE25" s="2383">
        <f>ROUNDUP($C24*35/$P25,0)</f>
        <v>10</v>
      </c>
      <c r="AF25" s="2395">
        <f>ROUNDUP($C25*35/$P25,0)</f>
        <v>11</v>
      </c>
      <c r="AG25" s="2383">
        <f>ROUNDUP($C26*35/$P25,0)</f>
        <v>11</v>
      </c>
      <c r="AH25" s="2395">
        <f>ROUNDUP($C27*35/$P25,0)</f>
        <v>12</v>
      </c>
      <c r="AI25" s="2383">
        <f>ROUNDUP($C28*35/$P25,0)</f>
        <v>13</v>
      </c>
      <c r="AJ25" s="2395">
        <f>ROUNDUP($C29*35/$P25,0)</f>
        <v>13</v>
      </c>
      <c r="AK25" s="2383">
        <f>ROUNDUP($C30*35/$P25,0)</f>
        <v>14</v>
      </c>
      <c r="AL25" s="2395">
        <f>ROUNDUP($C31*35/$P25,0)</f>
        <v>14</v>
      </c>
      <c r="AM25" s="2383" t="e">
        <f>ROUNDUP(#REF!*35/$P25,0)</f>
        <v>#REF!</v>
      </c>
      <c r="AN25" s="2395">
        <f>ROUNDUP($C32*35/$P25,0)</f>
        <v>16</v>
      </c>
      <c r="AO25" s="2383">
        <f>ROUNDUP($C33*35/$P25,0)</f>
        <v>16</v>
      </c>
      <c r="AP25" s="2395" t="e">
        <f>ROUNDUP(#REF!*35/$P25,0)</f>
        <v>#REF!</v>
      </c>
      <c r="AQ25" s="2383">
        <f>ROUNDUP($C34*35/$P25,0)</f>
        <v>18</v>
      </c>
      <c r="AR25" s="2384">
        <f>ROUNDUP($C35*35/$P25,0)</f>
        <v>18</v>
      </c>
    </row>
    <row r="26" spans="2:44" s="1666" customFormat="1" ht="12.95" customHeight="1" thickBot="1">
      <c r="B26" s="3440"/>
      <c r="C26" s="511">
        <v>17</v>
      </c>
      <c r="D26" s="2396">
        <f t="shared" si="2"/>
        <v>199</v>
      </c>
      <c r="E26" s="2380">
        <f t="shared" si="2"/>
        <v>149</v>
      </c>
      <c r="F26" s="2380">
        <f t="shared" si="2"/>
        <v>119</v>
      </c>
      <c r="G26" s="2380">
        <f t="shared" si="2"/>
        <v>100</v>
      </c>
      <c r="H26" s="2380">
        <f t="shared" si="2"/>
        <v>75</v>
      </c>
      <c r="I26" s="2380">
        <f t="shared" si="2"/>
        <v>60</v>
      </c>
      <c r="J26" s="2380">
        <f t="shared" si="2"/>
        <v>46</v>
      </c>
      <c r="K26" s="2380">
        <f t="shared" si="2"/>
        <v>43</v>
      </c>
      <c r="L26" s="2380">
        <f t="shared" si="2"/>
        <v>40</v>
      </c>
      <c r="M26" s="2380">
        <f t="shared" si="5"/>
        <v>30</v>
      </c>
      <c r="N26" s="2380">
        <f t="shared" si="5"/>
        <v>24</v>
      </c>
      <c r="O26" s="2383">
        <f>IF(O8&gt;35,C26,VLOOKUP(O8,P8:AR31,18,FALSE))</f>
        <v>17</v>
      </c>
      <c r="P26" s="2399">
        <v>60</v>
      </c>
      <c r="Q26" s="2402">
        <f>ROUNDUP($C10*35/$P26,0)</f>
        <v>1</v>
      </c>
      <c r="R26" s="2395">
        <f>ROUNDUP($C11*35/$P26,0)</f>
        <v>2</v>
      </c>
      <c r="S26" s="2383">
        <f>ROUNDUP($C12*35/$P26,0)</f>
        <v>2</v>
      </c>
      <c r="T26" s="2395">
        <f>ROUNDUP($C13*35/$P26,0)</f>
        <v>3</v>
      </c>
      <c r="U26" s="2383">
        <f>ROUNDUP($C14*35/$P26,0)</f>
        <v>3</v>
      </c>
      <c r="V26" s="2395">
        <f>ROUNDUP($C15*35/$P26,0)</f>
        <v>4</v>
      </c>
      <c r="W26" s="2383">
        <f>ROUNDUP($C16*35/$P26,0)</f>
        <v>5</v>
      </c>
      <c r="X26" s="2395">
        <f>ROUNDUP($C17*35/$P26,0)</f>
        <v>5</v>
      </c>
      <c r="Y26" s="2383">
        <f>ROUNDUP($C18*35/$P26,0)</f>
        <v>6</v>
      </c>
      <c r="Z26" s="2395">
        <f>ROUNDUP($C19*35/$P26,0)</f>
        <v>6</v>
      </c>
      <c r="AA26" s="2383">
        <f>ROUNDUP($C20*35/$P26,0)</f>
        <v>7</v>
      </c>
      <c r="AB26" s="2395">
        <f>ROUNDUP($C21*35/$P26,0)</f>
        <v>7</v>
      </c>
      <c r="AC26" s="2383">
        <f>ROUNDUP($C22*35/$P26,0)</f>
        <v>8</v>
      </c>
      <c r="AD26" s="2395">
        <f>ROUNDUP($C23*35/$P26,0)</f>
        <v>9</v>
      </c>
      <c r="AE26" s="2383">
        <f>ROUNDUP($C24*35/$P26,0)</f>
        <v>9</v>
      </c>
      <c r="AF26" s="2395">
        <f>ROUNDUP($C25*35/$P26,0)</f>
        <v>10</v>
      </c>
      <c r="AG26" s="2383">
        <f>ROUNDUP($C26*35/$P26,0)</f>
        <v>10</v>
      </c>
      <c r="AH26" s="2395">
        <f>ROUNDUP($C27*35/$P26,0)</f>
        <v>11</v>
      </c>
      <c r="AI26" s="2383">
        <f>ROUNDUP($C28*35/$P26,0)</f>
        <v>12</v>
      </c>
      <c r="AJ26" s="2395">
        <f>ROUNDUP($C29*35/$P26,0)</f>
        <v>12</v>
      </c>
      <c r="AK26" s="2383">
        <f>ROUNDUP($C30*35/$P26,0)</f>
        <v>13</v>
      </c>
      <c r="AL26" s="2395">
        <f>ROUNDUP($C31*35/$P26,0)</f>
        <v>13</v>
      </c>
      <c r="AM26" s="2383" t="e">
        <f>ROUNDUP(#REF!*35/$P26,0)</f>
        <v>#REF!</v>
      </c>
      <c r="AN26" s="2395">
        <f>ROUNDUP($C32*35/$P26,0)</f>
        <v>14</v>
      </c>
      <c r="AO26" s="2383">
        <f>ROUNDUP($C33*35/$P26,0)</f>
        <v>15</v>
      </c>
      <c r="AP26" s="2395" t="e">
        <f>ROUNDUP(#REF!*35/$P26,0)</f>
        <v>#REF!</v>
      </c>
      <c r="AQ26" s="2383">
        <f>ROUNDUP($C34*35/$P26,0)</f>
        <v>16</v>
      </c>
      <c r="AR26" s="2384">
        <f>ROUNDUP($C35*35/$P26,0)</f>
        <v>17</v>
      </c>
    </row>
    <row r="27" spans="2:44" s="1666" customFormat="1" ht="12.95" customHeight="1" thickBot="1">
      <c r="B27" s="438">
        <v>13</v>
      </c>
      <c r="C27" s="28">
        <v>18</v>
      </c>
      <c r="D27" s="2394">
        <f t="shared" si="2"/>
        <v>210</v>
      </c>
      <c r="E27" s="2400">
        <f t="shared" si="2"/>
        <v>158</v>
      </c>
      <c r="F27" s="2400">
        <f t="shared" si="2"/>
        <v>126</v>
      </c>
      <c r="G27" s="2400">
        <f t="shared" si="2"/>
        <v>105</v>
      </c>
      <c r="H27" s="2400">
        <f t="shared" si="2"/>
        <v>79</v>
      </c>
      <c r="I27" s="2400">
        <f t="shared" si="2"/>
        <v>63</v>
      </c>
      <c r="J27" s="2400">
        <f t="shared" si="2"/>
        <v>49</v>
      </c>
      <c r="K27" s="2400">
        <f t="shared" si="2"/>
        <v>45</v>
      </c>
      <c r="L27" s="2400">
        <f t="shared" si="2"/>
        <v>42</v>
      </c>
      <c r="M27" s="2400">
        <f t="shared" si="5"/>
        <v>32</v>
      </c>
      <c r="N27" s="2400">
        <f t="shared" si="5"/>
        <v>26</v>
      </c>
      <c r="O27" s="2395">
        <f>IF(O8&gt;35,C27,VLOOKUP(O8,P8:AR31,19,FALSE))</f>
        <v>18</v>
      </c>
      <c r="P27" s="2399">
        <v>65</v>
      </c>
      <c r="Q27" s="2402">
        <f>ROUNDUP($C10*35/$P27,0)</f>
        <v>1</v>
      </c>
      <c r="R27" s="2395">
        <f>ROUNDUP($C11*35/$P27,0)</f>
        <v>2</v>
      </c>
      <c r="S27" s="2383">
        <f>ROUNDUP($C12*35/$P27,0)</f>
        <v>2</v>
      </c>
      <c r="T27" s="2395">
        <f>ROUNDUP($C13*35/$P27,0)</f>
        <v>3</v>
      </c>
      <c r="U27" s="2383">
        <f>ROUNDUP($C14*35/$P27,0)</f>
        <v>3</v>
      </c>
      <c r="V27" s="2395">
        <f>ROUNDUP($C15*35/$P27,0)</f>
        <v>4</v>
      </c>
      <c r="W27" s="2383">
        <f>ROUNDUP($C16*35/$P27,0)</f>
        <v>4</v>
      </c>
      <c r="X27" s="2395">
        <f>ROUNDUP($C17*35/$P27,0)</f>
        <v>5</v>
      </c>
      <c r="Y27" s="2383">
        <f>ROUNDUP($C18*35/$P27,0)</f>
        <v>5</v>
      </c>
      <c r="Z27" s="2395">
        <f>ROUNDUP($C19*35/$P27,0)</f>
        <v>6</v>
      </c>
      <c r="AA27" s="2383">
        <f>ROUNDUP($C20*35/$P27,0)</f>
        <v>6</v>
      </c>
      <c r="AB27" s="2395">
        <f>ROUNDUP($C21*35/$P27,0)</f>
        <v>7</v>
      </c>
      <c r="AC27" s="2383">
        <f>ROUNDUP($C22*35/$P27,0)</f>
        <v>7</v>
      </c>
      <c r="AD27" s="2395">
        <f>ROUNDUP($C23*35/$P27,0)</f>
        <v>8</v>
      </c>
      <c r="AE27" s="2383">
        <f>ROUNDUP($C24*35/$P27,0)</f>
        <v>9</v>
      </c>
      <c r="AF27" s="2395">
        <f>ROUNDUP($C25*35/$P27,0)</f>
        <v>9</v>
      </c>
      <c r="AG27" s="2383">
        <f>ROUNDUP($C26*35/$P27,0)</f>
        <v>10</v>
      </c>
      <c r="AH27" s="2395">
        <f>ROUNDUP($C27*35/$P27,0)</f>
        <v>10</v>
      </c>
      <c r="AI27" s="2383">
        <f>ROUNDUP($C28*35/$P27,0)</f>
        <v>11</v>
      </c>
      <c r="AJ27" s="2395">
        <f>ROUNDUP($C29*35/$P27,0)</f>
        <v>11</v>
      </c>
      <c r="AK27" s="2383">
        <f>ROUNDUP($C30*35/$P27,0)</f>
        <v>12</v>
      </c>
      <c r="AL27" s="2395">
        <f>ROUNDUP($C31*35/$P27,0)</f>
        <v>12</v>
      </c>
      <c r="AM27" s="2383" t="e">
        <f>ROUNDUP(#REF!*35/$P27,0)</f>
        <v>#REF!</v>
      </c>
      <c r="AN27" s="2395">
        <f>ROUNDUP($C32*35/$P27,0)</f>
        <v>13</v>
      </c>
      <c r="AO27" s="2383">
        <f>ROUNDUP($C33*35/$P27,0)</f>
        <v>14</v>
      </c>
      <c r="AP27" s="2395" t="e">
        <f>ROUNDUP(#REF!*35/$P27,0)</f>
        <v>#REF!</v>
      </c>
      <c r="AQ27" s="2383">
        <f>ROUNDUP($C34*35/$P27,0)</f>
        <v>15</v>
      </c>
      <c r="AR27" s="2384">
        <f>ROUNDUP($C35*35/$P27,0)</f>
        <v>16</v>
      </c>
    </row>
    <row r="28" spans="2:44" s="1666" customFormat="1" ht="12.95" customHeight="1" thickBot="1">
      <c r="B28" s="3440">
        <v>14</v>
      </c>
      <c r="C28" s="511">
        <v>19</v>
      </c>
      <c r="D28" s="2396">
        <f t="shared" si="2"/>
        <v>222</v>
      </c>
      <c r="E28" s="2380">
        <f t="shared" si="2"/>
        <v>167</v>
      </c>
      <c r="F28" s="2380">
        <f t="shared" si="2"/>
        <v>133</v>
      </c>
      <c r="G28" s="2380">
        <f t="shared" si="2"/>
        <v>111</v>
      </c>
      <c r="H28" s="2380">
        <f t="shared" si="2"/>
        <v>84</v>
      </c>
      <c r="I28" s="2380">
        <f t="shared" si="2"/>
        <v>67</v>
      </c>
      <c r="J28" s="2380">
        <f t="shared" si="2"/>
        <v>52</v>
      </c>
      <c r="K28" s="2380">
        <f t="shared" si="2"/>
        <v>48</v>
      </c>
      <c r="L28" s="2380">
        <f t="shared" si="2"/>
        <v>45</v>
      </c>
      <c r="M28" s="2380">
        <f t="shared" si="5"/>
        <v>34</v>
      </c>
      <c r="N28" s="2380">
        <f t="shared" si="5"/>
        <v>27</v>
      </c>
      <c r="O28" s="2383">
        <f>IF(O8&gt;35,C28,VLOOKUP(O8,P8:AR31,20,FALSE))</f>
        <v>19</v>
      </c>
      <c r="P28" s="2399">
        <v>70</v>
      </c>
      <c r="Q28" s="2402">
        <f>ROUNDUP($C10*35/$P28,0)</f>
        <v>1</v>
      </c>
      <c r="R28" s="2395">
        <f>ROUNDUP($C11*35/$P28,0)</f>
        <v>1</v>
      </c>
      <c r="S28" s="2383">
        <f>ROUNDUP($C12*35/$P28,0)</f>
        <v>2</v>
      </c>
      <c r="T28" s="2395">
        <f>ROUNDUP($C13*35/$P28,0)</f>
        <v>2</v>
      </c>
      <c r="U28" s="2383">
        <f>ROUNDUP($C14*35/$P28,0)</f>
        <v>3</v>
      </c>
      <c r="V28" s="2395">
        <f>ROUNDUP($C15*35/$P28,0)</f>
        <v>3</v>
      </c>
      <c r="W28" s="2383">
        <f>ROUNDUP($C16*35/$P28,0)</f>
        <v>4</v>
      </c>
      <c r="X28" s="2395">
        <f>ROUNDUP($C17*35/$P28,0)</f>
        <v>4</v>
      </c>
      <c r="Y28" s="2383">
        <f>ROUNDUP($C18*35/$P28,0)</f>
        <v>5</v>
      </c>
      <c r="Z28" s="2395">
        <f>ROUNDUP($C19*35/$P28,0)</f>
        <v>5</v>
      </c>
      <c r="AA28" s="2383">
        <f>ROUNDUP($C20*35/$P28,0)</f>
        <v>6</v>
      </c>
      <c r="AB28" s="2395">
        <f>ROUNDUP($C21*35/$P28,0)</f>
        <v>6</v>
      </c>
      <c r="AC28" s="2383">
        <f>ROUNDUP($C22*35/$P28,0)</f>
        <v>7</v>
      </c>
      <c r="AD28" s="2395">
        <f>ROUNDUP($C23*35/$P28,0)</f>
        <v>7</v>
      </c>
      <c r="AE28" s="2383">
        <f>ROUNDUP($C24*35/$P28,0)</f>
        <v>8</v>
      </c>
      <c r="AF28" s="2395">
        <f>ROUNDUP($C25*35/$P28,0)</f>
        <v>8</v>
      </c>
      <c r="AG28" s="2383">
        <f>ROUNDUP($C26*35/$P28,0)</f>
        <v>9</v>
      </c>
      <c r="AH28" s="2395">
        <f>ROUNDUP($C27*35/$P28,0)</f>
        <v>9</v>
      </c>
      <c r="AI28" s="2383">
        <f>ROUNDUP($C28*35/$P28,0)</f>
        <v>10</v>
      </c>
      <c r="AJ28" s="2395">
        <f>ROUNDUP($C29*35/$P28,0)</f>
        <v>10</v>
      </c>
      <c r="AK28" s="2383">
        <f>ROUNDUP($C30*35/$P28,0)</f>
        <v>11</v>
      </c>
      <c r="AL28" s="2395">
        <f>ROUNDUP($C31*35/$P28,0)</f>
        <v>11</v>
      </c>
      <c r="AM28" s="2383" t="e">
        <f>ROUNDUP(#REF!*35/$P28,0)</f>
        <v>#REF!</v>
      </c>
      <c r="AN28" s="2395">
        <f>ROUNDUP($C32*35/$P28,0)</f>
        <v>12</v>
      </c>
      <c r="AO28" s="2383">
        <f>ROUNDUP($C33*35/$P28,0)</f>
        <v>13</v>
      </c>
      <c r="AP28" s="2395" t="e">
        <f>ROUNDUP(#REF!*35/$P28,0)</f>
        <v>#REF!</v>
      </c>
      <c r="AQ28" s="2383">
        <f>ROUNDUP($C34*35/$P28,0)</f>
        <v>14</v>
      </c>
      <c r="AR28" s="2384">
        <f>ROUNDUP($C35*35/$P28,0)</f>
        <v>14</v>
      </c>
    </row>
    <row r="29" spans="2:44" s="1666" customFormat="1" ht="12.95" customHeight="1" thickBot="1">
      <c r="B29" s="3440"/>
      <c r="C29" s="28">
        <v>20</v>
      </c>
      <c r="D29" s="2394">
        <f t="shared" si="2"/>
        <v>234</v>
      </c>
      <c r="E29" s="2400">
        <f t="shared" si="2"/>
        <v>175</v>
      </c>
      <c r="F29" s="2400">
        <f t="shared" si="2"/>
        <v>140</v>
      </c>
      <c r="G29" s="2400">
        <f t="shared" si="2"/>
        <v>117</v>
      </c>
      <c r="H29" s="2400">
        <f t="shared" si="2"/>
        <v>88</v>
      </c>
      <c r="I29" s="2400">
        <f t="shared" si="2"/>
        <v>70</v>
      </c>
      <c r="J29" s="2400">
        <f t="shared" si="2"/>
        <v>54</v>
      </c>
      <c r="K29" s="2400">
        <f t="shared" si="2"/>
        <v>50</v>
      </c>
      <c r="L29" s="2400">
        <f t="shared" si="2"/>
        <v>47</v>
      </c>
      <c r="M29" s="2400">
        <f t="shared" si="5"/>
        <v>35</v>
      </c>
      <c r="N29" s="2400">
        <f t="shared" si="5"/>
        <v>28</v>
      </c>
      <c r="O29" s="2395">
        <f>IF(O8&gt;35,C29,VLOOKUP(O8,P8:AR31,21,FALSE))</f>
        <v>20</v>
      </c>
      <c r="P29" s="2399">
        <v>75</v>
      </c>
      <c r="Q29" s="2402">
        <f>ROUNDUP($C10*35/$P29,0)</f>
        <v>1</v>
      </c>
      <c r="R29" s="2395">
        <f>ROUNDUP($C11*35/$P29,0)</f>
        <v>1</v>
      </c>
      <c r="S29" s="2383">
        <f>ROUNDUP($C12*35/$P29,0)</f>
        <v>2</v>
      </c>
      <c r="T29" s="2395">
        <f>ROUNDUP($C13*35/$P29,0)</f>
        <v>2</v>
      </c>
      <c r="U29" s="2383">
        <f>ROUNDUP($C14*35/$P29,0)</f>
        <v>3</v>
      </c>
      <c r="V29" s="2395">
        <f>ROUNDUP($C15*35/$P29,0)</f>
        <v>3</v>
      </c>
      <c r="W29" s="2383">
        <f>ROUNDUP($C16*35/$P29,0)</f>
        <v>4</v>
      </c>
      <c r="X29" s="2395">
        <f>ROUNDUP($C17*35/$P29,0)</f>
        <v>4</v>
      </c>
      <c r="Y29" s="2383">
        <f>ROUNDUP($C18*35/$P29,0)</f>
        <v>5</v>
      </c>
      <c r="Z29" s="2395">
        <f>ROUNDUP($C19*35/$P29,0)</f>
        <v>5</v>
      </c>
      <c r="AA29" s="2383">
        <f>ROUNDUP($C20*35/$P29,0)</f>
        <v>6</v>
      </c>
      <c r="AB29" s="2395">
        <f>ROUNDUP($C21*35/$P29,0)</f>
        <v>6</v>
      </c>
      <c r="AC29" s="2383">
        <f>ROUNDUP($C22*35/$P29,0)</f>
        <v>7</v>
      </c>
      <c r="AD29" s="2395">
        <f>ROUNDUP($C23*35/$P29,0)</f>
        <v>7</v>
      </c>
      <c r="AE29" s="2383">
        <f>ROUNDUP($C24*35/$P29,0)</f>
        <v>7</v>
      </c>
      <c r="AF29" s="2395">
        <f>ROUNDUP($C25*35/$P29,0)</f>
        <v>8</v>
      </c>
      <c r="AG29" s="2383">
        <f>ROUNDUP($C26*35/$P29,0)</f>
        <v>8</v>
      </c>
      <c r="AH29" s="2395">
        <f>ROUNDUP($C27*35/$P29,0)</f>
        <v>9</v>
      </c>
      <c r="AI29" s="2383">
        <f>ROUNDUP($C28*35/$P29,0)</f>
        <v>9</v>
      </c>
      <c r="AJ29" s="2395">
        <f>ROUNDUP($C29*35/$P29,0)</f>
        <v>10</v>
      </c>
      <c r="AK29" s="2383">
        <f>ROUNDUP($C30*35/$P29,0)</f>
        <v>10</v>
      </c>
      <c r="AL29" s="2395">
        <f>ROUNDUP($C31*35/$P29,0)</f>
        <v>11</v>
      </c>
      <c r="AM29" s="2383" t="e">
        <f>ROUNDUP(#REF!*35/$P29,0)</f>
        <v>#REF!</v>
      </c>
      <c r="AN29" s="2395">
        <f>ROUNDUP($C32*35/$P29,0)</f>
        <v>12</v>
      </c>
      <c r="AO29" s="2383">
        <f>ROUNDUP($C33*35/$P29,0)</f>
        <v>12</v>
      </c>
      <c r="AP29" s="2395" t="e">
        <f>ROUNDUP(#REF!*35/$P29,0)</f>
        <v>#REF!</v>
      </c>
      <c r="AQ29" s="2383">
        <f>ROUNDUP($C34*35/$P29,0)</f>
        <v>13</v>
      </c>
      <c r="AR29" s="2384">
        <f>ROUNDUP($C35*35/$P29,0)</f>
        <v>14</v>
      </c>
    </row>
    <row r="30" spans="2:44" s="1666" customFormat="1" ht="12.95" customHeight="1" thickBot="1">
      <c r="B30" s="427">
        <v>15</v>
      </c>
      <c r="C30" s="511">
        <v>21</v>
      </c>
      <c r="D30" s="2396">
        <f t="shared" si="2"/>
        <v>245</v>
      </c>
      <c r="E30" s="2380">
        <f t="shared" si="2"/>
        <v>184</v>
      </c>
      <c r="F30" s="2380">
        <f t="shared" si="2"/>
        <v>147</v>
      </c>
      <c r="G30" s="2380">
        <f t="shared" si="2"/>
        <v>123</v>
      </c>
      <c r="H30" s="2380">
        <f t="shared" si="2"/>
        <v>92</v>
      </c>
      <c r="I30" s="2380">
        <f t="shared" si="2"/>
        <v>74</v>
      </c>
      <c r="J30" s="2380">
        <f t="shared" si="2"/>
        <v>57</v>
      </c>
      <c r="K30" s="2380">
        <f t="shared" si="2"/>
        <v>53</v>
      </c>
      <c r="L30" s="2380">
        <f t="shared" si="2"/>
        <v>49</v>
      </c>
      <c r="M30" s="2380">
        <f t="shared" si="5"/>
        <v>37</v>
      </c>
      <c r="N30" s="2380">
        <f t="shared" si="5"/>
        <v>30</v>
      </c>
      <c r="O30" s="2383">
        <f>IF(O8&gt;35,C30,VLOOKUP(O8,P8:AR31,22,FALSE))</f>
        <v>21</v>
      </c>
      <c r="P30" s="2399">
        <v>80</v>
      </c>
      <c r="Q30" s="2402">
        <f>ROUNDUP($C10*35/$P30,0)</f>
        <v>1</v>
      </c>
      <c r="R30" s="2395">
        <f>ROUNDUP($C11*35/$P30,0)</f>
        <v>1</v>
      </c>
      <c r="S30" s="2383">
        <f>ROUNDUP($C12*35/$P30,0)</f>
        <v>2</v>
      </c>
      <c r="T30" s="2395">
        <f>ROUNDUP($C13*35/$P30,0)</f>
        <v>2</v>
      </c>
      <c r="U30" s="2383">
        <f>ROUNDUP($C14*35/$P30,0)</f>
        <v>3</v>
      </c>
      <c r="V30" s="2395">
        <f>ROUNDUP($C15*35/$P30,0)</f>
        <v>3</v>
      </c>
      <c r="W30" s="2383">
        <f>ROUNDUP($C16*35/$P30,0)</f>
        <v>4</v>
      </c>
      <c r="X30" s="2395">
        <f>ROUNDUP($C17*35/$P30,0)</f>
        <v>4</v>
      </c>
      <c r="Y30" s="2383">
        <f>ROUNDUP($C18*35/$P30,0)</f>
        <v>4</v>
      </c>
      <c r="Z30" s="2395">
        <f>ROUNDUP($C19*35/$P30,0)</f>
        <v>5</v>
      </c>
      <c r="AA30" s="2383">
        <f>ROUNDUP($C20*35/$P30,0)</f>
        <v>5</v>
      </c>
      <c r="AB30" s="2395">
        <f>ROUNDUP($C21*35/$P30,0)</f>
        <v>6</v>
      </c>
      <c r="AC30" s="2383">
        <f>ROUNDUP($C22*35/$P30,0)</f>
        <v>6</v>
      </c>
      <c r="AD30" s="2395">
        <f>ROUNDUP($C23*35/$P30,0)</f>
        <v>7</v>
      </c>
      <c r="AE30" s="2383">
        <f>ROUNDUP($C24*35/$P30,0)</f>
        <v>7</v>
      </c>
      <c r="AF30" s="2395">
        <f>ROUNDUP($C25*35/$P30,0)</f>
        <v>7</v>
      </c>
      <c r="AG30" s="2383">
        <f>ROUNDUP($C26*35/$P30,0)</f>
        <v>8</v>
      </c>
      <c r="AH30" s="2395">
        <f>ROUNDUP($C27*35/$P30,0)</f>
        <v>8</v>
      </c>
      <c r="AI30" s="2383">
        <f>ROUNDUP($C28*35/$P30,0)</f>
        <v>9</v>
      </c>
      <c r="AJ30" s="2395">
        <f>ROUNDUP($C29*35/$P30,0)</f>
        <v>9</v>
      </c>
      <c r="AK30" s="2383">
        <f>ROUNDUP($C30*35/$P30,0)</f>
        <v>10</v>
      </c>
      <c r="AL30" s="2395">
        <f>ROUNDUP($C31*35/$P30,0)</f>
        <v>10</v>
      </c>
      <c r="AM30" s="2383" t="e">
        <f>ROUNDUP(#REF!*35/$P30,0)</f>
        <v>#REF!</v>
      </c>
      <c r="AN30" s="2395">
        <f>ROUNDUP($C32*35/$P30,0)</f>
        <v>11</v>
      </c>
      <c r="AO30" s="2383">
        <f>ROUNDUP($C33*35/$P30,0)</f>
        <v>11</v>
      </c>
      <c r="AP30" s="2395" t="e">
        <f>ROUNDUP(#REF!*35/$P30,0)</f>
        <v>#REF!</v>
      </c>
      <c r="AQ30" s="2383">
        <f>ROUNDUP($C34*35/$P30,0)</f>
        <v>12</v>
      </c>
      <c r="AR30" s="2384">
        <f>ROUNDUP($C35*35/$P30,0)</f>
        <v>13</v>
      </c>
    </row>
    <row r="31" spans="2:44" s="1666" customFormat="1" ht="12.95" customHeight="1" thickBot="1">
      <c r="B31" s="438">
        <v>16</v>
      </c>
      <c r="C31" s="28">
        <v>22</v>
      </c>
      <c r="D31" s="2394">
        <f t="shared" si="2"/>
        <v>257</v>
      </c>
      <c r="E31" s="2400">
        <f t="shared" si="2"/>
        <v>193</v>
      </c>
      <c r="F31" s="2400">
        <f t="shared" si="2"/>
        <v>154</v>
      </c>
      <c r="G31" s="2400">
        <f t="shared" si="2"/>
        <v>129</v>
      </c>
      <c r="H31" s="2400">
        <f t="shared" si="2"/>
        <v>97</v>
      </c>
      <c r="I31" s="2400">
        <f t="shared" si="2"/>
        <v>77</v>
      </c>
      <c r="J31" s="2400">
        <f t="shared" si="2"/>
        <v>60</v>
      </c>
      <c r="K31" s="2400">
        <f t="shared" si="2"/>
        <v>55</v>
      </c>
      <c r="L31" s="2400">
        <f t="shared" si="2"/>
        <v>52</v>
      </c>
      <c r="M31" s="2400">
        <f t="shared" si="5"/>
        <v>39</v>
      </c>
      <c r="N31" s="2400">
        <f t="shared" si="5"/>
        <v>31</v>
      </c>
      <c r="O31" s="2395">
        <f>IF(O8&gt;35,C31,VLOOKUP(O8,P8:AR31,23,FALSE))</f>
        <v>22</v>
      </c>
      <c r="P31" s="2399">
        <v>90</v>
      </c>
      <c r="Q31" s="2402">
        <f>ROUNDUP($C10*35/$P31,0)</f>
        <v>1</v>
      </c>
      <c r="R31" s="2395">
        <f>ROUNDUP($C11*35/$P31,0)</f>
        <v>1</v>
      </c>
      <c r="S31" s="2383">
        <f>ROUNDUP($C12*35/$P31,0)</f>
        <v>2</v>
      </c>
      <c r="T31" s="2395">
        <f>ROUNDUP($C13*35/$P31,0)</f>
        <v>2</v>
      </c>
      <c r="U31" s="2383">
        <f>ROUNDUP($C14*35/$P31,0)</f>
        <v>2</v>
      </c>
      <c r="V31" s="2395">
        <f>ROUNDUP($C15*35/$P31,0)</f>
        <v>3</v>
      </c>
      <c r="W31" s="2383">
        <f>ROUNDUP($C16*35/$P31,0)</f>
        <v>3</v>
      </c>
      <c r="X31" s="2395">
        <f>ROUNDUP($C17*35/$P31,0)</f>
        <v>4</v>
      </c>
      <c r="Y31" s="2383">
        <f>ROUNDUP($C18*35/$P31,0)</f>
        <v>4</v>
      </c>
      <c r="Z31" s="2395">
        <f>ROUNDUP($C19*35/$P31,0)</f>
        <v>4</v>
      </c>
      <c r="AA31" s="2383">
        <f>ROUNDUP($C20*35/$P31,0)</f>
        <v>5</v>
      </c>
      <c r="AB31" s="2395">
        <f>ROUNDUP($C21*35/$P31,0)</f>
        <v>5</v>
      </c>
      <c r="AC31" s="2383">
        <f>ROUNDUP($C22*35/$P31,0)</f>
        <v>6</v>
      </c>
      <c r="AD31" s="2395">
        <f>ROUNDUP($C23*35/$P31,0)</f>
        <v>6</v>
      </c>
      <c r="AE31" s="2383">
        <f>ROUNDUP($C24*35/$P31,0)</f>
        <v>6</v>
      </c>
      <c r="AF31" s="2395">
        <f>ROUNDUP($C25*35/$P31,0)</f>
        <v>7</v>
      </c>
      <c r="AG31" s="2383">
        <f>ROUNDUP($C26*35/$P31,0)</f>
        <v>7</v>
      </c>
      <c r="AH31" s="2395">
        <f>ROUNDUP($C27*35/$P31,0)</f>
        <v>7</v>
      </c>
      <c r="AI31" s="2383">
        <f>ROUNDUP($C28*35/$P31,0)</f>
        <v>8</v>
      </c>
      <c r="AJ31" s="2395">
        <f>ROUNDUP($C29*35/$P31,0)</f>
        <v>8</v>
      </c>
      <c r="AK31" s="2383">
        <f>ROUNDUP($C30*35/$P31,0)</f>
        <v>9</v>
      </c>
      <c r="AL31" s="2395">
        <f>ROUNDUP($C31*35/$P31,0)</f>
        <v>9</v>
      </c>
      <c r="AM31" s="2383" t="e">
        <f>ROUNDUP(#REF!*35/$P31,0)</f>
        <v>#REF!</v>
      </c>
      <c r="AN31" s="2395">
        <f>ROUNDUP($C32*35/$P31,0)</f>
        <v>10</v>
      </c>
      <c r="AO31" s="2383">
        <f>ROUNDUP($C33*35/$P31,0)</f>
        <v>10</v>
      </c>
      <c r="AP31" s="2395" t="e">
        <f>ROUNDUP(#REF!*35/$P31,0)</f>
        <v>#REF!</v>
      </c>
      <c r="AQ31" s="2383">
        <f>ROUNDUP($C34*35/$P31,0)</f>
        <v>11</v>
      </c>
      <c r="AR31" s="2384">
        <f>ROUNDUP($C35*35/$P31,0)</f>
        <v>11</v>
      </c>
    </row>
    <row r="32" spans="2:44" s="1666" customFormat="1" ht="12.95" customHeight="1">
      <c r="B32" s="427">
        <v>17</v>
      </c>
      <c r="C32" s="28">
        <v>24</v>
      </c>
      <c r="D32" s="2394">
        <f t="shared" si="2"/>
        <v>280</v>
      </c>
      <c r="E32" s="2400">
        <f t="shared" si="2"/>
        <v>210</v>
      </c>
      <c r="F32" s="2400">
        <f t="shared" si="2"/>
        <v>168</v>
      </c>
      <c r="G32" s="2400">
        <f t="shared" si="2"/>
        <v>140</v>
      </c>
      <c r="H32" s="2400">
        <f t="shared" si="2"/>
        <v>105</v>
      </c>
      <c r="I32" s="2400">
        <f t="shared" si="2"/>
        <v>84</v>
      </c>
      <c r="J32" s="2400">
        <f t="shared" si="2"/>
        <v>65</v>
      </c>
      <c r="K32" s="2400">
        <f t="shared" si="2"/>
        <v>60</v>
      </c>
      <c r="L32" s="2400">
        <f t="shared" si="2"/>
        <v>56</v>
      </c>
      <c r="M32" s="2400">
        <f t="shared" si="5"/>
        <v>42</v>
      </c>
      <c r="N32" s="2400">
        <f t="shared" si="5"/>
        <v>34</v>
      </c>
      <c r="O32" s="2395">
        <f>IF(O8&gt;35,C32,VLOOKUP(O8,P8:AR31,25,FALSE))</f>
        <v>24</v>
      </c>
    </row>
    <row r="33" spans="2:15" s="1666" customFormat="1" ht="12.95" customHeight="1">
      <c r="B33" s="427">
        <v>18</v>
      </c>
      <c r="C33" s="511">
        <v>25</v>
      </c>
      <c r="D33" s="2396">
        <f t="shared" si="2"/>
        <v>292</v>
      </c>
      <c r="E33" s="2380">
        <f t="shared" si="2"/>
        <v>219</v>
      </c>
      <c r="F33" s="2380">
        <f t="shared" si="2"/>
        <v>175</v>
      </c>
      <c r="G33" s="2380">
        <f t="shared" si="2"/>
        <v>146</v>
      </c>
      <c r="H33" s="2380">
        <f t="shared" si="2"/>
        <v>110</v>
      </c>
      <c r="I33" s="2380">
        <f t="shared" si="2"/>
        <v>88</v>
      </c>
      <c r="J33" s="2380">
        <f t="shared" si="2"/>
        <v>68</v>
      </c>
      <c r="K33" s="2380">
        <f t="shared" si="2"/>
        <v>63</v>
      </c>
      <c r="L33" s="2380">
        <f t="shared" si="2"/>
        <v>59</v>
      </c>
      <c r="M33" s="2380">
        <f t="shared" si="5"/>
        <v>44</v>
      </c>
      <c r="N33" s="2380">
        <f t="shared" si="5"/>
        <v>35</v>
      </c>
      <c r="O33" s="2383">
        <f>IF(O8&gt;35,C33,VLOOKUP(O8,P8:AR31,26,FALSE))</f>
        <v>25</v>
      </c>
    </row>
    <row r="34" spans="2:15" s="1666" customFormat="1" ht="12.95" customHeight="1">
      <c r="B34" s="427">
        <v>19</v>
      </c>
      <c r="C34" s="511">
        <v>27</v>
      </c>
      <c r="D34" s="2396">
        <f t="shared" si="2"/>
        <v>315</v>
      </c>
      <c r="E34" s="2380">
        <f t="shared" si="2"/>
        <v>237</v>
      </c>
      <c r="F34" s="2380">
        <f t="shared" si="2"/>
        <v>189</v>
      </c>
      <c r="G34" s="2380">
        <f t="shared" si="2"/>
        <v>158</v>
      </c>
      <c r="H34" s="2380">
        <f t="shared" si="2"/>
        <v>119</v>
      </c>
      <c r="I34" s="2380">
        <f t="shared" si="2"/>
        <v>95</v>
      </c>
      <c r="J34" s="2380">
        <f t="shared" si="2"/>
        <v>73</v>
      </c>
      <c r="K34" s="2380">
        <f t="shared" si="2"/>
        <v>68</v>
      </c>
      <c r="L34" s="2380">
        <f t="shared" si="2"/>
        <v>63</v>
      </c>
      <c r="M34" s="2380">
        <f t="shared" si="5"/>
        <v>48</v>
      </c>
      <c r="N34" s="2380">
        <f t="shared" si="5"/>
        <v>38</v>
      </c>
      <c r="O34" s="2383">
        <f>IF(O8&gt;35,C34,VLOOKUP(O8,P8:AR31,28,FALSE))</f>
        <v>27</v>
      </c>
    </row>
    <row r="35" spans="2:15" s="1666" customFormat="1" ht="12.95" customHeight="1">
      <c r="B35" s="438">
        <v>20</v>
      </c>
      <c r="C35" s="28">
        <v>28</v>
      </c>
      <c r="D35" s="2394">
        <f t="shared" si="2"/>
        <v>327</v>
      </c>
      <c r="E35" s="2400">
        <f t="shared" si="2"/>
        <v>245</v>
      </c>
      <c r="F35" s="2400">
        <f t="shared" si="2"/>
        <v>196</v>
      </c>
      <c r="G35" s="2400">
        <f t="shared" si="2"/>
        <v>164</v>
      </c>
      <c r="H35" s="2400">
        <f t="shared" si="2"/>
        <v>123</v>
      </c>
      <c r="I35" s="2400">
        <f t="shared" si="2"/>
        <v>98</v>
      </c>
      <c r="J35" s="2400">
        <f t="shared" si="2"/>
        <v>76</v>
      </c>
      <c r="K35" s="2400">
        <f t="shared" si="2"/>
        <v>70</v>
      </c>
      <c r="L35" s="2400">
        <f t="shared" si="2"/>
        <v>66</v>
      </c>
      <c r="M35" s="2400">
        <f t="shared" si="5"/>
        <v>49</v>
      </c>
      <c r="N35" s="2400">
        <f>ROUNDUP($C35*35/N$8,0)</f>
        <v>40</v>
      </c>
      <c r="O35" s="2395">
        <f>IF(O8&gt;35,C35,VLOOKUP(O8,P8:AR31,29,FALSE))</f>
        <v>28</v>
      </c>
    </row>
    <row r="36" spans="2:15" ht="21" thickBot="1">
      <c r="B36" s="2744">
        <v>50</v>
      </c>
      <c r="C36" s="1111">
        <f>VLOOKUP($B36,$B38:$N87,2,FALSE)</f>
        <v>72</v>
      </c>
      <c r="D36" s="2412">
        <f>VLOOKUP($B36,$B38:$N87,3,FALSE)</f>
        <v>840</v>
      </c>
      <c r="E36" s="2300">
        <f>VLOOKUP($B36,$B38:$N87,4,FALSE)</f>
        <v>630</v>
      </c>
      <c r="F36" s="2300">
        <f>VLOOKUP($B36,$B38:$N87,5,FALSE)</f>
        <v>504</v>
      </c>
      <c r="G36" s="2300">
        <f>VLOOKUP($B36,$B38:$N87,6,FALSE)</f>
        <v>420</v>
      </c>
      <c r="H36" s="2300">
        <f>VLOOKUP($B36,$B38:$N87,7,FALSE)</f>
        <v>315</v>
      </c>
      <c r="I36" s="2300">
        <f>VLOOKUP($B36,$B38:$N87,8,FALSE)</f>
        <v>252</v>
      </c>
      <c r="J36" s="2300">
        <f>VLOOKUP($B36,$B38:$N87,9,FALSE)</f>
        <v>194</v>
      </c>
      <c r="K36" s="2300">
        <f>VLOOKUP($B36,$B38:$N87,10,FALSE)</f>
        <v>180</v>
      </c>
      <c r="L36" s="2300">
        <f>VLOOKUP($B36,$B38:$N87,11,FALSE)</f>
        <v>168</v>
      </c>
      <c r="M36" s="2300">
        <f>VLOOKUP($B36,$B38:$N87,12,FALSE)</f>
        <v>126</v>
      </c>
      <c r="N36" s="2300">
        <f>VLOOKUP($B36,$B38:$N87,13,FALSE)</f>
        <v>101</v>
      </c>
      <c r="O36" s="2743">
        <f>VLOOKUP($B36,$B38:$N87,13,FALSE)</f>
        <v>101</v>
      </c>
    </row>
    <row r="37" spans="2:15" ht="15" customHeight="1" thickBot="1">
      <c r="B37" s="3434" t="s">
        <v>7649</v>
      </c>
      <c r="C37" s="3435"/>
      <c r="D37" s="3435"/>
      <c r="E37" s="3435"/>
      <c r="F37" s="3435"/>
      <c r="G37" s="3435"/>
      <c r="H37" s="3435"/>
      <c r="I37" s="3436"/>
      <c r="J37" s="3437" t="s">
        <v>10004</v>
      </c>
      <c r="K37" s="3438"/>
      <c r="L37" s="3438"/>
      <c r="M37" s="3438"/>
      <c r="N37" s="3438"/>
      <c r="O37" s="3439"/>
    </row>
    <row r="38" spans="2:15" ht="12.95" hidden="1" customHeight="1">
      <c r="B38" s="2390">
        <f t="shared" ref="B38:B81" si="6">ROUNDDOWN(C38*35/50,0)</f>
        <v>21</v>
      </c>
      <c r="C38" s="2390">
        <v>31</v>
      </c>
      <c r="D38" s="2390">
        <f t="shared" ref="D38:N60" si="7">ROUNDUP($C38*35/D$8,0)</f>
        <v>362</v>
      </c>
      <c r="E38" s="2390">
        <f t="shared" si="7"/>
        <v>272</v>
      </c>
      <c r="F38" s="2390">
        <f t="shared" si="7"/>
        <v>217</v>
      </c>
      <c r="G38" s="2390">
        <f t="shared" si="7"/>
        <v>181</v>
      </c>
      <c r="H38" s="2390">
        <f t="shared" si="7"/>
        <v>136</v>
      </c>
      <c r="I38" s="2390">
        <f t="shared" si="7"/>
        <v>109</v>
      </c>
      <c r="J38" s="2390">
        <f t="shared" si="7"/>
        <v>84</v>
      </c>
      <c r="K38" s="2390">
        <f t="shared" si="7"/>
        <v>78</v>
      </c>
      <c r="L38" s="2390">
        <f t="shared" si="7"/>
        <v>73</v>
      </c>
      <c r="M38" s="2390">
        <f t="shared" si="7"/>
        <v>55</v>
      </c>
      <c r="N38" s="2390">
        <f t="shared" si="7"/>
        <v>44</v>
      </c>
      <c r="O38" s="2390">
        <f t="shared" ref="O38:O82" si="8">ROUNDUP($C38*35/O$8,0)</f>
        <v>22</v>
      </c>
    </row>
    <row r="39" spans="2:15" ht="12.95" hidden="1" customHeight="1">
      <c r="B39" s="2380">
        <f t="shared" si="6"/>
        <v>22</v>
      </c>
      <c r="C39" s="2380">
        <v>32</v>
      </c>
      <c r="D39" s="2380">
        <f t="shared" si="7"/>
        <v>374</v>
      </c>
      <c r="E39" s="2380">
        <f t="shared" si="7"/>
        <v>280</v>
      </c>
      <c r="F39" s="2380">
        <f t="shared" si="7"/>
        <v>224</v>
      </c>
      <c r="G39" s="2380">
        <f t="shared" si="7"/>
        <v>187</v>
      </c>
      <c r="H39" s="2380">
        <f t="shared" si="7"/>
        <v>140</v>
      </c>
      <c r="I39" s="2380">
        <f t="shared" si="7"/>
        <v>112</v>
      </c>
      <c r="J39" s="2380">
        <f t="shared" si="7"/>
        <v>87</v>
      </c>
      <c r="K39" s="2380">
        <f t="shared" si="7"/>
        <v>80</v>
      </c>
      <c r="L39" s="2380">
        <f t="shared" si="7"/>
        <v>75</v>
      </c>
      <c r="M39" s="2380">
        <f t="shared" si="7"/>
        <v>56</v>
      </c>
      <c r="N39" s="2380">
        <f t="shared" si="7"/>
        <v>45</v>
      </c>
      <c r="O39" s="2380">
        <f t="shared" si="8"/>
        <v>23</v>
      </c>
    </row>
    <row r="40" spans="2:15" ht="12.95" hidden="1" customHeight="1">
      <c r="B40" s="2380">
        <f t="shared" si="6"/>
        <v>23</v>
      </c>
      <c r="C40" s="2380">
        <v>34</v>
      </c>
      <c r="D40" s="2380">
        <f t="shared" si="7"/>
        <v>397</v>
      </c>
      <c r="E40" s="2380">
        <f t="shared" si="7"/>
        <v>298</v>
      </c>
      <c r="F40" s="2380">
        <f t="shared" si="7"/>
        <v>238</v>
      </c>
      <c r="G40" s="2380">
        <f t="shared" si="7"/>
        <v>199</v>
      </c>
      <c r="H40" s="2380">
        <f t="shared" si="7"/>
        <v>149</v>
      </c>
      <c r="I40" s="2380">
        <f t="shared" si="7"/>
        <v>119</v>
      </c>
      <c r="J40" s="2380">
        <f t="shared" si="7"/>
        <v>92</v>
      </c>
      <c r="K40" s="2380">
        <f t="shared" si="7"/>
        <v>85</v>
      </c>
      <c r="L40" s="2380">
        <f t="shared" si="7"/>
        <v>80</v>
      </c>
      <c r="M40" s="2380">
        <f t="shared" si="7"/>
        <v>60</v>
      </c>
      <c r="N40" s="2380">
        <f t="shared" si="7"/>
        <v>48</v>
      </c>
      <c r="O40" s="2380">
        <f t="shared" si="8"/>
        <v>24</v>
      </c>
    </row>
    <row r="41" spans="2:15" ht="12.95" hidden="1" customHeight="1">
      <c r="B41" s="2380">
        <f t="shared" si="6"/>
        <v>24</v>
      </c>
      <c r="C41" s="2380">
        <v>35</v>
      </c>
      <c r="D41" s="2380">
        <f t="shared" si="7"/>
        <v>409</v>
      </c>
      <c r="E41" s="2380">
        <f t="shared" si="7"/>
        <v>307</v>
      </c>
      <c r="F41" s="2380">
        <f t="shared" si="7"/>
        <v>245</v>
      </c>
      <c r="G41" s="2380">
        <f t="shared" si="7"/>
        <v>205</v>
      </c>
      <c r="H41" s="2380">
        <f t="shared" si="7"/>
        <v>154</v>
      </c>
      <c r="I41" s="2380">
        <f t="shared" si="7"/>
        <v>123</v>
      </c>
      <c r="J41" s="2380">
        <f t="shared" si="7"/>
        <v>95</v>
      </c>
      <c r="K41" s="2380">
        <f t="shared" si="7"/>
        <v>88</v>
      </c>
      <c r="L41" s="2380">
        <f t="shared" si="7"/>
        <v>82</v>
      </c>
      <c r="M41" s="2380">
        <f t="shared" si="7"/>
        <v>62</v>
      </c>
      <c r="N41" s="2380">
        <f t="shared" si="7"/>
        <v>49</v>
      </c>
      <c r="O41" s="2380">
        <f t="shared" si="8"/>
        <v>25</v>
      </c>
    </row>
    <row r="42" spans="2:15" ht="12.95" hidden="1" customHeight="1">
      <c r="B42" s="2380">
        <f t="shared" si="6"/>
        <v>25</v>
      </c>
      <c r="C42" s="2380">
        <v>37</v>
      </c>
      <c r="D42" s="2380">
        <f t="shared" si="7"/>
        <v>432</v>
      </c>
      <c r="E42" s="2380">
        <f t="shared" si="7"/>
        <v>324</v>
      </c>
      <c r="F42" s="2380">
        <f t="shared" si="7"/>
        <v>259</v>
      </c>
      <c r="G42" s="2380">
        <f t="shared" si="7"/>
        <v>216</v>
      </c>
      <c r="H42" s="2380">
        <f t="shared" si="7"/>
        <v>162</v>
      </c>
      <c r="I42" s="2380">
        <f t="shared" si="7"/>
        <v>130</v>
      </c>
      <c r="J42" s="2380">
        <f t="shared" si="7"/>
        <v>100</v>
      </c>
      <c r="K42" s="2380">
        <f t="shared" si="7"/>
        <v>93</v>
      </c>
      <c r="L42" s="2380">
        <f t="shared" si="7"/>
        <v>87</v>
      </c>
      <c r="M42" s="2380">
        <f t="shared" si="7"/>
        <v>65</v>
      </c>
      <c r="N42" s="2380">
        <f t="shared" si="7"/>
        <v>52</v>
      </c>
      <c r="O42" s="2380">
        <f t="shared" si="8"/>
        <v>26</v>
      </c>
    </row>
    <row r="43" spans="2:15" ht="12.95" hidden="1" customHeight="1">
      <c r="B43" s="2380">
        <f t="shared" si="6"/>
        <v>26</v>
      </c>
      <c r="C43" s="2380">
        <v>38</v>
      </c>
      <c r="D43" s="2380">
        <f t="shared" si="7"/>
        <v>444</v>
      </c>
      <c r="E43" s="2380">
        <f t="shared" si="7"/>
        <v>333</v>
      </c>
      <c r="F43" s="2380">
        <f t="shared" si="7"/>
        <v>266</v>
      </c>
      <c r="G43" s="2380">
        <f t="shared" si="7"/>
        <v>222</v>
      </c>
      <c r="H43" s="2380">
        <f t="shared" si="7"/>
        <v>167</v>
      </c>
      <c r="I43" s="2380">
        <f t="shared" si="7"/>
        <v>133</v>
      </c>
      <c r="J43" s="2380">
        <f t="shared" si="7"/>
        <v>103</v>
      </c>
      <c r="K43" s="2380">
        <f t="shared" si="7"/>
        <v>95</v>
      </c>
      <c r="L43" s="2380">
        <f t="shared" si="7"/>
        <v>89</v>
      </c>
      <c r="M43" s="2380">
        <f t="shared" si="7"/>
        <v>67</v>
      </c>
      <c r="N43" s="2380">
        <f t="shared" si="7"/>
        <v>54</v>
      </c>
      <c r="O43" s="2380">
        <f t="shared" si="8"/>
        <v>27</v>
      </c>
    </row>
    <row r="44" spans="2:15" ht="12.95" hidden="1" customHeight="1">
      <c r="B44" s="2380">
        <f t="shared" si="6"/>
        <v>27</v>
      </c>
      <c r="C44" s="2380">
        <v>39</v>
      </c>
      <c r="D44" s="2380">
        <f t="shared" si="7"/>
        <v>455</v>
      </c>
      <c r="E44" s="2380">
        <f t="shared" si="7"/>
        <v>342</v>
      </c>
      <c r="F44" s="2380">
        <f t="shared" si="7"/>
        <v>273</v>
      </c>
      <c r="G44" s="2380">
        <f t="shared" si="7"/>
        <v>228</v>
      </c>
      <c r="H44" s="2380">
        <f t="shared" si="7"/>
        <v>171</v>
      </c>
      <c r="I44" s="2380">
        <f t="shared" si="7"/>
        <v>137</v>
      </c>
      <c r="J44" s="2380">
        <f t="shared" si="7"/>
        <v>105</v>
      </c>
      <c r="K44" s="2380">
        <f t="shared" si="7"/>
        <v>98</v>
      </c>
      <c r="L44" s="2380">
        <f t="shared" si="7"/>
        <v>91</v>
      </c>
      <c r="M44" s="2380">
        <f t="shared" si="7"/>
        <v>69</v>
      </c>
      <c r="N44" s="2380">
        <f t="shared" si="7"/>
        <v>55</v>
      </c>
      <c r="O44" s="2380">
        <f t="shared" si="8"/>
        <v>28</v>
      </c>
    </row>
    <row r="45" spans="2:15" ht="12.95" hidden="1" customHeight="1">
      <c r="B45" s="2380">
        <f t="shared" si="6"/>
        <v>28</v>
      </c>
      <c r="C45" s="2380">
        <v>41</v>
      </c>
      <c r="D45" s="2380">
        <f t="shared" si="7"/>
        <v>479</v>
      </c>
      <c r="E45" s="2380">
        <f t="shared" si="7"/>
        <v>359</v>
      </c>
      <c r="F45" s="2380">
        <f t="shared" si="7"/>
        <v>287</v>
      </c>
      <c r="G45" s="2380">
        <f t="shared" si="7"/>
        <v>240</v>
      </c>
      <c r="H45" s="2380">
        <f t="shared" si="7"/>
        <v>180</v>
      </c>
      <c r="I45" s="2380">
        <f t="shared" si="7"/>
        <v>144</v>
      </c>
      <c r="J45" s="2380">
        <f t="shared" si="7"/>
        <v>111</v>
      </c>
      <c r="K45" s="2380">
        <f t="shared" si="7"/>
        <v>103</v>
      </c>
      <c r="L45" s="2380">
        <f t="shared" si="7"/>
        <v>96</v>
      </c>
      <c r="M45" s="2380">
        <f t="shared" si="7"/>
        <v>72</v>
      </c>
      <c r="N45" s="2380">
        <f t="shared" si="7"/>
        <v>58</v>
      </c>
      <c r="O45" s="2380">
        <f t="shared" si="8"/>
        <v>29</v>
      </c>
    </row>
    <row r="46" spans="2:15" ht="12.95" hidden="1" customHeight="1">
      <c r="B46" s="2380">
        <f t="shared" si="6"/>
        <v>29</v>
      </c>
      <c r="C46" s="2380">
        <v>42</v>
      </c>
      <c r="D46" s="2380">
        <f t="shared" si="7"/>
        <v>490</v>
      </c>
      <c r="E46" s="2380">
        <f t="shared" si="7"/>
        <v>368</v>
      </c>
      <c r="F46" s="2380">
        <f t="shared" si="7"/>
        <v>294</v>
      </c>
      <c r="G46" s="2380">
        <f t="shared" si="7"/>
        <v>245</v>
      </c>
      <c r="H46" s="2380">
        <f t="shared" si="7"/>
        <v>184</v>
      </c>
      <c r="I46" s="2380">
        <f t="shared" si="7"/>
        <v>147</v>
      </c>
      <c r="J46" s="2380">
        <f t="shared" si="7"/>
        <v>114</v>
      </c>
      <c r="K46" s="2380">
        <f t="shared" si="7"/>
        <v>105</v>
      </c>
      <c r="L46" s="2380">
        <f t="shared" si="7"/>
        <v>98</v>
      </c>
      <c r="M46" s="2380">
        <f t="shared" si="7"/>
        <v>74</v>
      </c>
      <c r="N46" s="2380">
        <f t="shared" si="7"/>
        <v>59</v>
      </c>
      <c r="O46" s="2380">
        <f t="shared" si="8"/>
        <v>30</v>
      </c>
    </row>
    <row r="47" spans="2:15" ht="12.95" hidden="1" customHeight="1">
      <c r="B47" s="2380">
        <f t="shared" si="6"/>
        <v>30</v>
      </c>
      <c r="C47" s="2380">
        <v>44</v>
      </c>
      <c r="D47" s="2380">
        <f t="shared" si="7"/>
        <v>514</v>
      </c>
      <c r="E47" s="2380">
        <f t="shared" si="7"/>
        <v>385</v>
      </c>
      <c r="F47" s="2380">
        <f t="shared" si="7"/>
        <v>308</v>
      </c>
      <c r="G47" s="2380">
        <f t="shared" si="7"/>
        <v>257</v>
      </c>
      <c r="H47" s="2380">
        <f t="shared" si="7"/>
        <v>193</v>
      </c>
      <c r="I47" s="2380">
        <f t="shared" si="7"/>
        <v>154</v>
      </c>
      <c r="J47" s="2380">
        <f t="shared" si="7"/>
        <v>119</v>
      </c>
      <c r="K47" s="2380">
        <f t="shared" si="7"/>
        <v>110</v>
      </c>
      <c r="L47" s="2380">
        <f t="shared" si="7"/>
        <v>103</v>
      </c>
      <c r="M47" s="2380">
        <f t="shared" si="7"/>
        <v>77</v>
      </c>
      <c r="N47" s="2380">
        <f t="shared" si="7"/>
        <v>62</v>
      </c>
      <c r="O47" s="2380">
        <f t="shared" si="8"/>
        <v>31</v>
      </c>
    </row>
    <row r="48" spans="2:15" ht="12.95" hidden="1" customHeight="1">
      <c r="B48" s="2380">
        <f t="shared" si="6"/>
        <v>31</v>
      </c>
      <c r="C48" s="2380">
        <v>45</v>
      </c>
      <c r="D48" s="2380">
        <f t="shared" si="7"/>
        <v>525</v>
      </c>
      <c r="E48" s="2380">
        <f t="shared" si="7"/>
        <v>394</v>
      </c>
      <c r="F48" s="2380">
        <f t="shared" si="7"/>
        <v>315</v>
      </c>
      <c r="G48" s="2380">
        <f t="shared" si="7"/>
        <v>263</v>
      </c>
      <c r="H48" s="2380">
        <f t="shared" si="7"/>
        <v>197</v>
      </c>
      <c r="I48" s="2380">
        <f t="shared" si="7"/>
        <v>158</v>
      </c>
      <c r="J48" s="2380">
        <f t="shared" si="7"/>
        <v>122</v>
      </c>
      <c r="K48" s="2380">
        <f t="shared" si="7"/>
        <v>113</v>
      </c>
      <c r="L48" s="2380">
        <f t="shared" si="7"/>
        <v>105</v>
      </c>
      <c r="M48" s="2380">
        <f t="shared" si="7"/>
        <v>79</v>
      </c>
      <c r="N48" s="2380">
        <f t="shared" si="7"/>
        <v>63</v>
      </c>
      <c r="O48" s="2380">
        <f t="shared" si="8"/>
        <v>32</v>
      </c>
    </row>
    <row r="49" spans="2:15" ht="12.95" hidden="1" customHeight="1">
      <c r="B49" s="2380">
        <f t="shared" si="6"/>
        <v>32</v>
      </c>
      <c r="C49" s="2380">
        <v>47</v>
      </c>
      <c r="D49" s="2380">
        <f t="shared" si="7"/>
        <v>549</v>
      </c>
      <c r="E49" s="2380">
        <f t="shared" si="7"/>
        <v>412</v>
      </c>
      <c r="F49" s="2380">
        <f t="shared" si="7"/>
        <v>329</v>
      </c>
      <c r="G49" s="2380">
        <f t="shared" si="7"/>
        <v>275</v>
      </c>
      <c r="H49" s="2380">
        <f t="shared" si="7"/>
        <v>206</v>
      </c>
      <c r="I49" s="2380">
        <f t="shared" si="7"/>
        <v>165</v>
      </c>
      <c r="J49" s="2380">
        <f t="shared" si="7"/>
        <v>127</v>
      </c>
      <c r="K49" s="2380">
        <f t="shared" si="7"/>
        <v>118</v>
      </c>
      <c r="L49" s="2380">
        <f t="shared" si="7"/>
        <v>110</v>
      </c>
      <c r="M49" s="2380">
        <f t="shared" si="7"/>
        <v>83</v>
      </c>
      <c r="N49" s="2380">
        <f t="shared" si="7"/>
        <v>66</v>
      </c>
      <c r="O49" s="2380">
        <f t="shared" si="8"/>
        <v>33</v>
      </c>
    </row>
    <row r="50" spans="2:15" ht="12.95" hidden="1" customHeight="1">
      <c r="B50" s="2380">
        <f t="shared" si="6"/>
        <v>33</v>
      </c>
      <c r="C50" s="2380">
        <v>48</v>
      </c>
      <c r="D50" s="2380">
        <f t="shared" si="7"/>
        <v>560</v>
      </c>
      <c r="E50" s="2380">
        <f t="shared" si="7"/>
        <v>420</v>
      </c>
      <c r="F50" s="2380">
        <f t="shared" si="7"/>
        <v>336</v>
      </c>
      <c r="G50" s="2380">
        <f t="shared" si="7"/>
        <v>280</v>
      </c>
      <c r="H50" s="2380">
        <f t="shared" si="7"/>
        <v>210</v>
      </c>
      <c r="I50" s="2380">
        <f t="shared" si="7"/>
        <v>168</v>
      </c>
      <c r="J50" s="2380">
        <f t="shared" si="7"/>
        <v>130</v>
      </c>
      <c r="K50" s="2380">
        <f t="shared" si="7"/>
        <v>120</v>
      </c>
      <c r="L50" s="2380">
        <f t="shared" si="7"/>
        <v>112</v>
      </c>
      <c r="M50" s="2380">
        <f t="shared" si="7"/>
        <v>84</v>
      </c>
      <c r="N50" s="2380">
        <f t="shared" si="7"/>
        <v>68</v>
      </c>
      <c r="O50" s="2380">
        <f t="shared" si="8"/>
        <v>34</v>
      </c>
    </row>
    <row r="51" spans="2:15" ht="12.95" hidden="1" customHeight="1">
      <c r="B51" s="2380">
        <f t="shared" si="6"/>
        <v>34</v>
      </c>
      <c r="C51" s="2380">
        <v>49</v>
      </c>
      <c r="D51" s="2380">
        <f t="shared" si="7"/>
        <v>572</v>
      </c>
      <c r="E51" s="2380">
        <f t="shared" si="7"/>
        <v>429</v>
      </c>
      <c r="F51" s="2380">
        <f t="shared" si="7"/>
        <v>343</v>
      </c>
      <c r="G51" s="2380">
        <f t="shared" si="7"/>
        <v>286</v>
      </c>
      <c r="H51" s="2380">
        <f t="shared" si="7"/>
        <v>215</v>
      </c>
      <c r="I51" s="2380">
        <f t="shared" si="7"/>
        <v>172</v>
      </c>
      <c r="J51" s="2380">
        <f t="shared" si="7"/>
        <v>132</v>
      </c>
      <c r="K51" s="2380">
        <f t="shared" si="7"/>
        <v>123</v>
      </c>
      <c r="L51" s="2380">
        <f t="shared" si="7"/>
        <v>115</v>
      </c>
      <c r="M51" s="2380">
        <f t="shared" si="7"/>
        <v>86</v>
      </c>
      <c r="N51" s="2380">
        <f t="shared" si="7"/>
        <v>69</v>
      </c>
      <c r="O51" s="2380">
        <f t="shared" si="8"/>
        <v>35</v>
      </c>
    </row>
    <row r="52" spans="2:15" ht="12.95" hidden="1" customHeight="1">
      <c r="B52" s="2380">
        <f t="shared" si="6"/>
        <v>35</v>
      </c>
      <c r="C52" s="2380">
        <v>51</v>
      </c>
      <c r="D52" s="2380">
        <f t="shared" si="7"/>
        <v>595</v>
      </c>
      <c r="E52" s="2380">
        <f t="shared" si="7"/>
        <v>447</v>
      </c>
      <c r="F52" s="2380">
        <f t="shared" si="7"/>
        <v>357</v>
      </c>
      <c r="G52" s="2380">
        <f t="shared" si="7"/>
        <v>298</v>
      </c>
      <c r="H52" s="2380">
        <f t="shared" si="7"/>
        <v>224</v>
      </c>
      <c r="I52" s="2380">
        <f t="shared" si="7"/>
        <v>179</v>
      </c>
      <c r="J52" s="2380">
        <f t="shared" si="7"/>
        <v>138</v>
      </c>
      <c r="K52" s="2380">
        <f t="shared" si="7"/>
        <v>128</v>
      </c>
      <c r="L52" s="2380">
        <f t="shared" si="7"/>
        <v>119</v>
      </c>
      <c r="M52" s="2380">
        <f t="shared" si="7"/>
        <v>90</v>
      </c>
      <c r="N52" s="2380">
        <f t="shared" si="7"/>
        <v>72</v>
      </c>
      <c r="O52" s="2380">
        <f t="shared" si="8"/>
        <v>36</v>
      </c>
    </row>
    <row r="53" spans="2:15" ht="12.95" hidden="1" customHeight="1">
      <c r="B53" s="2380">
        <f t="shared" si="6"/>
        <v>36</v>
      </c>
      <c r="C53" s="2380">
        <v>52</v>
      </c>
      <c r="D53" s="2380">
        <f t="shared" si="7"/>
        <v>607</v>
      </c>
      <c r="E53" s="2380">
        <f t="shared" si="7"/>
        <v>455</v>
      </c>
      <c r="F53" s="2380">
        <f t="shared" si="7"/>
        <v>364</v>
      </c>
      <c r="G53" s="2380">
        <f t="shared" si="7"/>
        <v>304</v>
      </c>
      <c r="H53" s="2380">
        <f t="shared" si="7"/>
        <v>228</v>
      </c>
      <c r="I53" s="2380">
        <f t="shared" si="7"/>
        <v>182</v>
      </c>
      <c r="J53" s="2380">
        <f t="shared" si="7"/>
        <v>140</v>
      </c>
      <c r="K53" s="2380">
        <f t="shared" si="7"/>
        <v>130</v>
      </c>
      <c r="L53" s="2380">
        <f t="shared" si="7"/>
        <v>122</v>
      </c>
      <c r="M53" s="2380">
        <f t="shared" si="7"/>
        <v>91</v>
      </c>
      <c r="N53" s="2380">
        <f t="shared" si="7"/>
        <v>73</v>
      </c>
      <c r="O53" s="2380">
        <f t="shared" si="8"/>
        <v>37</v>
      </c>
    </row>
    <row r="54" spans="2:15" ht="12.95" hidden="1" customHeight="1">
      <c r="B54" s="2380">
        <f t="shared" si="6"/>
        <v>37</v>
      </c>
      <c r="C54" s="2380">
        <v>54</v>
      </c>
      <c r="D54" s="2380">
        <f t="shared" si="7"/>
        <v>630</v>
      </c>
      <c r="E54" s="2380">
        <f t="shared" si="7"/>
        <v>473</v>
      </c>
      <c r="F54" s="2380">
        <f t="shared" si="7"/>
        <v>378</v>
      </c>
      <c r="G54" s="2380">
        <f t="shared" si="7"/>
        <v>315</v>
      </c>
      <c r="H54" s="2380">
        <f t="shared" si="7"/>
        <v>237</v>
      </c>
      <c r="I54" s="2380">
        <f t="shared" si="7"/>
        <v>189</v>
      </c>
      <c r="J54" s="2380">
        <f t="shared" si="7"/>
        <v>146</v>
      </c>
      <c r="K54" s="2380">
        <f t="shared" si="7"/>
        <v>135</v>
      </c>
      <c r="L54" s="2380">
        <f t="shared" si="7"/>
        <v>126</v>
      </c>
      <c r="M54" s="2380">
        <f t="shared" si="7"/>
        <v>95</v>
      </c>
      <c r="N54" s="2380">
        <f t="shared" si="7"/>
        <v>76</v>
      </c>
      <c r="O54" s="2380">
        <f t="shared" si="8"/>
        <v>38</v>
      </c>
    </row>
    <row r="55" spans="2:15" ht="12.95" hidden="1" customHeight="1">
      <c r="B55" s="2380">
        <f t="shared" si="6"/>
        <v>38</v>
      </c>
      <c r="C55" s="2380">
        <v>55</v>
      </c>
      <c r="D55" s="2380">
        <f t="shared" si="7"/>
        <v>642</v>
      </c>
      <c r="E55" s="2380">
        <f t="shared" si="7"/>
        <v>482</v>
      </c>
      <c r="F55" s="2380">
        <f t="shared" si="7"/>
        <v>385</v>
      </c>
      <c r="G55" s="2380">
        <f t="shared" si="7"/>
        <v>321</v>
      </c>
      <c r="H55" s="2380">
        <f t="shared" si="7"/>
        <v>241</v>
      </c>
      <c r="I55" s="2380">
        <f t="shared" si="7"/>
        <v>193</v>
      </c>
      <c r="J55" s="2380">
        <f t="shared" si="7"/>
        <v>149</v>
      </c>
      <c r="K55" s="2380">
        <f t="shared" si="7"/>
        <v>138</v>
      </c>
      <c r="L55" s="2380">
        <f t="shared" si="7"/>
        <v>129</v>
      </c>
      <c r="M55" s="2380">
        <f t="shared" si="7"/>
        <v>97</v>
      </c>
      <c r="N55" s="2380">
        <f t="shared" si="7"/>
        <v>77</v>
      </c>
      <c r="O55" s="2380">
        <f t="shared" si="8"/>
        <v>39</v>
      </c>
    </row>
    <row r="56" spans="2:15" ht="12.95" hidden="1" customHeight="1">
      <c r="B56" s="2380">
        <f t="shared" si="6"/>
        <v>39</v>
      </c>
      <c r="C56" s="2380">
        <v>57</v>
      </c>
      <c r="D56" s="2380">
        <f t="shared" si="7"/>
        <v>665</v>
      </c>
      <c r="E56" s="2380">
        <f t="shared" si="7"/>
        <v>499</v>
      </c>
      <c r="F56" s="2380">
        <f t="shared" si="7"/>
        <v>399</v>
      </c>
      <c r="G56" s="2380">
        <f t="shared" si="7"/>
        <v>333</v>
      </c>
      <c r="H56" s="2380">
        <f t="shared" si="7"/>
        <v>250</v>
      </c>
      <c r="I56" s="2380">
        <f t="shared" si="7"/>
        <v>200</v>
      </c>
      <c r="J56" s="2380">
        <f t="shared" si="7"/>
        <v>154</v>
      </c>
      <c r="K56" s="2380">
        <f t="shared" si="7"/>
        <v>143</v>
      </c>
      <c r="L56" s="2380">
        <f t="shared" si="7"/>
        <v>133</v>
      </c>
      <c r="M56" s="2380">
        <f t="shared" si="7"/>
        <v>100</v>
      </c>
      <c r="N56" s="2380">
        <f t="shared" si="7"/>
        <v>80</v>
      </c>
      <c r="O56" s="2380">
        <f t="shared" si="8"/>
        <v>40</v>
      </c>
    </row>
    <row r="57" spans="2:15" ht="12.95" hidden="1" customHeight="1">
      <c r="B57" s="2380">
        <f t="shared" si="6"/>
        <v>40</v>
      </c>
      <c r="C57" s="2380">
        <v>58</v>
      </c>
      <c r="D57" s="2380">
        <f t="shared" si="7"/>
        <v>677</v>
      </c>
      <c r="E57" s="2380">
        <f t="shared" si="7"/>
        <v>508</v>
      </c>
      <c r="F57" s="2380">
        <f t="shared" si="7"/>
        <v>406</v>
      </c>
      <c r="G57" s="2380">
        <f t="shared" si="7"/>
        <v>339</v>
      </c>
      <c r="H57" s="2380">
        <f t="shared" si="7"/>
        <v>254</v>
      </c>
      <c r="I57" s="2380">
        <f t="shared" si="7"/>
        <v>203</v>
      </c>
      <c r="J57" s="2380">
        <f t="shared" si="7"/>
        <v>157</v>
      </c>
      <c r="K57" s="2380">
        <f t="shared" si="7"/>
        <v>145</v>
      </c>
      <c r="L57" s="2380">
        <f t="shared" si="7"/>
        <v>136</v>
      </c>
      <c r="M57" s="2380">
        <f t="shared" si="7"/>
        <v>102</v>
      </c>
      <c r="N57" s="2380">
        <f t="shared" si="7"/>
        <v>82</v>
      </c>
      <c r="O57" s="2380">
        <f t="shared" si="8"/>
        <v>41</v>
      </c>
    </row>
    <row r="58" spans="2:15" ht="12.95" hidden="1" customHeight="1">
      <c r="B58" s="2380">
        <f t="shared" si="6"/>
        <v>41</v>
      </c>
      <c r="C58" s="2380">
        <v>59</v>
      </c>
      <c r="D58" s="2380">
        <f t="shared" si="7"/>
        <v>689</v>
      </c>
      <c r="E58" s="2380">
        <f t="shared" si="7"/>
        <v>517</v>
      </c>
      <c r="F58" s="2380">
        <f t="shared" si="7"/>
        <v>413</v>
      </c>
      <c r="G58" s="2380">
        <f t="shared" si="7"/>
        <v>345</v>
      </c>
      <c r="H58" s="2380">
        <f t="shared" si="7"/>
        <v>259</v>
      </c>
      <c r="I58" s="2380">
        <f t="shared" si="7"/>
        <v>207</v>
      </c>
      <c r="J58" s="2380">
        <f t="shared" si="7"/>
        <v>159</v>
      </c>
      <c r="K58" s="2380">
        <f t="shared" si="7"/>
        <v>148</v>
      </c>
      <c r="L58" s="2380">
        <f t="shared" si="7"/>
        <v>138</v>
      </c>
      <c r="M58" s="2380">
        <f t="shared" si="7"/>
        <v>104</v>
      </c>
      <c r="N58" s="2380">
        <f t="shared" si="7"/>
        <v>83</v>
      </c>
      <c r="O58" s="2380">
        <f t="shared" si="8"/>
        <v>42</v>
      </c>
    </row>
    <row r="59" spans="2:15" ht="12.95" hidden="1" customHeight="1">
      <c r="B59" s="2380">
        <f t="shared" si="6"/>
        <v>42</v>
      </c>
      <c r="C59" s="2380">
        <v>61</v>
      </c>
      <c r="D59" s="2380">
        <f t="shared" si="7"/>
        <v>712</v>
      </c>
      <c r="E59" s="2380">
        <f t="shared" si="7"/>
        <v>534</v>
      </c>
      <c r="F59" s="2380">
        <f t="shared" si="7"/>
        <v>427</v>
      </c>
      <c r="G59" s="2380">
        <f t="shared" si="7"/>
        <v>356</v>
      </c>
      <c r="H59" s="2380">
        <f t="shared" si="7"/>
        <v>267</v>
      </c>
      <c r="I59" s="2380">
        <f t="shared" si="7"/>
        <v>214</v>
      </c>
      <c r="J59" s="2380">
        <f t="shared" si="7"/>
        <v>165</v>
      </c>
      <c r="K59" s="2380">
        <f t="shared" si="7"/>
        <v>153</v>
      </c>
      <c r="L59" s="2380">
        <f t="shared" si="7"/>
        <v>143</v>
      </c>
      <c r="M59" s="2380">
        <f t="shared" si="7"/>
        <v>107</v>
      </c>
      <c r="N59" s="2380">
        <f t="shared" si="7"/>
        <v>86</v>
      </c>
      <c r="O59" s="2380">
        <f t="shared" si="8"/>
        <v>43</v>
      </c>
    </row>
    <row r="60" spans="2:15" ht="12.95" hidden="1" customHeight="1">
      <c r="B60" s="2380">
        <f t="shared" si="6"/>
        <v>43</v>
      </c>
      <c r="C60" s="2380">
        <v>62</v>
      </c>
      <c r="D60" s="2380">
        <f t="shared" si="7"/>
        <v>724</v>
      </c>
      <c r="E60" s="2380">
        <f t="shared" si="7"/>
        <v>543</v>
      </c>
      <c r="F60" s="2380">
        <f t="shared" si="7"/>
        <v>434</v>
      </c>
      <c r="G60" s="2380">
        <f t="shared" si="7"/>
        <v>362</v>
      </c>
      <c r="H60" s="2380">
        <f t="shared" ref="D60:N83" si="9">ROUNDUP($C60*35/H$8,0)</f>
        <v>272</v>
      </c>
      <c r="I60" s="2380">
        <f t="shared" si="9"/>
        <v>217</v>
      </c>
      <c r="J60" s="2380">
        <f t="shared" si="9"/>
        <v>167</v>
      </c>
      <c r="K60" s="2380">
        <f t="shared" si="9"/>
        <v>155</v>
      </c>
      <c r="L60" s="2380">
        <f t="shared" si="9"/>
        <v>145</v>
      </c>
      <c r="M60" s="2380">
        <f t="shared" si="9"/>
        <v>109</v>
      </c>
      <c r="N60" s="2380">
        <f t="shared" si="9"/>
        <v>87</v>
      </c>
      <c r="O60" s="2380">
        <f t="shared" si="8"/>
        <v>44</v>
      </c>
    </row>
    <row r="61" spans="2:15" ht="12.95" hidden="1" customHeight="1">
      <c r="B61" s="2380">
        <f t="shared" si="6"/>
        <v>44</v>
      </c>
      <c r="C61" s="2380">
        <v>64</v>
      </c>
      <c r="D61" s="2380">
        <f t="shared" si="9"/>
        <v>747</v>
      </c>
      <c r="E61" s="2380">
        <f t="shared" si="9"/>
        <v>560</v>
      </c>
      <c r="F61" s="2380">
        <f t="shared" si="9"/>
        <v>448</v>
      </c>
      <c r="G61" s="2380">
        <f t="shared" si="9"/>
        <v>374</v>
      </c>
      <c r="H61" s="2380">
        <f t="shared" si="9"/>
        <v>280</v>
      </c>
      <c r="I61" s="2380">
        <f t="shared" si="9"/>
        <v>224</v>
      </c>
      <c r="J61" s="2380">
        <f t="shared" si="9"/>
        <v>173</v>
      </c>
      <c r="K61" s="2380">
        <f t="shared" si="9"/>
        <v>160</v>
      </c>
      <c r="L61" s="2380">
        <f t="shared" si="9"/>
        <v>150</v>
      </c>
      <c r="M61" s="2380">
        <f t="shared" si="9"/>
        <v>112</v>
      </c>
      <c r="N61" s="2380">
        <f t="shared" si="9"/>
        <v>90</v>
      </c>
      <c r="O61" s="2380">
        <f t="shared" si="8"/>
        <v>45</v>
      </c>
    </row>
    <row r="62" spans="2:15" ht="12.95" hidden="1" customHeight="1">
      <c r="B62" s="2380">
        <f t="shared" si="6"/>
        <v>45</v>
      </c>
      <c r="C62" s="2380">
        <v>65</v>
      </c>
      <c r="D62" s="2380">
        <f t="shared" si="9"/>
        <v>759</v>
      </c>
      <c r="E62" s="2380">
        <f t="shared" si="9"/>
        <v>569</v>
      </c>
      <c r="F62" s="2380">
        <f t="shared" si="9"/>
        <v>455</v>
      </c>
      <c r="G62" s="2380">
        <f t="shared" si="9"/>
        <v>380</v>
      </c>
      <c r="H62" s="2380">
        <f t="shared" si="9"/>
        <v>285</v>
      </c>
      <c r="I62" s="2380">
        <f t="shared" si="9"/>
        <v>228</v>
      </c>
      <c r="J62" s="2380">
        <f t="shared" si="9"/>
        <v>175</v>
      </c>
      <c r="K62" s="2380">
        <f t="shared" si="9"/>
        <v>163</v>
      </c>
      <c r="L62" s="2380">
        <f t="shared" si="9"/>
        <v>152</v>
      </c>
      <c r="M62" s="2380">
        <f t="shared" si="9"/>
        <v>114</v>
      </c>
      <c r="N62" s="2380">
        <f t="shared" si="9"/>
        <v>91</v>
      </c>
      <c r="O62" s="2380">
        <f t="shared" si="8"/>
        <v>46</v>
      </c>
    </row>
    <row r="63" spans="2:15" ht="12.95" hidden="1" customHeight="1">
      <c r="B63" s="2380">
        <f t="shared" si="6"/>
        <v>46</v>
      </c>
      <c r="C63" s="2380">
        <v>67</v>
      </c>
      <c r="D63" s="2380">
        <f t="shared" si="9"/>
        <v>782</v>
      </c>
      <c r="E63" s="2380">
        <f t="shared" si="9"/>
        <v>587</v>
      </c>
      <c r="F63" s="2380">
        <f t="shared" si="9"/>
        <v>469</v>
      </c>
      <c r="G63" s="2380">
        <f t="shared" si="9"/>
        <v>391</v>
      </c>
      <c r="H63" s="2380">
        <f t="shared" si="9"/>
        <v>294</v>
      </c>
      <c r="I63" s="2380">
        <f t="shared" si="9"/>
        <v>235</v>
      </c>
      <c r="J63" s="2380">
        <f t="shared" si="9"/>
        <v>181</v>
      </c>
      <c r="K63" s="2380">
        <f t="shared" si="9"/>
        <v>168</v>
      </c>
      <c r="L63" s="2380">
        <f t="shared" si="9"/>
        <v>157</v>
      </c>
      <c r="M63" s="2380">
        <f t="shared" si="9"/>
        <v>118</v>
      </c>
      <c r="N63" s="2380">
        <f t="shared" si="9"/>
        <v>94</v>
      </c>
      <c r="O63" s="2380">
        <f t="shared" si="8"/>
        <v>47</v>
      </c>
    </row>
    <row r="64" spans="2:15" ht="12.95" hidden="1" customHeight="1">
      <c r="B64" s="2380">
        <f t="shared" si="6"/>
        <v>47</v>
      </c>
      <c r="C64" s="2380">
        <v>68</v>
      </c>
      <c r="D64" s="2380">
        <f t="shared" si="9"/>
        <v>794</v>
      </c>
      <c r="E64" s="2380">
        <f t="shared" si="9"/>
        <v>595</v>
      </c>
      <c r="F64" s="2380">
        <f t="shared" si="9"/>
        <v>476</v>
      </c>
      <c r="G64" s="2380">
        <f t="shared" si="9"/>
        <v>397</v>
      </c>
      <c r="H64" s="2380">
        <f t="shared" si="9"/>
        <v>298</v>
      </c>
      <c r="I64" s="2380">
        <f t="shared" si="9"/>
        <v>238</v>
      </c>
      <c r="J64" s="2380">
        <f t="shared" si="9"/>
        <v>184</v>
      </c>
      <c r="K64" s="2380">
        <f t="shared" si="9"/>
        <v>170</v>
      </c>
      <c r="L64" s="2380">
        <f t="shared" si="9"/>
        <v>159</v>
      </c>
      <c r="M64" s="2380">
        <f t="shared" si="9"/>
        <v>119</v>
      </c>
      <c r="N64" s="2380">
        <f t="shared" si="9"/>
        <v>96</v>
      </c>
      <c r="O64" s="2380">
        <f t="shared" si="8"/>
        <v>48</v>
      </c>
    </row>
    <row r="65" spans="2:15" ht="12.95" hidden="1" customHeight="1">
      <c r="B65" s="2380">
        <f t="shared" si="6"/>
        <v>48</v>
      </c>
      <c r="C65" s="2380">
        <v>69</v>
      </c>
      <c r="D65" s="2380">
        <f t="shared" si="9"/>
        <v>805</v>
      </c>
      <c r="E65" s="2380">
        <f t="shared" si="9"/>
        <v>604</v>
      </c>
      <c r="F65" s="2380">
        <f t="shared" si="9"/>
        <v>483</v>
      </c>
      <c r="G65" s="2380">
        <f t="shared" si="9"/>
        <v>403</v>
      </c>
      <c r="H65" s="2380">
        <f t="shared" si="9"/>
        <v>302</v>
      </c>
      <c r="I65" s="2380">
        <f t="shared" si="9"/>
        <v>242</v>
      </c>
      <c r="J65" s="2380">
        <f t="shared" si="9"/>
        <v>186</v>
      </c>
      <c r="K65" s="2380">
        <f t="shared" si="9"/>
        <v>173</v>
      </c>
      <c r="L65" s="2380">
        <f t="shared" si="9"/>
        <v>161</v>
      </c>
      <c r="M65" s="2380">
        <f t="shared" si="9"/>
        <v>121</v>
      </c>
      <c r="N65" s="2380">
        <f t="shared" si="9"/>
        <v>97</v>
      </c>
      <c r="O65" s="2380">
        <f t="shared" si="8"/>
        <v>49</v>
      </c>
    </row>
    <row r="66" spans="2:15" ht="12.95" hidden="1" customHeight="1">
      <c r="B66" s="2380">
        <f t="shared" si="6"/>
        <v>49</v>
      </c>
      <c r="C66" s="2380">
        <v>71</v>
      </c>
      <c r="D66" s="2380">
        <f t="shared" si="9"/>
        <v>829</v>
      </c>
      <c r="E66" s="2380">
        <f t="shared" si="9"/>
        <v>622</v>
      </c>
      <c r="F66" s="2380">
        <f t="shared" si="9"/>
        <v>497</v>
      </c>
      <c r="G66" s="2380">
        <f t="shared" si="9"/>
        <v>415</v>
      </c>
      <c r="H66" s="2380">
        <f t="shared" si="9"/>
        <v>311</v>
      </c>
      <c r="I66" s="2380">
        <f t="shared" si="9"/>
        <v>249</v>
      </c>
      <c r="J66" s="2380">
        <f t="shared" si="9"/>
        <v>192</v>
      </c>
      <c r="K66" s="2380">
        <f t="shared" si="9"/>
        <v>178</v>
      </c>
      <c r="L66" s="2380">
        <f t="shared" si="9"/>
        <v>166</v>
      </c>
      <c r="M66" s="2380">
        <f t="shared" si="9"/>
        <v>125</v>
      </c>
      <c r="N66" s="2380">
        <f t="shared" si="9"/>
        <v>100</v>
      </c>
      <c r="O66" s="2380">
        <f t="shared" si="8"/>
        <v>50</v>
      </c>
    </row>
    <row r="67" spans="2:15" ht="12.95" hidden="1" customHeight="1">
      <c r="B67" s="2380">
        <f t="shared" si="6"/>
        <v>50</v>
      </c>
      <c r="C67" s="2380">
        <v>72</v>
      </c>
      <c r="D67" s="2380">
        <f t="shared" si="9"/>
        <v>840</v>
      </c>
      <c r="E67" s="2380">
        <f t="shared" si="9"/>
        <v>630</v>
      </c>
      <c r="F67" s="2380">
        <f t="shared" si="9"/>
        <v>504</v>
      </c>
      <c r="G67" s="2380">
        <f t="shared" si="9"/>
        <v>420</v>
      </c>
      <c r="H67" s="2380">
        <f t="shared" si="9"/>
        <v>315</v>
      </c>
      <c r="I67" s="2380">
        <f t="shared" si="9"/>
        <v>252</v>
      </c>
      <c r="J67" s="2380">
        <f t="shared" si="9"/>
        <v>194</v>
      </c>
      <c r="K67" s="2380">
        <f t="shared" si="9"/>
        <v>180</v>
      </c>
      <c r="L67" s="2380">
        <f t="shared" si="9"/>
        <v>168</v>
      </c>
      <c r="M67" s="2380">
        <f t="shared" si="9"/>
        <v>126</v>
      </c>
      <c r="N67" s="2380">
        <f t="shared" si="9"/>
        <v>101</v>
      </c>
      <c r="O67" s="2380">
        <f t="shared" si="8"/>
        <v>51</v>
      </c>
    </row>
    <row r="68" spans="2:15" ht="12.95" hidden="1" customHeight="1">
      <c r="B68" s="2380">
        <f t="shared" si="6"/>
        <v>51</v>
      </c>
      <c r="C68" s="2380">
        <v>74</v>
      </c>
      <c r="D68" s="2380">
        <f t="shared" si="9"/>
        <v>864</v>
      </c>
      <c r="E68" s="2380">
        <f t="shared" si="9"/>
        <v>648</v>
      </c>
      <c r="F68" s="2380">
        <f t="shared" si="9"/>
        <v>518</v>
      </c>
      <c r="G68" s="2380">
        <f t="shared" si="9"/>
        <v>432</v>
      </c>
      <c r="H68" s="2380">
        <f t="shared" si="9"/>
        <v>324</v>
      </c>
      <c r="I68" s="2380">
        <f t="shared" si="9"/>
        <v>259</v>
      </c>
      <c r="J68" s="2380">
        <f t="shared" si="9"/>
        <v>200</v>
      </c>
      <c r="K68" s="2380">
        <f t="shared" si="9"/>
        <v>185</v>
      </c>
      <c r="L68" s="2380">
        <f t="shared" si="9"/>
        <v>173</v>
      </c>
      <c r="M68" s="2380">
        <f t="shared" si="9"/>
        <v>130</v>
      </c>
      <c r="N68" s="2380">
        <f t="shared" si="9"/>
        <v>104</v>
      </c>
      <c r="O68" s="2380">
        <f t="shared" si="8"/>
        <v>52</v>
      </c>
    </row>
    <row r="69" spans="2:15" ht="12.95" hidden="1" customHeight="1">
      <c r="B69" s="2380">
        <f t="shared" si="6"/>
        <v>52</v>
      </c>
      <c r="C69" s="2380">
        <v>75</v>
      </c>
      <c r="D69" s="2380">
        <f t="shared" si="9"/>
        <v>875</v>
      </c>
      <c r="E69" s="2380">
        <f t="shared" si="9"/>
        <v>657</v>
      </c>
      <c r="F69" s="2380">
        <f t="shared" si="9"/>
        <v>525</v>
      </c>
      <c r="G69" s="2380">
        <f t="shared" si="9"/>
        <v>438</v>
      </c>
      <c r="H69" s="2380">
        <f t="shared" si="9"/>
        <v>329</v>
      </c>
      <c r="I69" s="2380">
        <f t="shared" si="9"/>
        <v>263</v>
      </c>
      <c r="J69" s="2380">
        <f t="shared" si="9"/>
        <v>202</v>
      </c>
      <c r="K69" s="2380">
        <f t="shared" si="9"/>
        <v>188</v>
      </c>
      <c r="L69" s="2380">
        <f t="shared" si="9"/>
        <v>175</v>
      </c>
      <c r="M69" s="2380">
        <f t="shared" si="9"/>
        <v>132</v>
      </c>
      <c r="N69" s="2380">
        <f t="shared" si="9"/>
        <v>105</v>
      </c>
      <c r="O69" s="2380">
        <f t="shared" si="8"/>
        <v>53</v>
      </c>
    </row>
    <row r="70" spans="2:15" ht="12.95" hidden="1" customHeight="1">
      <c r="B70" s="2380">
        <f t="shared" si="6"/>
        <v>53</v>
      </c>
      <c r="C70" s="2380">
        <v>77</v>
      </c>
      <c r="D70" s="2380">
        <f t="shared" si="9"/>
        <v>899</v>
      </c>
      <c r="E70" s="2380">
        <f t="shared" si="9"/>
        <v>674</v>
      </c>
      <c r="F70" s="2380">
        <f t="shared" si="9"/>
        <v>539</v>
      </c>
      <c r="G70" s="2380">
        <f t="shared" si="9"/>
        <v>450</v>
      </c>
      <c r="H70" s="2380">
        <f t="shared" si="9"/>
        <v>337</v>
      </c>
      <c r="I70" s="2380">
        <f t="shared" si="9"/>
        <v>270</v>
      </c>
      <c r="J70" s="2380">
        <f t="shared" si="9"/>
        <v>208</v>
      </c>
      <c r="K70" s="2380">
        <f t="shared" si="9"/>
        <v>193</v>
      </c>
      <c r="L70" s="2380">
        <f t="shared" si="9"/>
        <v>180</v>
      </c>
      <c r="M70" s="2380">
        <f t="shared" si="9"/>
        <v>135</v>
      </c>
      <c r="N70" s="2380">
        <f t="shared" si="9"/>
        <v>108</v>
      </c>
      <c r="O70" s="2380">
        <f t="shared" si="8"/>
        <v>54</v>
      </c>
    </row>
    <row r="71" spans="2:15" ht="12.95" hidden="1" customHeight="1">
      <c r="B71" s="2380">
        <f t="shared" si="6"/>
        <v>54</v>
      </c>
      <c r="C71" s="2380">
        <v>78</v>
      </c>
      <c r="D71" s="2380">
        <f t="shared" si="9"/>
        <v>910</v>
      </c>
      <c r="E71" s="2380">
        <f t="shared" si="9"/>
        <v>683</v>
      </c>
      <c r="F71" s="2380">
        <f t="shared" si="9"/>
        <v>546</v>
      </c>
      <c r="G71" s="2380">
        <f t="shared" si="9"/>
        <v>455</v>
      </c>
      <c r="H71" s="2380">
        <f t="shared" si="9"/>
        <v>342</v>
      </c>
      <c r="I71" s="2380">
        <f t="shared" si="9"/>
        <v>273</v>
      </c>
      <c r="J71" s="2380">
        <f t="shared" si="9"/>
        <v>210</v>
      </c>
      <c r="K71" s="2380">
        <f t="shared" si="9"/>
        <v>195</v>
      </c>
      <c r="L71" s="2380">
        <f t="shared" si="9"/>
        <v>182</v>
      </c>
      <c r="M71" s="2380">
        <f t="shared" si="9"/>
        <v>137</v>
      </c>
      <c r="N71" s="2380">
        <f t="shared" si="9"/>
        <v>110</v>
      </c>
      <c r="O71" s="2380">
        <f t="shared" si="8"/>
        <v>55</v>
      </c>
    </row>
    <row r="72" spans="2:15" ht="12.95" hidden="1" customHeight="1">
      <c r="B72" s="2380">
        <f t="shared" si="6"/>
        <v>55</v>
      </c>
      <c r="C72" s="2380">
        <v>79</v>
      </c>
      <c r="D72" s="2380">
        <f t="shared" si="9"/>
        <v>922</v>
      </c>
      <c r="E72" s="2380">
        <f t="shared" si="9"/>
        <v>692</v>
      </c>
      <c r="F72" s="2380">
        <f t="shared" si="9"/>
        <v>553</v>
      </c>
      <c r="G72" s="2380">
        <f t="shared" si="9"/>
        <v>461</v>
      </c>
      <c r="H72" s="2380">
        <f t="shared" si="9"/>
        <v>346</v>
      </c>
      <c r="I72" s="2380">
        <f t="shared" si="9"/>
        <v>277</v>
      </c>
      <c r="J72" s="2380">
        <f t="shared" si="9"/>
        <v>213</v>
      </c>
      <c r="K72" s="2380">
        <f t="shared" si="9"/>
        <v>198</v>
      </c>
      <c r="L72" s="2380">
        <f t="shared" si="9"/>
        <v>185</v>
      </c>
      <c r="M72" s="2380">
        <f t="shared" si="9"/>
        <v>139</v>
      </c>
      <c r="N72" s="2380">
        <f t="shared" si="9"/>
        <v>111</v>
      </c>
      <c r="O72" s="2380">
        <f t="shared" si="8"/>
        <v>56</v>
      </c>
    </row>
    <row r="73" spans="2:15" ht="12.95" hidden="1" customHeight="1">
      <c r="B73" s="2380">
        <f t="shared" si="6"/>
        <v>56</v>
      </c>
      <c r="C73" s="2380">
        <v>81</v>
      </c>
      <c r="D73" s="2380">
        <f t="shared" si="9"/>
        <v>945</v>
      </c>
      <c r="E73" s="2380">
        <f t="shared" si="9"/>
        <v>709</v>
      </c>
      <c r="F73" s="2380">
        <f t="shared" si="9"/>
        <v>567</v>
      </c>
      <c r="G73" s="2380">
        <f t="shared" si="9"/>
        <v>473</v>
      </c>
      <c r="H73" s="2380">
        <f t="shared" si="9"/>
        <v>355</v>
      </c>
      <c r="I73" s="2380">
        <f t="shared" si="9"/>
        <v>284</v>
      </c>
      <c r="J73" s="2380">
        <f t="shared" si="9"/>
        <v>219</v>
      </c>
      <c r="K73" s="2380">
        <f t="shared" si="9"/>
        <v>203</v>
      </c>
      <c r="L73" s="2380">
        <f t="shared" si="9"/>
        <v>189</v>
      </c>
      <c r="M73" s="2380">
        <f t="shared" si="9"/>
        <v>142</v>
      </c>
      <c r="N73" s="2380">
        <f t="shared" si="9"/>
        <v>114</v>
      </c>
      <c r="O73" s="2380">
        <f t="shared" si="8"/>
        <v>57</v>
      </c>
    </row>
    <row r="74" spans="2:15" ht="12.95" hidden="1" customHeight="1">
      <c r="B74" s="2380">
        <f t="shared" si="6"/>
        <v>57</v>
      </c>
      <c r="C74" s="2380">
        <v>82</v>
      </c>
      <c r="D74" s="2380">
        <f t="shared" si="9"/>
        <v>957</v>
      </c>
      <c r="E74" s="2380">
        <f t="shared" si="9"/>
        <v>718</v>
      </c>
      <c r="F74" s="2380">
        <f t="shared" si="9"/>
        <v>574</v>
      </c>
      <c r="G74" s="2380">
        <f t="shared" si="9"/>
        <v>479</v>
      </c>
      <c r="H74" s="2380">
        <f t="shared" si="9"/>
        <v>359</v>
      </c>
      <c r="I74" s="2380">
        <f t="shared" si="9"/>
        <v>287</v>
      </c>
      <c r="J74" s="2380">
        <f t="shared" si="9"/>
        <v>221</v>
      </c>
      <c r="K74" s="2380">
        <f t="shared" si="9"/>
        <v>205</v>
      </c>
      <c r="L74" s="2380">
        <f t="shared" si="9"/>
        <v>192</v>
      </c>
      <c r="M74" s="2380">
        <f t="shared" si="9"/>
        <v>144</v>
      </c>
      <c r="N74" s="2380">
        <f t="shared" si="9"/>
        <v>115</v>
      </c>
      <c r="O74" s="2380">
        <f t="shared" si="8"/>
        <v>58</v>
      </c>
    </row>
    <row r="75" spans="2:15" ht="12.95" hidden="1" customHeight="1">
      <c r="B75" s="2380">
        <f t="shared" si="6"/>
        <v>58</v>
      </c>
      <c r="C75" s="2380">
        <v>84</v>
      </c>
      <c r="D75" s="2380">
        <f t="shared" si="9"/>
        <v>980</v>
      </c>
      <c r="E75" s="2380">
        <f t="shared" si="9"/>
        <v>735</v>
      </c>
      <c r="F75" s="2380">
        <f t="shared" si="9"/>
        <v>588</v>
      </c>
      <c r="G75" s="2380">
        <f t="shared" si="9"/>
        <v>490</v>
      </c>
      <c r="H75" s="2380">
        <f t="shared" si="9"/>
        <v>368</v>
      </c>
      <c r="I75" s="2380">
        <f t="shared" si="9"/>
        <v>294</v>
      </c>
      <c r="J75" s="2380">
        <f t="shared" si="9"/>
        <v>227</v>
      </c>
      <c r="K75" s="2380">
        <f t="shared" si="9"/>
        <v>210</v>
      </c>
      <c r="L75" s="2380">
        <f t="shared" si="9"/>
        <v>196</v>
      </c>
      <c r="M75" s="2380">
        <f t="shared" si="9"/>
        <v>147</v>
      </c>
      <c r="N75" s="2380">
        <f t="shared" si="9"/>
        <v>118</v>
      </c>
      <c r="O75" s="2380">
        <f t="shared" si="8"/>
        <v>59</v>
      </c>
    </row>
    <row r="76" spans="2:15" ht="12.95" hidden="1" customHeight="1">
      <c r="B76" s="2380">
        <f t="shared" si="6"/>
        <v>59</v>
      </c>
      <c r="C76" s="2380">
        <v>85</v>
      </c>
      <c r="D76" s="2380">
        <f t="shared" si="9"/>
        <v>992</v>
      </c>
      <c r="E76" s="2380">
        <f t="shared" si="9"/>
        <v>744</v>
      </c>
      <c r="F76" s="2380">
        <f t="shared" si="9"/>
        <v>595</v>
      </c>
      <c r="G76" s="2380">
        <f t="shared" si="9"/>
        <v>496</v>
      </c>
      <c r="H76" s="2380">
        <f t="shared" si="9"/>
        <v>372</v>
      </c>
      <c r="I76" s="2380">
        <f t="shared" si="9"/>
        <v>298</v>
      </c>
      <c r="J76" s="2380">
        <f t="shared" si="9"/>
        <v>229</v>
      </c>
      <c r="K76" s="2380">
        <f t="shared" si="9"/>
        <v>213</v>
      </c>
      <c r="L76" s="2380">
        <f t="shared" si="9"/>
        <v>199</v>
      </c>
      <c r="M76" s="2380">
        <f t="shared" si="9"/>
        <v>149</v>
      </c>
      <c r="N76" s="2380">
        <f t="shared" si="9"/>
        <v>119</v>
      </c>
      <c r="O76" s="2380">
        <f t="shared" si="8"/>
        <v>60</v>
      </c>
    </row>
    <row r="77" spans="2:15" ht="12.95" hidden="1" customHeight="1">
      <c r="B77" s="2380">
        <f t="shared" si="6"/>
        <v>60</v>
      </c>
      <c r="C77" s="2380">
        <v>87</v>
      </c>
      <c r="D77" s="2380">
        <f t="shared" si="9"/>
        <v>1015</v>
      </c>
      <c r="E77" s="2380">
        <f t="shared" si="9"/>
        <v>762</v>
      </c>
      <c r="F77" s="2380">
        <f t="shared" si="9"/>
        <v>609</v>
      </c>
      <c r="G77" s="2380">
        <f t="shared" si="9"/>
        <v>508</v>
      </c>
      <c r="H77" s="2380">
        <f t="shared" si="9"/>
        <v>381</v>
      </c>
      <c r="I77" s="2380">
        <f t="shared" si="9"/>
        <v>305</v>
      </c>
      <c r="J77" s="2380">
        <f t="shared" si="9"/>
        <v>235</v>
      </c>
      <c r="K77" s="2380">
        <f t="shared" si="9"/>
        <v>218</v>
      </c>
      <c r="L77" s="2380">
        <f t="shared" si="9"/>
        <v>203</v>
      </c>
      <c r="M77" s="2380">
        <f t="shared" si="9"/>
        <v>153</v>
      </c>
      <c r="N77" s="2380">
        <f t="shared" si="9"/>
        <v>122</v>
      </c>
      <c r="O77" s="2380">
        <f t="shared" si="8"/>
        <v>61</v>
      </c>
    </row>
    <row r="78" spans="2:15" ht="12.95" hidden="1" customHeight="1">
      <c r="B78" s="2380">
        <f t="shared" si="6"/>
        <v>61</v>
      </c>
      <c r="C78" s="2380">
        <v>88</v>
      </c>
      <c r="D78" s="2380">
        <f t="shared" si="9"/>
        <v>1027</v>
      </c>
      <c r="E78" s="2380">
        <f t="shared" si="9"/>
        <v>770</v>
      </c>
      <c r="F78" s="2380">
        <f t="shared" si="9"/>
        <v>616</v>
      </c>
      <c r="G78" s="2380">
        <f t="shared" si="9"/>
        <v>514</v>
      </c>
      <c r="H78" s="2380">
        <f t="shared" si="9"/>
        <v>385</v>
      </c>
      <c r="I78" s="2380">
        <f t="shared" si="9"/>
        <v>308</v>
      </c>
      <c r="J78" s="2380">
        <f t="shared" si="9"/>
        <v>237</v>
      </c>
      <c r="K78" s="2380">
        <f t="shared" si="9"/>
        <v>220</v>
      </c>
      <c r="L78" s="2380">
        <f t="shared" si="9"/>
        <v>206</v>
      </c>
      <c r="M78" s="2380">
        <f t="shared" si="9"/>
        <v>154</v>
      </c>
      <c r="N78" s="2380">
        <f t="shared" si="9"/>
        <v>124</v>
      </c>
      <c r="O78" s="2380">
        <f t="shared" si="8"/>
        <v>62</v>
      </c>
    </row>
    <row r="79" spans="2:15" ht="12.95" hidden="1" customHeight="1">
      <c r="B79" s="2380">
        <f t="shared" si="6"/>
        <v>62</v>
      </c>
      <c r="C79" s="2380">
        <v>89</v>
      </c>
      <c r="D79" s="2380">
        <f t="shared" si="9"/>
        <v>1039</v>
      </c>
      <c r="E79" s="2380">
        <f t="shared" si="9"/>
        <v>779</v>
      </c>
      <c r="F79" s="2380">
        <f t="shared" si="9"/>
        <v>623</v>
      </c>
      <c r="G79" s="2380">
        <f t="shared" si="9"/>
        <v>520</v>
      </c>
      <c r="H79" s="2380">
        <f t="shared" si="9"/>
        <v>390</v>
      </c>
      <c r="I79" s="2380">
        <f t="shared" si="9"/>
        <v>312</v>
      </c>
      <c r="J79" s="2380">
        <f t="shared" si="9"/>
        <v>240</v>
      </c>
      <c r="K79" s="2380">
        <f t="shared" si="9"/>
        <v>223</v>
      </c>
      <c r="L79" s="2380">
        <f t="shared" si="9"/>
        <v>208</v>
      </c>
      <c r="M79" s="2380">
        <f t="shared" si="9"/>
        <v>156</v>
      </c>
      <c r="N79" s="2380">
        <f t="shared" si="9"/>
        <v>125</v>
      </c>
      <c r="O79" s="2380">
        <f t="shared" si="8"/>
        <v>63</v>
      </c>
    </row>
    <row r="80" spans="2:15" ht="12.95" hidden="1" customHeight="1">
      <c r="B80" s="2380">
        <f t="shared" si="6"/>
        <v>63</v>
      </c>
      <c r="C80" s="2380">
        <v>91</v>
      </c>
      <c r="D80" s="2380">
        <f t="shared" si="9"/>
        <v>1062</v>
      </c>
      <c r="E80" s="2380">
        <f t="shared" si="9"/>
        <v>797</v>
      </c>
      <c r="F80" s="2380">
        <f t="shared" si="9"/>
        <v>637</v>
      </c>
      <c r="G80" s="2380">
        <f t="shared" si="9"/>
        <v>531</v>
      </c>
      <c r="H80" s="2380">
        <f t="shared" si="9"/>
        <v>399</v>
      </c>
      <c r="I80" s="2380">
        <f t="shared" si="9"/>
        <v>319</v>
      </c>
      <c r="J80" s="2380">
        <f t="shared" si="9"/>
        <v>245</v>
      </c>
      <c r="K80" s="2380">
        <f t="shared" si="9"/>
        <v>228</v>
      </c>
      <c r="L80" s="2380">
        <f t="shared" si="9"/>
        <v>213</v>
      </c>
      <c r="M80" s="2380">
        <f t="shared" si="9"/>
        <v>160</v>
      </c>
      <c r="N80" s="2380">
        <f t="shared" si="9"/>
        <v>128</v>
      </c>
      <c r="O80" s="2380">
        <f t="shared" si="8"/>
        <v>64</v>
      </c>
    </row>
    <row r="81" spans="2:15" ht="12.95" hidden="1" customHeight="1">
      <c r="B81" s="2380">
        <f t="shared" si="6"/>
        <v>64</v>
      </c>
      <c r="C81" s="2380">
        <v>92</v>
      </c>
      <c r="D81" s="2380">
        <f t="shared" si="9"/>
        <v>1074</v>
      </c>
      <c r="E81" s="2380">
        <f t="shared" si="9"/>
        <v>805</v>
      </c>
      <c r="F81" s="2380">
        <f t="shared" si="9"/>
        <v>644</v>
      </c>
      <c r="G81" s="2380">
        <f t="shared" si="9"/>
        <v>537</v>
      </c>
      <c r="H81" s="2380">
        <f t="shared" si="9"/>
        <v>403</v>
      </c>
      <c r="I81" s="2380">
        <f t="shared" si="9"/>
        <v>322</v>
      </c>
      <c r="J81" s="2380">
        <f t="shared" si="9"/>
        <v>248</v>
      </c>
      <c r="K81" s="2380">
        <f t="shared" si="9"/>
        <v>230</v>
      </c>
      <c r="L81" s="2380">
        <f t="shared" si="9"/>
        <v>215</v>
      </c>
      <c r="M81" s="2380">
        <f t="shared" si="9"/>
        <v>161</v>
      </c>
      <c r="N81" s="2380">
        <f t="shared" si="9"/>
        <v>129</v>
      </c>
      <c r="O81" s="2380">
        <f t="shared" si="8"/>
        <v>65</v>
      </c>
    </row>
    <row r="82" spans="2:15" ht="12.95" hidden="1" customHeight="1">
      <c r="B82" s="2380">
        <f t="shared" ref="B82:B87" si="10">ROUNDDOWN(C82*35/50,0)</f>
        <v>65</v>
      </c>
      <c r="C82" s="2380">
        <v>94</v>
      </c>
      <c r="D82" s="2380">
        <f t="shared" si="9"/>
        <v>1097</v>
      </c>
      <c r="E82" s="2380">
        <f t="shared" si="9"/>
        <v>823</v>
      </c>
      <c r="F82" s="2380">
        <f t="shared" si="9"/>
        <v>658</v>
      </c>
      <c r="G82" s="2380">
        <f t="shared" si="9"/>
        <v>549</v>
      </c>
      <c r="H82" s="2380">
        <f t="shared" si="9"/>
        <v>412</v>
      </c>
      <c r="I82" s="2380">
        <f t="shared" si="9"/>
        <v>329</v>
      </c>
      <c r="J82" s="2380">
        <f t="shared" si="9"/>
        <v>254</v>
      </c>
      <c r="K82" s="2380">
        <f t="shared" si="9"/>
        <v>235</v>
      </c>
      <c r="L82" s="2380">
        <f t="shared" si="9"/>
        <v>220</v>
      </c>
      <c r="M82" s="2380">
        <f t="shared" si="9"/>
        <v>165</v>
      </c>
      <c r="N82" s="2380">
        <f t="shared" si="9"/>
        <v>132</v>
      </c>
      <c r="O82" s="2380">
        <f t="shared" si="8"/>
        <v>66</v>
      </c>
    </row>
    <row r="83" spans="2:15" ht="12.95" hidden="1" customHeight="1">
      <c r="B83" s="2380">
        <f t="shared" si="10"/>
        <v>66</v>
      </c>
      <c r="C83" s="2380">
        <v>95</v>
      </c>
      <c r="D83" s="2380">
        <f t="shared" si="9"/>
        <v>1109</v>
      </c>
      <c r="E83" s="2380">
        <f t="shared" si="9"/>
        <v>832</v>
      </c>
      <c r="F83" s="2380">
        <f t="shared" si="9"/>
        <v>665</v>
      </c>
      <c r="G83" s="2380">
        <f t="shared" si="9"/>
        <v>555</v>
      </c>
      <c r="H83" s="2380">
        <f t="shared" si="9"/>
        <v>416</v>
      </c>
      <c r="I83" s="2380">
        <f t="shared" si="9"/>
        <v>333</v>
      </c>
      <c r="J83" s="2380">
        <f t="shared" ref="D83:O87" si="11">ROUNDUP($C83*35/J$8,0)</f>
        <v>256</v>
      </c>
      <c r="K83" s="2380">
        <f t="shared" si="11"/>
        <v>238</v>
      </c>
      <c r="L83" s="2380">
        <f t="shared" si="11"/>
        <v>222</v>
      </c>
      <c r="M83" s="2380">
        <f t="shared" si="11"/>
        <v>167</v>
      </c>
      <c r="N83" s="2380">
        <f t="shared" si="11"/>
        <v>133</v>
      </c>
      <c r="O83" s="2380">
        <f t="shared" si="11"/>
        <v>67</v>
      </c>
    </row>
    <row r="84" spans="2:15" ht="12.95" hidden="1" customHeight="1">
      <c r="B84" s="2380">
        <f t="shared" si="10"/>
        <v>67</v>
      </c>
      <c r="C84" s="2380">
        <v>97</v>
      </c>
      <c r="D84" s="2380">
        <f t="shared" si="11"/>
        <v>1132</v>
      </c>
      <c r="E84" s="2380">
        <f t="shared" si="11"/>
        <v>849</v>
      </c>
      <c r="F84" s="2380">
        <f t="shared" si="11"/>
        <v>679</v>
      </c>
      <c r="G84" s="2380">
        <f t="shared" si="11"/>
        <v>566</v>
      </c>
      <c r="H84" s="2380">
        <f t="shared" si="11"/>
        <v>425</v>
      </c>
      <c r="I84" s="2380">
        <f t="shared" si="11"/>
        <v>340</v>
      </c>
      <c r="J84" s="2380">
        <f t="shared" si="11"/>
        <v>262</v>
      </c>
      <c r="K84" s="2380">
        <f t="shared" si="11"/>
        <v>243</v>
      </c>
      <c r="L84" s="2380">
        <f t="shared" si="11"/>
        <v>227</v>
      </c>
      <c r="M84" s="2380">
        <f t="shared" si="11"/>
        <v>170</v>
      </c>
      <c r="N84" s="2380">
        <f t="shared" si="11"/>
        <v>136</v>
      </c>
      <c r="O84" s="2380">
        <f t="shared" si="11"/>
        <v>68</v>
      </c>
    </row>
    <row r="85" spans="2:15" ht="12.95" hidden="1" customHeight="1">
      <c r="B85" s="2380">
        <f t="shared" si="10"/>
        <v>68</v>
      </c>
      <c r="C85" s="2380">
        <v>98</v>
      </c>
      <c r="D85" s="2380">
        <f t="shared" si="11"/>
        <v>1144</v>
      </c>
      <c r="E85" s="2380">
        <f t="shared" si="11"/>
        <v>858</v>
      </c>
      <c r="F85" s="2380">
        <f t="shared" si="11"/>
        <v>686</v>
      </c>
      <c r="G85" s="2380">
        <f t="shared" si="11"/>
        <v>572</v>
      </c>
      <c r="H85" s="2380">
        <f t="shared" si="11"/>
        <v>429</v>
      </c>
      <c r="I85" s="2380">
        <f t="shared" si="11"/>
        <v>343</v>
      </c>
      <c r="J85" s="2380">
        <f t="shared" si="11"/>
        <v>264</v>
      </c>
      <c r="K85" s="2380">
        <f t="shared" si="11"/>
        <v>245</v>
      </c>
      <c r="L85" s="2380">
        <f t="shared" si="11"/>
        <v>229</v>
      </c>
      <c r="M85" s="2380">
        <f t="shared" si="11"/>
        <v>172</v>
      </c>
      <c r="N85" s="2380">
        <f t="shared" si="11"/>
        <v>138</v>
      </c>
      <c r="O85" s="2380">
        <f t="shared" si="11"/>
        <v>69</v>
      </c>
    </row>
    <row r="86" spans="2:15" ht="12.95" hidden="1" customHeight="1">
      <c r="B86" s="2380">
        <f t="shared" si="10"/>
        <v>69</v>
      </c>
      <c r="C86" s="2380">
        <v>99</v>
      </c>
      <c r="D86" s="2380">
        <f t="shared" si="11"/>
        <v>1155</v>
      </c>
      <c r="E86" s="2380">
        <f t="shared" si="11"/>
        <v>867</v>
      </c>
      <c r="F86" s="2380">
        <f t="shared" si="11"/>
        <v>693</v>
      </c>
      <c r="G86" s="2380">
        <f t="shared" si="11"/>
        <v>578</v>
      </c>
      <c r="H86" s="2380">
        <f t="shared" si="11"/>
        <v>434</v>
      </c>
      <c r="I86" s="2380">
        <f t="shared" si="11"/>
        <v>347</v>
      </c>
      <c r="J86" s="2380">
        <f t="shared" si="11"/>
        <v>267</v>
      </c>
      <c r="K86" s="2380">
        <f t="shared" si="11"/>
        <v>248</v>
      </c>
      <c r="L86" s="2380">
        <f t="shared" si="11"/>
        <v>231</v>
      </c>
      <c r="M86" s="2380">
        <f t="shared" si="11"/>
        <v>174</v>
      </c>
      <c r="N86" s="2380">
        <f t="shared" si="11"/>
        <v>139</v>
      </c>
      <c r="O86" s="2380">
        <f t="shared" si="11"/>
        <v>70</v>
      </c>
    </row>
    <row r="87" spans="2:15" ht="12.75" hidden="1" customHeight="1">
      <c r="B87" s="2380">
        <f t="shared" si="10"/>
        <v>70</v>
      </c>
      <c r="C87" s="2380">
        <v>100</v>
      </c>
      <c r="D87" s="2380">
        <f t="shared" si="11"/>
        <v>1167</v>
      </c>
      <c r="E87" s="2380">
        <f t="shared" si="11"/>
        <v>875</v>
      </c>
      <c r="F87" s="2380">
        <f t="shared" si="11"/>
        <v>700</v>
      </c>
      <c r="G87" s="2380">
        <f t="shared" si="11"/>
        <v>584</v>
      </c>
      <c r="H87" s="2380">
        <f t="shared" si="11"/>
        <v>438</v>
      </c>
      <c r="I87" s="2380">
        <f t="shared" si="11"/>
        <v>350</v>
      </c>
      <c r="J87" s="2380">
        <f t="shared" si="11"/>
        <v>270</v>
      </c>
      <c r="K87" s="2380">
        <f t="shared" si="11"/>
        <v>250</v>
      </c>
      <c r="L87" s="2380">
        <f t="shared" si="11"/>
        <v>234</v>
      </c>
      <c r="M87" s="2380">
        <f t="shared" si="11"/>
        <v>175</v>
      </c>
      <c r="N87" s="2380">
        <f t="shared" si="11"/>
        <v>140</v>
      </c>
      <c r="O87" s="2380">
        <f t="shared" si="11"/>
        <v>70</v>
      </c>
    </row>
  </sheetData>
  <sheetProtection autoFilter="0"/>
  <mergeCells count="15">
    <mergeCell ref="B37:I37"/>
    <mergeCell ref="J37:O37"/>
    <mergeCell ref="B25:B26"/>
    <mergeCell ref="B28:B29"/>
    <mergeCell ref="B1:D1"/>
    <mergeCell ref="B15:B16"/>
    <mergeCell ref="B18:B19"/>
    <mergeCell ref="B22:B23"/>
    <mergeCell ref="B12:B13"/>
    <mergeCell ref="D7:O7"/>
    <mergeCell ref="E1:O1"/>
    <mergeCell ref="B3:O3"/>
    <mergeCell ref="B5:O5"/>
    <mergeCell ref="B7:B9"/>
    <mergeCell ref="C7:C9"/>
  </mergeCells>
  <dataValidations count="2">
    <dataValidation type="list" allowBlank="1" showInputMessage="1" showErrorMessage="1" sqref="B36">
      <formula1>$B$38:$B$87</formula1>
    </dataValidation>
    <dataValidation type="list" allowBlank="1" showInputMessage="1" showErrorMessage="1" sqref="O8">
      <formula1>$P$8:$P$31</formula1>
    </dataValidation>
  </dataValidations>
  <hyperlinks>
    <hyperlink ref="B1" location="Index!A1" display="Назад"/>
  </hyperlinks>
  <printOptions horizontalCentered="1"/>
  <pageMargins left="0.23622047244094491" right="0.23622047244094491" top="0.74803149606299213" bottom="0.74803149606299213" header="0.31496062992125984" footer="0.31496062992125984"/>
  <pageSetup paperSize="9" scale="99" orientation="landscape" r:id="rId1"/>
  <headerFooter alignWithMargins="0"/>
</worksheet>
</file>

<file path=xl/worksheets/sheet34.xml><?xml version="1.0" encoding="utf-8"?>
<worksheet xmlns="http://schemas.openxmlformats.org/spreadsheetml/2006/main" xmlns:r="http://schemas.openxmlformats.org/officeDocument/2006/relationships">
  <dimension ref="B1:M140"/>
  <sheetViews>
    <sheetView zoomScaleNormal="100" workbookViewId="0">
      <pane ySplit="5" topLeftCell="A6" activePane="bottomLeft" state="frozen"/>
      <selection pane="bottomLeft" activeCell="B1" sqref="B1"/>
    </sheetView>
  </sheetViews>
  <sheetFormatPr defaultRowHeight="12.95" customHeight="1"/>
  <cols>
    <col min="1" max="1" width="3.7109375" style="292" customWidth="1"/>
    <col min="2" max="2" width="32" style="2325" customWidth="1"/>
    <col min="3" max="3" width="9.7109375" style="2325" customWidth="1"/>
    <col min="4" max="4" width="1.7109375" style="2325" customWidth="1"/>
    <col min="5" max="5" width="21.7109375" style="292" customWidth="1"/>
    <col min="6" max="6" width="15.140625" style="292" customWidth="1"/>
    <col min="7" max="7" width="9.7109375" style="292" customWidth="1"/>
    <col min="8" max="8" width="1.7109375" style="292" customWidth="1"/>
    <col min="9" max="9" width="9.7109375" style="292" customWidth="1"/>
    <col min="10" max="16384" width="9.140625" style="292"/>
  </cols>
  <sheetData>
    <row r="1" spans="2:13" s="2324" customFormat="1" ht="12.95" customHeight="1">
      <c r="B1" s="2327" t="s">
        <v>2706</v>
      </c>
      <c r="C1" s="3195" t="s">
        <v>8269</v>
      </c>
      <c r="D1" s="3195"/>
      <c r="E1" s="3195"/>
      <c r="F1" s="3195"/>
      <c r="G1" s="3195"/>
      <c r="H1" s="3195"/>
      <c r="I1" s="3195"/>
      <c r="J1" s="3195"/>
      <c r="K1" s="3195"/>
      <c r="L1" s="3195"/>
      <c r="M1" s="3195"/>
    </row>
    <row r="2" spans="2:13" ht="5.0999999999999996" customHeight="1"/>
    <row r="3" spans="2:13" ht="12.95" customHeight="1">
      <c r="B3" s="3075" t="s">
        <v>7333</v>
      </c>
      <c r="C3" s="3075"/>
      <c r="D3" s="3075"/>
      <c r="E3" s="3075"/>
      <c r="F3" s="3075"/>
      <c r="G3" s="3075"/>
      <c r="H3" s="3075"/>
      <c r="I3" s="3075"/>
      <c r="J3" s="3075"/>
      <c r="K3" s="3075"/>
      <c r="L3" s="3075"/>
      <c r="M3" s="3075"/>
    </row>
    <row r="4" spans="2:13" s="387" customFormat="1" ht="12.95" customHeight="1">
      <c r="B4" s="3130" t="s">
        <v>8796</v>
      </c>
      <c r="C4" s="3463"/>
      <c r="D4" s="3463"/>
      <c r="E4" s="3463"/>
      <c r="F4" s="3463"/>
      <c r="G4" s="3463"/>
      <c r="H4" s="3463"/>
      <c r="I4" s="3463"/>
      <c r="J4" s="3463"/>
      <c r="K4" s="3463"/>
      <c r="L4" s="3463"/>
      <c r="M4" s="3463"/>
    </row>
    <row r="5" spans="2:13" ht="5.0999999999999996" customHeight="1"/>
    <row r="6" spans="2:13" ht="39" customHeight="1">
      <c r="B6" s="2960" t="s">
        <v>8934</v>
      </c>
      <c r="C6" s="2960"/>
      <c r="D6" s="2960"/>
      <c r="E6" s="2960"/>
      <c r="F6" s="2960"/>
      <c r="G6" s="2960"/>
      <c r="H6" s="2960"/>
      <c r="I6" s="2960"/>
      <c r="J6" s="2960"/>
      <c r="K6" s="2960"/>
      <c r="L6" s="2960"/>
      <c r="M6" s="2960"/>
    </row>
    <row r="7" spans="2:13" ht="5.0999999999999996" customHeight="1"/>
    <row r="8" spans="2:13" ht="12.95" customHeight="1" thickBot="1">
      <c r="B8" s="3448" t="s">
        <v>8935</v>
      </c>
      <c r="C8" s="3448"/>
      <c r="D8" s="3448"/>
      <c r="E8" s="3448"/>
      <c r="F8" s="3448"/>
      <c r="G8" s="3448"/>
      <c r="H8" s="3448"/>
      <c r="I8" s="3448"/>
    </row>
    <row r="9" spans="2:13" ht="26.25" customHeight="1" thickBot="1">
      <c r="B9" s="3466" t="s">
        <v>7347</v>
      </c>
      <c r="C9" s="3464">
        <v>10</v>
      </c>
      <c r="D9" s="3468"/>
      <c r="E9" s="2340" t="s">
        <v>7334</v>
      </c>
      <c r="F9" s="3471">
        <v>20</v>
      </c>
      <c r="G9" s="3472"/>
      <c r="H9" s="2339"/>
      <c r="I9" s="3449" t="s">
        <v>7896</v>
      </c>
      <c r="J9" s="3450"/>
      <c r="K9" s="3450"/>
      <c r="L9" s="3450"/>
      <c r="M9" s="3451"/>
    </row>
    <row r="10" spans="2:13" ht="26.25" thickBot="1">
      <c r="B10" s="3467"/>
      <c r="C10" s="3465"/>
      <c r="D10" s="3468"/>
      <c r="E10" s="2361" t="s">
        <v>7349</v>
      </c>
      <c r="F10" s="3469" t="s">
        <v>654</v>
      </c>
      <c r="G10" s="3470"/>
      <c r="H10" s="431"/>
      <c r="I10" s="3452"/>
      <c r="J10" s="3453"/>
      <c r="K10" s="3453"/>
      <c r="L10" s="3453"/>
      <c r="M10" s="3454"/>
    </row>
    <row r="11" spans="2:13" ht="5.0999999999999996" customHeight="1">
      <c r="B11" s="432"/>
      <c r="C11" s="432"/>
      <c r="D11" s="432"/>
      <c r="E11" s="431"/>
      <c r="F11" s="431"/>
      <c r="G11" s="431"/>
      <c r="H11" s="431"/>
      <c r="I11" s="3452"/>
      <c r="J11" s="3453"/>
      <c r="K11" s="3453"/>
      <c r="L11" s="3453"/>
      <c r="M11" s="3454"/>
    </row>
    <row r="12" spans="2:13" ht="12.95" customHeight="1" thickBot="1">
      <c r="B12" s="3448" t="s">
        <v>8936</v>
      </c>
      <c r="C12" s="3448"/>
      <c r="D12" s="3448"/>
      <c r="E12" s="3448"/>
      <c r="F12" s="3448"/>
      <c r="G12" s="3448"/>
      <c r="H12" s="2362"/>
      <c r="I12" s="3452"/>
      <c r="J12" s="3453"/>
      <c r="K12" s="3453"/>
      <c r="L12" s="3453"/>
      <c r="M12" s="3454"/>
    </row>
    <row r="13" spans="2:13" ht="39" customHeight="1">
      <c r="B13" s="2481" t="s">
        <v>7897</v>
      </c>
      <c r="C13" s="2492">
        <f>VLOOKUP(F10,B30:C139,2,FALSE)+G22+G23+G24+G25-G28</f>
        <v>100</v>
      </c>
      <c r="D13" s="3460"/>
      <c r="E13" s="3461" t="s">
        <v>7336</v>
      </c>
      <c r="F13" s="3462"/>
      <c r="G13" s="2336">
        <f>ROUNDDOWN(C9*50/35,0)</f>
        <v>14</v>
      </c>
      <c r="H13" s="431"/>
      <c r="I13" s="3452"/>
      <c r="J13" s="3453"/>
      <c r="K13" s="3453"/>
      <c r="L13" s="3453"/>
      <c r="M13" s="3454"/>
    </row>
    <row r="14" spans="2:13" ht="39" customHeight="1" thickBot="1">
      <c r="B14" s="2491" t="s">
        <v>7335</v>
      </c>
      <c r="C14" s="2360">
        <f>IF(SMALL(G13:G14,1)&lt;F9,SMALL(G13:G14,1),F9)</f>
        <v>14</v>
      </c>
      <c r="D14" s="3460"/>
      <c r="E14" s="3458" t="s">
        <v>7337</v>
      </c>
      <c r="F14" s="3459"/>
      <c r="G14" s="2337">
        <f>IF(ROUNDDOWN((F9*C13)/35,0)&gt;F9,F9,ROUNDDOWN((F9*C13)/35,0))</f>
        <v>20</v>
      </c>
      <c r="H14" s="431"/>
      <c r="I14" s="3452"/>
      <c r="J14" s="3453"/>
      <c r="K14" s="3453"/>
      <c r="L14" s="3453"/>
      <c r="M14" s="3454"/>
    </row>
    <row r="15" spans="2:13" ht="5.0999999999999996" customHeight="1">
      <c r="B15" s="432"/>
      <c r="C15" s="432"/>
      <c r="D15" s="432"/>
      <c r="E15" s="2359"/>
      <c r="F15" s="431"/>
      <c r="G15" s="431"/>
      <c r="H15" s="431"/>
      <c r="I15" s="3452"/>
      <c r="J15" s="3453"/>
      <c r="K15" s="3453"/>
      <c r="L15" s="3453"/>
      <c r="M15" s="3454"/>
    </row>
    <row r="16" spans="2:13" ht="12.95" customHeight="1" thickBot="1">
      <c r="B16" s="3448" t="s">
        <v>7348</v>
      </c>
      <c r="C16" s="3448"/>
      <c r="D16" s="3448"/>
      <c r="E16" s="3448"/>
      <c r="F16" s="3448"/>
      <c r="G16" s="3448"/>
      <c r="H16" s="2362"/>
      <c r="I16" s="3455"/>
      <c r="J16" s="3456"/>
      <c r="K16" s="3456"/>
      <c r="L16" s="3456"/>
      <c r="M16" s="3457"/>
    </row>
    <row r="17" spans="2:13" ht="39" customHeight="1" thickBot="1">
      <c r="B17" s="2335" t="s">
        <v>7338</v>
      </c>
      <c r="C17" s="2338">
        <f>ROUNDUP(IF(C13&lt;35,IF(C9*50/C13&lt;1,1,C9*50/C13),G13),0)</f>
        <v>14</v>
      </c>
      <c r="D17" s="3475"/>
      <c r="E17" s="3477" t="str">
        <f>IF(G17=0,"ДОСТИГНУТА МАКСИМАЛЬНАЯ ЭФФЕКТИВНОСТЬ ПО КОЛИЧЕСТВУ ЖЕРТВ В ОТРЯДЕ!",IF(C17&gt;F9,"Количество существ, которое необходимо добавить в жертвуемый отряд для максимального призыва:","Количество существ, которое необходимо убрать из жертвуемого отряда для максимального призыва:"))</f>
        <v>Количество существ, которое необходимо убрать из жертвуемого отряда для максимального призыва:</v>
      </c>
      <c r="F17" s="3478"/>
      <c r="G17" s="2338">
        <f>IF((C17-F9)&gt;0,C17-F9,F9-C17)</f>
        <v>6</v>
      </c>
      <c r="H17" s="431"/>
      <c r="I17" s="2486"/>
      <c r="J17" s="2486"/>
      <c r="K17" s="2486"/>
      <c r="L17" s="2486"/>
      <c r="M17" s="2486"/>
    </row>
    <row r="18" spans="2:13" ht="5.0999999999999996" customHeight="1" thickBot="1">
      <c r="B18" s="432"/>
      <c r="C18" s="432"/>
      <c r="D18" s="3475"/>
      <c r="E18" s="431"/>
      <c r="F18" s="431"/>
      <c r="G18" s="431"/>
      <c r="H18" s="431"/>
      <c r="I18" s="2486"/>
      <c r="J18" s="2486"/>
      <c r="K18" s="2486"/>
      <c r="L18" s="2486"/>
      <c r="M18" s="2486"/>
    </row>
    <row r="19" spans="2:13" ht="39" customHeight="1" thickBot="1">
      <c r="B19" s="2335" t="s">
        <v>7339</v>
      </c>
      <c r="C19" s="2338">
        <f>ROUNDUP(G14*35/50,0)</f>
        <v>14</v>
      </c>
      <c r="D19" s="3475"/>
      <c r="E19" s="3477" t="str">
        <f>IF(G19=0,"ДОСТИГНУТА МАКСИМАЛЬНАЯ ЭФФЕКТИВНОСТЬ АДСКИХ ОТРОДИЙ!",IF(C19&gt;C9,"Количество Адских отродий, которое необходимо добавить в отряд для максимального призыва:","Количество Адских отродий, которое необходимо убрать из отряда для максимального призыва:"))</f>
        <v>Количество Адских отродий, которое необходимо добавить в отряд для максимального призыва:</v>
      </c>
      <c r="F19" s="3478"/>
      <c r="G19" s="2341">
        <f>IF((C19-C9)&gt;0,C19-C9,C9-C19)</f>
        <v>4</v>
      </c>
      <c r="H19" s="431"/>
      <c r="I19" s="2486"/>
      <c r="J19" s="2486"/>
      <c r="K19" s="2486"/>
      <c r="L19" s="2486"/>
      <c r="M19" s="2486"/>
    </row>
    <row r="20" spans="2:13" ht="5.0999999999999996" customHeight="1">
      <c r="B20" s="432"/>
      <c r="C20" s="432"/>
      <c r="D20" s="432"/>
      <c r="E20" s="431"/>
      <c r="F20" s="431"/>
      <c r="G20" s="431"/>
      <c r="H20" s="431"/>
      <c r="I20" s="1706"/>
      <c r="J20" s="1706"/>
      <c r="K20" s="1706"/>
      <c r="L20" s="1706"/>
      <c r="M20" s="1706"/>
    </row>
    <row r="21" spans="2:13" ht="12.95" customHeight="1" thickBot="1">
      <c r="B21" s="3448" t="s">
        <v>8937</v>
      </c>
      <c r="C21" s="3448"/>
      <c r="D21" s="3448"/>
      <c r="E21" s="3448"/>
      <c r="F21" s="3448"/>
      <c r="G21" s="3448"/>
      <c r="H21" s="431"/>
      <c r="I21" s="1706"/>
      <c r="J21" s="1706"/>
      <c r="K21" s="1706"/>
      <c r="L21" s="1706"/>
      <c r="M21" s="1706"/>
    </row>
    <row r="22" spans="2:13" ht="12.95" customHeight="1">
      <c r="B22" s="2342" t="s">
        <v>7340</v>
      </c>
      <c r="C22" s="2487" t="s">
        <v>1304</v>
      </c>
      <c r="D22" s="3476"/>
      <c r="E22" s="3461" t="s">
        <v>7346</v>
      </c>
      <c r="F22" s="3462"/>
      <c r="G22" s="2351">
        <f>IF(OR(C22="да",C25="да"),1,0)</f>
        <v>0</v>
      </c>
      <c r="H22" s="431"/>
      <c r="J22" s="1706"/>
      <c r="K22" s="1706"/>
      <c r="L22" s="1706"/>
      <c r="M22" s="1706"/>
    </row>
    <row r="23" spans="2:13" ht="12.95" customHeight="1">
      <c r="B23" s="2343" t="s">
        <v>7341</v>
      </c>
      <c r="C23" s="2488" t="s">
        <v>1304</v>
      </c>
      <c r="D23" s="3476"/>
      <c r="E23" s="3479"/>
      <c r="F23" s="3480"/>
      <c r="G23" s="2352">
        <f>IF(OR(C23="да",C25="да"),1,0)</f>
        <v>0</v>
      </c>
      <c r="H23" s="431"/>
      <c r="I23" s="1706"/>
      <c r="J23" s="1706"/>
      <c r="K23" s="1706"/>
      <c r="L23" s="1706"/>
      <c r="M23" s="1706"/>
    </row>
    <row r="24" spans="2:13" ht="12.95" customHeight="1">
      <c r="B24" s="2343" t="s">
        <v>7342</v>
      </c>
      <c r="C24" s="2488" t="s">
        <v>1304</v>
      </c>
      <c r="D24" s="3476"/>
      <c r="E24" s="3479"/>
      <c r="F24" s="3480"/>
      <c r="G24" s="2352">
        <f>IF(OR(C24="да",C25="да"),2,0)</f>
        <v>0</v>
      </c>
      <c r="H24" s="431"/>
      <c r="I24" s="1706"/>
      <c r="J24" s="1706"/>
      <c r="K24" s="1706"/>
      <c r="L24" s="1706"/>
      <c r="M24" s="1706"/>
    </row>
    <row r="25" spans="2:13" ht="12.95" customHeight="1" thickBot="1">
      <c r="B25" s="2344" t="s">
        <v>7343</v>
      </c>
      <c r="C25" s="2489" t="s">
        <v>1304</v>
      </c>
      <c r="D25" s="3476"/>
      <c r="E25" s="3458"/>
      <c r="F25" s="3459"/>
      <c r="G25" s="2353">
        <f>IF(C25="да",ROUNDDOWN(VLOOKUP(F10,B30:C139,2,FALSE)*0.25,0),0)</f>
        <v>0</v>
      </c>
      <c r="H25" s="431"/>
      <c r="I25" s="1706"/>
      <c r="J25" s="1706"/>
      <c r="K25" s="1706"/>
      <c r="L25" s="1706"/>
      <c r="M25" s="1706"/>
    </row>
    <row r="26" spans="2:13" ht="5.0999999999999996" customHeight="1">
      <c r="B26" s="432"/>
      <c r="C26" s="432"/>
      <c r="D26" s="432"/>
      <c r="E26" s="431"/>
      <c r="F26" s="431"/>
      <c r="G26" s="431"/>
      <c r="H26" s="431"/>
      <c r="I26" s="1706"/>
      <c r="J26" s="1706"/>
      <c r="K26" s="1706"/>
      <c r="L26" s="1706"/>
      <c r="M26" s="1706"/>
    </row>
    <row r="27" spans="2:13" ht="12.95" customHeight="1" thickBot="1">
      <c r="B27" s="3448" t="s">
        <v>8938</v>
      </c>
      <c r="C27" s="3448"/>
      <c r="D27" s="3448"/>
      <c r="E27" s="3448"/>
      <c r="F27" s="3448"/>
      <c r="G27" s="3448"/>
      <c r="H27" s="431"/>
      <c r="I27" s="1706"/>
      <c r="J27" s="1706"/>
      <c r="K27" s="1706"/>
      <c r="L27" s="1706"/>
      <c r="M27" s="1706"/>
    </row>
    <row r="28" spans="2:13" ht="12.95" customHeight="1" thickBot="1">
      <c r="B28" s="2350" t="s">
        <v>7350</v>
      </c>
      <c r="C28" s="2490">
        <v>0</v>
      </c>
      <c r="D28" s="433"/>
      <c r="E28" s="3473" t="s">
        <v>7345</v>
      </c>
      <c r="F28" s="3474"/>
      <c r="G28" s="2354">
        <f>ROUNDDOWN((VLOOKUP(F10,B30:C139,2,FALSE)+G22+G23+G24+G25)*C28,0)</f>
        <v>0</v>
      </c>
      <c r="H28" s="431"/>
      <c r="I28" s="1706"/>
      <c r="J28" s="1706"/>
      <c r="K28" s="1706"/>
      <c r="L28" s="1706"/>
      <c r="M28" s="1706"/>
    </row>
    <row r="29" spans="2:13" ht="5.0999999999999996" customHeight="1"/>
    <row r="30" spans="2:13" ht="12.95" hidden="1" customHeight="1">
      <c r="B30" s="1244" t="s">
        <v>2232</v>
      </c>
      <c r="C30" s="1283">
        <v>10</v>
      </c>
      <c r="D30" s="2355"/>
      <c r="G30" s="292" t="s">
        <v>7344</v>
      </c>
    </row>
    <row r="31" spans="2:13" ht="12.95" hidden="1" customHeight="1">
      <c r="B31" s="1324" t="s">
        <v>2233</v>
      </c>
      <c r="C31" s="131">
        <v>10</v>
      </c>
      <c r="D31" s="2356"/>
      <c r="G31" s="292" t="s">
        <v>1304</v>
      </c>
    </row>
    <row r="32" spans="2:13" ht="12.95" hidden="1" customHeight="1">
      <c r="B32" s="1242" t="s">
        <v>373</v>
      </c>
      <c r="C32" s="1271">
        <v>10</v>
      </c>
      <c r="D32" s="2355"/>
      <c r="G32" s="2349">
        <v>0</v>
      </c>
    </row>
    <row r="33" spans="2:7" ht="12.95" hidden="1" customHeight="1">
      <c r="B33" s="1324" t="s">
        <v>343</v>
      </c>
      <c r="C33" s="131">
        <v>10</v>
      </c>
      <c r="D33" s="2356"/>
      <c r="G33" s="2349">
        <v>0.1</v>
      </c>
    </row>
    <row r="34" spans="2:7" ht="12.95" hidden="1" customHeight="1">
      <c r="B34" s="1242" t="s">
        <v>2324</v>
      </c>
      <c r="C34" s="1271">
        <v>25</v>
      </c>
      <c r="D34" s="2355"/>
      <c r="G34" s="2349">
        <v>0.2</v>
      </c>
    </row>
    <row r="35" spans="2:7" ht="12.95" hidden="1" customHeight="1">
      <c r="B35" s="1322" t="s">
        <v>344</v>
      </c>
      <c r="C35" s="131">
        <v>25</v>
      </c>
      <c r="D35" s="2356"/>
      <c r="G35" s="2349">
        <v>0.3</v>
      </c>
    </row>
    <row r="36" spans="2:7" ht="12.95" hidden="1" customHeight="1">
      <c r="B36" s="1242" t="s">
        <v>2152</v>
      </c>
      <c r="C36" s="1271">
        <v>35</v>
      </c>
      <c r="D36" s="2355"/>
      <c r="G36" s="2349">
        <v>0.4</v>
      </c>
    </row>
    <row r="37" spans="2:7" ht="12.95" hidden="1" customHeight="1">
      <c r="B37" s="1322" t="s">
        <v>1645</v>
      </c>
      <c r="C37" s="131">
        <v>35</v>
      </c>
      <c r="D37" s="2356"/>
      <c r="G37" s="2349">
        <v>0.5</v>
      </c>
    </row>
    <row r="38" spans="2:7" ht="12.95" hidden="1" customHeight="1">
      <c r="B38" s="1242" t="s">
        <v>1948</v>
      </c>
      <c r="C38" s="1271">
        <v>30</v>
      </c>
      <c r="D38" s="2355"/>
    </row>
    <row r="39" spans="2:7" ht="12.95" hidden="1" customHeight="1">
      <c r="B39" s="1322" t="s">
        <v>1644</v>
      </c>
      <c r="C39" s="131">
        <v>30</v>
      </c>
      <c r="D39" s="2356"/>
    </row>
    <row r="40" spans="2:7" ht="12.95" hidden="1" customHeight="1">
      <c r="B40" s="1242" t="s">
        <v>567</v>
      </c>
      <c r="C40" s="1271">
        <v>100</v>
      </c>
      <c r="D40" s="2355"/>
    </row>
    <row r="41" spans="2:7" ht="12.95" hidden="1" customHeight="1">
      <c r="B41" s="1322" t="s">
        <v>654</v>
      </c>
      <c r="C41" s="131">
        <v>100</v>
      </c>
      <c r="D41" s="2356"/>
    </row>
    <row r="42" spans="2:7" ht="12.95" hidden="1" customHeight="1">
      <c r="B42" s="1242" t="s">
        <v>650</v>
      </c>
      <c r="C42" s="1271">
        <v>200</v>
      </c>
      <c r="D42" s="2355"/>
    </row>
    <row r="43" spans="2:7" ht="12.95" hidden="1" customHeight="1" thickBot="1">
      <c r="B43" s="1327" t="s">
        <v>1220</v>
      </c>
      <c r="C43" s="1336">
        <v>250</v>
      </c>
      <c r="D43" s="2357"/>
    </row>
    <row r="44" spans="2:7" ht="12.95" hidden="1" customHeight="1">
      <c r="B44" s="1244" t="s">
        <v>2234</v>
      </c>
      <c r="C44" s="1283">
        <v>8</v>
      </c>
      <c r="D44" s="2355"/>
    </row>
    <row r="45" spans="2:7" ht="12.95" hidden="1" customHeight="1">
      <c r="B45" s="1322" t="s">
        <v>3444</v>
      </c>
      <c r="C45" s="2345">
        <v>10</v>
      </c>
      <c r="D45" s="2357"/>
    </row>
    <row r="46" spans="2:7" ht="12.95" hidden="1" customHeight="1">
      <c r="B46" s="1242" t="s">
        <v>374</v>
      </c>
      <c r="C46" s="1271">
        <v>20</v>
      </c>
      <c r="D46" s="2355"/>
    </row>
    <row r="47" spans="2:7" ht="12.95" hidden="1" customHeight="1">
      <c r="B47" s="1322" t="s">
        <v>1597</v>
      </c>
      <c r="C47" s="131">
        <v>20</v>
      </c>
      <c r="D47" s="2356"/>
    </row>
    <row r="48" spans="2:7" ht="12.95" hidden="1" customHeight="1">
      <c r="B48" s="1242" t="s">
        <v>2844</v>
      </c>
      <c r="C48" s="1271">
        <v>15</v>
      </c>
      <c r="D48" s="2355"/>
    </row>
    <row r="49" spans="2:4" ht="12.95" hidden="1" customHeight="1">
      <c r="B49" s="1322" t="s">
        <v>840</v>
      </c>
      <c r="C49" s="131">
        <v>15</v>
      </c>
      <c r="D49" s="2356"/>
    </row>
    <row r="50" spans="2:4" ht="12.95" hidden="1" customHeight="1">
      <c r="B50" s="1242" t="s">
        <v>1949</v>
      </c>
      <c r="C50" s="1271">
        <v>30</v>
      </c>
      <c r="D50" s="2355"/>
    </row>
    <row r="51" spans="2:4" ht="12.95" hidden="1" customHeight="1">
      <c r="B51" s="1322" t="s">
        <v>900</v>
      </c>
      <c r="C51" s="131">
        <v>30</v>
      </c>
      <c r="D51" s="2356"/>
    </row>
    <row r="52" spans="2:4" ht="12.95" hidden="1" customHeight="1">
      <c r="B52" s="1242" t="s">
        <v>3445</v>
      </c>
      <c r="C52" s="1271">
        <v>55</v>
      </c>
      <c r="D52" s="2355"/>
    </row>
    <row r="53" spans="2:4" ht="12.95" hidden="1" customHeight="1">
      <c r="B53" s="1322" t="s">
        <v>3446</v>
      </c>
      <c r="C53" s="2346">
        <v>65</v>
      </c>
      <c r="D53" s="2358"/>
    </row>
    <row r="54" spans="2:4" ht="12.95" hidden="1" customHeight="1">
      <c r="B54" s="1242" t="s">
        <v>1052</v>
      </c>
      <c r="C54" s="1271">
        <v>90</v>
      </c>
      <c r="D54" s="2355"/>
    </row>
    <row r="55" spans="2:4" ht="12.95" hidden="1" customHeight="1">
      <c r="B55" s="1322" t="s">
        <v>841</v>
      </c>
      <c r="C55" s="2346">
        <v>110</v>
      </c>
      <c r="D55" s="2358"/>
    </row>
    <row r="56" spans="2:4" ht="12.95" hidden="1" customHeight="1">
      <c r="B56" s="1242" t="s">
        <v>3447</v>
      </c>
      <c r="C56" s="1271">
        <v>180</v>
      </c>
      <c r="D56" s="2355"/>
    </row>
    <row r="57" spans="2:4" ht="12.95" hidden="1" customHeight="1" thickBot="1">
      <c r="B57" s="1329" t="s">
        <v>842</v>
      </c>
      <c r="C57" s="2347">
        <v>250</v>
      </c>
      <c r="D57" s="2358"/>
    </row>
    <row r="58" spans="2:4" ht="12.95" hidden="1" customHeight="1">
      <c r="B58" s="1241" t="s">
        <v>1532</v>
      </c>
      <c r="C58" s="1265">
        <v>4</v>
      </c>
      <c r="D58" s="2355"/>
    </row>
    <row r="59" spans="2:4" ht="12.95" hidden="1" customHeight="1">
      <c r="B59" s="1322" t="s">
        <v>1533</v>
      </c>
      <c r="C59" s="131">
        <v>4</v>
      </c>
      <c r="D59" s="2356"/>
    </row>
    <row r="60" spans="2:4" ht="12.95" hidden="1" customHeight="1">
      <c r="B60" s="1242" t="s">
        <v>1817</v>
      </c>
      <c r="C60" s="1271">
        <v>25</v>
      </c>
      <c r="D60" s="2355"/>
    </row>
    <row r="61" spans="2:4" ht="12.95" hidden="1" customHeight="1">
      <c r="B61" s="1322" t="s">
        <v>3451</v>
      </c>
      <c r="C61" s="2346">
        <v>30</v>
      </c>
      <c r="D61" s="2358"/>
    </row>
    <row r="62" spans="2:4" ht="12.95" hidden="1" customHeight="1">
      <c r="B62" s="1242" t="s">
        <v>3062</v>
      </c>
      <c r="C62" s="1271">
        <v>40</v>
      </c>
      <c r="D62" s="2355"/>
    </row>
    <row r="63" spans="2:4" ht="12.95" hidden="1" customHeight="1">
      <c r="B63" s="1322" t="s">
        <v>3452</v>
      </c>
      <c r="C63" s="131">
        <v>40</v>
      </c>
      <c r="D63" s="2356"/>
    </row>
    <row r="64" spans="2:4" ht="12.95" hidden="1" customHeight="1">
      <c r="B64" s="1242" t="s">
        <v>566</v>
      </c>
      <c r="C64" s="1271">
        <v>110</v>
      </c>
      <c r="D64" s="2355"/>
    </row>
    <row r="65" spans="2:4" ht="12.95" hidden="1" customHeight="1">
      <c r="B65" s="1322" t="s">
        <v>3453</v>
      </c>
      <c r="C65" s="131">
        <v>110</v>
      </c>
      <c r="D65" s="2356"/>
    </row>
    <row r="66" spans="2:4" ht="12.95" hidden="1" customHeight="1">
      <c r="B66" s="1242" t="s">
        <v>652</v>
      </c>
      <c r="C66" s="1271">
        <v>150</v>
      </c>
      <c r="D66" s="2355"/>
    </row>
    <row r="67" spans="2:4" ht="12.95" hidden="1" customHeight="1" thickBot="1">
      <c r="B67" s="1327" t="s">
        <v>1221</v>
      </c>
      <c r="C67" s="2348">
        <v>300</v>
      </c>
      <c r="D67" s="2358"/>
    </row>
    <row r="68" spans="2:4" ht="12.95" hidden="1" customHeight="1">
      <c r="B68" s="1244" t="s">
        <v>1537</v>
      </c>
      <c r="C68" s="1283">
        <v>5</v>
      </c>
      <c r="D68" s="2355"/>
    </row>
    <row r="69" spans="2:4" ht="12.95" hidden="1" customHeight="1">
      <c r="B69" s="1322" t="s">
        <v>1721</v>
      </c>
      <c r="C69" s="2346">
        <v>6</v>
      </c>
      <c r="D69" s="2358"/>
    </row>
    <row r="70" spans="2:4" ht="12.95" hidden="1" customHeight="1">
      <c r="B70" s="1242" t="s">
        <v>377</v>
      </c>
      <c r="C70" s="1271">
        <v>14</v>
      </c>
      <c r="D70" s="2355"/>
    </row>
    <row r="71" spans="2:4" ht="12.95" hidden="1" customHeight="1">
      <c r="B71" s="1322" t="s">
        <v>3458</v>
      </c>
      <c r="C71" s="131">
        <v>14</v>
      </c>
      <c r="D71" s="2356"/>
    </row>
    <row r="72" spans="2:4" ht="12.95" hidden="1" customHeight="1">
      <c r="B72" s="1242" t="s">
        <v>2325</v>
      </c>
      <c r="C72" s="1271">
        <v>22</v>
      </c>
      <c r="D72" s="2355"/>
    </row>
    <row r="73" spans="2:4" ht="12.95" hidden="1" customHeight="1">
      <c r="B73" s="1322" t="s">
        <v>3459</v>
      </c>
      <c r="C73" s="131">
        <v>22</v>
      </c>
      <c r="D73" s="2356"/>
    </row>
    <row r="74" spans="2:4" ht="12.95" hidden="1" customHeight="1">
      <c r="B74" s="1242" t="s">
        <v>490</v>
      </c>
      <c r="C74" s="1271">
        <v>25</v>
      </c>
      <c r="D74" s="2355"/>
    </row>
    <row r="75" spans="2:4" ht="12.95" hidden="1" customHeight="1">
      <c r="B75" s="1322" t="s">
        <v>3460</v>
      </c>
      <c r="C75" s="2346">
        <v>30</v>
      </c>
      <c r="D75" s="2358"/>
    </row>
    <row r="76" spans="2:4" ht="12.95" hidden="1" customHeight="1">
      <c r="B76" s="1242" t="s">
        <v>643</v>
      </c>
      <c r="C76" s="1271">
        <v>50</v>
      </c>
      <c r="D76" s="2355"/>
    </row>
    <row r="77" spans="2:4" ht="12.95" hidden="1" customHeight="1">
      <c r="B77" s="1322" t="s">
        <v>3461</v>
      </c>
      <c r="C77" s="131">
        <v>50</v>
      </c>
      <c r="D77" s="2356"/>
    </row>
    <row r="78" spans="2:4" ht="12.95" hidden="1" customHeight="1">
      <c r="B78" s="1242" t="s">
        <v>1054</v>
      </c>
      <c r="C78" s="1271">
        <v>80</v>
      </c>
      <c r="D78" s="2355"/>
    </row>
    <row r="79" spans="2:4" ht="12.95" hidden="1" customHeight="1">
      <c r="B79" s="1322" t="s">
        <v>1053</v>
      </c>
      <c r="C79" s="131">
        <v>80</v>
      </c>
      <c r="D79" s="2356"/>
    </row>
    <row r="80" spans="2:4" ht="12.95" hidden="1" customHeight="1">
      <c r="B80" s="1242" t="s">
        <v>1100</v>
      </c>
      <c r="C80" s="1271">
        <v>180</v>
      </c>
      <c r="D80" s="2355"/>
    </row>
    <row r="81" spans="2:4" ht="12.95" hidden="1" customHeight="1" thickBot="1">
      <c r="B81" s="1329" t="s">
        <v>3462</v>
      </c>
      <c r="C81" s="2347">
        <v>300</v>
      </c>
      <c r="D81" s="2358"/>
    </row>
    <row r="82" spans="2:4" ht="12.95" hidden="1" customHeight="1">
      <c r="B82" s="1244" t="s">
        <v>1534</v>
      </c>
      <c r="C82" s="1283">
        <v>4</v>
      </c>
      <c r="D82" s="2355"/>
    </row>
    <row r="83" spans="2:4" ht="12.95" hidden="1" customHeight="1">
      <c r="B83" s="1322" t="s">
        <v>1535</v>
      </c>
      <c r="C83" s="131">
        <v>4</v>
      </c>
      <c r="D83" s="2356"/>
    </row>
    <row r="84" spans="2:4" ht="12.95" hidden="1" customHeight="1">
      <c r="B84" s="1242" t="s">
        <v>375</v>
      </c>
      <c r="C84" s="1271">
        <v>13</v>
      </c>
      <c r="D84" s="2355"/>
    </row>
    <row r="85" spans="2:4" ht="12.95" hidden="1" customHeight="1">
      <c r="B85" s="1322" t="s">
        <v>1593</v>
      </c>
      <c r="C85" s="131">
        <v>13</v>
      </c>
      <c r="D85" s="2356"/>
    </row>
    <row r="86" spans="2:4" ht="12.95" hidden="1" customHeight="1">
      <c r="B86" s="1242" t="s">
        <v>1518</v>
      </c>
      <c r="C86" s="1271">
        <v>25</v>
      </c>
      <c r="D86" s="2355"/>
    </row>
    <row r="87" spans="2:4" ht="12.95" hidden="1" customHeight="1">
      <c r="B87" s="1322" t="s">
        <v>2323</v>
      </c>
      <c r="C87" s="131">
        <v>25</v>
      </c>
      <c r="D87" s="2356"/>
    </row>
    <row r="88" spans="2:4" ht="12.95" hidden="1" customHeight="1">
      <c r="B88" s="1242" t="s">
        <v>1686</v>
      </c>
      <c r="C88" s="1271">
        <v>35</v>
      </c>
      <c r="D88" s="2355"/>
    </row>
    <row r="89" spans="2:4" ht="12.95" hidden="1" customHeight="1">
      <c r="B89" s="1322" t="s">
        <v>1519</v>
      </c>
      <c r="C89" s="2346">
        <v>40</v>
      </c>
      <c r="D89" s="2358"/>
    </row>
    <row r="90" spans="2:4" ht="12.95" hidden="1" customHeight="1">
      <c r="B90" s="1242" t="s">
        <v>1520</v>
      </c>
      <c r="C90" s="1271">
        <v>45</v>
      </c>
      <c r="D90" s="2355"/>
    </row>
    <row r="91" spans="2:4" ht="12.95" hidden="1" customHeight="1">
      <c r="B91" s="1322" t="s">
        <v>1521</v>
      </c>
      <c r="C91" s="131">
        <v>45</v>
      </c>
      <c r="D91" s="2356"/>
    </row>
    <row r="92" spans="2:4" ht="12.95" hidden="1" customHeight="1">
      <c r="B92" s="1242" t="s">
        <v>3063</v>
      </c>
      <c r="C92" s="1271">
        <v>90</v>
      </c>
      <c r="D92" s="2355"/>
    </row>
    <row r="93" spans="2:4" ht="12.95" hidden="1" customHeight="1">
      <c r="B93" s="1322" t="s">
        <v>3463</v>
      </c>
      <c r="C93" s="131">
        <v>90</v>
      </c>
      <c r="D93" s="2356"/>
    </row>
    <row r="94" spans="2:4" ht="12.95" hidden="1" customHeight="1">
      <c r="B94" s="1242" t="s">
        <v>1941</v>
      </c>
      <c r="C94" s="1271">
        <v>160</v>
      </c>
      <c r="D94" s="2355"/>
    </row>
    <row r="95" spans="2:4" ht="12.95" hidden="1" customHeight="1" thickBot="1">
      <c r="B95" s="1329" t="s">
        <v>1222</v>
      </c>
      <c r="C95" s="2347">
        <v>200</v>
      </c>
      <c r="D95" s="2358"/>
    </row>
    <row r="96" spans="2:4" ht="12.95" hidden="1" customHeight="1">
      <c r="B96" s="1241" t="s">
        <v>1540</v>
      </c>
      <c r="C96" s="1265">
        <v>6</v>
      </c>
      <c r="D96" s="2355"/>
    </row>
    <row r="97" spans="2:4" ht="12.95" hidden="1" customHeight="1">
      <c r="B97" s="1322" t="s">
        <v>3464</v>
      </c>
      <c r="C97" s="131">
        <v>6</v>
      </c>
      <c r="D97" s="2356"/>
    </row>
    <row r="98" spans="2:4" ht="12.95" hidden="1" customHeight="1">
      <c r="B98" s="1242" t="s">
        <v>378</v>
      </c>
      <c r="C98" s="1271">
        <v>14</v>
      </c>
      <c r="D98" s="2355"/>
    </row>
    <row r="99" spans="2:4" ht="12.95" hidden="1" customHeight="1">
      <c r="B99" s="1322" t="s">
        <v>3465</v>
      </c>
      <c r="C99" s="2346">
        <v>15</v>
      </c>
      <c r="D99" s="2358"/>
    </row>
    <row r="100" spans="2:4" ht="12.95" hidden="1" customHeight="1">
      <c r="B100" s="1242" t="s">
        <v>1595</v>
      </c>
      <c r="C100" s="1271">
        <v>20</v>
      </c>
      <c r="D100" s="2355"/>
    </row>
    <row r="101" spans="2:4" ht="12.95" hidden="1" customHeight="1">
      <c r="B101" s="1322" t="s">
        <v>612</v>
      </c>
      <c r="C101" s="131">
        <v>20</v>
      </c>
      <c r="D101" s="2356"/>
    </row>
    <row r="102" spans="2:4" ht="12.95" hidden="1" customHeight="1">
      <c r="B102" s="1242" t="s">
        <v>1947</v>
      </c>
      <c r="C102" s="1271">
        <v>35</v>
      </c>
      <c r="D102" s="2355"/>
    </row>
    <row r="103" spans="2:4" ht="12.95" hidden="1" customHeight="1">
      <c r="B103" s="1322" t="s">
        <v>2545</v>
      </c>
      <c r="C103" s="2346">
        <v>40</v>
      </c>
      <c r="D103" s="2358"/>
    </row>
    <row r="104" spans="2:4" ht="12.95" hidden="1" customHeight="1">
      <c r="B104" s="1242" t="s">
        <v>641</v>
      </c>
      <c r="C104" s="1271">
        <v>70</v>
      </c>
      <c r="D104" s="2355"/>
    </row>
    <row r="105" spans="2:4" ht="12.95" hidden="1" customHeight="1">
      <c r="B105" s="1322" t="s">
        <v>613</v>
      </c>
      <c r="C105" s="131">
        <v>70</v>
      </c>
      <c r="D105" s="2356"/>
    </row>
    <row r="106" spans="2:4" ht="12.95" hidden="1" customHeight="1">
      <c r="B106" s="1242" t="s">
        <v>614</v>
      </c>
      <c r="C106" s="1271">
        <v>70</v>
      </c>
      <c r="D106" s="2355"/>
    </row>
    <row r="107" spans="2:4" ht="12.95" hidden="1" customHeight="1">
      <c r="B107" s="1322" t="s">
        <v>3466</v>
      </c>
      <c r="C107" s="131">
        <v>70</v>
      </c>
      <c r="D107" s="2356"/>
    </row>
    <row r="108" spans="2:4" ht="12.95" hidden="1" customHeight="1">
      <c r="B108" s="1242" t="s">
        <v>651</v>
      </c>
      <c r="C108" s="1271">
        <v>175</v>
      </c>
      <c r="D108" s="2355"/>
    </row>
    <row r="109" spans="2:4" ht="12.95" hidden="1" customHeight="1" thickBot="1">
      <c r="B109" s="1327" t="s">
        <v>2611</v>
      </c>
      <c r="C109" s="2348">
        <v>250</v>
      </c>
      <c r="D109" s="2358"/>
    </row>
    <row r="110" spans="2:4" ht="12.95" hidden="1" customHeight="1">
      <c r="B110" s="1244" t="s">
        <v>1538</v>
      </c>
      <c r="C110" s="1283">
        <v>5</v>
      </c>
      <c r="D110" s="2355"/>
    </row>
    <row r="111" spans="2:4" ht="12.95" hidden="1" customHeight="1">
      <c r="B111" s="1322" t="s">
        <v>1539</v>
      </c>
      <c r="C111" s="131">
        <v>5</v>
      </c>
      <c r="D111" s="2356"/>
    </row>
    <row r="112" spans="2:4" ht="12.95" hidden="1" customHeight="1">
      <c r="B112" s="1242" t="s">
        <v>3467</v>
      </c>
      <c r="C112" s="1271">
        <v>10</v>
      </c>
      <c r="D112" s="2355"/>
    </row>
    <row r="113" spans="2:4" ht="12.95" hidden="1" customHeight="1">
      <c r="B113" s="1322" t="s">
        <v>3468</v>
      </c>
      <c r="C113" s="131">
        <v>10</v>
      </c>
      <c r="D113" s="2356"/>
    </row>
    <row r="114" spans="2:4" ht="12.95" hidden="1" customHeight="1">
      <c r="B114" s="1242" t="s">
        <v>372</v>
      </c>
      <c r="C114" s="1271">
        <v>15</v>
      </c>
      <c r="D114" s="2355"/>
    </row>
    <row r="115" spans="2:4" ht="12.95" hidden="1" customHeight="1">
      <c r="B115" s="1322" t="s">
        <v>3469</v>
      </c>
      <c r="C115" s="2346">
        <v>20</v>
      </c>
      <c r="D115" s="2358"/>
    </row>
    <row r="116" spans="2:4" ht="12.95" hidden="1" customHeight="1">
      <c r="B116" s="1242" t="s">
        <v>2322</v>
      </c>
      <c r="C116" s="1271">
        <v>40</v>
      </c>
      <c r="D116" s="2355"/>
    </row>
    <row r="117" spans="2:4" ht="12.95" hidden="1" customHeight="1">
      <c r="B117" s="1322" t="s">
        <v>3470</v>
      </c>
      <c r="C117" s="2346">
        <v>60</v>
      </c>
      <c r="D117" s="2358"/>
    </row>
    <row r="118" spans="2:4" ht="12.95" hidden="1" customHeight="1">
      <c r="B118" s="1242" t="s">
        <v>1309</v>
      </c>
      <c r="C118" s="1271">
        <v>60</v>
      </c>
      <c r="D118" s="2355"/>
    </row>
    <row r="119" spans="2:4" ht="12.95" hidden="1" customHeight="1">
      <c r="B119" s="1322" t="s">
        <v>149</v>
      </c>
      <c r="C119" s="131">
        <v>60</v>
      </c>
      <c r="D119" s="2356"/>
    </row>
    <row r="120" spans="2:4" ht="12.95" hidden="1" customHeight="1">
      <c r="B120" s="1242" t="s">
        <v>1062</v>
      </c>
      <c r="C120" s="1271">
        <v>70</v>
      </c>
      <c r="D120" s="2355"/>
    </row>
    <row r="121" spans="2:4" ht="12.95" hidden="1" customHeight="1">
      <c r="B121" s="1322" t="s">
        <v>150</v>
      </c>
      <c r="C121" s="131">
        <v>70</v>
      </c>
      <c r="D121" s="2356"/>
    </row>
    <row r="122" spans="2:4" ht="12.95" hidden="1" customHeight="1">
      <c r="B122" s="1242" t="s">
        <v>653</v>
      </c>
      <c r="C122" s="1271">
        <v>160</v>
      </c>
      <c r="D122" s="2355"/>
    </row>
    <row r="123" spans="2:4" ht="12.95" hidden="1" customHeight="1" thickBot="1">
      <c r="B123" s="1329" t="s">
        <v>151</v>
      </c>
      <c r="C123" s="2347">
        <v>300</v>
      </c>
      <c r="D123" s="2358"/>
    </row>
    <row r="124" spans="2:4" ht="12.95" hidden="1" customHeight="1">
      <c r="B124" s="1244" t="s">
        <v>2663</v>
      </c>
      <c r="C124" s="1283">
        <v>3</v>
      </c>
      <c r="D124" s="2355"/>
    </row>
    <row r="125" spans="2:4" ht="12.95" hidden="1" customHeight="1">
      <c r="B125" s="1322" t="s">
        <v>1531</v>
      </c>
      <c r="C125" s="131">
        <v>3</v>
      </c>
      <c r="D125" s="2356"/>
    </row>
    <row r="126" spans="2:4" ht="12.95" hidden="1" customHeight="1">
      <c r="B126" s="1242" t="s">
        <v>2670</v>
      </c>
      <c r="C126" s="1271">
        <v>150</v>
      </c>
      <c r="D126" s="2355"/>
    </row>
    <row r="127" spans="2:4" ht="12.95" hidden="1" customHeight="1" thickBot="1">
      <c r="B127" s="1329" t="s">
        <v>1223</v>
      </c>
      <c r="C127" s="2347">
        <v>200</v>
      </c>
      <c r="D127" s="2358"/>
    </row>
    <row r="128" spans="2:4" ht="12.95" hidden="1" customHeight="1">
      <c r="B128" s="1244" t="s">
        <v>2015</v>
      </c>
      <c r="C128" s="1283">
        <v>1</v>
      </c>
      <c r="D128" s="2355"/>
    </row>
    <row r="129" spans="2:4" ht="12.95" hidden="1" customHeight="1">
      <c r="B129" s="1255" t="s">
        <v>2014</v>
      </c>
      <c r="C129" s="131">
        <v>4</v>
      </c>
      <c r="D129" s="2356"/>
    </row>
    <row r="130" spans="2:4" ht="12.95" hidden="1" customHeight="1">
      <c r="B130" s="1242" t="s">
        <v>3472</v>
      </c>
      <c r="C130" s="1271">
        <v>15</v>
      </c>
      <c r="D130" s="2355"/>
    </row>
    <row r="131" spans="2:4" ht="12.95" hidden="1" customHeight="1">
      <c r="B131" s="1255" t="s">
        <v>379</v>
      </c>
      <c r="C131" s="131">
        <v>10</v>
      </c>
      <c r="D131" s="2356"/>
    </row>
    <row r="132" spans="2:4" ht="12.95" hidden="1" customHeight="1">
      <c r="B132" s="1242" t="s">
        <v>901</v>
      </c>
      <c r="C132" s="1271">
        <v>30</v>
      </c>
      <c r="D132" s="2355"/>
    </row>
    <row r="133" spans="2:4" ht="12.95" hidden="1" customHeight="1">
      <c r="B133" s="1242" t="s">
        <v>644</v>
      </c>
      <c r="C133" s="1271">
        <v>15</v>
      </c>
      <c r="D133" s="2355"/>
    </row>
    <row r="134" spans="2:4" ht="12.95" hidden="1" customHeight="1">
      <c r="B134" s="1242" t="s">
        <v>640</v>
      </c>
      <c r="C134" s="1271">
        <v>40</v>
      </c>
      <c r="D134" s="2355"/>
    </row>
    <row r="135" spans="2:4" ht="12.95" hidden="1" customHeight="1">
      <c r="B135" s="1242" t="s">
        <v>1063</v>
      </c>
      <c r="C135" s="1271">
        <v>30</v>
      </c>
      <c r="D135" s="2355"/>
    </row>
    <row r="136" spans="2:4" ht="12.95" hidden="1" customHeight="1">
      <c r="B136" s="1255" t="s">
        <v>1985</v>
      </c>
      <c r="C136" s="131">
        <v>500</v>
      </c>
      <c r="D136" s="2356"/>
    </row>
    <row r="137" spans="2:4" ht="12.95" hidden="1" customHeight="1">
      <c r="B137" s="1242" t="s">
        <v>726</v>
      </c>
      <c r="C137" s="1271">
        <v>750</v>
      </c>
      <c r="D137" s="2355"/>
    </row>
    <row r="138" spans="2:4" ht="12.95" hidden="1" customHeight="1">
      <c r="B138" s="1255" t="s">
        <v>3473</v>
      </c>
      <c r="C138" s="131">
        <v>800</v>
      </c>
      <c r="D138" s="2356"/>
    </row>
    <row r="139" spans="2:4" ht="12.95" hidden="1" customHeight="1" thickBot="1">
      <c r="B139" s="1247" t="s">
        <v>727</v>
      </c>
      <c r="C139" s="1289">
        <v>1000</v>
      </c>
      <c r="D139" s="2355"/>
    </row>
    <row r="140" spans="2:4" ht="12.95" customHeight="1">
      <c r="B140" s="2326"/>
    </row>
  </sheetData>
  <sheetProtection autoFilter="0"/>
  <mergeCells count="24">
    <mergeCell ref="E28:F28"/>
    <mergeCell ref="D17:D19"/>
    <mergeCell ref="D22:D25"/>
    <mergeCell ref="E19:F19"/>
    <mergeCell ref="B21:G21"/>
    <mergeCell ref="E22:F25"/>
    <mergeCell ref="B27:G27"/>
    <mergeCell ref="E17:F17"/>
    <mergeCell ref="C1:M1"/>
    <mergeCell ref="B4:M4"/>
    <mergeCell ref="B12:G12"/>
    <mergeCell ref="C9:C10"/>
    <mergeCell ref="B9:B10"/>
    <mergeCell ref="D9:D10"/>
    <mergeCell ref="F10:G10"/>
    <mergeCell ref="F9:G9"/>
    <mergeCell ref="B16:G16"/>
    <mergeCell ref="B3:M3"/>
    <mergeCell ref="B6:M6"/>
    <mergeCell ref="B8:I8"/>
    <mergeCell ref="I9:M16"/>
    <mergeCell ref="E14:F14"/>
    <mergeCell ref="D13:D14"/>
    <mergeCell ref="E13:F13"/>
  </mergeCells>
  <dataValidations count="4">
    <dataValidation type="list" allowBlank="1" showInputMessage="1" showErrorMessage="1" sqref="F10">
      <formula1>$B$30:$B$139</formula1>
    </dataValidation>
    <dataValidation type="list" allowBlank="1" showInputMessage="1" showErrorMessage="1" sqref="C22:C25">
      <formula1>$G$30:$G$31</formula1>
    </dataValidation>
    <dataValidation type="list" allowBlank="1" showInputMessage="1" showErrorMessage="1" sqref="C28:D28">
      <formula1>$G$32:$G$37</formula1>
    </dataValidation>
    <dataValidation showInputMessage="1" showErrorMessage="1" sqref="D22:D25"/>
  </dataValidations>
  <hyperlinks>
    <hyperlink ref="B1" location="Index!A1" display="Назад"/>
  </hyperlinks>
  <printOptions horizontalCentered="1"/>
  <pageMargins left="0.23622047244094491" right="0.23622047244094491" top="0.74803149606299213" bottom="0.74803149606299213" header="0.31496062992125984" footer="0.31496062992125984"/>
  <pageSetup paperSize="9" orientation="landscape" r:id="rId1"/>
  <headerFooter alignWithMargins="0"/>
</worksheet>
</file>

<file path=xl/worksheets/sheet35.xml><?xml version="1.0" encoding="utf-8"?>
<worksheet xmlns="http://schemas.openxmlformats.org/spreadsheetml/2006/main" xmlns:r="http://schemas.openxmlformats.org/officeDocument/2006/relationships">
  <dimension ref="B1:K50"/>
  <sheetViews>
    <sheetView zoomScaleNormal="100" workbookViewId="0">
      <pane ySplit="5" topLeftCell="A6" activePane="bottomLeft" state="frozen"/>
      <selection pane="bottomLeft" activeCell="B1" sqref="B1"/>
    </sheetView>
  </sheetViews>
  <sheetFormatPr defaultRowHeight="12.95" customHeight="1"/>
  <cols>
    <col min="1" max="1" width="3.7109375" style="61" customWidth="1"/>
    <col min="2" max="2" width="16.7109375" style="61" customWidth="1"/>
    <col min="3" max="3" width="11.140625" style="61" bestFit="1" customWidth="1"/>
    <col min="4" max="11" width="12.7109375" style="61" customWidth="1"/>
    <col min="12" max="16384" width="9.140625" style="61"/>
  </cols>
  <sheetData>
    <row r="1" spans="2:11" s="1651" customFormat="1" ht="12.75">
      <c r="B1" s="1656" t="s">
        <v>2706</v>
      </c>
      <c r="C1" s="3265" t="s">
        <v>8269</v>
      </c>
      <c r="D1" s="3265"/>
      <c r="E1" s="3265"/>
      <c r="F1" s="3265"/>
      <c r="G1" s="3265"/>
      <c r="H1" s="3265"/>
      <c r="I1" s="3265"/>
      <c r="J1" s="3265"/>
      <c r="K1" s="3265"/>
    </row>
    <row r="2" spans="2:11" s="288" customFormat="1" ht="5.0999999999999996" customHeight="1"/>
    <row r="3" spans="2:11" ht="12.95" customHeight="1">
      <c r="B3" s="2982" t="s">
        <v>6109</v>
      </c>
      <c r="C3" s="2982"/>
      <c r="D3" s="2982"/>
      <c r="E3" s="2982"/>
      <c r="F3" s="2982"/>
      <c r="G3" s="2982"/>
      <c r="H3" s="2982"/>
      <c r="I3" s="2982"/>
      <c r="J3" s="2982"/>
      <c r="K3" s="2982"/>
    </row>
    <row r="4" spans="2:11" s="1657" customFormat="1" ht="11.25">
      <c r="B4" s="3494" t="s">
        <v>6121</v>
      </c>
      <c r="C4" s="3494"/>
      <c r="D4" s="3494"/>
      <c r="E4" s="3494"/>
      <c r="F4" s="3494"/>
      <c r="G4" s="3494"/>
      <c r="H4" s="3494"/>
      <c r="I4" s="3494"/>
      <c r="J4" s="3494"/>
      <c r="K4" s="3494"/>
    </row>
    <row r="5" spans="2:11" ht="5.0999999999999996" customHeight="1"/>
    <row r="6" spans="2:11" ht="51.95" customHeight="1">
      <c r="B6" s="2984" t="s">
        <v>8955</v>
      </c>
      <c r="C6" s="2984"/>
      <c r="D6" s="2984"/>
      <c r="E6" s="2984"/>
      <c r="F6" s="2984"/>
      <c r="G6" s="2984"/>
      <c r="H6" s="2984"/>
      <c r="I6" s="2984"/>
      <c r="J6" s="2984"/>
      <c r="K6" s="2984"/>
    </row>
    <row r="7" spans="2:11" ht="12.95" customHeight="1">
      <c r="B7" s="2984" t="s">
        <v>8939</v>
      </c>
      <c r="C7" s="2984"/>
      <c r="D7" s="2984"/>
      <c r="E7" s="2984"/>
      <c r="F7" s="2984"/>
      <c r="G7" s="2984"/>
      <c r="H7" s="2984"/>
      <c r="I7" s="2984"/>
      <c r="J7" s="2984"/>
      <c r="K7" s="2984"/>
    </row>
    <row r="8" spans="2:11" ht="5.0999999999999996" customHeight="1">
      <c r="B8" s="1652"/>
      <c r="C8" s="1652"/>
      <c r="D8" s="1652"/>
      <c r="E8" s="1652"/>
      <c r="F8" s="1652"/>
      <c r="G8" s="1652"/>
      <c r="H8" s="1652"/>
      <c r="I8" s="1652"/>
      <c r="J8" s="1652"/>
      <c r="K8" s="1652"/>
    </row>
    <row r="9" spans="2:11" ht="26.1" customHeight="1">
      <c r="B9" s="2984" t="s">
        <v>8940</v>
      </c>
      <c r="C9" s="2984"/>
      <c r="D9" s="2984"/>
      <c r="E9" s="2984"/>
      <c r="F9" s="2984"/>
      <c r="G9" s="2984"/>
      <c r="H9" s="2984"/>
      <c r="I9" s="2984"/>
      <c r="J9" s="2984"/>
      <c r="K9" s="2984"/>
    </row>
    <row r="10" spans="2:11" ht="12.95" customHeight="1">
      <c r="B10" s="2984" t="s">
        <v>8941</v>
      </c>
      <c r="C10" s="2984"/>
      <c r="D10" s="2984"/>
      <c r="E10" s="2984"/>
      <c r="F10" s="2984"/>
      <c r="G10" s="2984"/>
      <c r="H10" s="2984"/>
      <c r="I10" s="2984"/>
      <c r="J10" s="2984"/>
      <c r="K10" s="2984"/>
    </row>
    <row r="11" spans="2:11" ht="26.1" customHeight="1">
      <c r="B11" s="3481" t="s">
        <v>6110</v>
      </c>
      <c r="C11" s="3481"/>
      <c r="D11" s="3481"/>
      <c r="E11" s="3481"/>
      <c r="F11" s="3481"/>
      <c r="G11" s="3481"/>
      <c r="H11" s="3481"/>
      <c r="I11" s="3481"/>
      <c r="J11" s="3481"/>
      <c r="K11" s="3481"/>
    </row>
    <row r="12" spans="2:11" ht="12.95" customHeight="1">
      <c r="B12" s="2984" t="s">
        <v>8942</v>
      </c>
      <c r="C12" s="2984"/>
      <c r="D12" s="2984"/>
      <c r="E12" s="2984"/>
      <c r="F12" s="2984"/>
      <c r="G12" s="2984"/>
      <c r="H12" s="2984"/>
      <c r="I12" s="2984"/>
      <c r="J12" s="2984"/>
      <c r="K12" s="2984"/>
    </row>
    <row r="13" spans="2:11" ht="5.0999999999999996" customHeight="1">
      <c r="B13" s="2984"/>
      <c r="C13" s="2984"/>
      <c r="D13" s="2984"/>
      <c r="E13" s="2984"/>
      <c r="F13" s="2984"/>
      <c r="G13" s="2984"/>
      <c r="H13" s="2984"/>
      <c r="I13" s="2984"/>
      <c r="J13" s="2984"/>
      <c r="K13" s="2984"/>
    </row>
    <row r="14" spans="2:11" ht="26.1" customHeight="1">
      <c r="B14" s="2984" t="s">
        <v>8943</v>
      </c>
      <c r="C14" s="2984"/>
      <c r="D14" s="2984"/>
      <c r="E14" s="2984"/>
      <c r="F14" s="2984"/>
      <c r="G14" s="2984"/>
      <c r="H14" s="2984"/>
      <c r="I14" s="2984"/>
      <c r="J14" s="2984"/>
      <c r="K14" s="2984"/>
    </row>
    <row r="15" spans="2:11" ht="5.0999999999999996" customHeight="1">
      <c r="B15" s="2984"/>
      <c r="C15" s="2984"/>
      <c r="D15" s="2984"/>
      <c r="E15" s="2984"/>
      <c r="F15" s="2984"/>
      <c r="G15" s="2984"/>
      <c r="H15" s="2984"/>
      <c r="I15" s="2984"/>
      <c r="J15" s="2984"/>
      <c r="K15" s="2984"/>
    </row>
    <row r="16" spans="2:11" ht="39" customHeight="1">
      <c r="B16" s="2984" t="s">
        <v>8944</v>
      </c>
      <c r="C16" s="2984"/>
      <c r="D16" s="2984"/>
      <c r="E16" s="2984"/>
      <c r="F16" s="2984"/>
      <c r="G16" s="2984"/>
      <c r="H16" s="2984"/>
      <c r="I16" s="2984"/>
      <c r="J16" s="2984"/>
      <c r="K16" s="2984"/>
    </row>
    <row r="17" spans="2:11" ht="12.95" customHeight="1" thickBot="1">
      <c r="B17" s="2984" t="s">
        <v>8945</v>
      </c>
      <c r="C17" s="2984"/>
      <c r="D17" s="2984"/>
      <c r="E17" s="2984"/>
      <c r="F17" s="2984"/>
      <c r="G17" s="2984"/>
      <c r="H17" s="2984"/>
      <c r="I17" s="2984"/>
      <c r="J17" s="2984"/>
      <c r="K17" s="2984"/>
    </row>
    <row r="18" spans="2:11" ht="26.1" customHeight="1">
      <c r="B18" s="3313" t="s">
        <v>6111</v>
      </c>
      <c r="C18" s="3488"/>
      <c r="D18" s="3491" t="s">
        <v>6112</v>
      </c>
      <c r="E18" s="3492"/>
      <c r="F18" s="3492"/>
      <c r="G18" s="3493"/>
    </row>
    <row r="19" spans="2:11" ht="12.95" customHeight="1" thickBot="1">
      <c r="B19" s="3489"/>
      <c r="C19" s="3490"/>
      <c r="D19" s="2116">
        <v>1</v>
      </c>
      <c r="E19" s="2117">
        <v>2</v>
      </c>
      <c r="F19" s="2117">
        <v>3</v>
      </c>
      <c r="G19" s="2118">
        <v>4</v>
      </c>
    </row>
    <row r="20" spans="2:11" ht="12.95" customHeight="1">
      <c r="B20" s="3032">
        <v>1</v>
      </c>
      <c r="C20" s="3306"/>
      <c r="D20" s="862">
        <f>1-(1-0.1)^B20</f>
        <v>9.9999999999999978E-2</v>
      </c>
      <c r="E20" s="1660"/>
      <c r="F20" s="1660"/>
      <c r="G20" s="1661"/>
    </row>
    <row r="21" spans="2:11" ht="12.95" customHeight="1">
      <c r="B21" s="3030">
        <v>2</v>
      </c>
      <c r="C21" s="3486"/>
      <c r="D21" s="862">
        <f t="shared" ref="D21:D31" si="0">1-(1-0.1)^B21</f>
        <v>0.18999999999999995</v>
      </c>
      <c r="E21" s="1662"/>
      <c r="F21" s="1662"/>
      <c r="G21" s="1663"/>
    </row>
    <row r="22" spans="2:11" ht="12.95" customHeight="1">
      <c r="B22" s="3028">
        <v>5</v>
      </c>
      <c r="C22" s="3487"/>
      <c r="D22" s="862">
        <f t="shared" si="0"/>
        <v>0.40950999999999982</v>
      </c>
      <c r="E22" s="1662"/>
      <c r="F22" s="1662"/>
      <c r="G22" s="1663"/>
    </row>
    <row r="23" spans="2:11" ht="12.95" customHeight="1">
      <c r="B23" s="3030">
        <v>10</v>
      </c>
      <c r="C23" s="3486"/>
      <c r="D23" s="862">
        <f t="shared" si="0"/>
        <v>0.65132155989999985</v>
      </c>
      <c r="E23" s="1662"/>
      <c r="F23" s="1662"/>
      <c r="G23" s="1663"/>
    </row>
    <row r="24" spans="2:11" ht="12.95" customHeight="1">
      <c r="B24" s="3028">
        <v>11</v>
      </c>
      <c r="C24" s="3487"/>
      <c r="D24" s="862">
        <f t="shared" si="0"/>
        <v>0.68618940390999983</v>
      </c>
      <c r="E24" s="1654">
        <v>0.3</v>
      </c>
      <c r="F24" s="1662"/>
      <c r="G24" s="1663"/>
    </row>
    <row r="25" spans="2:11" ht="12.95" customHeight="1">
      <c r="B25" s="3030">
        <v>15</v>
      </c>
      <c r="C25" s="3486"/>
      <c r="D25" s="862">
        <f t="shared" si="0"/>
        <v>0.79410886790535085</v>
      </c>
      <c r="E25" s="1653">
        <v>0.45</v>
      </c>
      <c r="F25" s="1662"/>
      <c r="G25" s="1663"/>
    </row>
    <row r="26" spans="2:11" ht="12.95" customHeight="1">
      <c r="B26" s="3028">
        <v>20</v>
      </c>
      <c r="C26" s="3487"/>
      <c r="D26" s="862">
        <f t="shared" si="0"/>
        <v>0.87842334540943057</v>
      </c>
      <c r="E26" s="1654">
        <v>0.61</v>
      </c>
      <c r="F26" s="1662"/>
      <c r="G26" s="1663"/>
    </row>
    <row r="27" spans="2:11" ht="12.95" customHeight="1">
      <c r="B27" s="3030">
        <v>21</v>
      </c>
      <c r="C27" s="3486"/>
      <c r="D27" s="862">
        <f t="shared" si="0"/>
        <v>0.89058101086848751</v>
      </c>
      <c r="E27" s="1653">
        <v>0.63</v>
      </c>
      <c r="F27" s="1653">
        <v>0.35</v>
      </c>
      <c r="G27" s="1663"/>
    </row>
    <row r="28" spans="2:11" ht="12.95" customHeight="1">
      <c r="B28" s="3028">
        <v>25</v>
      </c>
      <c r="C28" s="3487"/>
      <c r="D28" s="862">
        <f t="shared" si="0"/>
        <v>0.92821020123081466</v>
      </c>
      <c r="E28" s="1654">
        <v>0.73</v>
      </c>
      <c r="F28" s="1654">
        <v>0.46</v>
      </c>
      <c r="G28" s="1663"/>
    </row>
    <row r="29" spans="2:11" ht="12.95" customHeight="1">
      <c r="B29" s="3030">
        <v>30</v>
      </c>
      <c r="C29" s="3486"/>
      <c r="D29" s="862">
        <f t="shared" si="0"/>
        <v>0.95760884172478378</v>
      </c>
      <c r="E29" s="1653">
        <v>0.81</v>
      </c>
      <c r="F29" s="1653">
        <v>0.59</v>
      </c>
      <c r="G29" s="1663"/>
    </row>
    <row r="30" spans="2:11" ht="12.95" customHeight="1">
      <c r="B30" s="3028">
        <v>31</v>
      </c>
      <c r="C30" s="3487"/>
      <c r="D30" s="862">
        <f t="shared" si="0"/>
        <v>0.96184795755230534</v>
      </c>
      <c r="E30" s="1654">
        <v>0.83</v>
      </c>
      <c r="F30" s="1654">
        <v>0.61</v>
      </c>
      <c r="G30" s="1658">
        <v>0.37</v>
      </c>
    </row>
    <row r="31" spans="2:11" ht="12.95" customHeight="1" thickBot="1">
      <c r="B31" s="3485">
        <v>40</v>
      </c>
      <c r="C31" s="3304"/>
      <c r="D31" s="862">
        <f t="shared" si="0"/>
        <v>0.98521911705856535</v>
      </c>
      <c r="E31" s="1655">
        <v>0.92</v>
      </c>
      <c r="F31" s="1655">
        <v>0.77</v>
      </c>
      <c r="G31" s="1659">
        <v>0.56999999999999995</v>
      </c>
    </row>
    <row r="32" spans="2:11" ht="12.95" customHeight="1" thickBot="1">
      <c r="B32" s="3482" t="s">
        <v>6113</v>
      </c>
      <c r="C32" s="3483"/>
      <c r="D32" s="3483"/>
      <c r="E32" s="3483"/>
      <c r="F32" s="3483"/>
      <c r="G32" s="3484"/>
    </row>
    <row r="33" spans="2:11" ht="5.0999999999999996" customHeight="1"/>
    <row r="34" spans="2:11" ht="39" customHeight="1">
      <c r="B34" s="2984" t="s">
        <v>8946</v>
      </c>
      <c r="C34" s="2984"/>
      <c r="D34" s="2984"/>
      <c r="E34" s="2984"/>
      <c r="F34" s="2984"/>
      <c r="G34" s="2984"/>
      <c r="H34" s="2984"/>
      <c r="I34" s="2984"/>
      <c r="J34" s="2984"/>
      <c r="K34" s="2984"/>
    </row>
    <row r="35" spans="2:11" ht="12.95" customHeight="1">
      <c r="B35" s="2984" t="s">
        <v>8947</v>
      </c>
      <c r="C35" s="2984"/>
      <c r="D35" s="2984"/>
      <c r="E35" s="2984"/>
      <c r="F35" s="2984"/>
      <c r="G35" s="2984"/>
      <c r="H35" s="2984"/>
      <c r="I35" s="2984"/>
      <c r="J35" s="2984"/>
      <c r="K35" s="2984"/>
    </row>
    <row r="36" spans="2:11" ht="26.1" customHeight="1">
      <c r="B36" s="3481" t="s">
        <v>6114</v>
      </c>
      <c r="C36" s="3481"/>
      <c r="D36" s="3481"/>
      <c r="E36" s="3481"/>
      <c r="F36" s="3481"/>
      <c r="G36" s="3481"/>
      <c r="H36" s="3481"/>
      <c r="I36" s="3481"/>
      <c r="J36" s="3481"/>
      <c r="K36" s="3481"/>
    </row>
    <row r="37" spans="2:11" ht="12.95" customHeight="1">
      <c r="B37" s="2984" t="s">
        <v>8948</v>
      </c>
      <c r="C37" s="2984"/>
      <c r="D37" s="2984"/>
      <c r="E37" s="2984"/>
      <c r="F37" s="2984"/>
      <c r="G37" s="2984"/>
      <c r="H37" s="2984"/>
      <c r="I37" s="2984"/>
      <c r="J37" s="2984"/>
      <c r="K37" s="2984"/>
    </row>
    <row r="38" spans="2:11" ht="5.0999999999999996" customHeight="1">
      <c r="B38" s="2984"/>
      <c r="C38" s="2984"/>
      <c r="D38" s="2984"/>
      <c r="E38" s="2984"/>
      <c r="F38" s="2984"/>
      <c r="G38" s="2984"/>
      <c r="H38" s="2984"/>
      <c r="I38" s="2984"/>
      <c r="J38" s="2984"/>
      <c r="K38" s="2984"/>
    </row>
    <row r="39" spans="2:11" ht="26.1" customHeight="1">
      <c r="B39" s="2984" t="s">
        <v>8949</v>
      </c>
      <c r="C39" s="2984"/>
      <c r="D39" s="2984"/>
      <c r="E39" s="2984"/>
      <c r="F39" s="2984"/>
      <c r="G39" s="2984"/>
      <c r="H39" s="2984"/>
      <c r="I39" s="2984"/>
      <c r="J39" s="2984"/>
      <c r="K39" s="2984"/>
    </row>
    <row r="40" spans="2:11" ht="51.95" customHeight="1">
      <c r="B40" s="2984" t="s">
        <v>10072</v>
      </c>
      <c r="C40" s="2984"/>
      <c r="D40" s="2984"/>
      <c r="E40" s="2984"/>
      <c r="F40" s="2984"/>
      <c r="G40" s="2984"/>
      <c r="H40" s="2984"/>
      <c r="I40" s="2984"/>
      <c r="J40" s="2984"/>
      <c r="K40" s="2984"/>
    </row>
    <row r="41" spans="2:11" ht="51.95" customHeight="1">
      <c r="B41" s="2984" t="s">
        <v>8950</v>
      </c>
      <c r="C41" s="2984"/>
      <c r="D41" s="2984"/>
      <c r="E41" s="2984"/>
      <c r="F41" s="2984"/>
      <c r="G41" s="2984"/>
      <c r="H41" s="2984"/>
      <c r="I41" s="2984"/>
      <c r="J41" s="2984"/>
      <c r="K41" s="2984"/>
    </row>
    <row r="42" spans="2:11" ht="26.1" customHeight="1">
      <c r="B42" s="2984" t="s">
        <v>8951</v>
      </c>
      <c r="C42" s="2984"/>
      <c r="D42" s="2984"/>
      <c r="E42" s="2984"/>
      <c r="F42" s="2984"/>
      <c r="G42" s="2984"/>
      <c r="H42" s="2984"/>
      <c r="I42" s="2984"/>
      <c r="J42" s="2984"/>
      <c r="K42" s="2984"/>
    </row>
    <row r="43" spans="2:11" ht="39" customHeight="1">
      <c r="B43" s="2984" t="s">
        <v>8952</v>
      </c>
      <c r="C43" s="2984"/>
      <c r="D43" s="2984"/>
      <c r="E43" s="2984"/>
      <c r="F43" s="2984"/>
      <c r="G43" s="2984"/>
      <c r="H43" s="2984"/>
      <c r="I43" s="2984"/>
      <c r="J43" s="2984"/>
      <c r="K43" s="2984"/>
    </row>
    <row r="44" spans="2:11" ht="12.95" customHeight="1">
      <c r="B44" s="2984" t="s">
        <v>8953</v>
      </c>
      <c r="C44" s="2984"/>
      <c r="D44" s="2984"/>
      <c r="E44" s="2984"/>
      <c r="F44" s="2984"/>
      <c r="G44" s="2984"/>
      <c r="H44" s="2984"/>
      <c r="I44" s="2984"/>
      <c r="J44" s="2984"/>
      <c r="K44" s="2984"/>
    </row>
    <row r="45" spans="2:11" ht="5.0999999999999996" customHeight="1">
      <c r="B45" s="2984"/>
      <c r="C45" s="2984"/>
      <c r="D45" s="2984"/>
      <c r="E45" s="2984"/>
      <c r="F45" s="2984"/>
      <c r="G45" s="2984"/>
      <c r="H45" s="2984"/>
      <c r="I45" s="2984"/>
      <c r="J45" s="2984"/>
      <c r="K45" s="2984"/>
    </row>
    <row r="46" spans="2:11" ht="90.95" customHeight="1">
      <c r="B46" s="2984" t="s">
        <v>8954</v>
      </c>
      <c r="C46" s="2984"/>
      <c r="D46" s="2984"/>
      <c r="E46" s="2984"/>
      <c r="F46" s="2984"/>
      <c r="G46" s="2984"/>
      <c r="H46" s="2984"/>
      <c r="I46" s="2984"/>
      <c r="J46" s="2984"/>
      <c r="K46" s="2984"/>
    </row>
    <row r="47" spans="2:11" ht="26.1" customHeight="1">
      <c r="B47" s="2984" t="s">
        <v>8956</v>
      </c>
      <c r="C47" s="2984"/>
      <c r="D47" s="2984"/>
      <c r="E47" s="2984"/>
      <c r="F47" s="2984"/>
      <c r="G47" s="2984"/>
      <c r="H47" s="2984"/>
      <c r="I47" s="2984"/>
      <c r="J47" s="2984"/>
      <c r="K47" s="2984"/>
    </row>
    <row r="48" spans="2:11" ht="12.95" customHeight="1">
      <c r="B48" s="2984"/>
      <c r="C48" s="2984"/>
      <c r="D48" s="2984"/>
      <c r="E48" s="2984"/>
      <c r="F48" s="2984"/>
      <c r="G48" s="2984"/>
      <c r="H48" s="2984"/>
      <c r="I48" s="2984"/>
      <c r="J48" s="2984"/>
      <c r="K48" s="2984"/>
    </row>
    <row r="49" spans="2:11" ht="12.95" customHeight="1">
      <c r="B49" s="2984"/>
      <c r="C49" s="2984"/>
      <c r="D49" s="2984"/>
      <c r="E49" s="2984"/>
      <c r="F49" s="2984"/>
      <c r="G49" s="2984"/>
      <c r="H49" s="2984"/>
      <c r="I49" s="2984"/>
      <c r="J49" s="2984"/>
      <c r="K49" s="2984"/>
    </row>
    <row r="50" spans="2:11" ht="12.95" customHeight="1">
      <c r="B50" s="2984"/>
      <c r="C50" s="2984"/>
      <c r="D50" s="2984"/>
      <c r="E50" s="2984"/>
      <c r="F50" s="2984"/>
      <c r="G50" s="2984"/>
      <c r="H50" s="2984"/>
      <c r="I50" s="2984"/>
      <c r="J50" s="2984"/>
      <c r="K50" s="2984"/>
    </row>
  </sheetData>
  <sheetProtection autoFilter="0"/>
  <mergeCells count="46">
    <mergeCell ref="C1:K1"/>
    <mergeCell ref="B3:K3"/>
    <mergeCell ref="B18:C19"/>
    <mergeCell ref="D18:G18"/>
    <mergeCell ref="B20:C20"/>
    <mergeCell ref="B11:K11"/>
    <mergeCell ref="B13:K13"/>
    <mergeCell ref="B12:K12"/>
    <mergeCell ref="B14:K14"/>
    <mergeCell ref="B4:K4"/>
    <mergeCell ref="B6:K6"/>
    <mergeCell ref="B7:K7"/>
    <mergeCell ref="B9:K9"/>
    <mergeCell ref="B10:K10"/>
    <mergeCell ref="B32:G32"/>
    <mergeCell ref="B34:K34"/>
    <mergeCell ref="B15:K15"/>
    <mergeCell ref="B16:K16"/>
    <mergeCell ref="B17:K17"/>
    <mergeCell ref="B31:C31"/>
    <mergeCell ref="B29:C29"/>
    <mergeCell ref="B30:C30"/>
    <mergeCell ref="B27:C27"/>
    <mergeCell ref="B28:C28"/>
    <mergeCell ref="B25:C25"/>
    <mergeCell ref="B26:C26"/>
    <mergeCell ref="B23:C23"/>
    <mergeCell ref="B24:C24"/>
    <mergeCell ref="B21:C21"/>
    <mergeCell ref="B22:C22"/>
    <mergeCell ref="B35:K35"/>
    <mergeCell ref="B36:K36"/>
    <mergeCell ref="B37:K37"/>
    <mergeCell ref="B38:K38"/>
    <mergeCell ref="B39:K39"/>
    <mergeCell ref="B50:K50"/>
    <mergeCell ref="B40:K40"/>
    <mergeCell ref="B41:K41"/>
    <mergeCell ref="B42:K42"/>
    <mergeCell ref="B43:K43"/>
    <mergeCell ref="B44:K44"/>
    <mergeCell ref="B45:K45"/>
    <mergeCell ref="B46:K46"/>
    <mergeCell ref="B47:K47"/>
    <mergeCell ref="B48:K48"/>
    <mergeCell ref="B49:K49"/>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5" orientation="landscape" r:id="rId1"/>
  <headerFooter alignWithMargins="0"/>
  <rowBreaks count="1" manualBreakCount="1">
    <brk id="32" max="16383" man="1"/>
  </rowBreaks>
</worksheet>
</file>

<file path=xl/worksheets/sheet36.xml><?xml version="1.0" encoding="utf-8"?>
<worksheet xmlns="http://schemas.openxmlformats.org/spreadsheetml/2006/main" xmlns:r="http://schemas.openxmlformats.org/officeDocument/2006/relationships">
  <dimension ref="B1:K32"/>
  <sheetViews>
    <sheetView zoomScaleNormal="100" workbookViewId="0">
      <pane ySplit="4" topLeftCell="A5" activePane="bottomLeft" state="frozen"/>
      <selection pane="bottomLeft" activeCell="B1" sqref="B1"/>
    </sheetView>
  </sheetViews>
  <sheetFormatPr defaultRowHeight="12.95" customHeight="1"/>
  <cols>
    <col min="1" max="1" width="3.7109375" style="288" customWidth="1"/>
    <col min="2" max="2" width="20.7109375" style="288" bestFit="1" customWidth="1"/>
    <col min="3" max="4" width="6.5703125" style="985" bestFit="1" customWidth="1"/>
    <col min="5" max="5" width="6.85546875" style="1132" bestFit="1" customWidth="1"/>
    <col min="6" max="6" width="11.7109375" style="1131" customWidth="1"/>
    <col min="7" max="10" width="10.7109375" style="1131" customWidth="1"/>
    <col min="11" max="11" width="11.7109375" style="1131" customWidth="1"/>
    <col min="12" max="16384" width="9.140625" style="288"/>
  </cols>
  <sheetData>
    <row r="1" spans="2:11" ht="12.95" customHeight="1">
      <c r="B1" s="987" t="s">
        <v>2706</v>
      </c>
      <c r="C1" s="3265" t="s">
        <v>8269</v>
      </c>
      <c r="D1" s="3265"/>
      <c r="E1" s="3265"/>
      <c r="F1" s="3265"/>
      <c r="G1" s="3265"/>
      <c r="H1" s="3265"/>
      <c r="I1" s="3265"/>
      <c r="J1" s="3265"/>
      <c r="K1" s="3265"/>
    </row>
    <row r="2" spans="2:11" ht="5.0999999999999996" customHeight="1"/>
    <row r="3" spans="2:11" ht="12.95" customHeight="1">
      <c r="B3" s="3075" t="s">
        <v>3603</v>
      </c>
      <c r="C3" s="3075"/>
      <c r="D3" s="3075"/>
      <c r="E3" s="3075"/>
      <c r="F3" s="3075"/>
      <c r="G3" s="3075"/>
      <c r="H3" s="3075"/>
      <c r="I3" s="3075"/>
      <c r="J3" s="3075"/>
      <c r="K3" s="3075"/>
    </row>
    <row r="4" spans="2:11" ht="5.0999999999999996" customHeight="1">
      <c r="B4" s="287"/>
      <c r="C4" s="287"/>
      <c r="D4" s="287"/>
      <c r="E4" s="287"/>
      <c r="F4" s="287"/>
      <c r="G4" s="287"/>
      <c r="H4" s="287"/>
      <c r="I4" s="287"/>
      <c r="J4" s="287"/>
      <c r="K4" s="287"/>
    </row>
    <row r="5" spans="2:11" ht="39" customHeight="1">
      <c r="B5" s="2960" t="s">
        <v>8957</v>
      </c>
      <c r="C5" s="2960"/>
      <c r="D5" s="2960"/>
      <c r="E5" s="2960"/>
      <c r="F5" s="2960"/>
      <c r="G5" s="2960"/>
      <c r="H5" s="2960"/>
      <c r="I5" s="2960"/>
      <c r="J5" s="2960"/>
      <c r="K5" s="2960"/>
    </row>
    <row r="6" spans="2:11" ht="39" customHeight="1">
      <c r="B6" s="2960" t="s">
        <v>8958</v>
      </c>
      <c r="C6" s="2960"/>
      <c r="D6" s="2960"/>
      <c r="E6" s="2960"/>
      <c r="F6" s="2960"/>
      <c r="G6" s="2960"/>
      <c r="H6" s="2960"/>
      <c r="I6" s="2960"/>
      <c r="J6" s="2960"/>
      <c r="K6" s="2960"/>
    </row>
    <row r="7" spans="2:11" ht="5.0999999999999996" customHeight="1" thickBot="1">
      <c r="B7" s="1153"/>
      <c r="C7" s="844"/>
      <c r="D7" s="844"/>
      <c r="E7" s="1154"/>
      <c r="F7" s="1155"/>
      <c r="G7" s="1155"/>
      <c r="H7" s="1155"/>
      <c r="I7" s="1155"/>
      <c r="J7" s="1155"/>
      <c r="K7" s="1155"/>
    </row>
    <row r="8" spans="2:11" ht="12.95" customHeight="1">
      <c r="B8" s="2991" t="s">
        <v>1571</v>
      </c>
      <c r="C8" s="3415" t="s">
        <v>3589</v>
      </c>
      <c r="D8" s="3441"/>
      <c r="E8" s="3441"/>
      <c r="F8" s="3441"/>
      <c r="G8" s="3441"/>
      <c r="H8" s="3441"/>
      <c r="I8" s="3441"/>
      <c r="J8" s="3441"/>
      <c r="K8" s="3416"/>
    </row>
    <row r="9" spans="2:11" ht="12.95" customHeight="1" thickBot="1">
      <c r="B9" s="2993"/>
      <c r="C9" s="1168" t="s">
        <v>2156</v>
      </c>
      <c r="D9" s="1169" t="s">
        <v>893</v>
      </c>
      <c r="E9" s="1169" t="s">
        <v>2141</v>
      </c>
      <c r="F9" s="1169" t="s">
        <v>625</v>
      </c>
      <c r="G9" s="1169" t="s">
        <v>626</v>
      </c>
      <c r="H9" s="1169" t="s">
        <v>2557</v>
      </c>
      <c r="I9" s="1169" t="s">
        <v>628</v>
      </c>
      <c r="J9" s="1169" t="s">
        <v>627</v>
      </c>
      <c r="K9" s="1170" t="s">
        <v>2259</v>
      </c>
    </row>
    <row r="10" spans="2:11" ht="12.95" customHeight="1">
      <c r="B10" s="214" t="s">
        <v>1124</v>
      </c>
      <c r="C10" s="1156">
        <v>14</v>
      </c>
      <c r="D10" s="1157">
        <v>14</v>
      </c>
      <c r="E10" s="1157">
        <v>16</v>
      </c>
      <c r="F10" s="1178">
        <v>12</v>
      </c>
      <c r="G10" s="1157">
        <v>14</v>
      </c>
      <c r="H10" s="1157">
        <v>15</v>
      </c>
      <c r="I10" s="1178">
        <v>12</v>
      </c>
      <c r="J10" s="1157">
        <v>15</v>
      </c>
      <c r="K10" s="1171">
        <v>20</v>
      </c>
    </row>
    <row r="11" spans="2:11" ht="12.95" customHeight="1">
      <c r="B11" s="200" t="s">
        <v>459</v>
      </c>
      <c r="C11" s="1172">
        <v>9</v>
      </c>
      <c r="D11" s="1147">
        <v>8</v>
      </c>
      <c r="E11" s="1173">
        <v>9</v>
      </c>
      <c r="F11" s="1147">
        <v>8</v>
      </c>
      <c r="G11" s="1147">
        <v>8</v>
      </c>
      <c r="H11" s="1147">
        <v>8</v>
      </c>
      <c r="I11" s="1173">
        <v>9</v>
      </c>
      <c r="J11" s="1173">
        <v>9</v>
      </c>
      <c r="K11" s="1179">
        <v>6</v>
      </c>
    </row>
    <row r="12" spans="2:11" ht="12.95" customHeight="1">
      <c r="B12" s="806" t="s">
        <v>892</v>
      </c>
      <c r="C12" s="1158">
        <v>7</v>
      </c>
      <c r="D12" s="1159">
        <v>7</v>
      </c>
      <c r="E12" s="1159">
        <v>6</v>
      </c>
      <c r="F12" s="1159">
        <v>7</v>
      </c>
      <c r="G12" s="1159">
        <v>7</v>
      </c>
      <c r="H12" s="1180">
        <v>5</v>
      </c>
      <c r="I12" s="1174">
        <v>8</v>
      </c>
      <c r="J12" s="1159">
        <v>7</v>
      </c>
      <c r="K12" s="640">
        <v>6</v>
      </c>
    </row>
    <row r="13" spans="2:11" ht="12.95" customHeight="1">
      <c r="B13" s="200" t="s">
        <v>891</v>
      </c>
      <c r="C13" s="1146">
        <v>4</v>
      </c>
      <c r="D13" s="1173">
        <v>5</v>
      </c>
      <c r="E13" s="1147">
        <v>4</v>
      </c>
      <c r="F13" s="1147">
        <v>4</v>
      </c>
      <c r="G13" s="1147">
        <v>4</v>
      </c>
      <c r="H13" s="1147">
        <v>4</v>
      </c>
      <c r="I13" s="1147">
        <v>4</v>
      </c>
      <c r="J13" s="1147">
        <v>4</v>
      </c>
      <c r="K13" s="1175">
        <v>5</v>
      </c>
    </row>
    <row r="14" spans="2:11" ht="12.95" customHeight="1">
      <c r="B14" s="806" t="s">
        <v>890</v>
      </c>
      <c r="C14" s="1158">
        <v>3</v>
      </c>
      <c r="D14" s="1159">
        <v>3</v>
      </c>
      <c r="E14" s="1159">
        <v>3</v>
      </c>
      <c r="F14" s="1159">
        <v>3</v>
      </c>
      <c r="G14" s="1159">
        <v>3</v>
      </c>
      <c r="H14" s="1159">
        <v>3</v>
      </c>
      <c r="I14" s="1159">
        <v>3</v>
      </c>
      <c r="J14" s="1159">
        <v>3</v>
      </c>
      <c r="K14" s="1176">
        <v>4</v>
      </c>
    </row>
    <row r="15" spans="2:11" ht="12.95" customHeight="1">
      <c r="B15" s="200" t="s">
        <v>1672</v>
      </c>
      <c r="C15" s="1146">
        <v>2</v>
      </c>
      <c r="D15" s="1147">
        <v>2</v>
      </c>
      <c r="E15" s="1147">
        <v>2</v>
      </c>
      <c r="F15" s="1147">
        <v>2</v>
      </c>
      <c r="G15" s="1147">
        <v>2</v>
      </c>
      <c r="H15" s="1147">
        <v>2</v>
      </c>
      <c r="I15" s="1147">
        <v>2</v>
      </c>
      <c r="J15" s="1147">
        <v>2</v>
      </c>
      <c r="K15" s="676">
        <v>2</v>
      </c>
    </row>
    <row r="16" spans="2:11" ht="12.95" customHeight="1" thickBot="1">
      <c r="B16" s="1160" t="s">
        <v>1671</v>
      </c>
      <c r="C16" s="1161">
        <v>1</v>
      </c>
      <c r="D16" s="1162">
        <v>1</v>
      </c>
      <c r="E16" s="1162">
        <v>1</v>
      </c>
      <c r="F16" s="1162">
        <v>1</v>
      </c>
      <c r="G16" s="1162">
        <v>1</v>
      </c>
      <c r="H16" s="1162">
        <v>1</v>
      </c>
      <c r="I16" s="1162">
        <v>1</v>
      </c>
      <c r="J16" s="1162">
        <v>1</v>
      </c>
      <c r="K16" s="1177">
        <v>2</v>
      </c>
    </row>
    <row r="17" spans="2:11" ht="26.1" customHeight="1">
      <c r="B17" s="1148" t="s">
        <v>3587</v>
      </c>
      <c r="C17" s="1149">
        <v>10540</v>
      </c>
      <c r="D17" s="1150">
        <v>9740</v>
      </c>
      <c r="E17" s="1150">
        <v>9800</v>
      </c>
      <c r="F17" s="1150">
        <v>10210</v>
      </c>
      <c r="G17" s="1150">
        <v>10390</v>
      </c>
      <c r="H17" s="1150">
        <v>9750</v>
      </c>
      <c r="I17" s="1150">
        <v>10025</v>
      </c>
      <c r="J17" s="1151">
        <v>8550</v>
      </c>
      <c r="K17" s="1152">
        <v>11650</v>
      </c>
    </row>
    <row r="18" spans="2:11" ht="26.1" customHeight="1" thickBot="1">
      <c r="B18" s="217" t="s">
        <v>3588</v>
      </c>
      <c r="C18" s="1163">
        <v>14430</v>
      </c>
      <c r="D18" s="1164">
        <v>12585</v>
      </c>
      <c r="E18" s="1165">
        <v>15080</v>
      </c>
      <c r="F18" s="1164">
        <v>13250</v>
      </c>
      <c r="G18" s="1164">
        <v>13375</v>
      </c>
      <c r="H18" s="1164">
        <v>13430</v>
      </c>
      <c r="I18" s="1164">
        <v>13120</v>
      </c>
      <c r="J18" s="1166">
        <v>12065</v>
      </c>
      <c r="K18" s="1167">
        <v>14100</v>
      </c>
    </row>
    <row r="19" spans="2:11" ht="5.0999999999999996" customHeight="1"/>
    <row r="20" spans="2:11" ht="12.95" customHeight="1" thickBot="1">
      <c r="B20" s="2960" t="s">
        <v>8959</v>
      </c>
      <c r="C20" s="2960"/>
      <c r="D20" s="2960"/>
      <c r="E20" s="2960"/>
      <c r="F20" s="2960"/>
      <c r="G20" s="2960"/>
      <c r="H20" s="2960"/>
      <c r="I20" s="2960"/>
      <c r="J20" s="2960"/>
      <c r="K20" s="2960"/>
    </row>
    <row r="21" spans="2:11" ht="12.95" customHeight="1" thickBot="1">
      <c r="B21" s="961" t="s">
        <v>310</v>
      </c>
      <c r="C21" s="3522" t="s">
        <v>2042</v>
      </c>
      <c r="D21" s="3523"/>
      <c r="E21" s="3523"/>
      <c r="F21" s="3524"/>
      <c r="G21" s="3498" t="s">
        <v>3590</v>
      </c>
      <c r="H21" s="3499"/>
      <c r="I21" s="3499"/>
      <c r="J21" s="3499"/>
      <c r="K21" s="3500"/>
    </row>
    <row r="22" spans="2:11" ht="12.95" customHeight="1">
      <c r="B22" s="588" t="s">
        <v>2156</v>
      </c>
      <c r="C22" s="3510" t="s">
        <v>339</v>
      </c>
      <c r="D22" s="3511"/>
      <c r="E22" s="3511"/>
      <c r="F22" s="3512"/>
      <c r="G22" s="3519" t="s">
        <v>3591</v>
      </c>
      <c r="H22" s="3520"/>
      <c r="I22" s="3520"/>
      <c r="J22" s="3520"/>
      <c r="K22" s="3521"/>
    </row>
    <row r="23" spans="2:11" ht="12.95" customHeight="1">
      <c r="B23" s="164" t="s">
        <v>893</v>
      </c>
      <c r="C23" s="3513" t="s">
        <v>2281</v>
      </c>
      <c r="D23" s="3514"/>
      <c r="E23" s="3514"/>
      <c r="F23" s="3515"/>
      <c r="G23" s="3507" t="s">
        <v>3592</v>
      </c>
      <c r="H23" s="3508"/>
      <c r="I23" s="3508"/>
      <c r="J23" s="3508"/>
      <c r="K23" s="3509"/>
    </row>
    <row r="24" spans="2:11" ht="12.95" customHeight="1">
      <c r="B24" s="591" t="s">
        <v>893</v>
      </c>
      <c r="C24" s="3516" t="s">
        <v>2280</v>
      </c>
      <c r="D24" s="3517"/>
      <c r="E24" s="3517"/>
      <c r="F24" s="3518"/>
      <c r="G24" s="3495" t="s">
        <v>3593</v>
      </c>
      <c r="H24" s="3496"/>
      <c r="I24" s="3496"/>
      <c r="J24" s="3496"/>
      <c r="K24" s="3497"/>
    </row>
    <row r="25" spans="2:11" ht="12.95" customHeight="1">
      <c r="B25" s="164" t="s">
        <v>2141</v>
      </c>
      <c r="C25" s="3513" t="s">
        <v>2757</v>
      </c>
      <c r="D25" s="3514"/>
      <c r="E25" s="3514"/>
      <c r="F25" s="3515"/>
      <c r="G25" s="3507" t="s">
        <v>3594</v>
      </c>
      <c r="H25" s="3508"/>
      <c r="I25" s="3508"/>
      <c r="J25" s="3508"/>
      <c r="K25" s="3509"/>
    </row>
    <row r="26" spans="2:11" ht="12.95" customHeight="1">
      <c r="B26" s="591" t="s">
        <v>625</v>
      </c>
      <c r="C26" s="3516" t="s">
        <v>2527</v>
      </c>
      <c r="D26" s="3517"/>
      <c r="E26" s="3517"/>
      <c r="F26" s="3518"/>
      <c r="G26" s="3495" t="s">
        <v>3595</v>
      </c>
      <c r="H26" s="3496"/>
      <c r="I26" s="3496"/>
      <c r="J26" s="3496"/>
      <c r="K26" s="3497"/>
    </row>
    <row r="27" spans="2:11" ht="12.95" customHeight="1">
      <c r="B27" s="164" t="s">
        <v>626</v>
      </c>
      <c r="C27" s="3513" t="s">
        <v>1725</v>
      </c>
      <c r="D27" s="3514"/>
      <c r="E27" s="3514"/>
      <c r="F27" s="3515"/>
      <c r="G27" s="3507" t="s">
        <v>3596</v>
      </c>
      <c r="H27" s="3508"/>
      <c r="I27" s="3508"/>
      <c r="J27" s="3508"/>
      <c r="K27" s="3509"/>
    </row>
    <row r="28" spans="2:11" ht="12.95" customHeight="1">
      <c r="B28" s="591" t="s">
        <v>2557</v>
      </c>
      <c r="C28" s="3516" t="s">
        <v>1178</v>
      </c>
      <c r="D28" s="3517"/>
      <c r="E28" s="3517"/>
      <c r="F28" s="3518"/>
      <c r="G28" s="3495" t="s">
        <v>3597</v>
      </c>
      <c r="H28" s="3496"/>
      <c r="I28" s="3496"/>
      <c r="J28" s="3496"/>
      <c r="K28" s="3497"/>
    </row>
    <row r="29" spans="2:11" ht="12.95" customHeight="1">
      <c r="B29" s="164" t="s">
        <v>2557</v>
      </c>
      <c r="C29" s="3513" t="s">
        <v>1179</v>
      </c>
      <c r="D29" s="3514"/>
      <c r="E29" s="3514"/>
      <c r="F29" s="3515"/>
      <c r="G29" s="3507" t="s">
        <v>3598</v>
      </c>
      <c r="H29" s="3508"/>
      <c r="I29" s="3508"/>
      <c r="J29" s="3508"/>
      <c r="K29" s="3509"/>
    </row>
    <row r="30" spans="2:11" ht="12.95" customHeight="1">
      <c r="B30" s="591" t="s">
        <v>628</v>
      </c>
      <c r="C30" s="3516" t="s">
        <v>3599</v>
      </c>
      <c r="D30" s="3517"/>
      <c r="E30" s="3517"/>
      <c r="F30" s="3518"/>
      <c r="G30" s="3495" t="s">
        <v>3600</v>
      </c>
      <c r="H30" s="3496"/>
      <c r="I30" s="3496"/>
      <c r="J30" s="3496"/>
      <c r="K30" s="3497"/>
    </row>
    <row r="31" spans="2:11" ht="12.95" customHeight="1">
      <c r="B31" s="164" t="s">
        <v>627</v>
      </c>
      <c r="C31" s="3513" t="s">
        <v>1545</v>
      </c>
      <c r="D31" s="3514"/>
      <c r="E31" s="3514"/>
      <c r="F31" s="3515"/>
      <c r="G31" s="3507" t="s">
        <v>3601</v>
      </c>
      <c r="H31" s="3508"/>
      <c r="I31" s="3508"/>
      <c r="J31" s="3508"/>
      <c r="K31" s="3509"/>
    </row>
    <row r="32" spans="2:11" ht="12.95" customHeight="1" thickBot="1">
      <c r="B32" s="1046" t="s">
        <v>2259</v>
      </c>
      <c r="C32" s="3504" t="s">
        <v>2672</v>
      </c>
      <c r="D32" s="3505"/>
      <c r="E32" s="3505"/>
      <c r="F32" s="3506"/>
      <c r="G32" s="3501" t="s">
        <v>3602</v>
      </c>
      <c r="H32" s="3502"/>
      <c r="I32" s="3502"/>
      <c r="J32" s="3502"/>
      <c r="K32" s="3503"/>
    </row>
  </sheetData>
  <sheetProtection autoFilter="0"/>
  <mergeCells count="31">
    <mergeCell ref="C1:K1"/>
    <mergeCell ref="G22:K22"/>
    <mergeCell ref="G23:K23"/>
    <mergeCell ref="C31:F31"/>
    <mergeCell ref="C29:F29"/>
    <mergeCell ref="C30:F30"/>
    <mergeCell ref="B3:K3"/>
    <mergeCell ref="B5:K5"/>
    <mergeCell ref="B6:K6"/>
    <mergeCell ref="G30:K30"/>
    <mergeCell ref="G31:K31"/>
    <mergeCell ref="B8:B9"/>
    <mergeCell ref="B20:K20"/>
    <mergeCell ref="C21:F21"/>
    <mergeCell ref="C25:F25"/>
    <mergeCell ref="C28:F28"/>
    <mergeCell ref="G24:K24"/>
    <mergeCell ref="C8:K8"/>
    <mergeCell ref="G21:K21"/>
    <mergeCell ref="G32:K32"/>
    <mergeCell ref="C32:F32"/>
    <mergeCell ref="G25:K25"/>
    <mergeCell ref="G26:K26"/>
    <mergeCell ref="G27:K27"/>
    <mergeCell ref="G28:K28"/>
    <mergeCell ref="G29:K29"/>
    <mergeCell ref="C22:F22"/>
    <mergeCell ref="C23:F23"/>
    <mergeCell ref="C24:F24"/>
    <mergeCell ref="C26:F26"/>
    <mergeCell ref="C27:F27"/>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37.xml><?xml version="1.0" encoding="utf-8"?>
<worksheet xmlns="http://schemas.openxmlformats.org/spreadsheetml/2006/main" xmlns:r="http://schemas.openxmlformats.org/officeDocument/2006/relationships">
  <dimension ref="B1:M56"/>
  <sheetViews>
    <sheetView zoomScaleNormal="100" workbookViewId="0">
      <pane ySplit="4" topLeftCell="A5" activePane="bottomLeft" state="frozen"/>
      <selection pane="bottomLeft" activeCell="B1" sqref="B1"/>
    </sheetView>
  </sheetViews>
  <sheetFormatPr defaultRowHeight="12.95" customHeight="1"/>
  <cols>
    <col min="1" max="1" width="3.7109375" style="292" customWidth="1"/>
    <col min="2" max="2" width="33" style="292" customWidth="1"/>
    <col min="3" max="3" width="5" style="292" customWidth="1"/>
    <col min="4" max="4" width="15" style="292" customWidth="1"/>
    <col min="5" max="5" width="9" style="292" customWidth="1"/>
    <col min="6" max="6" width="13.140625" style="292" bestFit="1" customWidth="1"/>
    <col min="7" max="7" width="5.42578125" style="292" customWidth="1"/>
    <col min="8" max="8" width="8.5703125" style="292" customWidth="1"/>
    <col min="9" max="9" width="6.5703125" style="292" customWidth="1"/>
    <col min="10" max="10" width="4.85546875" style="292" customWidth="1"/>
    <col min="11" max="11" width="13.140625" style="292" bestFit="1" customWidth="1"/>
    <col min="12" max="13" width="7.7109375" style="292" customWidth="1"/>
    <col min="14" max="16384" width="9.140625" style="292"/>
  </cols>
  <sheetData>
    <row r="1" spans="2:13" ht="12.95" customHeight="1">
      <c r="B1" s="313" t="s">
        <v>2706</v>
      </c>
      <c r="C1" s="3074" t="s">
        <v>8269</v>
      </c>
      <c r="D1" s="3074"/>
      <c r="E1" s="3074"/>
      <c r="F1" s="3074"/>
      <c r="G1" s="3074"/>
      <c r="H1" s="3074"/>
      <c r="I1" s="3074"/>
      <c r="J1" s="3074"/>
      <c r="K1" s="3074"/>
      <c r="L1" s="3074"/>
      <c r="M1" s="3074"/>
    </row>
    <row r="2" spans="2:13" ht="5.0999999999999996" customHeight="1"/>
    <row r="3" spans="2:13" ht="12.95" customHeight="1">
      <c r="B3" s="2978" t="s">
        <v>3975</v>
      </c>
      <c r="C3" s="2978"/>
      <c r="D3" s="2978"/>
      <c r="E3" s="2978"/>
      <c r="F3" s="2978"/>
      <c r="G3" s="2978"/>
      <c r="H3" s="2978"/>
      <c r="I3" s="2978"/>
      <c r="J3" s="2978"/>
      <c r="K3" s="2978"/>
      <c r="L3" s="2978"/>
      <c r="M3" s="2978"/>
    </row>
    <row r="4" spans="2:13" ht="5.0999999999999996" customHeight="1">
      <c r="B4" s="3566"/>
      <c r="C4" s="3566"/>
      <c r="D4" s="3566"/>
      <c r="E4" s="3566"/>
      <c r="F4" s="3566"/>
      <c r="G4" s="3566"/>
      <c r="H4" s="3566"/>
      <c r="I4" s="3566"/>
      <c r="J4" s="3566"/>
      <c r="K4" s="3566"/>
      <c r="L4" s="3566"/>
      <c r="M4" s="3566"/>
    </row>
    <row r="5" spans="2:13" ht="26.1" customHeight="1" thickBot="1">
      <c r="B5" s="3567" t="s">
        <v>8960</v>
      </c>
      <c r="C5" s="3567"/>
      <c r="D5" s="3567"/>
      <c r="E5" s="3567"/>
      <c r="F5" s="3567"/>
      <c r="G5" s="3567"/>
      <c r="H5" s="3567"/>
      <c r="I5" s="3567"/>
      <c r="J5" s="3567"/>
      <c r="K5" s="3567"/>
      <c r="L5" s="3567"/>
      <c r="M5" s="3567"/>
    </row>
    <row r="6" spans="2:13" ht="12.95" customHeight="1" thickBot="1">
      <c r="B6" s="3076" t="s">
        <v>3976</v>
      </c>
      <c r="C6" s="3570"/>
      <c r="D6" s="3568" t="s">
        <v>2043</v>
      </c>
      <c r="E6" s="3077"/>
      <c r="F6" s="3077"/>
      <c r="G6" s="3077"/>
      <c r="H6" s="3077"/>
      <c r="I6" s="3077"/>
      <c r="J6" s="3077"/>
      <c r="K6" s="3077"/>
      <c r="L6" s="3077"/>
      <c r="M6" s="3569"/>
    </row>
    <row r="7" spans="2:13" ht="12.95" customHeight="1">
      <c r="B7" s="3571" t="s">
        <v>3977</v>
      </c>
      <c r="C7" s="3572"/>
      <c r="D7" s="3563" t="s">
        <v>3985</v>
      </c>
      <c r="E7" s="3564"/>
      <c r="F7" s="3564"/>
      <c r="G7" s="3564"/>
      <c r="H7" s="3564"/>
      <c r="I7" s="3564"/>
      <c r="J7" s="3564"/>
      <c r="K7" s="3564"/>
      <c r="L7" s="3564"/>
      <c r="M7" s="3565"/>
    </row>
    <row r="8" spans="2:13" ht="26.1" customHeight="1">
      <c r="B8" s="3534" t="s">
        <v>3978</v>
      </c>
      <c r="C8" s="3535"/>
      <c r="D8" s="3555" t="s">
        <v>5421</v>
      </c>
      <c r="E8" s="3556"/>
      <c r="F8" s="3556"/>
      <c r="G8" s="3556"/>
      <c r="H8" s="3556"/>
      <c r="I8" s="3556"/>
      <c r="J8" s="3556"/>
      <c r="K8" s="3556"/>
      <c r="L8" s="3556"/>
      <c r="M8" s="3557"/>
    </row>
    <row r="9" spans="2:13" ht="12.95" customHeight="1">
      <c r="B9" s="3530" t="s">
        <v>3979</v>
      </c>
      <c r="C9" s="3531"/>
      <c r="D9" s="3527" t="s">
        <v>3986</v>
      </c>
      <c r="E9" s="3528"/>
      <c r="F9" s="3528"/>
      <c r="G9" s="3528"/>
      <c r="H9" s="3528"/>
      <c r="I9" s="3528"/>
      <c r="J9" s="3528"/>
      <c r="K9" s="3528"/>
      <c r="L9" s="3528"/>
      <c r="M9" s="3529"/>
    </row>
    <row r="10" spans="2:13" ht="26.1" customHeight="1">
      <c r="B10" s="3534" t="s">
        <v>3980</v>
      </c>
      <c r="C10" s="3535"/>
      <c r="D10" s="3555" t="s">
        <v>3987</v>
      </c>
      <c r="E10" s="3556"/>
      <c r="F10" s="3556"/>
      <c r="G10" s="3556"/>
      <c r="H10" s="3556"/>
      <c r="I10" s="3556"/>
      <c r="J10" s="3556"/>
      <c r="K10" s="3556"/>
      <c r="L10" s="3556"/>
      <c r="M10" s="3557"/>
    </row>
    <row r="11" spans="2:13" ht="12.95" customHeight="1">
      <c r="B11" s="3530" t="s">
        <v>3981</v>
      </c>
      <c r="C11" s="3531"/>
      <c r="D11" s="3527" t="s">
        <v>3988</v>
      </c>
      <c r="E11" s="3528"/>
      <c r="F11" s="3528"/>
      <c r="G11" s="3528"/>
      <c r="H11" s="3528"/>
      <c r="I11" s="3528"/>
      <c r="J11" s="3528"/>
      <c r="K11" s="3528"/>
      <c r="L11" s="3528"/>
      <c r="M11" s="3529"/>
    </row>
    <row r="12" spans="2:13" ht="65.099999999999994" customHeight="1">
      <c r="B12" s="3534" t="s">
        <v>3982</v>
      </c>
      <c r="C12" s="3535"/>
      <c r="D12" s="3555" t="s">
        <v>10073</v>
      </c>
      <c r="E12" s="3556"/>
      <c r="F12" s="3556"/>
      <c r="G12" s="3556"/>
      <c r="H12" s="3556"/>
      <c r="I12" s="3556"/>
      <c r="J12" s="3556"/>
      <c r="K12" s="3556"/>
      <c r="L12" s="3556"/>
      <c r="M12" s="3557"/>
    </row>
    <row r="13" spans="2:13" ht="51.95" customHeight="1">
      <c r="B13" s="3530" t="s">
        <v>3983</v>
      </c>
      <c r="C13" s="3531"/>
      <c r="D13" s="3527" t="s">
        <v>3995</v>
      </c>
      <c r="E13" s="3528"/>
      <c r="F13" s="3528"/>
      <c r="G13" s="3528"/>
      <c r="H13" s="3528"/>
      <c r="I13" s="3528"/>
      <c r="J13" s="3528"/>
      <c r="K13" s="3528"/>
      <c r="L13" s="3528"/>
      <c r="M13" s="3529"/>
    </row>
    <row r="14" spans="2:13" ht="39" customHeight="1" thickBot="1">
      <c r="B14" s="3532" t="s">
        <v>3984</v>
      </c>
      <c r="C14" s="3533"/>
      <c r="D14" s="3560" t="s">
        <v>3996</v>
      </c>
      <c r="E14" s="3561"/>
      <c r="F14" s="3561"/>
      <c r="G14" s="3561"/>
      <c r="H14" s="3561"/>
      <c r="I14" s="3561"/>
      <c r="J14" s="3561"/>
      <c r="K14" s="3561"/>
      <c r="L14" s="3561"/>
      <c r="M14" s="3562"/>
    </row>
    <row r="15" spans="2:13" ht="5.0999999999999996" customHeight="1"/>
    <row r="16" spans="2:13" ht="12.95" customHeight="1">
      <c r="B16" s="3102" t="s">
        <v>8961</v>
      </c>
      <c r="C16" s="3102"/>
      <c r="D16" s="3102"/>
      <c r="E16" s="3102"/>
      <c r="F16" s="3102"/>
      <c r="G16" s="3102"/>
      <c r="H16" s="3102"/>
      <c r="I16" s="3102"/>
      <c r="J16" s="3102"/>
      <c r="K16" s="3102"/>
      <c r="L16" s="3102"/>
      <c r="M16" s="3102"/>
    </row>
    <row r="17" spans="2:13" ht="12.95" customHeight="1">
      <c r="C17" s="3326" t="s">
        <v>6222</v>
      </c>
      <c r="D17" s="3326"/>
      <c r="E17" s="3326"/>
      <c r="F17" s="3326"/>
      <c r="G17" s="3326"/>
      <c r="H17" s="3326"/>
    </row>
    <row r="18" spans="2:13" s="431" customFormat="1" ht="12.95" customHeight="1">
      <c r="B18" s="1133"/>
      <c r="C18" s="3536" t="s">
        <v>304</v>
      </c>
      <c r="D18" s="3526" t="s">
        <v>3989</v>
      </c>
      <c r="E18" s="3526"/>
      <c r="F18" s="3526"/>
      <c r="G18" s="3526"/>
      <c r="H18" s="3526"/>
      <c r="I18" s="3526"/>
      <c r="J18" s="3526"/>
      <c r="K18" s="3526"/>
      <c r="L18" s="3526"/>
      <c r="M18" s="3526"/>
    </row>
    <row r="19" spans="2:13" s="431" customFormat="1" ht="26.1" customHeight="1">
      <c r="B19" s="1133"/>
      <c r="C19" s="3536"/>
      <c r="D19" s="3525" t="s">
        <v>6223</v>
      </c>
      <c r="E19" s="3525"/>
      <c r="F19" s="3525"/>
      <c r="G19" s="3525"/>
      <c r="H19" s="3525"/>
      <c r="I19" s="3525"/>
      <c r="J19" s="3525"/>
      <c r="K19" s="3525"/>
      <c r="L19" s="3525"/>
      <c r="M19" s="3525"/>
    </row>
    <row r="20" spans="2:13" s="431" customFormat="1" ht="26.1" customHeight="1">
      <c r="B20" s="1133"/>
      <c r="C20" s="3536"/>
      <c r="D20" s="3525" t="s">
        <v>5469</v>
      </c>
      <c r="E20" s="3525"/>
      <c r="F20" s="3525"/>
      <c r="G20" s="3525"/>
      <c r="H20" s="3525"/>
      <c r="I20" s="3525"/>
      <c r="J20" s="3525"/>
      <c r="K20" s="3525"/>
      <c r="L20" s="3525"/>
      <c r="M20" s="3525"/>
    </row>
    <row r="21" spans="2:13" s="431" customFormat="1" ht="39" customHeight="1">
      <c r="B21" s="1135"/>
      <c r="C21" s="3536"/>
      <c r="D21" s="3525" t="s">
        <v>5470</v>
      </c>
      <c r="E21" s="3525"/>
      <c r="F21" s="3525"/>
      <c r="G21" s="3525"/>
      <c r="H21" s="3525"/>
      <c r="I21" s="3525"/>
      <c r="J21" s="3525"/>
      <c r="K21" s="3525"/>
      <c r="L21" s="3525"/>
      <c r="M21" s="3525"/>
    </row>
    <row r="22" spans="2:13" s="431" customFormat="1" ht="12.95" customHeight="1">
      <c r="B22" s="1135"/>
      <c r="C22" s="3536"/>
      <c r="D22" s="3526" t="s">
        <v>6224</v>
      </c>
      <c r="E22" s="3526"/>
      <c r="F22" s="3526"/>
      <c r="G22" s="3526"/>
      <c r="H22" s="3526"/>
      <c r="I22" s="3526"/>
      <c r="J22" s="3526"/>
      <c r="K22" s="3526"/>
      <c r="L22" s="3526"/>
      <c r="M22" s="3526"/>
    </row>
    <row r="23" spans="2:13" s="431" customFormat="1" ht="12.95" customHeight="1">
      <c r="B23" s="1135"/>
      <c r="C23" s="3536"/>
      <c r="D23" s="3526" t="s">
        <v>3990</v>
      </c>
      <c r="E23" s="3526"/>
      <c r="F23" s="3526"/>
      <c r="G23" s="3526"/>
      <c r="H23" s="3526"/>
      <c r="I23" s="3526"/>
      <c r="J23" s="3526"/>
      <c r="K23" s="3526"/>
      <c r="L23" s="3526"/>
      <c r="M23" s="3526"/>
    </row>
    <row r="24" spans="2:13" s="431" customFormat="1" ht="26.1" customHeight="1">
      <c r="B24" s="1135"/>
      <c r="C24" s="3536"/>
      <c r="D24" s="3525" t="s">
        <v>5471</v>
      </c>
      <c r="E24" s="3525"/>
      <c r="F24" s="3525"/>
      <c r="G24" s="3525"/>
      <c r="H24" s="3525"/>
      <c r="I24" s="3525"/>
      <c r="J24" s="3525"/>
      <c r="K24" s="3525"/>
      <c r="L24" s="3525"/>
      <c r="M24" s="3525"/>
    </row>
    <row r="25" spans="2:13" s="431" customFormat="1" ht="5.0999999999999996" customHeight="1">
      <c r="B25" s="1135"/>
      <c r="C25" s="420"/>
      <c r="D25" s="3526"/>
      <c r="E25" s="3526"/>
      <c r="F25" s="3526"/>
      <c r="G25" s="3526"/>
      <c r="H25" s="3526"/>
      <c r="I25" s="3526"/>
      <c r="J25" s="3526"/>
      <c r="K25" s="3526"/>
      <c r="L25" s="3526"/>
      <c r="M25" s="3526"/>
    </row>
    <row r="26" spans="2:13" ht="12.95" customHeight="1">
      <c r="B26" s="3102" t="s">
        <v>3991</v>
      </c>
      <c r="C26" s="3102"/>
      <c r="D26" s="3102"/>
      <c r="E26" s="3102"/>
      <c r="F26" s="3102"/>
      <c r="G26" s="3102"/>
      <c r="H26" s="3102"/>
      <c r="I26" s="3102"/>
      <c r="J26" s="3102"/>
      <c r="K26" s="3102"/>
      <c r="L26" s="3102"/>
      <c r="M26" s="3102"/>
    </row>
    <row r="27" spans="2:13" ht="12.95" customHeight="1">
      <c r="B27" s="3250" t="s">
        <v>5942</v>
      </c>
      <c r="C27" s="3250"/>
      <c r="D27" s="3250"/>
      <c r="E27" s="3250"/>
      <c r="F27" s="3250"/>
      <c r="G27" s="3250"/>
      <c r="H27" s="3250"/>
      <c r="I27" s="3250"/>
      <c r="J27" s="3250"/>
      <c r="K27" s="3250"/>
      <c r="L27" s="3250"/>
      <c r="M27" s="3250"/>
    </row>
    <row r="28" spans="2:13" ht="5.0999999999999996" customHeight="1">
      <c r="B28" s="960"/>
      <c r="C28" s="960"/>
      <c r="D28" s="960"/>
      <c r="E28" s="960"/>
      <c r="F28" s="960"/>
      <c r="G28" s="960"/>
      <c r="H28" s="960"/>
      <c r="I28" s="960"/>
      <c r="J28" s="960"/>
      <c r="K28" s="960"/>
      <c r="L28" s="960"/>
      <c r="M28" s="960"/>
    </row>
    <row r="29" spans="2:13" ht="12.95" customHeight="1">
      <c r="B29" s="1142" t="s">
        <v>418</v>
      </c>
      <c r="C29" s="3540" t="s">
        <v>3992</v>
      </c>
      <c r="D29" s="3541"/>
      <c r="E29" s="3542"/>
      <c r="F29" s="1136"/>
      <c r="G29" s="1136"/>
      <c r="H29" s="1136"/>
      <c r="I29" s="1136"/>
      <c r="J29" s="1136"/>
      <c r="K29" s="1136"/>
      <c r="L29" s="1136"/>
    </row>
    <row r="30" spans="2:13" ht="12.95" customHeight="1">
      <c r="B30" s="1143" t="s">
        <v>835</v>
      </c>
      <c r="C30" s="3537" t="s">
        <v>6225</v>
      </c>
      <c r="D30" s="3543"/>
      <c r="E30" s="3544"/>
      <c r="F30" s="1137"/>
      <c r="G30" s="1137"/>
      <c r="H30" s="1137"/>
      <c r="I30" s="1137"/>
      <c r="J30" s="1137"/>
      <c r="K30" s="1137"/>
      <c r="L30" s="1137"/>
    </row>
    <row r="31" spans="2:13" ht="12.95" customHeight="1">
      <c r="B31" s="1143" t="s">
        <v>846</v>
      </c>
      <c r="C31" s="3537" t="s">
        <v>5472</v>
      </c>
      <c r="D31" s="3553"/>
      <c r="E31" s="3554"/>
      <c r="F31" s="1137"/>
      <c r="G31" s="1137"/>
      <c r="H31" s="1137"/>
      <c r="I31" s="1137"/>
      <c r="J31" s="1137"/>
      <c r="K31" s="1137"/>
      <c r="L31" s="1137"/>
    </row>
    <row r="32" spans="2:13" ht="12.95" customHeight="1">
      <c r="B32" s="1143" t="s">
        <v>845</v>
      </c>
      <c r="C32" s="3537" t="s">
        <v>6226</v>
      </c>
      <c r="D32" s="3543"/>
      <c r="E32" s="3544"/>
      <c r="F32" s="1136"/>
      <c r="G32" s="1136"/>
      <c r="H32" s="1136"/>
      <c r="I32" s="1136"/>
      <c r="J32" s="1136"/>
      <c r="K32" s="1136"/>
      <c r="L32" s="1136"/>
    </row>
    <row r="33" spans="2:13" ht="12.95" customHeight="1">
      <c r="B33" s="1143" t="s">
        <v>1379</v>
      </c>
      <c r="C33" s="3537" t="s">
        <v>5473</v>
      </c>
      <c r="D33" s="3543"/>
      <c r="E33" s="3544"/>
      <c r="F33" s="991"/>
      <c r="G33" s="991"/>
      <c r="H33" s="991"/>
      <c r="I33" s="991"/>
      <c r="J33" s="991"/>
      <c r="K33" s="991"/>
      <c r="L33" s="991"/>
    </row>
    <row r="34" spans="2:13" ht="5.0999999999999996" customHeight="1">
      <c r="B34" s="1144"/>
      <c r="C34" s="3549"/>
      <c r="D34" s="3543"/>
      <c r="E34" s="3544"/>
      <c r="F34" s="1137"/>
      <c r="G34" s="1137"/>
      <c r="H34" s="1137"/>
      <c r="I34" s="1137"/>
      <c r="J34" s="1137"/>
      <c r="K34" s="1137"/>
      <c r="L34" s="1137"/>
    </row>
    <row r="35" spans="2:13" s="814" customFormat="1" ht="12.95" customHeight="1">
      <c r="B35" s="1145" t="s">
        <v>2000</v>
      </c>
      <c r="C35" s="3545" t="s">
        <v>5474</v>
      </c>
      <c r="D35" s="3558"/>
      <c r="E35" s="3559"/>
      <c r="F35" s="1138"/>
      <c r="G35" s="1138"/>
      <c r="H35" s="1138"/>
      <c r="I35" s="1138"/>
      <c r="J35" s="1138"/>
      <c r="K35" s="1138"/>
      <c r="L35" s="1138"/>
    </row>
    <row r="36" spans="2:13" ht="5.0999999999999996" customHeight="1"/>
    <row r="37" spans="2:13" ht="12.95" customHeight="1">
      <c r="B37" s="3250" t="s">
        <v>1998</v>
      </c>
      <c r="C37" s="3250"/>
      <c r="D37" s="3250"/>
      <c r="E37" s="3250"/>
      <c r="F37" s="3250"/>
      <c r="G37" s="3250"/>
      <c r="H37" s="3250"/>
      <c r="I37" s="3250"/>
      <c r="J37" s="3250"/>
      <c r="K37" s="3250"/>
      <c r="L37" s="3250"/>
      <c r="M37" s="3250"/>
    </row>
    <row r="38" spans="2:13" ht="5.0999999999999996" customHeight="1"/>
    <row r="39" spans="2:13" ht="12.95" customHeight="1">
      <c r="B39" s="1142" t="s">
        <v>418</v>
      </c>
      <c r="C39" s="3540" t="s">
        <v>3992</v>
      </c>
      <c r="D39" s="3541"/>
      <c r="E39" s="3542"/>
      <c r="F39" s="1136"/>
      <c r="G39" s="1136"/>
      <c r="H39" s="1136"/>
      <c r="I39" s="1136"/>
      <c r="J39" s="1136"/>
      <c r="K39" s="1136"/>
      <c r="L39" s="1136"/>
    </row>
    <row r="40" spans="2:13" ht="12.95" customHeight="1">
      <c r="B40" s="1143" t="s">
        <v>1999</v>
      </c>
      <c r="C40" s="3537" t="s">
        <v>6227</v>
      </c>
      <c r="D40" s="3538"/>
      <c r="E40" s="3539"/>
      <c r="F40" s="1137"/>
      <c r="G40" s="1137"/>
      <c r="H40" s="1137"/>
      <c r="I40" s="1137"/>
      <c r="J40" s="1137"/>
      <c r="K40" s="1137"/>
      <c r="L40" s="1137"/>
    </row>
    <row r="41" spans="2:13" ht="12.95" customHeight="1">
      <c r="B41" s="1143" t="s">
        <v>846</v>
      </c>
      <c r="C41" s="3537" t="s">
        <v>5475</v>
      </c>
      <c r="D41" s="3538"/>
      <c r="E41" s="3539"/>
      <c r="F41" s="1136"/>
      <c r="G41" s="1136"/>
      <c r="H41" s="1136"/>
      <c r="I41" s="1136"/>
      <c r="J41" s="1136"/>
      <c r="K41" s="1136"/>
      <c r="L41" s="1136"/>
    </row>
    <row r="42" spans="2:13" ht="12.95" customHeight="1">
      <c r="B42" s="1143" t="s">
        <v>845</v>
      </c>
      <c r="C42" s="3537" t="s">
        <v>6226</v>
      </c>
      <c r="D42" s="3543"/>
      <c r="E42" s="3544"/>
      <c r="F42" s="1139"/>
      <c r="G42" s="1139"/>
      <c r="H42" s="1139"/>
      <c r="I42" s="1139"/>
      <c r="J42" s="1139"/>
      <c r="K42" s="1139"/>
      <c r="L42" s="1139"/>
    </row>
    <row r="43" spans="2:13" ht="12.95" customHeight="1">
      <c r="B43" s="1143" t="s">
        <v>1379</v>
      </c>
      <c r="C43" s="3537" t="s">
        <v>5473</v>
      </c>
      <c r="D43" s="3538"/>
      <c r="E43" s="3539"/>
      <c r="F43" s="1137"/>
      <c r="G43" s="1137"/>
      <c r="H43" s="1137"/>
      <c r="I43" s="1137"/>
      <c r="J43" s="1137"/>
      <c r="K43" s="1137"/>
      <c r="L43" s="1137"/>
    </row>
    <row r="44" spans="2:13" ht="5.0999999999999996" customHeight="1">
      <c r="B44" s="1144"/>
      <c r="C44" s="3551"/>
      <c r="D44" s="3551"/>
      <c r="E44" s="3552"/>
      <c r="F44" s="1138"/>
      <c r="G44" s="1138"/>
      <c r="H44" s="1138"/>
      <c r="I44" s="1138"/>
      <c r="J44" s="1138"/>
      <c r="K44" s="1138"/>
      <c r="L44" s="1138"/>
    </row>
    <row r="45" spans="2:13" s="296" customFormat="1" ht="12.95" customHeight="1">
      <c r="B45" s="1145" t="s">
        <v>2000</v>
      </c>
      <c r="C45" s="3545" t="s">
        <v>5477</v>
      </c>
      <c r="D45" s="3546"/>
      <c r="E45" s="3547"/>
      <c r="F45" s="1136"/>
      <c r="G45" s="1136"/>
      <c r="H45" s="1136"/>
      <c r="I45" s="1136"/>
      <c r="J45" s="1136"/>
      <c r="K45" s="1136"/>
      <c r="L45" s="1136"/>
    </row>
    <row r="46" spans="2:13" ht="5.0999999999999996" customHeight="1"/>
    <row r="47" spans="2:13" ht="12.95" customHeight="1">
      <c r="B47" s="3250" t="s">
        <v>3993</v>
      </c>
      <c r="C47" s="3250"/>
      <c r="D47" s="3250"/>
      <c r="E47" s="3250"/>
      <c r="F47" s="3250"/>
      <c r="G47" s="3250"/>
      <c r="H47" s="3250"/>
      <c r="I47" s="3250"/>
      <c r="J47" s="3250"/>
      <c r="K47" s="3250"/>
      <c r="L47" s="3250"/>
      <c r="M47" s="3250"/>
    </row>
    <row r="48" spans="2:13" ht="5.0999999999999996" customHeight="1"/>
    <row r="49" spans="2:12" ht="12.95" customHeight="1">
      <c r="B49" s="1142" t="s">
        <v>418</v>
      </c>
      <c r="C49" s="3540" t="s">
        <v>3992</v>
      </c>
      <c r="D49" s="3541"/>
      <c r="E49" s="3542"/>
      <c r="F49" s="1136"/>
      <c r="G49" s="1136"/>
      <c r="H49" s="1136"/>
      <c r="I49" s="1136"/>
      <c r="J49" s="1136"/>
      <c r="K49" s="1136"/>
      <c r="L49" s="1136"/>
    </row>
    <row r="50" spans="2:12" ht="12.95" customHeight="1">
      <c r="B50" s="1143" t="s">
        <v>1999</v>
      </c>
      <c r="C50" s="3537" t="s">
        <v>6227</v>
      </c>
      <c r="D50" s="3538"/>
      <c r="E50" s="3539"/>
      <c r="F50" s="1137"/>
      <c r="G50" s="1137"/>
      <c r="H50" s="1137"/>
      <c r="I50" s="1137"/>
      <c r="J50" s="1137"/>
      <c r="K50" s="1137"/>
      <c r="L50" s="1137"/>
    </row>
    <row r="51" spans="2:12" ht="12.95" customHeight="1">
      <c r="B51" s="1143" t="s">
        <v>846</v>
      </c>
      <c r="C51" s="3537" t="s">
        <v>5475</v>
      </c>
      <c r="D51" s="3538"/>
      <c r="E51" s="3539"/>
      <c r="F51" s="1136"/>
      <c r="G51" s="1136"/>
      <c r="H51" s="1136"/>
      <c r="I51" s="1136"/>
      <c r="J51" s="1136"/>
      <c r="K51" s="1136"/>
      <c r="L51" s="1136"/>
    </row>
    <row r="52" spans="2:12" ht="12.95" customHeight="1">
      <c r="B52" s="1143" t="s">
        <v>845</v>
      </c>
      <c r="C52" s="3537" t="s">
        <v>6226</v>
      </c>
      <c r="D52" s="3543"/>
      <c r="E52" s="3544"/>
      <c r="F52" s="1139"/>
      <c r="G52" s="1139"/>
      <c r="H52" s="1139"/>
      <c r="I52" s="1139"/>
      <c r="J52" s="1139"/>
      <c r="K52" s="1139"/>
      <c r="L52" s="1139"/>
    </row>
    <row r="53" spans="2:12" ht="12.95" customHeight="1">
      <c r="B53" s="1143" t="s">
        <v>5295</v>
      </c>
      <c r="C53" s="3537" t="s">
        <v>3994</v>
      </c>
      <c r="D53" s="3538"/>
      <c r="E53" s="3539"/>
      <c r="F53" s="1136"/>
      <c r="G53" s="1136"/>
      <c r="H53" s="1136"/>
      <c r="I53" s="1136"/>
      <c r="J53" s="1136"/>
      <c r="K53" s="1136"/>
      <c r="L53" s="1136"/>
    </row>
    <row r="54" spans="2:12" ht="12.95" customHeight="1">
      <c r="B54" s="1143" t="s">
        <v>1379</v>
      </c>
      <c r="C54" s="3537" t="s">
        <v>5473</v>
      </c>
      <c r="D54" s="3538"/>
      <c r="E54" s="3539"/>
      <c r="F54" s="1139"/>
      <c r="G54" s="1139"/>
      <c r="H54" s="1139"/>
      <c r="I54" s="1139"/>
      <c r="J54" s="1139"/>
      <c r="K54" s="1139"/>
      <c r="L54" s="1139"/>
    </row>
    <row r="55" spans="2:12" ht="5.0999999999999996" customHeight="1">
      <c r="B55" s="1144"/>
      <c r="C55" s="3549"/>
      <c r="D55" s="3549"/>
      <c r="E55" s="3550"/>
      <c r="F55" s="1137"/>
      <c r="G55" s="1137"/>
      <c r="H55" s="1137"/>
      <c r="I55" s="1137"/>
      <c r="J55" s="1137"/>
      <c r="K55" s="1137"/>
      <c r="L55" s="1137"/>
    </row>
    <row r="56" spans="2:12" ht="12.95" customHeight="1">
      <c r="B56" s="1145" t="s">
        <v>2000</v>
      </c>
      <c r="C56" s="3545" t="s">
        <v>5476</v>
      </c>
      <c r="D56" s="3545"/>
      <c r="E56" s="3548"/>
      <c r="F56" s="1138"/>
      <c r="G56" s="1138"/>
      <c r="H56" s="1138"/>
      <c r="I56" s="1138"/>
      <c r="J56" s="1138"/>
      <c r="K56" s="1138"/>
      <c r="L56" s="1138"/>
    </row>
  </sheetData>
  <sheetProtection autoFilter="0"/>
  <mergeCells count="59">
    <mergeCell ref="C1:M1"/>
    <mergeCell ref="D7:M7"/>
    <mergeCell ref="D8:M8"/>
    <mergeCell ref="B3:M3"/>
    <mergeCell ref="B4:M4"/>
    <mergeCell ref="B5:M5"/>
    <mergeCell ref="D6:M6"/>
    <mergeCell ref="B6:C6"/>
    <mergeCell ref="B7:C7"/>
    <mergeCell ref="B8:C8"/>
    <mergeCell ref="B37:M37"/>
    <mergeCell ref="C31:E31"/>
    <mergeCell ref="C30:E30"/>
    <mergeCell ref="D10:M10"/>
    <mergeCell ref="D11:M11"/>
    <mergeCell ref="D13:M13"/>
    <mergeCell ref="C29:E29"/>
    <mergeCell ref="C34:E34"/>
    <mergeCell ref="C35:E35"/>
    <mergeCell ref="B27:M27"/>
    <mergeCell ref="D14:M14"/>
    <mergeCell ref="C33:E33"/>
    <mergeCell ref="C32:E32"/>
    <mergeCell ref="B10:C10"/>
    <mergeCell ref="D12:M12"/>
    <mergeCell ref="D25:M25"/>
    <mergeCell ref="C56:E56"/>
    <mergeCell ref="C55:E55"/>
    <mergeCell ref="C54:E54"/>
    <mergeCell ref="C53:E53"/>
    <mergeCell ref="C44:E44"/>
    <mergeCell ref="C52:E52"/>
    <mergeCell ref="C51:E51"/>
    <mergeCell ref="C50:E50"/>
    <mergeCell ref="C49:E49"/>
    <mergeCell ref="C43:E43"/>
    <mergeCell ref="C39:E39"/>
    <mergeCell ref="B47:M47"/>
    <mergeCell ref="C42:E42"/>
    <mergeCell ref="C41:E41"/>
    <mergeCell ref="C40:E40"/>
    <mergeCell ref="C45:E45"/>
    <mergeCell ref="D9:M9"/>
    <mergeCell ref="B16:M16"/>
    <mergeCell ref="C17:H17"/>
    <mergeCell ref="D18:M18"/>
    <mergeCell ref="B11:C11"/>
    <mergeCell ref="B13:C13"/>
    <mergeCell ref="B14:C14"/>
    <mergeCell ref="B9:C9"/>
    <mergeCell ref="B12:C12"/>
    <mergeCell ref="C18:C24"/>
    <mergeCell ref="B26:M26"/>
    <mergeCell ref="D24:M24"/>
    <mergeCell ref="D20:M20"/>
    <mergeCell ref="D19:M19"/>
    <mergeCell ref="D21:M21"/>
    <mergeCell ref="D22:M22"/>
    <mergeCell ref="D23:M23"/>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1" orientation="landscape" r:id="rId1"/>
  <headerFooter alignWithMargins="0"/>
  <rowBreaks count="1" manualBreakCount="1">
    <brk id="24" max="12" man="1"/>
  </rowBreaks>
</worksheet>
</file>

<file path=xl/worksheets/sheet38.xml><?xml version="1.0" encoding="utf-8"?>
<worksheet xmlns="http://schemas.openxmlformats.org/spreadsheetml/2006/main" xmlns:r="http://schemas.openxmlformats.org/officeDocument/2006/relationships">
  <dimension ref="B1:S15"/>
  <sheetViews>
    <sheetView zoomScaleNormal="100" workbookViewId="0">
      <pane ySplit="4" topLeftCell="A5" activePane="bottomLeft" state="frozen"/>
      <selection pane="bottomLeft" activeCell="B1" sqref="B1"/>
    </sheetView>
  </sheetViews>
  <sheetFormatPr defaultRowHeight="12.95" customHeight="1"/>
  <cols>
    <col min="1" max="1" width="3.7109375" style="292" customWidth="1"/>
    <col min="2" max="2" width="16" style="292" bestFit="1" customWidth="1"/>
    <col min="3" max="16384" width="9.140625" style="292"/>
  </cols>
  <sheetData>
    <row r="1" spans="2:19" s="952" customFormat="1" ht="12.95" customHeight="1">
      <c r="B1" s="987" t="s">
        <v>2706</v>
      </c>
      <c r="C1" s="3195" t="s">
        <v>8269</v>
      </c>
      <c r="D1" s="3195"/>
      <c r="E1" s="3195"/>
      <c r="F1" s="3195"/>
      <c r="G1" s="3195"/>
      <c r="H1" s="3195"/>
      <c r="I1" s="3195"/>
      <c r="J1" s="3195"/>
      <c r="K1" s="3195"/>
      <c r="L1" s="3195"/>
      <c r="M1" s="3195"/>
      <c r="N1" s="3195"/>
    </row>
    <row r="2" spans="2:19" ht="5.0999999999999996" customHeight="1"/>
    <row r="3" spans="2:19" ht="12.95" customHeight="1">
      <c r="B3" s="3075" t="s">
        <v>3609</v>
      </c>
      <c r="C3" s="3075"/>
      <c r="D3" s="3075"/>
      <c r="E3" s="3075"/>
      <c r="F3" s="3075"/>
      <c r="G3" s="3075"/>
      <c r="H3" s="3075"/>
      <c r="I3" s="3075"/>
      <c r="J3" s="3075"/>
      <c r="K3" s="3075"/>
      <c r="L3" s="3075"/>
      <c r="M3" s="3075"/>
      <c r="N3" s="3075"/>
    </row>
    <row r="4" spans="2:19" ht="5.0999999999999996" customHeight="1"/>
    <row r="5" spans="2:19" s="288" customFormat="1" ht="12.95" customHeight="1">
      <c r="B5" s="2960" t="s">
        <v>10074</v>
      </c>
      <c r="C5" s="2960"/>
      <c r="D5" s="2960"/>
      <c r="E5" s="2960"/>
      <c r="F5" s="2960"/>
      <c r="G5" s="2960"/>
      <c r="H5" s="2960"/>
      <c r="I5" s="2960"/>
      <c r="J5" s="2960"/>
      <c r="K5" s="2960"/>
      <c r="L5" s="2960"/>
      <c r="M5" s="2960"/>
      <c r="N5" s="2960"/>
      <c r="O5" s="1131"/>
      <c r="Q5" s="1131"/>
      <c r="R5" s="1131"/>
      <c r="S5" s="1131"/>
    </row>
    <row r="6" spans="2:19" s="288" customFormat="1" ht="12.95" customHeight="1">
      <c r="B6" s="2960" t="s">
        <v>3610</v>
      </c>
      <c r="C6" s="2960"/>
      <c r="D6" s="2960"/>
      <c r="E6" s="2960"/>
      <c r="F6" s="2960"/>
      <c r="G6" s="2960"/>
      <c r="H6" s="2960"/>
      <c r="I6" s="2960"/>
      <c r="J6" s="2960"/>
      <c r="K6" s="2960"/>
      <c r="L6" s="2960"/>
      <c r="M6" s="2960"/>
      <c r="N6" s="2960"/>
      <c r="O6" s="1131"/>
      <c r="Q6" s="1131"/>
      <c r="R6" s="1131"/>
      <c r="S6" s="1131"/>
    </row>
    <row r="7" spans="2:19" s="288" customFormat="1" ht="12.95" customHeight="1">
      <c r="B7" s="2960" t="s">
        <v>7265</v>
      </c>
      <c r="C7" s="2960"/>
      <c r="D7" s="2960"/>
      <c r="E7" s="2960"/>
      <c r="F7" s="2960"/>
      <c r="G7" s="2960"/>
      <c r="H7" s="2960"/>
      <c r="I7" s="2960"/>
      <c r="J7" s="2960"/>
      <c r="K7" s="2960"/>
      <c r="L7" s="2960"/>
      <c r="M7" s="2960"/>
      <c r="N7" s="2960"/>
      <c r="O7" s="1131"/>
      <c r="Q7" s="1131"/>
      <c r="R7" s="1131"/>
      <c r="S7" s="1131"/>
    </row>
    <row r="8" spans="2:19" s="288" customFormat="1" ht="5.0999999999999996" customHeight="1" thickBot="1">
      <c r="C8" s="985"/>
      <c r="D8" s="985"/>
      <c r="E8" s="1132"/>
      <c r="F8" s="1131"/>
      <c r="G8" s="1131"/>
      <c r="H8" s="1131"/>
      <c r="I8" s="1131"/>
      <c r="J8" s="1131"/>
      <c r="K8" s="1131"/>
      <c r="L8" s="1131"/>
      <c r="M8" s="1131"/>
      <c r="N8" s="1131"/>
      <c r="O8" s="1131"/>
      <c r="Q8" s="1131"/>
      <c r="R8" s="1131"/>
      <c r="S8" s="1131"/>
    </row>
    <row r="9" spans="2:19" s="985" customFormat="1" ht="12.95" customHeight="1" thickBot="1">
      <c r="B9" s="172" t="s">
        <v>3620</v>
      </c>
      <c r="C9" s="3570" t="s">
        <v>3621</v>
      </c>
      <c r="D9" s="3523"/>
      <c r="E9" s="3523"/>
      <c r="F9" s="3523"/>
      <c r="G9" s="3523"/>
      <c r="H9" s="3499" t="s">
        <v>3622</v>
      </c>
      <c r="I9" s="3499"/>
      <c r="J9" s="3499"/>
      <c r="K9" s="3499"/>
      <c r="L9" s="3499"/>
      <c r="M9" s="3499"/>
      <c r="N9" s="3500"/>
      <c r="O9" s="1131"/>
      <c r="Q9" s="1131"/>
      <c r="R9" s="1131"/>
      <c r="S9" s="1131"/>
    </row>
    <row r="10" spans="2:19" s="288" customFormat="1" ht="65.099999999999994" customHeight="1">
      <c r="B10" s="1127" t="s">
        <v>3541</v>
      </c>
      <c r="C10" s="3588" t="s">
        <v>3618</v>
      </c>
      <c r="D10" s="3589"/>
      <c r="E10" s="3589"/>
      <c r="F10" s="3589"/>
      <c r="G10" s="3589"/>
      <c r="H10" s="3590" t="s">
        <v>5464</v>
      </c>
      <c r="I10" s="3591"/>
      <c r="J10" s="3591"/>
      <c r="K10" s="3591"/>
      <c r="L10" s="3591"/>
      <c r="M10" s="3591"/>
      <c r="N10" s="3592"/>
      <c r="O10" s="1131"/>
      <c r="Q10" s="1131"/>
      <c r="R10" s="1131"/>
      <c r="S10" s="1131"/>
    </row>
    <row r="11" spans="2:19" s="288" customFormat="1" ht="65.099999999999994" customHeight="1">
      <c r="B11" s="155" t="s">
        <v>3064</v>
      </c>
      <c r="C11" s="3584" t="s">
        <v>3617</v>
      </c>
      <c r="D11" s="3585"/>
      <c r="E11" s="3585"/>
      <c r="F11" s="3585"/>
      <c r="G11" s="3585"/>
      <c r="H11" s="3573" t="s">
        <v>5465</v>
      </c>
      <c r="I11" s="3574"/>
      <c r="J11" s="3574"/>
      <c r="K11" s="3574"/>
      <c r="L11" s="3574"/>
      <c r="M11" s="3574"/>
      <c r="N11" s="3575"/>
      <c r="O11" s="1131"/>
      <c r="Q11" s="1131"/>
      <c r="R11" s="1131"/>
      <c r="S11" s="1131"/>
    </row>
    <row r="12" spans="2:19" s="288" customFormat="1" ht="51.95" customHeight="1">
      <c r="B12" s="1129" t="s">
        <v>3611</v>
      </c>
      <c r="C12" s="3582" t="s">
        <v>3615</v>
      </c>
      <c r="D12" s="3583"/>
      <c r="E12" s="3583"/>
      <c r="F12" s="3583"/>
      <c r="G12" s="3583"/>
      <c r="H12" s="3576" t="s">
        <v>5466</v>
      </c>
      <c r="I12" s="3577"/>
      <c r="J12" s="3577"/>
      <c r="K12" s="3577"/>
      <c r="L12" s="3577"/>
      <c r="M12" s="3577"/>
      <c r="N12" s="3578"/>
      <c r="O12" s="1131"/>
      <c r="Q12" s="1131"/>
      <c r="R12" s="1131"/>
      <c r="S12" s="1131"/>
    </row>
    <row r="13" spans="2:19" s="288" customFormat="1" ht="39" customHeight="1">
      <c r="B13" s="155" t="s">
        <v>3612</v>
      </c>
      <c r="C13" s="3584" t="s">
        <v>3616</v>
      </c>
      <c r="D13" s="3585"/>
      <c r="E13" s="3585"/>
      <c r="F13" s="3585"/>
      <c r="G13" s="3585"/>
      <c r="H13" s="3573" t="s">
        <v>5467</v>
      </c>
      <c r="I13" s="3574"/>
      <c r="J13" s="3574"/>
      <c r="K13" s="3574"/>
      <c r="L13" s="3574"/>
      <c r="M13" s="3574"/>
      <c r="N13" s="3575"/>
      <c r="O13" s="1131"/>
      <c r="Q13" s="1131"/>
      <c r="R13" s="1131"/>
      <c r="S13" s="1131"/>
    </row>
    <row r="14" spans="2:19" s="288" customFormat="1" ht="104.1" customHeight="1">
      <c r="B14" s="1129" t="s">
        <v>3613</v>
      </c>
      <c r="C14" s="3582" t="s">
        <v>5493</v>
      </c>
      <c r="D14" s="3583"/>
      <c r="E14" s="3583"/>
      <c r="F14" s="3583"/>
      <c r="G14" s="3583"/>
      <c r="H14" s="3576" t="s">
        <v>10075</v>
      </c>
      <c r="I14" s="3577"/>
      <c r="J14" s="3577"/>
      <c r="K14" s="3577"/>
      <c r="L14" s="3577"/>
      <c r="M14" s="3577"/>
      <c r="N14" s="3578"/>
      <c r="O14" s="1131"/>
      <c r="Q14" s="1131"/>
      <c r="R14" s="1131"/>
      <c r="S14" s="1131"/>
    </row>
    <row r="15" spans="2:19" s="288" customFormat="1" ht="26.1" customHeight="1" thickBot="1">
      <c r="B15" s="951" t="s">
        <v>3614</v>
      </c>
      <c r="C15" s="3586" t="s">
        <v>3619</v>
      </c>
      <c r="D15" s="3587"/>
      <c r="E15" s="3587"/>
      <c r="F15" s="3587"/>
      <c r="G15" s="3587"/>
      <c r="H15" s="3579" t="s">
        <v>5468</v>
      </c>
      <c r="I15" s="3580"/>
      <c r="J15" s="3580"/>
      <c r="K15" s="3580"/>
      <c r="L15" s="3580"/>
      <c r="M15" s="3580"/>
      <c r="N15" s="3581"/>
      <c r="O15" s="1131"/>
      <c r="Q15" s="1131"/>
      <c r="R15" s="1131"/>
      <c r="S15" s="1131"/>
    </row>
  </sheetData>
  <sheetProtection autoFilter="0"/>
  <mergeCells count="19">
    <mergeCell ref="C1:N1"/>
    <mergeCell ref="B3:N3"/>
    <mergeCell ref="B5:N5"/>
    <mergeCell ref="B7:N7"/>
    <mergeCell ref="B6:N6"/>
    <mergeCell ref="H13:N13"/>
    <mergeCell ref="H14:N14"/>
    <mergeCell ref="H15:N15"/>
    <mergeCell ref="C9:G9"/>
    <mergeCell ref="H9:N9"/>
    <mergeCell ref="C12:G12"/>
    <mergeCell ref="C13:G13"/>
    <mergeCell ref="C14:G14"/>
    <mergeCell ref="C15:G15"/>
    <mergeCell ref="C11:G11"/>
    <mergeCell ref="H11:N11"/>
    <mergeCell ref="C10:G10"/>
    <mergeCell ref="H10:N10"/>
    <mergeCell ref="H12:N12"/>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39.xml><?xml version="1.0" encoding="utf-8"?>
<worksheet xmlns="http://schemas.openxmlformats.org/spreadsheetml/2006/main" xmlns:r="http://schemas.openxmlformats.org/officeDocument/2006/relationships">
  <dimension ref="B1:I18"/>
  <sheetViews>
    <sheetView zoomScaleNormal="100" workbookViewId="0">
      <pane ySplit="5" topLeftCell="A6" activePane="bottomLeft" state="frozen"/>
      <selection pane="bottomLeft" activeCell="B1" sqref="B1"/>
    </sheetView>
  </sheetViews>
  <sheetFormatPr defaultRowHeight="12.95" customHeight="1"/>
  <cols>
    <col min="1" max="1" width="3.7109375" style="292" customWidth="1"/>
    <col min="2" max="2" width="25.7109375" style="292" customWidth="1"/>
    <col min="3" max="9" width="14.7109375" style="292" customWidth="1"/>
    <col min="10" max="16384" width="9.140625" style="292"/>
  </cols>
  <sheetData>
    <row r="1" spans="2:9" ht="12.95" customHeight="1">
      <c r="B1" s="313" t="s">
        <v>2706</v>
      </c>
      <c r="C1" s="3074" t="s">
        <v>8269</v>
      </c>
      <c r="D1" s="3074"/>
      <c r="E1" s="3074"/>
      <c r="F1" s="3074"/>
      <c r="G1" s="3074"/>
      <c r="H1" s="3074"/>
      <c r="I1" s="3074"/>
    </row>
    <row r="2" spans="2:9" ht="5.0999999999999996" customHeight="1"/>
    <row r="3" spans="2:9" ht="12.95" customHeight="1">
      <c r="B3" s="2978" t="s">
        <v>5156</v>
      </c>
      <c r="C3" s="2978"/>
      <c r="D3" s="2978"/>
      <c r="E3" s="2978"/>
      <c r="F3" s="2978"/>
      <c r="G3" s="2978"/>
      <c r="H3" s="2978"/>
      <c r="I3" s="2978"/>
    </row>
    <row r="4" spans="2:9" s="387" customFormat="1" ht="11.25">
      <c r="B4" s="2979" t="s">
        <v>5940</v>
      </c>
      <c r="C4" s="2979"/>
      <c r="D4" s="2979"/>
      <c r="E4" s="2979"/>
      <c r="F4" s="2979"/>
      <c r="G4" s="2979"/>
      <c r="H4" s="2979"/>
      <c r="I4" s="2979"/>
    </row>
    <row r="5" spans="2:9" ht="5.0999999999999996" customHeight="1"/>
    <row r="6" spans="2:9" ht="12.95" customHeight="1" thickBot="1">
      <c r="B6" s="3567" t="s">
        <v>8962</v>
      </c>
      <c r="C6" s="3567"/>
      <c r="D6" s="3567"/>
      <c r="E6" s="3567"/>
      <c r="F6" s="3567"/>
      <c r="G6" s="3567"/>
      <c r="H6" s="3567"/>
      <c r="I6" s="3567"/>
    </row>
    <row r="7" spans="2:9" s="288" customFormat="1" ht="26.1" customHeight="1" thickBot="1">
      <c r="B7" s="1124" t="s">
        <v>7267</v>
      </c>
      <c r="C7" s="2087" t="s">
        <v>677</v>
      </c>
      <c r="D7" s="1125" t="s">
        <v>2297</v>
      </c>
      <c r="E7" s="1125" t="s">
        <v>2007</v>
      </c>
      <c r="F7" s="1126" t="s">
        <v>68</v>
      </c>
      <c r="G7" s="1126" t="s">
        <v>69</v>
      </c>
      <c r="H7" s="2084" t="s">
        <v>516</v>
      </c>
      <c r="I7" s="2086" t="s">
        <v>7266</v>
      </c>
    </row>
    <row r="8" spans="2:9" ht="12.95" customHeight="1">
      <c r="B8" s="1121" t="s">
        <v>70</v>
      </c>
      <c r="C8" s="2088" t="s">
        <v>507</v>
      </c>
      <c r="D8" s="1123" t="s">
        <v>146</v>
      </c>
      <c r="E8" s="1123" t="s">
        <v>146</v>
      </c>
      <c r="F8" s="1123" t="s">
        <v>147</v>
      </c>
      <c r="G8" s="1123" t="s">
        <v>573</v>
      </c>
      <c r="H8" s="2085" t="s">
        <v>576</v>
      </c>
      <c r="I8" s="2089" t="s">
        <v>147</v>
      </c>
    </row>
    <row r="9" spans="2:9" ht="12.95" customHeight="1">
      <c r="B9" s="156" t="s">
        <v>574</v>
      </c>
      <c r="C9" s="2090" t="s">
        <v>508</v>
      </c>
      <c r="D9" s="1925" t="s">
        <v>573</v>
      </c>
      <c r="E9" s="1925" t="s">
        <v>575</v>
      </c>
      <c r="F9" s="1925" t="s">
        <v>576</v>
      </c>
      <c r="G9" s="1925" t="s">
        <v>146</v>
      </c>
      <c r="H9" s="114" t="s">
        <v>579</v>
      </c>
      <c r="I9" s="1931" t="s">
        <v>576</v>
      </c>
    </row>
    <row r="10" spans="2:9" ht="12.95" customHeight="1">
      <c r="B10" s="1122" t="s">
        <v>577</v>
      </c>
      <c r="C10" s="2091" t="s">
        <v>509</v>
      </c>
      <c r="D10" s="1923" t="s">
        <v>578</v>
      </c>
      <c r="E10" s="1923" t="s">
        <v>579</v>
      </c>
      <c r="F10" s="1923" t="s">
        <v>579</v>
      </c>
      <c r="G10" s="1923" t="s">
        <v>580</v>
      </c>
      <c r="H10" s="921" t="s">
        <v>517</v>
      </c>
      <c r="I10" s="1933" t="s">
        <v>579</v>
      </c>
    </row>
    <row r="11" spans="2:9" ht="12.95" customHeight="1">
      <c r="B11" s="113" t="s">
        <v>581</v>
      </c>
      <c r="C11" s="1934" t="s">
        <v>510</v>
      </c>
      <c r="D11" s="1925" t="s">
        <v>582</v>
      </c>
      <c r="E11" s="1925" t="s">
        <v>583</v>
      </c>
      <c r="F11" s="1925" t="s">
        <v>582</v>
      </c>
      <c r="G11" s="1925" t="s">
        <v>583</v>
      </c>
      <c r="H11" s="114" t="s">
        <v>583</v>
      </c>
      <c r="I11" s="1931" t="s">
        <v>582</v>
      </c>
    </row>
    <row r="12" spans="2:9" ht="12.95" customHeight="1">
      <c r="B12" s="592" t="s">
        <v>584</v>
      </c>
      <c r="C12" s="1932" t="s">
        <v>511</v>
      </c>
      <c r="D12" s="1923" t="s">
        <v>585</v>
      </c>
      <c r="E12" s="1923" t="s">
        <v>585</v>
      </c>
      <c r="F12" s="1923" t="s">
        <v>585</v>
      </c>
      <c r="G12" s="1923" t="s">
        <v>582</v>
      </c>
      <c r="H12" s="921" t="s">
        <v>585</v>
      </c>
      <c r="I12" s="1933" t="s">
        <v>585</v>
      </c>
    </row>
    <row r="13" spans="2:9" ht="12.95" customHeight="1">
      <c r="B13" s="113" t="s">
        <v>586</v>
      </c>
      <c r="C13" s="1934" t="s">
        <v>512</v>
      </c>
      <c r="D13" s="1925" t="s">
        <v>587</v>
      </c>
      <c r="E13" s="1925" t="s">
        <v>587</v>
      </c>
      <c r="F13" s="1925" t="s">
        <v>588</v>
      </c>
      <c r="G13" s="1925" t="s">
        <v>585</v>
      </c>
      <c r="H13" s="114" t="s">
        <v>582</v>
      </c>
      <c r="I13" s="1931" t="s">
        <v>588</v>
      </c>
    </row>
    <row r="14" spans="2:9" ht="12.95" customHeight="1">
      <c r="B14" s="592" t="s">
        <v>589</v>
      </c>
      <c r="C14" s="1932" t="s">
        <v>513</v>
      </c>
      <c r="D14" s="1923" t="s">
        <v>590</v>
      </c>
      <c r="E14" s="1923" t="s">
        <v>582</v>
      </c>
      <c r="F14" s="1923" t="s">
        <v>658</v>
      </c>
      <c r="G14" s="1923" t="s">
        <v>658</v>
      </c>
      <c r="H14" s="921" t="s">
        <v>518</v>
      </c>
      <c r="I14" s="1933" t="s">
        <v>658</v>
      </c>
    </row>
    <row r="15" spans="2:9" ht="12.95" customHeight="1">
      <c r="B15" s="113" t="s">
        <v>659</v>
      </c>
      <c r="C15" s="1934" t="s">
        <v>514</v>
      </c>
      <c r="D15" s="1925" t="s">
        <v>660</v>
      </c>
      <c r="E15" s="1925" t="s">
        <v>661</v>
      </c>
      <c r="F15" s="1925" t="s">
        <v>662</v>
      </c>
      <c r="G15" s="1925" t="s">
        <v>663</v>
      </c>
      <c r="H15" s="114" t="s">
        <v>519</v>
      </c>
      <c r="I15" s="1931" t="s">
        <v>662</v>
      </c>
    </row>
    <row r="16" spans="2:9" ht="12.95" customHeight="1" thickBot="1">
      <c r="B16" s="594" t="s">
        <v>664</v>
      </c>
      <c r="C16" s="1940" t="s">
        <v>515</v>
      </c>
      <c r="D16" s="840" t="s">
        <v>665</v>
      </c>
      <c r="E16" s="840" t="s">
        <v>665</v>
      </c>
      <c r="F16" s="840" t="s">
        <v>665</v>
      </c>
      <c r="G16" s="840" t="s">
        <v>665</v>
      </c>
      <c r="H16" s="924" t="s">
        <v>665</v>
      </c>
      <c r="I16" s="1941" t="s">
        <v>665</v>
      </c>
    </row>
    <row r="17" spans="2:8" ht="5.0999999999999996" customHeight="1"/>
    <row r="18" spans="2:8" ht="12.95" customHeight="1">
      <c r="B18" s="2960" t="s">
        <v>5941</v>
      </c>
      <c r="C18" s="2960"/>
      <c r="D18" s="2960"/>
      <c r="E18" s="2960"/>
      <c r="F18" s="2960"/>
      <c r="G18" s="2960"/>
      <c r="H18" s="2960"/>
    </row>
  </sheetData>
  <sheetProtection autoFilter="0"/>
  <mergeCells count="5">
    <mergeCell ref="B18:H18"/>
    <mergeCell ref="C1:I1"/>
    <mergeCell ref="B3:I3"/>
    <mergeCell ref="B4:I4"/>
    <mergeCell ref="B6:I6"/>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ignoredErrors>
    <ignoredError sqref="B10" twoDigitTextYear="1"/>
  </ignoredErrors>
</worksheet>
</file>

<file path=xl/worksheets/sheet40.xml><?xml version="1.0" encoding="utf-8"?>
<worksheet xmlns="http://schemas.openxmlformats.org/spreadsheetml/2006/main" xmlns:r="http://schemas.openxmlformats.org/officeDocument/2006/relationships">
  <dimension ref="B1:J20"/>
  <sheetViews>
    <sheetView zoomScaleNormal="100" workbookViewId="0">
      <pane ySplit="5" topLeftCell="A6" activePane="bottomLeft" state="frozen"/>
      <selection pane="bottomLeft" activeCell="B1" sqref="B1"/>
    </sheetView>
  </sheetViews>
  <sheetFormatPr defaultRowHeight="12.95" customHeight="1"/>
  <cols>
    <col min="1" max="1" width="3.7109375" style="377" customWidth="1"/>
    <col min="2" max="10" width="13.7109375" style="377" customWidth="1"/>
    <col min="11" max="16384" width="9.140625" style="377"/>
  </cols>
  <sheetData>
    <row r="1" spans="2:10" s="979" customFormat="1" ht="12.95" customHeight="1">
      <c r="B1" s="460" t="s">
        <v>2706</v>
      </c>
      <c r="C1" s="2990" t="s">
        <v>8269</v>
      </c>
      <c r="D1" s="2990"/>
      <c r="E1" s="2990"/>
      <c r="F1" s="2990"/>
      <c r="G1" s="2990"/>
      <c r="H1" s="2990"/>
      <c r="I1" s="2990"/>
      <c r="J1" s="2990"/>
    </row>
    <row r="2" spans="2:10" s="979" customFormat="1" ht="5.0999999999999996" customHeight="1"/>
    <row r="3" spans="2:10" s="415" customFormat="1" ht="12.95" customHeight="1">
      <c r="B3" s="2982" t="s">
        <v>1139</v>
      </c>
      <c r="C3" s="2982"/>
      <c r="D3" s="2982"/>
      <c r="E3" s="2982"/>
      <c r="F3" s="2982"/>
      <c r="G3" s="2982"/>
      <c r="H3" s="2982"/>
      <c r="I3" s="2982"/>
      <c r="J3" s="2982"/>
    </row>
    <row r="4" spans="2:10" s="522" customFormat="1" ht="11.25" customHeight="1">
      <c r="B4" s="3494" t="s">
        <v>5494</v>
      </c>
      <c r="C4" s="3494"/>
      <c r="D4" s="3494"/>
      <c r="E4" s="3494"/>
      <c r="F4" s="3494"/>
      <c r="G4" s="3494"/>
      <c r="H4" s="3494"/>
      <c r="I4" s="3494"/>
      <c r="J4" s="3494"/>
    </row>
    <row r="5" spans="2:10" ht="5.0999999999999996" customHeight="1"/>
    <row r="6" spans="2:10" ht="51.95" customHeight="1">
      <c r="B6" s="3594" t="s">
        <v>8963</v>
      </c>
      <c r="C6" s="3594"/>
      <c r="D6" s="3594"/>
      <c r="E6" s="3594"/>
      <c r="F6" s="3594"/>
      <c r="G6" s="3594"/>
      <c r="H6" s="3594"/>
      <c r="I6" s="3594"/>
      <c r="J6" s="3594"/>
    </row>
    <row r="7" spans="2:10" ht="26.1" customHeight="1">
      <c r="B7" s="3594" t="s">
        <v>8964</v>
      </c>
      <c r="C7" s="3594"/>
      <c r="D7" s="3594"/>
      <c r="E7" s="3594"/>
      <c r="F7" s="3594"/>
      <c r="G7" s="3594"/>
      <c r="H7" s="3594"/>
      <c r="I7" s="3594"/>
      <c r="J7" s="3594"/>
    </row>
    <row r="8" spans="2:10" ht="5.0999999999999996" customHeight="1"/>
    <row r="9" spans="2:10" ht="12.95" customHeight="1">
      <c r="F9" s="3595" t="s">
        <v>7284</v>
      </c>
      <c r="G9" s="3595"/>
      <c r="H9" s="3595"/>
      <c r="I9" s="3595"/>
      <c r="J9" s="3595"/>
    </row>
    <row r="10" spans="2:10" ht="12.95" customHeight="1">
      <c r="F10" s="3595"/>
      <c r="G10" s="3595"/>
      <c r="H10" s="3595"/>
      <c r="I10" s="3595"/>
      <c r="J10" s="3595"/>
    </row>
    <row r="11" spans="2:10" ht="12.95" customHeight="1">
      <c r="F11" s="3595"/>
      <c r="G11" s="3595"/>
      <c r="H11" s="3595"/>
      <c r="I11" s="3595"/>
      <c r="J11" s="3595"/>
    </row>
    <row r="12" spans="2:10" ht="12.95" customHeight="1">
      <c r="F12" s="3595"/>
      <c r="G12" s="3595"/>
      <c r="H12" s="3595"/>
      <c r="I12" s="3595"/>
      <c r="J12" s="3595"/>
    </row>
    <row r="13" spans="2:10" ht="12.95" customHeight="1">
      <c r="F13" s="3595"/>
      <c r="G13" s="3595"/>
      <c r="H13" s="3595"/>
      <c r="I13" s="3595"/>
      <c r="J13" s="3595"/>
    </row>
    <row r="14" spans="2:10" ht="12.95" customHeight="1">
      <c r="F14" s="3595"/>
      <c r="G14" s="3595"/>
      <c r="H14" s="3595"/>
      <c r="I14" s="3595"/>
      <c r="J14" s="3595"/>
    </row>
    <row r="15" spans="2:10" ht="12.95" customHeight="1">
      <c r="F15" s="3595"/>
      <c r="G15" s="3595"/>
      <c r="H15" s="3595"/>
      <c r="I15" s="3595"/>
      <c r="J15" s="3595"/>
    </row>
    <row r="16" spans="2:10" ht="12.95" customHeight="1">
      <c r="F16" s="3595"/>
      <c r="G16" s="3595"/>
      <c r="H16" s="3595"/>
      <c r="I16" s="3595"/>
      <c r="J16" s="3595"/>
    </row>
    <row r="17" spans="2:10" ht="12.95" customHeight="1">
      <c r="F17" s="3595"/>
      <c r="G17" s="3595"/>
      <c r="H17" s="3595"/>
      <c r="I17" s="3595"/>
      <c r="J17" s="3595"/>
    </row>
    <row r="18" spans="2:10" ht="12.95" customHeight="1">
      <c r="F18" s="3595"/>
      <c r="G18" s="3595"/>
      <c r="H18" s="3595"/>
      <c r="I18" s="3595"/>
      <c r="J18" s="3595"/>
    </row>
    <row r="19" spans="2:10" ht="12.95" customHeight="1">
      <c r="B19" s="3593" t="s">
        <v>1140</v>
      </c>
      <c r="C19" s="3593"/>
      <c r="D19" s="3593" t="s">
        <v>1141</v>
      </c>
      <c r="E19" s="3593"/>
      <c r="F19" s="3595"/>
      <c r="G19" s="3595"/>
      <c r="H19" s="3595"/>
      <c r="I19" s="3595"/>
      <c r="J19" s="3595"/>
    </row>
    <row r="20" spans="2:10" ht="12.95" customHeight="1">
      <c r="C20" s="1926"/>
      <c r="D20" s="1926"/>
      <c r="E20" s="1926"/>
      <c r="F20" s="1926"/>
    </row>
  </sheetData>
  <sheetProtection autoFilter="0"/>
  <mergeCells count="8">
    <mergeCell ref="B19:C19"/>
    <mergeCell ref="D19:E19"/>
    <mergeCell ref="C1:J1"/>
    <mergeCell ref="B3:J3"/>
    <mergeCell ref="B4:J4"/>
    <mergeCell ref="B6:J6"/>
    <mergeCell ref="B7:J7"/>
    <mergeCell ref="F9:J19"/>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orientation="landscape" r:id="rId1"/>
  <headerFooter alignWithMargins="0"/>
  <drawing r:id="rId2"/>
</worksheet>
</file>

<file path=xl/worksheets/sheet41.xml><?xml version="1.0" encoding="utf-8"?>
<worksheet xmlns="http://schemas.openxmlformats.org/spreadsheetml/2006/main" xmlns:r="http://schemas.openxmlformats.org/officeDocument/2006/relationships">
  <dimension ref="B1:N31"/>
  <sheetViews>
    <sheetView zoomScaleNormal="100" workbookViewId="0">
      <pane ySplit="5" topLeftCell="A6" activePane="bottomLeft" state="frozen"/>
      <selection pane="bottomLeft"/>
    </sheetView>
  </sheetViews>
  <sheetFormatPr defaultRowHeight="12.95" customHeight="1"/>
  <cols>
    <col min="1" max="1" width="3.7109375" style="1118" customWidth="1"/>
    <col min="2" max="2" width="13.42578125" style="1118" customWidth="1"/>
    <col min="3" max="13" width="9.7109375" style="1118" customWidth="1"/>
    <col min="14" max="16384" width="9.140625" style="1118"/>
  </cols>
  <sheetData>
    <row r="1" spans="2:13" s="415" customFormat="1" ht="12.95" customHeight="1">
      <c r="B1" s="460" t="s">
        <v>2706</v>
      </c>
      <c r="C1" s="2990" t="s">
        <v>8269</v>
      </c>
      <c r="D1" s="2990"/>
      <c r="E1" s="2990"/>
      <c r="F1" s="2990"/>
      <c r="G1" s="2990"/>
      <c r="H1" s="2990"/>
      <c r="I1" s="2990"/>
      <c r="J1" s="2990"/>
      <c r="K1" s="2990"/>
      <c r="L1" s="2990"/>
      <c r="M1" s="2990"/>
    </row>
    <row r="2" spans="2:13" s="415" customFormat="1" ht="5.0999999999999996" customHeight="1"/>
    <row r="3" spans="2:13" s="415" customFormat="1" ht="12.95" customHeight="1">
      <c r="B3" s="2982" t="s">
        <v>3624</v>
      </c>
      <c r="C3" s="2982"/>
      <c r="D3" s="2982"/>
      <c r="E3" s="2982"/>
      <c r="F3" s="2982"/>
      <c r="G3" s="2982"/>
      <c r="H3" s="2982"/>
      <c r="I3" s="2982"/>
      <c r="J3" s="2982"/>
      <c r="K3" s="2982"/>
      <c r="L3" s="2982"/>
      <c r="M3" s="2982"/>
    </row>
    <row r="4" spans="2:13" s="965" customFormat="1" ht="11.25">
      <c r="B4" s="2979" t="s">
        <v>8752</v>
      </c>
      <c r="C4" s="2979"/>
      <c r="D4" s="2979"/>
      <c r="E4" s="2979"/>
      <c r="F4" s="2979"/>
      <c r="G4" s="2979"/>
      <c r="H4" s="2979"/>
      <c r="I4" s="2979"/>
      <c r="J4" s="2979"/>
      <c r="K4" s="2979"/>
      <c r="L4" s="2979"/>
      <c r="M4" s="2979"/>
    </row>
    <row r="5" spans="2:13" s="415" customFormat="1" ht="5.0999999999999996" customHeight="1">
      <c r="B5" s="879"/>
      <c r="C5" s="879"/>
      <c r="D5" s="879"/>
      <c r="E5" s="879"/>
      <c r="F5" s="879"/>
      <c r="G5" s="879"/>
      <c r="H5" s="879"/>
      <c r="I5" s="879"/>
      <c r="J5" s="879"/>
      <c r="K5" s="879"/>
      <c r="L5" s="879"/>
      <c r="M5" s="879"/>
    </row>
    <row r="6" spans="2:13" ht="65.099999999999994" customHeight="1">
      <c r="B6" s="3594" t="s">
        <v>8965</v>
      </c>
      <c r="C6" s="3598"/>
      <c r="D6" s="3598"/>
      <c r="E6" s="3598"/>
      <c r="F6" s="3598"/>
      <c r="G6" s="3598"/>
      <c r="H6" s="3598"/>
      <c r="I6" s="3598"/>
      <c r="J6" s="3598"/>
      <c r="K6" s="3598"/>
      <c r="L6" s="3598"/>
      <c r="M6" s="3598"/>
    </row>
    <row r="7" spans="2:13" ht="5.0999999999999996" customHeight="1"/>
    <row r="8" spans="2:13" ht="26.1" customHeight="1">
      <c r="B8" s="3594" t="s">
        <v>8966</v>
      </c>
      <c r="C8" s="3598"/>
      <c r="D8" s="3598"/>
      <c r="E8" s="3598"/>
      <c r="F8" s="3598"/>
      <c r="G8" s="3598"/>
      <c r="H8" s="3598"/>
      <c r="I8" s="3598"/>
      <c r="J8" s="3598"/>
      <c r="K8" s="3598"/>
      <c r="L8" s="3598"/>
      <c r="M8" s="3598"/>
    </row>
    <row r="9" spans="2:13" ht="5.0999999999999996" customHeight="1"/>
    <row r="10" spans="2:13" s="61" customFormat="1" ht="12.95" customHeight="1">
      <c r="B10" s="2987" t="s">
        <v>8967</v>
      </c>
      <c r="C10" s="2987"/>
      <c r="D10" s="2987"/>
      <c r="E10" s="2987"/>
      <c r="F10" s="2987"/>
      <c r="G10" s="2987"/>
      <c r="H10" s="2987"/>
      <c r="I10" s="2987"/>
      <c r="J10" s="2987"/>
      <c r="K10" s="2987"/>
      <c r="L10" s="2987"/>
      <c r="M10" s="2987"/>
    </row>
    <row r="11" spans="2:13" s="61" customFormat="1" ht="12.95" customHeight="1">
      <c r="B11" s="2987" t="s">
        <v>8968</v>
      </c>
      <c r="C11" s="2987"/>
      <c r="D11" s="2987"/>
      <c r="E11" s="2987"/>
      <c r="F11" s="2987"/>
      <c r="G11" s="2987"/>
      <c r="H11" s="2987"/>
      <c r="I11" s="2987"/>
      <c r="J11" s="2987"/>
      <c r="K11" s="2987"/>
      <c r="L11" s="2987"/>
      <c r="M11" s="2987"/>
    </row>
    <row r="12" spans="2:13" s="61" customFormat="1" ht="12.95" customHeight="1">
      <c r="B12" s="2987" t="s">
        <v>8969</v>
      </c>
      <c r="C12" s="2987"/>
      <c r="D12" s="2987"/>
      <c r="E12" s="2987"/>
      <c r="F12" s="2987"/>
      <c r="G12" s="2987"/>
      <c r="H12" s="2987"/>
      <c r="I12" s="2987"/>
      <c r="J12" s="2987"/>
      <c r="K12" s="2987"/>
      <c r="L12" s="2987"/>
      <c r="M12" s="2987"/>
    </row>
    <row r="13" spans="2:13" s="61" customFormat="1" ht="5.0999999999999996" customHeight="1" thickBot="1">
      <c r="B13" s="986"/>
      <c r="C13" s="986"/>
      <c r="D13" s="986"/>
      <c r="E13" s="986"/>
      <c r="F13" s="986"/>
      <c r="G13" s="986"/>
      <c r="H13" s="986"/>
      <c r="I13" s="986"/>
      <c r="J13" s="986"/>
      <c r="K13" s="986"/>
      <c r="L13" s="986"/>
      <c r="M13" s="986"/>
    </row>
    <row r="14" spans="2:13" s="61" customFormat="1" ht="12.95" customHeight="1" thickBot="1">
      <c r="B14" s="3002" t="s">
        <v>5379</v>
      </c>
      <c r="C14" s="3278"/>
      <c r="D14" s="3278" t="s">
        <v>5380</v>
      </c>
      <c r="E14" s="3003"/>
      <c r="F14" s="3596" t="s">
        <v>10076</v>
      </c>
      <c r="G14" s="2987"/>
      <c r="H14" s="2987"/>
      <c r="I14" s="2987"/>
      <c r="J14" s="2987"/>
      <c r="K14" s="2987"/>
      <c r="L14" s="2987"/>
      <c r="M14" s="2987"/>
    </row>
    <row r="15" spans="2:13" s="61" customFormat="1" ht="12.95" customHeight="1">
      <c r="B15" s="3275" t="s">
        <v>3625</v>
      </c>
      <c r="C15" s="3276"/>
      <c r="D15" s="3276" t="s">
        <v>5364</v>
      </c>
      <c r="E15" s="3277"/>
      <c r="F15" s="3596"/>
      <c r="G15" s="2987"/>
      <c r="H15" s="2987"/>
      <c r="I15" s="2987"/>
      <c r="J15" s="2987"/>
      <c r="K15" s="2987"/>
      <c r="L15" s="2987"/>
      <c r="M15" s="2987"/>
    </row>
    <row r="16" spans="2:13" s="61" customFormat="1" ht="12.95" customHeight="1">
      <c r="B16" s="3030" t="s">
        <v>5381</v>
      </c>
      <c r="C16" s="3274"/>
      <c r="D16" s="3274" t="s">
        <v>5363</v>
      </c>
      <c r="E16" s="3031"/>
      <c r="F16" s="3596"/>
      <c r="G16" s="2987"/>
      <c r="H16" s="2987"/>
      <c r="I16" s="2987"/>
      <c r="J16" s="2987"/>
      <c r="K16" s="2987"/>
      <c r="L16" s="2987"/>
      <c r="M16" s="2987"/>
    </row>
    <row r="17" spans="2:14" s="61" customFormat="1" ht="12.95" customHeight="1">
      <c r="B17" s="3028" t="s">
        <v>5382</v>
      </c>
      <c r="C17" s="3273"/>
      <c r="D17" s="3273" t="s">
        <v>5362</v>
      </c>
      <c r="E17" s="3029"/>
      <c r="F17" s="3596" t="s">
        <v>8753</v>
      </c>
      <c r="G17" s="2987"/>
      <c r="H17" s="2987"/>
      <c r="I17" s="2987"/>
      <c r="J17" s="2987"/>
      <c r="K17" s="2987"/>
      <c r="L17" s="2987"/>
      <c r="M17" s="2987"/>
    </row>
    <row r="18" spans="2:14" s="61" customFormat="1" ht="12.95" customHeight="1">
      <c r="B18" s="3030" t="s">
        <v>5383</v>
      </c>
      <c r="C18" s="3274"/>
      <c r="D18" s="3274" t="s">
        <v>5361</v>
      </c>
      <c r="E18" s="3031"/>
      <c r="F18" s="3596"/>
      <c r="G18" s="2987"/>
      <c r="H18" s="2987"/>
      <c r="I18" s="2987"/>
      <c r="J18" s="2987"/>
      <c r="K18" s="2987"/>
      <c r="L18" s="2987"/>
      <c r="M18" s="2987"/>
    </row>
    <row r="19" spans="2:14" s="61" customFormat="1" ht="12.95" customHeight="1">
      <c r="B19" s="3028" t="s">
        <v>5384</v>
      </c>
      <c r="C19" s="3273"/>
      <c r="D19" s="3273" t="s">
        <v>5360</v>
      </c>
      <c r="E19" s="3029"/>
      <c r="F19" s="3596" t="s">
        <v>8754</v>
      </c>
      <c r="G19" s="2987"/>
      <c r="H19" s="2987"/>
      <c r="I19" s="2987"/>
      <c r="J19" s="2987"/>
      <c r="K19" s="2987"/>
      <c r="L19" s="2987"/>
      <c r="M19" s="2987"/>
    </row>
    <row r="20" spans="2:14" s="61" customFormat="1" ht="12.95" customHeight="1" thickBot="1">
      <c r="B20" s="3016" t="s">
        <v>8751</v>
      </c>
      <c r="C20" s="3307"/>
      <c r="D20" s="3307" t="s">
        <v>5359</v>
      </c>
      <c r="E20" s="3017"/>
      <c r="F20" s="2987"/>
      <c r="G20" s="2987"/>
      <c r="H20" s="2987"/>
      <c r="I20" s="2987"/>
      <c r="J20" s="2987"/>
      <c r="K20" s="2987"/>
      <c r="L20" s="2987"/>
      <c r="M20" s="2987"/>
    </row>
    <row r="21" spans="2:14" s="61" customFormat="1" ht="5.0999999999999996" customHeight="1">
      <c r="B21" s="860"/>
      <c r="C21" s="860"/>
      <c r="D21" s="860"/>
      <c r="E21" s="860"/>
      <c r="F21" s="986"/>
      <c r="G21" s="986"/>
      <c r="H21" s="986"/>
      <c r="I21" s="986"/>
      <c r="J21" s="986"/>
      <c r="K21" s="986"/>
    </row>
    <row r="22" spans="2:14" ht="51.95" customHeight="1">
      <c r="B22" s="3594" t="s">
        <v>8970</v>
      </c>
      <c r="C22" s="3598"/>
      <c r="D22" s="3598"/>
      <c r="E22" s="3598"/>
      <c r="F22" s="3598"/>
      <c r="G22" s="3598"/>
      <c r="H22" s="3598"/>
      <c r="I22" s="3598"/>
      <c r="J22" s="3598"/>
      <c r="K22" s="3598"/>
      <c r="L22" s="3598"/>
      <c r="M22" s="3598"/>
    </row>
    <row r="23" spans="2:14" ht="5.0999999999999996" customHeight="1"/>
    <row r="24" spans="2:14" ht="12.95" customHeight="1">
      <c r="B24" s="3481" t="s">
        <v>5939</v>
      </c>
      <c r="C24" s="3481"/>
      <c r="D24" s="3481"/>
      <c r="E24" s="3481"/>
      <c r="F24" s="3481"/>
      <c r="G24" s="3481"/>
      <c r="H24" s="3481"/>
      <c r="I24" s="3481"/>
      <c r="J24" s="3481"/>
      <c r="K24" s="3481"/>
      <c r="L24" s="3481"/>
      <c r="M24" s="3481"/>
    </row>
    <row r="25" spans="2:14" ht="5.0999999999999996" customHeight="1"/>
    <row r="26" spans="2:14" ht="39" customHeight="1">
      <c r="B26" s="1120" t="s">
        <v>304</v>
      </c>
      <c r="C26" s="3594" t="s">
        <v>3626</v>
      </c>
      <c r="D26" s="3594"/>
      <c r="E26" s="3594"/>
      <c r="F26" s="3594"/>
      <c r="G26" s="3594"/>
      <c r="H26" s="3594"/>
      <c r="I26" s="3594"/>
      <c r="J26" s="3594"/>
      <c r="K26" s="3594"/>
      <c r="L26" s="3594"/>
      <c r="M26" s="3594"/>
      <c r="N26" s="1119"/>
    </row>
    <row r="27" spans="2:14" ht="5.0999999999999996" customHeight="1"/>
    <row r="28" spans="2:14" ht="51.95" customHeight="1">
      <c r="B28" s="3594" t="s">
        <v>8971</v>
      </c>
      <c r="C28" s="3598"/>
      <c r="D28" s="3598"/>
      <c r="E28" s="3598"/>
      <c r="F28" s="3598"/>
      <c r="G28" s="3598"/>
      <c r="H28" s="3598"/>
      <c r="I28" s="3598"/>
      <c r="J28" s="3598"/>
      <c r="K28" s="3598"/>
      <c r="L28" s="3598"/>
      <c r="M28" s="3598"/>
    </row>
    <row r="29" spans="2:14" ht="51.95" customHeight="1">
      <c r="B29" s="3594" t="s">
        <v>8972</v>
      </c>
      <c r="C29" s="3598"/>
      <c r="D29" s="3598"/>
      <c r="E29" s="3598"/>
      <c r="F29" s="3598"/>
      <c r="G29" s="3598"/>
      <c r="H29" s="3598"/>
      <c r="I29" s="3598"/>
      <c r="J29" s="3598"/>
      <c r="K29" s="3598"/>
      <c r="L29" s="3598"/>
      <c r="M29" s="3598"/>
    </row>
    <row r="30" spans="2:14" ht="5.0999999999999996" customHeight="1"/>
    <row r="31" spans="2:14" ht="26.1" customHeight="1">
      <c r="B31" s="3597" t="s">
        <v>10077</v>
      </c>
      <c r="C31" s="3598"/>
      <c r="D31" s="3598"/>
      <c r="E31" s="3598"/>
      <c r="F31" s="3598"/>
      <c r="G31" s="3598"/>
      <c r="H31" s="3598"/>
      <c r="I31" s="3598"/>
      <c r="J31" s="3598"/>
      <c r="K31" s="3598"/>
      <c r="L31" s="3598"/>
      <c r="M31" s="3598"/>
    </row>
  </sheetData>
  <sheetProtection autoFilter="0"/>
  <mergeCells count="31">
    <mergeCell ref="B12:M12"/>
    <mergeCell ref="B3:M3"/>
    <mergeCell ref="B6:M6"/>
    <mergeCell ref="B8:M8"/>
    <mergeCell ref="C1:M1"/>
    <mergeCell ref="B4:M4"/>
    <mergeCell ref="B10:M10"/>
    <mergeCell ref="B11:M11"/>
    <mergeCell ref="B31:M31"/>
    <mergeCell ref="B28:M28"/>
    <mergeCell ref="B29:M29"/>
    <mergeCell ref="D15:E15"/>
    <mergeCell ref="B16:C16"/>
    <mergeCell ref="D16:E16"/>
    <mergeCell ref="B17:C17"/>
    <mergeCell ref="D17:E17"/>
    <mergeCell ref="B18:C18"/>
    <mergeCell ref="D18:E18"/>
    <mergeCell ref="B19:C19"/>
    <mergeCell ref="C26:M26"/>
    <mergeCell ref="D20:E20"/>
    <mergeCell ref="B22:M22"/>
    <mergeCell ref="B24:M24"/>
    <mergeCell ref="F14:M16"/>
    <mergeCell ref="F17:M18"/>
    <mergeCell ref="F19:M20"/>
    <mergeCell ref="B14:C14"/>
    <mergeCell ref="D14:E14"/>
    <mergeCell ref="B15:C15"/>
    <mergeCell ref="D19:E19"/>
    <mergeCell ref="B20:C20"/>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1" manualBreakCount="1">
    <brk id="22" max="12" man="1"/>
  </rowBreaks>
</worksheet>
</file>

<file path=xl/worksheets/sheet42.xml><?xml version="1.0" encoding="utf-8"?>
<worksheet xmlns="http://schemas.openxmlformats.org/spreadsheetml/2006/main" xmlns:r="http://schemas.openxmlformats.org/officeDocument/2006/relationships">
  <dimension ref="B1:H64"/>
  <sheetViews>
    <sheetView zoomScaleNormal="100" workbookViewId="0">
      <pane ySplit="5" topLeftCell="A6" activePane="bottomLeft" state="frozen"/>
      <selection pane="bottomLeft"/>
    </sheetView>
  </sheetViews>
  <sheetFormatPr defaultRowHeight="12.95" customHeight="1"/>
  <cols>
    <col min="1" max="1" width="3.7109375" style="377" customWidth="1"/>
    <col min="2" max="2" width="9.140625" style="377"/>
    <col min="3" max="6" width="17.7109375" style="377" customWidth="1"/>
    <col min="7" max="7" width="20.42578125" style="377" customWidth="1"/>
    <col min="8" max="9" width="17.7109375" style="377" customWidth="1"/>
    <col min="10" max="16384" width="9.140625" style="377"/>
  </cols>
  <sheetData>
    <row r="1" spans="2:8" s="952" customFormat="1" ht="12.95" customHeight="1">
      <c r="B1" s="987" t="s">
        <v>2706</v>
      </c>
      <c r="C1" s="3195" t="s">
        <v>8269</v>
      </c>
      <c r="D1" s="3195"/>
      <c r="E1" s="3195"/>
      <c r="F1" s="3195"/>
      <c r="G1" s="3195"/>
      <c r="H1" s="3195"/>
    </row>
    <row r="2" spans="2:8" s="292" customFormat="1" ht="5.0999999999999996" customHeight="1"/>
    <row r="3" spans="2:8" s="292" customFormat="1" ht="12.95" customHeight="1">
      <c r="B3" s="3075" t="s">
        <v>3627</v>
      </c>
      <c r="C3" s="3075"/>
      <c r="D3" s="3075"/>
      <c r="E3" s="3075"/>
      <c r="F3" s="3075"/>
      <c r="G3" s="3075"/>
      <c r="H3" s="3075"/>
    </row>
    <row r="4" spans="2:8" s="1117" customFormat="1" ht="11.25">
      <c r="B4" s="3130" t="s">
        <v>6410</v>
      </c>
      <c r="C4" s="3130"/>
      <c r="D4" s="3130"/>
      <c r="E4" s="3130"/>
      <c r="F4" s="3130"/>
      <c r="G4" s="3130"/>
      <c r="H4" s="3130"/>
    </row>
    <row r="5" spans="2:8" ht="5.0999999999999996" customHeight="1">
      <c r="B5" s="988"/>
      <c r="C5" s="988"/>
      <c r="D5" s="988"/>
      <c r="E5" s="988"/>
      <c r="F5" s="988"/>
      <c r="G5" s="988"/>
      <c r="H5" s="988"/>
    </row>
    <row r="6" spans="2:8" ht="12.95" customHeight="1">
      <c r="B6" s="2984" t="s">
        <v>3629</v>
      </c>
      <c r="C6" s="3253"/>
      <c r="D6" s="3253"/>
      <c r="E6" s="3253"/>
      <c r="F6" s="3253"/>
      <c r="G6" s="3253"/>
      <c r="H6" s="3253"/>
    </row>
    <row r="7" spans="2:8" ht="12.95" customHeight="1">
      <c r="B7" s="3263" t="s">
        <v>3633</v>
      </c>
      <c r="C7" s="3263"/>
      <c r="D7" s="3263"/>
      <c r="E7" s="3263"/>
      <c r="F7" s="3263"/>
      <c r="G7" s="3263"/>
      <c r="H7" s="3263"/>
    </row>
    <row r="8" spans="2:8" ht="26.1" customHeight="1">
      <c r="B8" s="1116" t="s">
        <v>3628</v>
      </c>
      <c r="C8" s="2984" t="s">
        <v>3630</v>
      </c>
      <c r="D8" s="3253"/>
      <c r="E8" s="3253"/>
      <c r="F8" s="3253"/>
      <c r="G8" s="3253"/>
      <c r="H8" s="3253"/>
    </row>
    <row r="9" spans="2:8" ht="26.1" customHeight="1">
      <c r="B9" s="1116" t="s">
        <v>3631</v>
      </c>
      <c r="C9" s="2984" t="s">
        <v>3632</v>
      </c>
      <c r="D9" s="3253"/>
      <c r="E9" s="3253"/>
      <c r="F9" s="3253"/>
      <c r="G9" s="3253"/>
      <c r="H9" s="3253"/>
    </row>
    <row r="10" spans="2:8" ht="12.95" customHeight="1">
      <c r="B10" s="3263" t="s">
        <v>3640</v>
      </c>
      <c r="C10" s="3263"/>
      <c r="D10" s="3263"/>
      <c r="E10" s="3263"/>
      <c r="F10" s="396"/>
      <c r="G10" s="396"/>
      <c r="H10" s="396"/>
    </row>
    <row r="11" spans="2:8" ht="12.95" customHeight="1">
      <c r="B11" s="1116" t="s">
        <v>3628</v>
      </c>
      <c r="C11" s="2984" t="s">
        <v>3634</v>
      </c>
      <c r="D11" s="2984"/>
      <c r="E11" s="2984"/>
      <c r="F11" s="1310"/>
      <c r="G11" s="1310"/>
      <c r="H11" s="1310"/>
    </row>
    <row r="12" spans="2:8" ht="12.95" customHeight="1">
      <c r="B12" s="1116" t="s">
        <v>3631</v>
      </c>
      <c r="C12" s="2984" t="s">
        <v>3636</v>
      </c>
      <c r="D12" s="2984"/>
      <c r="E12" s="2984"/>
      <c r="F12" s="1310"/>
      <c r="G12" s="1310"/>
      <c r="H12" s="1310"/>
    </row>
    <row r="13" spans="2:8" ht="12.95" customHeight="1">
      <c r="B13" s="1116" t="s">
        <v>3635</v>
      </c>
      <c r="C13" s="2984" t="s">
        <v>3637</v>
      </c>
      <c r="D13" s="2984"/>
      <c r="E13" s="2984"/>
      <c r="F13" s="1310"/>
      <c r="G13" s="1310"/>
      <c r="H13" s="1310"/>
    </row>
    <row r="14" spans="2:8" ht="39" customHeight="1">
      <c r="B14" s="1116" t="s">
        <v>3638</v>
      </c>
      <c r="C14" s="2984" t="s">
        <v>3639</v>
      </c>
      <c r="D14" s="2984"/>
      <c r="E14" s="2984"/>
      <c r="F14" s="1310"/>
      <c r="G14" s="1310"/>
      <c r="H14" s="1310"/>
    </row>
    <row r="15" spans="2:8" ht="12.95" customHeight="1">
      <c r="B15" s="3263" t="s">
        <v>3641</v>
      </c>
      <c r="C15" s="3263"/>
      <c r="D15" s="3263"/>
      <c r="E15" s="3263"/>
      <c r="F15" s="3263"/>
      <c r="G15" s="3263"/>
      <c r="H15" s="3263"/>
    </row>
    <row r="16" spans="2:8" ht="12.95" customHeight="1">
      <c r="B16" s="3599" t="s">
        <v>6404</v>
      </c>
      <c r="C16" s="3599"/>
      <c r="D16" s="3599"/>
      <c r="E16" s="3599"/>
      <c r="F16" s="3599"/>
      <c r="G16" s="3599"/>
      <c r="H16" s="3599"/>
    </row>
    <row r="17" spans="2:8" ht="51.95" customHeight="1">
      <c r="B17" s="1116" t="s">
        <v>3628</v>
      </c>
      <c r="C17" s="2984" t="s">
        <v>6405</v>
      </c>
      <c r="D17" s="2984"/>
      <c r="E17" s="2984"/>
      <c r="F17" s="1310"/>
      <c r="G17" s="1310"/>
      <c r="H17" s="1310"/>
    </row>
    <row r="18" spans="2:8" ht="12.95" customHeight="1">
      <c r="C18" s="3264" t="s">
        <v>6406</v>
      </c>
      <c r="D18" s="3264"/>
      <c r="E18" s="3264"/>
    </row>
    <row r="19" spans="2:8" ht="26.1" customHeight="1">
      <c r="B19" s="2984" t="s">
        <v>6407</v>
      </c>
      <c r="C19" s="3253"/>
      <c r="D19" s="3253"/>
      <c r="E19" s="3253"/>
      <c r="F19" s="3253"/>
      <c r="G19" s="3253"/>
      <c r="H19" s="3253"/>
    </row>
    <row r="20" spans="2:8" ht="12.95" customHeight="1">
      <c r="B20" s="1116" t="s">
        <v>3631</v>
      </c>
      <c r="C20" s="2984" t="s">
        <v>6408</v>
      </c>
      <c r="D20" s="3253"/>
      <c r="E20" s="3253"/>
      <c r="F20" s="3253"/>
      <c r="G20" s="3253"/>
      <c r="H20" s="3253"/>
    </row>
    <row r="21" spans="2:8" ht="12.95" customHeight="1">
      <c r="B21" s="1116" t="s">
        <v>3635</v>
      </c>
      <c r="C21" s="2984" t="s">
        <v>3642</v>
      </c>
      <c r="D21" s="3253"/>
      <c r="E21" s="3253"/>
      <c r="F21" s="3253"/>
      <c r="G21" s="3253"/>
      <c r="H21" s="3253"/>
    </row>
    <row r="22" spans="2:8" ht="12.95" customHeight="1">
      <c r="B22" s="1116" t="s">
        <v>3638</v>
      </c>
      <c r="C22" s="2984" t="s">
        <v>3643</v>
      </c>
      <c r="D22" s="3253"/>
      <c r="E22" s="3253"/>
      <c r="F22" s="3253"/>
      <c r="G22" s="3253"/>
      <c r="H22" s="3253"/>
    </row>
    <row r="23" spans="2:8" ht="5.0999999999999996" customHeight="1"/>
    <row r="24" spans="2:8" ht="12.95" customHeight="1">
      <c r="B24" s="3263" t="s">
        <v>6409</v>
      </c>
      <c r="C24" s="3263"/>
      <c r="D24" s="3263"/>
      <c r="E24" s="3263"/>
      <c r="F24" s="3263"/>
      <c r="G24" s="3263"/>
      <c r="H24" s="3263"/>
    </row>
    <row r="25" spans="2:8" ht="12.95" customHeight="1">
      <c r="C25" s="3600" t="s">
        <v>10078</v>
      </c>
      <c r="D25" s="3600"/>
      <c r="E25" s="3600"/>
      <c r="F25" s="3600"/>
      <c r="G25" s="3600"/>
      <c r="H25" s="3600"/>
    </row>
    <row r="26" spans="2:8" ht="12.95" customHeight="1">
      <c r="C26" s="3600"/>
      <c r="D26" s="3600"/>
      <c r="E26" s="3600"/>
      <c r="F26" s="3600"/>
      <c r="G26" s="3600"/>
      <c r="H26" s="3600"/>
    </row>
    <row r="27" spans="2:8" ht="12.95" customHeight="1">
      <c r="C27" s="3600"/>
      <c r="D27" s="3600"/>
      <c r="E27" s="3600"/>
      <c r="F27" s="3600"/>
      <c r="G27" s="3600"/>
      <c r="H27" s="3600"/>
    </row>
    <row r="28" spans="2:8" ht="12.95" customHeight="1">
      <c r="C28" s="3600"/>
      <c r="D28" s="3600"/>
      <c r="E28" s="3600"/>
      <c r="F28" s="3600"/>
      <c r="G28" s="3600"/>
      <c r="H28" s="3600"/>
    </row>
    <row r="29" spans="2:8" ht="5.0999999999999996" customHeight="1"/>
    <row r="30" spans="2:8" ht="39" customHeight="1">
      <c r="B30" s="2984" t="s">
        <v>8973</v>
      </c>
      <c r="C30" s="3253"/>
      <c r="D30" s="3253"/>
      <c r="E30" s="3253"/>
      <c r="F30" s="3253"/>
      <c r="G30" s="3253"/>
      <c r="H30" s="3253"/>
    </row>
    <row r="31" spans="2:8" ht="39" customHeight="1">
      <c r="B31" s="2984" t="s">
        <v>8974</v>
      </c>
      <c r="C31" s="3253"/>
      <c r="D31" s="3253"/>
      <c r="E31" s="3253"/>
      <c r="F31" s="3253"/>
      <c r="G31" s="3253"/>
      <c r="H31" s="3253"/>
    </row>
    <row r="32" spans="2:8" ht="12.95" customHeight="1">
      <c r="B32" s="3264" t="s">
        <v>8975</v>
      </c>
      <c r="C32" s="3264"/>
      <c r="D32" s="3264"/>
      <c r="E32" s="3264"/>
      <c r="F32" s="3264"/>
      <c r="G32" s="3264"/>
      <c r="H32" s="3264"/>
    </row>
    <row r="33" spans="2:8" ht="26.1" customHeight="1">
      <c r="B33" s="2984" t="s">
        <v>8976</v>
      </c>
      <c r="C33" s="3253"/>
      <c r="D33" s="3253"/>
      <c r="E33" s="3253"/>
      <c r="F33" s="3253"/>
      <c r="G33" s="3253"/>
      <c r="H33" s="3253"/>
    </row>
    <row r="34" spans="2:8" ht="12.95" customHeight="1">
      <c r="B34" s="3264" t="s">
        <v>8977</v>
      </c>
      <c r="C34" s="3264"/>
      <c r="D34" s="3264"/>
      <c r="E34" s="3264"/>
      <c r="F34" s="3264"/>
      <c r="G34" s="3264"/>
      <c r="H34" s="3264"/>
    </row>
    <row r="35" spans="2:8" ht="12.95" customHeight="1">
      <c r="B35" s="3264" t="s">
        <v>5937</v>
      </c>
      <c r="C35" s="3264"/>
      <c r="D35" s="3264"/>
      <c r="E35" s="3264"/>
      <c r="F35" s="3264"/>
      <c r="G35" s="3264"/>
      <c r="H35" s="3264"/>
    </row>
    <row r="36" spans="2:8" ht="12.95" customHeight="1">
      <c r="D36" s="3264"/>
      <c r="E36" s="3264"/>
      <c r="F36" s="3264"/>
      <c r="G36" s="3264"/>
      <c r="H36" s="3264"/>
    </row>
    <row r="37" spans="2:8" ht="12.95" customHeight="1">
      <c r="D37" s="3264" t="s">
        <v>5938</v>
      </c>
      <c r="E37" s="3264"/>
      <c r="F37" s="3264"/>
      <c r="G37" s="3264"/>
      <c r="H37" s="3264"/>
    </row>
    <row r="38" spans="2:8" ht="12.95" customHeight="1">
      <c r="D38" s="3264" t="s">
        <v>3644</v>
      </c>
      <c r="E38" s="3264"/>
      <c r="F38" s="3264"/>
      <c r="G38" s="3264"/>
      <c r="H38" s="3264"/>
    </row>
    <row r="39" spans="2:8" ht="12.95" customHeight="1">
      <c r="D39" s="3264" t="s">
        <v>3645</v>
      </c>
      <c r="E39" s="3264"/>
      <c r="F39" s="3264"/>
      <c r="G39" s="3264"/>
      <c r="H39" s="3264"/>
    </row>
    <row r="40" spans="2:8" ht="12.95" customHeight="1">
      <c r="D40" s="3264"/>
      <c r="E40" s="3264"/>
      <c r="F40" s="3264"/>
      <c r="G40" s="3264"/>
      <c r="H40" s="3264"/>
    </row>
    <row r="41" spans="2:8" ht="12.95" customHeight="1">
      <c r="B41" s="3264" t="s">
        <v>56</v>
      </c>
      <c r="C41" s="3264"/>
      <c r="D41" s="3264"/>
      <c r="E41" s="3264"/>
      <c r="F41" s="3264"/>
      <c r="G41" s="3264"/>
      <c r="H41" s="3264"/>
    </row>
    <row r="42" spans="2:8" ht="12.95" customHeight="1">
      <c r="B42" s="1116" t="s">
        <v>3628</v>
      </c>
      <c r="C42" s="3264" t="s">
        <v>3646</v>
      </c>
      <c r="D42" s="3264"/>
      <c r="E42" s="3264"/>
      <c r="F42" s="3264"/>
      <c r="G42" s="3264"/>
      <c r="H42" s="3264"/>
    </row>
    <row r="43" spans="2:8" ht="12.95" customHeight="1">
      <c r="B43" s="1116" t="s">
        <v>3631</v>
      </c>
      <c r="C43" s="3264" t="s">
        <v>3647</v>
      </c>
      <c r="D43" s="3264"/>
      <c r="E43" s="3264"/>
      <c r="F43" s="3264"/>
      <c r="G43" s="3264"/>
      <c r="H43" s="3264"/>
    </row>
    <row r="44" spans="2:8" ht="12.95" customHeight="1">
      <c r="B44" s="1116" t="s">
        <v>3635</v>
      </c>
      <c r="C44" s="3264" t="s">
        <v>3648</v>
      </c>
      <c r="D44" s="3264"/>
      <c r="E44" s="3264"/>
      <c r="F44" s="3264"/>
      <c r="G44" s="3264"/>
      <c r="H44" s="3264"/>
    </row>
    <row r="45" spans="2:8" ht="12.95" customHeight="1">
      <c r="B45" s="3264" t="s">
        <v>10079</v>
      </c>
      <c r="C45" s="3264"/>
      <c r="D45" s="3264"/>
      <c r="E45" s="3264"/>
      <c r="F45" s="3264"/>
      <c r="G45" s="3264"/>
      <c r="H45" s="3264"/>
    </row>
    <row r="46" spans="2:8" ht="12.95" customHeight="1">
      <c r="B46" s="3264" t="s">
        <v>5415</v>
      </c>
      <c r="C46" s="3264"/>
      <c r="D46" s="3264"/>
      <c r="E46" s="3264"/>
      <c r="F46" s="3264"/>
      <c r="G46" s="3264"/>
      <c r="H46" s="3264"/>
    </row>
    <row r="48" spans="2:8" ht="12.95" customHeight="1">
      <c r="D48" s="3264" t="s">
        <v>5932</v>
      </c>
      <c r="E48" s="3264"/>
      <c r="F48" s="3264"/>
      <c r="G48" s="3264"/>
      <c r="H48" s="3264"/>
    </row>
    <row r="49" spans="2:8" ht="12.95" customHeight="1">
      <c r="D49" s="3264" t="s">
        <v>5933</v>
      </c>
      <c r="E49" s="3264"/>
      <c r="F49" s="3264"/>
      <c r="G49" s="3264"/>
      <c r="H49" s="3264"/>
    </row>
    <row r="50" spans="2:8" ht="12.95" customHeight="1">
      <c r="D50" s="3264" t="s">
        <v>5934</v>
      </c>
      <c r="E50" s="3264"/>
      <c r="F50" s="3264"/>
      <c r="G50" s="3264"/>
      <c r="H50" s="3264"/>
    </row>
    <row r="51" spans="2:8" ht="12.95" customHeight="1">
      <c r="D51" s="3264" t="s">
        <v>5416</v>
      </c>
      <c r="E51" s="3264"/>
      <c r="F51" s="3264"/>
      <c r="G51" s="3264"/>
      <c r="H51" s="3264"/>
    </row>
    <row r="52" spans="2:8" ht="12.95" customHeight="1">
      <c r="D52" s="3264" t="s">
        <v>5417</v>
      </c>
      <c r="E52" s="3264"/>
      <c r="F52" s="3264"/>
      <c r="G52" s="3264"/>
      <c r="H52" s="3264"/>
    </row>
    <row r="53" spans="2:8" ht="12.95" customHeight="1">
      <c r="D53" s="3264" t="s">
        <v>5418</v>
      </c>
      <c r="E53" s="3264"/>
      <c r="F53" s="3264"/>
      <c r="G53" s="3264"/>
      <c r="H53" s="3264"/>
    </row>
    <row r="55" spans="2:8" ht="26.1" customHeight="1">
      <c r="B55" s="2984" t="s">
        <v>8749</v>
      </c>
      <c r="C55" s="2984"/>
      <c r="D55" s="2984"/>
      <c r="E55" s="2984"/>
      <c r="F55" s="2984"/>
      <c r="G55" s="2984"/>
      <c r="H55" s="2984"/>
    </row>
    <row r="57" spans="2:8" ht="12.95" customHeight="1">
      <c r="D57" s="3264" t="s">
        <v>5932</v>
      </c>
      <c r="E57" s="3264"/>
      <c r="F57" s="3264"/>
      <c r="G57" s="3264"/>
      <c r="H57" s="3264"/>
    </row>
    <row r="58" spans="2:8" ht="12.95" customHeight="1">
      <c r="D58" s="3264" t="s">
        <v>5933</v>
      </c>
      <c r="E58" s="3264"/>
      <c r="F58" s="3264"/>
      <c r="G58" s="3264"/>
      <c r="H58" s="3264"/>
    </row>
    <row r="59" spans="2:8" ht="12.95" customHeight="1">
      <c r="D59" s="3264" t="s">
        <v>5934</v>
      </c>
      <c r="E59" s="3264"/>
      <c r="F59" s="3264"/>
      <c r="G59" s="3264"/>
      <c r="H59" s="3264"/>
    </row>
    <row r="60" spans="2:8" ht="12.95" customHeight="1">
      <c r="D60" s="3264" t="s">
        <v>5935</v>
      </c>
      <c r="E60" s="3264"/>
      <c r="F60" s="3264"/>
      <c r="G60" s="3264"/>
      <c r="H60" s="3264"/>
    </row>
    <row r="61" spans="2:8" ht="12.95" customHeight="1">
      <c r="D61" s="2984" t="s">
        <v>5936</v>
      </c>
      <c r="E61" s="2984"/>
      <c r="F61" s="2984"/>
      <c r="G61" s="2984"/>
      <c r="H61" s="2984"/>
    </row>
    <row r="62" spans="2:8" ht="12.95" customHeight="1">
      <c r="D62" s="2984"/>
      <c r="E62" s="2984"/>
      <c r="F62" s="2984"/>
      <c r="G62" s="2984"/>
      <c r="H62" s="2984"/>
    </row>
    <row r="63" spans="2:8" ht="5.0999999999999996" customHeight="1"/>
    <row r="64" spans="2:8" ht="12.95" customHeight="1">
      <c r="B64" s="3264" t="s">
        <v>8750</v>
      </c>
      <c r="C64" s="3264"/>
      <c r="D64" s="3264"/>
      <c r="E64" s="3264"/>
      <c r="F64" s="3264"/>
      <c r="G64" s="3264"/>
      <c r="H64" s="3264"/>
    </row>
  </sheetData>
  <sheetProtection autoFilter="0"/>
  <mergeCells count="52">
    <mergeCell ref="B7:H7"/>
    <mergeCell ref="D39:H39"/>
    <mergeCell ref="C20:H20"/>
    <mergeCell ref="B19:H19"/>
    <mergeCell ref="C22:H22"/>
    <mergeCell ref="C21:H21"/>
    <mergeCell ref="B31:H31"/>
    <mergeCell ref="C1:H1"/>
    <mergeCell ref="D38:H38"/>
    <mergeCell ref="B3:H3"/>
    <mergeCell ref="B4:H4"/>
    <mergeCell ref="B6:H6"/>
    <mergeCell ref="C8:H8"/>
    <mergeCell ref="C9:H9"/>
    <mergeCell ref="C11:E11"/>
    <mergeCell ref="C12:E12"/>
    <mergeCell ref="C13:E13"/>
    <mergeCell ref="C14:E14"/>
    <mergeCell ref="B10:E10"/>
    <mergeCell ref="C17:E17"/>
    <mergeCell ref="C18:E18"/>
    <mergeCell ref="B24:H24"/>
    <mergeCell ref="C25:H28"/>
    <mergeCell ref="D51:H51"/>
    <mergeCell ref="D52:H52"/>
    <mergeCell ref="B15:H15"/>
    <mergeCell ref="B16:H16"/>
    <mergeCell ref="B32:H32"/>
    <mergeCell ref="B34:H34"/>
    <mergeCell ref="B45:H45"/>
    <mergeCell ref="B46:H46"/>
    <mergeCell ref="D40:H40"/>
    <mergeCell ref="B30:H30"/>
    <mergeCell ref="B33:H33"/>
    <mergeCell ref="D37:H37"/>
    <mergeCell ref="D36:H36"/>
    <mergeCell ref="D61:H62"/>
    <mergeCell ref="B64:H64"/>
    <mergeCell ref="B35:H35"/>
    <mergeCell ref="B41:H41"/>
    <mergeCell ref="C42:H42"/>
    <mergeCell ref="C43:H43"/>
    <mergeCell ref="C44:H44"/>
    <mergeCell ref="D60:H60"/>
    <mergeCell ref="D53:H53"/>
    <mergeCell ref="B55:H55"/>
    <mergeCell ref="D57:H57"/>
    <mergeCell ref="D58:H58"/>
    <mergeCell ref="D59:H59"/>
    <mergeCell ref="D48:H48"/>
    <mergeCell ref="D49:H49"/>
    <mergeCell ref="D50:H50"/>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96" orientation="landscape" r:id="rId1"/>
  <headerFooter alignWithMargins="0"/>
  <rowBreaks count="1" manualBreakCount="1">
    <brk id="30" max="7" man="1"/>
  </rowBreaks>
  <drawing r:id="rId2"/>
</worksheet>
</file>

<file path=xl/worksheets/sheet43.xml><?xml version="1.0" encoding="utf-8"?>
<worksheet xmlns="http://schemas.openxmlformats.org/spreadsheetml/2006/main" xmlns:r="http://schemas.openxmlformats.org/officeDocument/2006/relationships">
  <sheetPr>
    <outlinePr summaryBelow="0"/>
  </sheetPr>
  <dimension ref="B1:K191"/>
  <sheetViews>
    <sheetView zoomScaleNormal="100" workbookViewId="0">
      <pane ySplit="5" topLeftCell="A6" activePane="bottomLeft" state="frozen"/>
      <selection pane="bottomLeft" activeCell="B1" sqref="B1"/>
    </sheetView>
  </sheetViews>
  <sheetFormatPr defaultRowHeight="12.95" customHeight="1" outlineLevelRow="1"/>
  <cols>
    <col min="1" max="1" width="3.7109375" style="292" customWidth="1"/>
    <col min="2" max="2" width="18.85546875" style="292" bestFit="1" customWidth="1"/>
    <col min="3" max="3" width="4.42578125" style="1938" bestFit="1" customWidth="1"/>
    <col min="4" max="4" width="18.140625" style="292" bestFit="1" customWidth="1"/>
    <col min="5" max="5" width="5.28515625" style="1938" bestFit="1" customWidth="1"/>
    <col min="6" max="6" width="20.5703125" style="292" bestFit="1" customWidth="1"/>
    <col min="7" max="7" width="4.42578125" style="1938" bestFit="1" customWidth="1"/>
    <col min="8" max="8" width="24.85546875" style="292" bestFit="1" customWidth="1"/>
    <col min="9" max="9" width="4.42578125" style="1938" bestFit="1" customWidth="1"/>
    <col min="10" max="10" width="21.85546875" style="292" bestFit="1" customWidth="1"/>
    <col min="11" max="11" width="5.28515625" style="1938" bestFit="1" customWidth="1"/>
    <col min="12" max="16384" width="9.140625" style="292"/>
  </cols>
  <sheetData>
    <row r="1" spans="2:11" s="952" customFormat="1" ht="12.95" customHeight="1">
      <c r="B1" s="987" t="s">
        <v>2706</v>
      </c>
      <c r="C1" s="3195" t="s">
        <v>8269</v>
      </c>
      <c r="D1" s="3195"/>
      <c r="E1" s="3195"/>
      <c r="F1" s="3195"/>
      <c r="G1" s="3195"/>
      <c r="H1" s="3195"/>
      <c r="I1" s="3195"/>
      <c r="J1" s="3195"/>
      <c r="K1" s="3195"/>
    </row>
    <row r="2" spans="2:11" ht="5.0999999999999996" customHeight="1"/>
    <row r="3" spans="2:11" ht="12.95" customHeight="1">
      <c r="B3" s="3075" t="s">
        <v>3649</v>
      </c>
      <c r="C3" s="3075"/>
      <c r="D3" s="3075"/>
      <c r="E3" s="3075"/>
      <c r="F3" s="3075"/>
      <c r="G3" s="3075"/>
      <c r="H3" s="3075"/>
      <c r="I3" s="3075"/>
      <c r="J3" s="3075"/>
      <c r="K3" s="3075"/>
    </row>
    <row r="4" spans="2:11" s="387" customFormat="1" ht="11.25">
      <c r="B4" s="3130" t="s">
        <v>5700</v>
      </c>
      <c r="C4" s="3130"/>
      <c r="D4" s="3130"/>
      <c r="E4" s="3130"/>
      <c r="F4" s="3130"/>
      <c r="G4" s="3130"/>
      <c r="H4" s="3130"/>
      <c r="I4" s="3130"/>
      <c r="J4" s="3130"/>
      <c r="K4" s="3130"/>
    </row>
    <row r="5" spans="2:11" ht="5.0999999999999996" customHeight="1" thickBot="1"/>
    <row r="6" spans="2:11" ht="12.95" customHeight="1" thickBot="1">
      <c r="B6" s="3602" t="s">
        <v>2156</v>
      </c>
      <c r="C6" s="3603"/>
      <c r="D6" s="3602" t="s">
        <v>893</v>
      </c>
      <c r="E6" s="3603"/>
      <c r="F6" s="3602" t="s">
        <v>2141</v>
      </c>
      <c r="G6" s="3603"/>
      <c r="H6" s="3602" t="s">
        <v>625</v>
      </c>
      <c r="I6" s="3603"/>
      <c r="J6" s="3602" t="s">
        <v>626</v>
      </c>
      <c r="K6" s="3603"/>
    </row>
    <row r="7" spans="2:11" ht="12.95" customHeight="1" thickTop="1">
      <c r="B7" s="1103" t="s">
        <v>2232</v>
      </c>
      <c r="C7" s="2092">
        <v>80</v>
      </c>
      <c r="D7" s="1103" t="s">
        <v>2234</v>
      </c>
      <c r="E7" s="2092">
        <v>100</v>
      </c>
      <c r="F7" s="1103" t="s">
        <v>1532</v>
      </c>
      <c r="G7" s="2092">
        <v>44</v>
      </c>
      <c r="H7" s="1103" t="s">
        <v>1536</v>
      </c>
      <c r="I7" s="2092">
        <v>60</v>
      </c>
      <c r="J7" s="1103" t="s">
        <v>1537</v>
      </c>
      <c r="K7" s="2092">
        <v>59</v>
      </c>
    </row>
    <row r="8" spans="2:11" ht="12.95" customHeight="1">
      <c r="B8" s="1113" t="s">
        <v>373</v>
      </c>
      <c r="C8" s="542">
        <v>126</v>
      </c>
      <c r="D8" s="1113" t="s">
        <v>374</v>
      </c>
      <c r="E8" s="542">
        <v>138</v>
      </c>
      <c r="F8" s="1113" t="s">
        <v>3448</v>
      </c>
      <c r="G8" s="542">
        <v>165</v>
      </c>
      <c r="H8" s="1113" t="s">
        <v>2528</v>
      </c>
      <c r="I8" s="542">
        <v>98</v>
      </c>
      <c r="J8" s="1113" t="s">
        <v>377</v>
      </c>
      <c r="K8" s="542">
        <v>154</v>
      </c>
    </row>
    <row r="9" spans="2:11" ht="12.95" customHeight="1">
      <c r="B9" s="1104" t="s">
        <v>2324</v>
      </c>
      <c r="C9" s="2076">
        <v>351</v>
      </c>
      <c r="D9" s="1104" t="s">
        <v>2844</v>
      </c>
      <c r="E9" s="2076">
        <v>234</v>
      </c>
      <c r="F9" s="1104" t="s">
        <v>2260</v>
      </c>
      <c r="G9" s="2076">
        <v>250</v>
      </c>
      <c r="H9" s="1104" t="s">
        <v>1594</v>
      </c>
      <c r="I9" s="2076">
        <v>252</v>
      </c>
      <c r="J9" s="1104" t="s">
        <v>2325</v>
      </c>
      <c r="K9" s="2076">
        <v>336</v>
      </c>
    </row>
    <row r="10" spans="2:11" ht="12.95" customHeight="1">
      <c r="B10" s="1113" t="s">
        <v>2152</v>
      </c>
      <c r="C10" s="542">
        <v>445</v>
      </c>
      <c r="D10" s="1113" t="s">
        <v>1949</v>
      </c>
      <c r="E10" s="542">
        <v>518</v>
      </c>
      <c r="F10" s="1113" t="s">
        <v>1817</v>
      </c>
      <c r="G10" s="542">
        <v>570</v>
      </c>
      <c r="H10" s="1113" t="s">
        <v>895</v>
      </c>
      <c r="I10" s="542">
        <v>555</v>
      </c>
      <c r="J10" s="1113" t="s">
        <v>490</v>
      </c>
      <c r="K10" s="542">
        <v>517</v>
      </c>
    </row>
    <row r="11" spans="2:11" ht="12.95" customHeight="1">
      <c r="B11" s="1104" t="s">
        <v>1948</v>
      </c>
      <c r="C11" s="2076">
        <v>485</v>
      </c>
      <c r="D11" s="1104" t="s">
        <v>3445</v>
      </c>
      <c r="E11" s="2076">
        <v>517</v>
      </c>
      <c r="F11" s="1104" t="s">
        <v>3062</v>
      </c>
      <c r="G11" s="2076">
        <v>884</v>
      </c>
      <c r="H11" s="1104" t="s">
        <v>642</v>
      </c>
      <c r="I11" s="2076">
        <v>848</v>
      </c>
      <c r="J11" s="1104" t="s">
        <v>643</v>
      </c>
      <c r="K11" s="2076">
        <v>835</v>
      </c>
    </row>
    <row r="12" spans="2:11" ht="12.95" customHeight="1">
      <c r="B12" s="1113" t="s">
        <v>567</v>
      </c>
      <c r="C12" s="542">
        <v>1946</v>
      </c>
      <c r="D12" s="1113" t="s">
        <v>1052</v>
      </c>
      <c r="E12" s="542">
        <v>1806</v>
      </c>
      <c r="F12" s="1113" t="s">
        <v>566</v>
      </c>
      <c r="G12" s="542">
        <v>2016</v>
      </c>
      <c r="H12" s="1113" t="s">
        <v>3456</v>
      </c>
      <c r="I12" s="542">
        <v>2087</v>
      </c>
      <c r="J12" s="1113" t="s">
        <v>1054</v>
      </c>
      <c r="K12" s="542">
        <v>1547</v>
      </c>
    </row>
    <row r="13" spans="2:11" ht="12.95" customHeight="1">
      <c r="B13" s="1104" t="s">
        <v>650</v>
      </c>
      <c r="C13" s="2076">
        <v>5019</v>
      </c>
      <c r="D13" s="1104" t="s">
        <v>3447</v>
      </c>
      <c r="E13" s="2076">
        <v>4872</v>
      </c>
      <c r="F13" s="1104" t="s">
        <v>652</v>
      </c>
      <c r="G13" s="2076">
        <v>3718</v>
      </c>
      <c r="H13" s="1104" t="s">
        <v>899</v>
      </c>
      <c r="I13" s="2076">
        <v>3388</v>
      </c>
      <c r="J13" s="1104" t="s">
        <v>1100</v>
      </c>
      <c r="K13" s="2076">
        <v>4702</v>
      </c>
    </row>
    <row r="14" spans="2:11" ht="5.0999999999999996" customHeight="1">
      <c r="B14" s="1113"/>
      <c r="C14" s="542"/>
      <c r="D14" s="1113"/>
      <c r="E14" s="542"/>
      <c r="F14" s="1113"/>
      <c r="G14" s="542"/>
      <c r="H14" s="1113"/>
      <c r="I14" s="542"/>
      <c r="J14" s="1113"/>
      <c r="K14" s="542"/>
    </row>
    <row r="15" spans="2:11" ht="12.95" customHeight="1">
      <c r="B15" s="1104" t="s">
        <v>2233</v>
      </c>
      <c r="C15" s="2076">
        <v>115</v>
      </c>
      <c r="D15" s="1104" t="s">
        <v>3444</v>
      </c>
      <c r="E15" s="2076">
        <v>138</v>
      </c>
      <c r="F15" s="1104" t="s">
        <v>1533</v>
      </c>
      <c r="G15" s="2076">
        <v>66</v>
      </c>
      <c r="H15" s="1104" t="s">
        <v>3454</v>
      </c>
      <c r="I15" s="2076">
        <v>85</v>
      </c>
      <c r="J15" s="1104" t="s">
        <v>1721</v>
      </c>
      <c r="K15" s="2076">
        <v>84</v>
      </c>
    </row>
    <row r="16" spans="2:11" ht="12.95" customHeight="1">
      <c r="B16" s="1113" t="s">
        <v>343</v>
      </c>
      <c r="C16" s="542">
        <v>184</v>
      </c>
      <c r="D16" s="1113" t="s">
        <v>1597</v>
      </c>
      <c r="E16" s="542">
        <v>209</v>
      </c>
      <c r="F16" s="2102" t="s">
        <v>3449</v>
      </c>
      <c r="G16" s="542">
        <v>201</v>
      </c>
      <c r="H16" s="1113" t="s">
        <v>376</v>
      </c>
      <c r="I16" s="542">
        <v>128</v>
      </c>
      <c r="J16" s="1113" t="s">
        <v>3458</v>
      </c>
      <c r="K16" s="542">
        <v>238</v>
      </c>
    </row>
    <row r="17" spans="2:11" ht="12.95" customHeight="1">
      <c r="B17" s="1104" t="s">
        <v>344</v>
      </c>
      <c r="C17" s="2076">
        <v>448</v>
      </c>
      <c r="D17" s="1104" t="s">
        <v>840</v>
      </c>
      <c r="E17" s="2076">
        <v>331</v>
      </c>
      <c r="F17" s="1104" t="s">
        <v>3450</v>
      </c>
      <c r="G17" s="2076">
        <v>412</v>
      </c>
      <c r="H17" s="1104" t="s">
        <v>1619</v>
      </c>
      <c r="I17" s="2076">
        <v>315</v>
      </c>
      <c r="J17" s="1104" t="s">
        <v>3459</v>
      </c>
      <c r="K17" s="2076">
        <v>367</v>
      </c>
    </row>
    <row r="18" spans="2:11" ht="12.95" customHeight="1">
      <c r="B18" s="1113" t="s">
        <v>1645</v>
      </c>
      <c r="C18" s="542">
        <v>588</v>
      </c>
      <c r="D18" s="1113" t="s">
        <v>900</v>
      </c>
      <c r="E18" s="542">
        <v>532</v>
      </c>
      <c r="F18" s="1113" t="s">
        <v>3451</v>
      </c>
      <c r="G18" s="542">
        <v>680</v>
      </c>
      <c r="H18" s="1113" t="s">
        <v>3455</v>
      </c>
      <c r="I18" s="542">
        <v>783</v>
      </c>
      <c r="J18" s="1113" t="s">
        <v>3460</v>
      </c>
      <c r="K18" s="542">
        <v>577</v>
      </c>
    </row>
    <row r="19" spans="2:11" ht="12.95" customHeight="1">
      <c r="B19" s="1104" t="s">
        <v>1644</v>
      </c>
      <c r="C19" s="2076">
        <v>750</v>
      </c>
      <c r="D19" s="1104" t="s">
        <v>3446</v>
      </c>
      <c r="E19" s="2076">
        <v>803</v>
      </c>
      <c r="F19" s="1104" t="s">
        <v>3452</v>
      </c>
      <c r="G19" s="2076">
        <v>942</v>
      </c>
      <c r="H19" s="1104" t="s">
        <v>898</v>
      </c>
      <c r="I19" s="2076">
        <v>1079</v>
      </c>
      <c r="J19" s="1104" t="s">
        <v>3461</v>
      </c>
      <c r="K19" s="2076">
        <v>1068</v>
      </c>
    </row>
    <row r="20" spans="2:11" ht="12.95" customHeight="1">
      <c r="B20" s="1113" t="s">
        <v>654</v>
      </c>
      <c r="C20" s="542">
        <v>2100</v>
      </c>
      <c r="D20" s="1113" t="s">
        <v>841</v>
      </c>
      <c r="E20" s="542">
        <v>2030</v>
      </c>
      <c r="F20" s="1113" t="s">
        <v>3453</v>
      </c>
      <c r="G20" s="542">
        <v>2840</v>
      </c>
      <c r="H20" s="1113" t="s">
        <v>2607</v>
      </c>
      <c r="I20" s="542">
        <v>2382</v>
      </c>
      <c r="J20" s="1113" t="s">
        <v>1053</v>
      </c>
      <c r="K20" s="542">
        <v>1589</v>
      </c>
    </row>
    <row r="21" spans="2:11" ht="12.95" customHeight="1" thickBot="1">
      <c r="B21" s="1105" t="s">
        <v>1220</v>
      </c>
      <c r="C21" s="2080">
        <v>8776</v>
      </c>
      <c r="D21" s="1105" t="s">
        <v>842</v>
      </c>
      <c r="E21" s="2080">
        <v>8613</v>
      </c>
      <c r="F21" s="1105" t="s">
        <v>1221</v>
      </c>
      <c r="G21" s="2080">
        <v>7500</v>
      </c>
      <c r="H21" s="1105" t="s">
        <v>3457</v>
      </c>
      <c r="I21" s="2080">
        <v>4696</v>
      </c>
      <c r="J21" s="1105" t="s">
        <v>3462</v>
      </c>
      <c r="K21" s="2080">
        <v>8721</v>
      </c>
    </row>
    <row r="22" spans="2:11" ht="12.95" customHeight="1" thickBot="1"/>
    <row r="23" spans="2:11" ht="12.95" customHeight="1" thickBot="1">
      <c r="B23" s="3602" t="s">
        <v>2557</v>
      </c>
      <c r="C23" s="3603"/>
      <c r="D23" s="3602" t="s">
        <v>628</v>
      </c>
      <c r="E23" s="3603"/>
      <c r="F23" s="3602" t="s">
        <v>627</v>
      </c>
      <c r="G23" s="3603"/>
      <c r="H23" s="3602" t="s">
        <v>2259</v>
      </c>
      <c r="I23" s="3603"/>
      <c r="J23" s="3602" t="s">
        <v>506</v>
      </c>
      <c r="K23" s="3603"/>
    </row>
    <row r="24" spans="2:11" ht="12.95" customHeight="1" thickTop="1">
      <c r="B24" s="1103" t="s">
        <v>1534</v>
      </c>
      <c r="C24" s="2092">
        <v>50</v>
      </c>
      <c r="D24" s="1103" t="s">
        <v>1540</v>
      </c>
      <c r="E24" s="2092">
        <v>56</v>
      </c>
      <c r="F24" s="1103" t="s">
        <v>1538</v>
      </c>
      <c r="G24" s="2092">
        <v>60</v>
      </c>
      <c r="H24" s="1103" t="s">
        <v>2663</v>
      </c>
      <c r="I24" s="2092">
        <v>55</v>
      </c>
      <c r="J24" s="1103" t="s">
        <v>2015</v>
      </c>
      <c r="K24" s="2092">
        <v>15</v>
      </c>
    </row>
    <row r="25" spans="2:11" ht="12.95" customHeight="1">
      <c r="B25" s="1113" t="s">
        <v>375</v>
      </c>
      <c r="C25" s="542">
        <v>159</v>
      </c>
      <c r="D25" s="1113" t="s">
        <v>378</v>
      </c>
      <c r="E25" s="542">
        <v>126</v>
      </c>
      <c r="F25" s="1113" t="s">
        <v>3467</v>
      </c>
      <c r="G25" s="542">
        <v>130</v>
      </c>
      <c r="H25" s="1113" t="s">
        <v>3372</v>
      </c>
      <c r="I25" s="542">
        <v>356</v>
      </c>
      <c r="J25" s="1113" t="s">
        <v>2014</v>
      </c>
      <c r="K25" s="542">
        <v>75</v>
      </c>
    </row>
    <row r="26" spans="2:11" ht="12.95" customHeight="1">
      <c r="B26" s="1104" t="s">
        <v>1518</v>
      </c>
      <c r="C26" s="2076">
        <v>357</v>
      </c>
      <c r="D26" s="1104" t="s">
        <v>1595</v>
      </c>
      <c r="E26" s="2076">
        <v>268</v>
      </c>
      <c r="F26" s="1104" t="s">
        <v>372</v>
      </c>
      <c r="G26" s="2076">
        <v>192</v>
      </c>
      <c r="H26" s="1104" t="s">
        <v>2664</v>
      </c>
      <c r="I26" s="2076">
        <v>315</v>
      </c>
      <c r="J26" s="1104" t="s">
        <v>379</v>
      </c>
      <c r="K26" s="2076">
        <v>135</v>
      </c>
    </row>
    <row r="27" spans="2:11" ht="12.95" customHeight="1">
      <c r="B27" s="1113" t="s">
        <v>1686</v>
      </c>
      <c r="C27" s="542">
        <v>445</v>
      </c>
      <c r="D27" s="1113" t="s">
        <v>1947</v>
      </c>
      <c r="E27" s="542">
        <v>552</v>
      </c>
      <c r="F27" s="1113" t="s">
        <v>2322</v>
      </c>
      <c r="G27" s="542">
        <v>416</v>
      </c>
      <c r="H27" s="1113" t="s">
        <v>100</v>
      </c>
      <c r="I27" s="542">
        <v>345</v>
      </c>
      <c r="J27" s="1113" t="s">
        <v>3472</v>
      </c>
      <c r="K27" s="542">
        <v>145</v>
      </c>
    </row>
    <row r="28" spans="2:11" ht="12.95" customHeight="1">
      <c r="B28" s="1104" t="s">
        <v>1520</v>
      </c>
      <c r="C28" s="2076">
        <v>765</v>
      </c>
      <c r="D28" s="1104" t="s">
        <v>641</v>
      </c>
      <c r="E28" s="2076">
        <v>890</v>
      </c>
      <c r="F28" s="1104" t="s">
        <v>1309</v>
      </c>
      <c r="G28" s="2076">
        <v>1027</v>
      </c>
      <c r="H28" s="1104" t="s">
        <v>2667</v>
      </c>
      <c r="I28" s="2076">
        <v>330</v>
      </c>
      <c r="J28" s="1104" t="s">
        <v>1596</v>
      </c>
      <c r="K28" s="2076">
        <v>270</v>
      </c>
    </row>
    <row r="29" spans="2:11" ht="12.95" customHeight="1">
      <c r="B29" s="1113" t="s">
        <v>3063</v>
      </c>
      <c r="C29" s="542">
        <v>1670</v>
      </c>
      <c r="D29" s="1113" t="s">
        <v>614</v>
      </c>
      <c r="E29" s="542">
        <v>1350</v>
      </c>
      <c r="F29" s="1113" t="s">
        <v>1062</v>
      </c>
      <c r="G29" s="542">
        <v>1266</v>
      </c>
      <c r="H29" s="1113" t="s">
        <v>2668</v>
      </c>
      <c r="I29" s="542">
        <v>1669</v>
      </c>
      <c r="J29" s="1113" t="s">
        <v>901</v>
      </c>
      <c r="K29" s="542">
        <v>345</v>
      </c>
    </row>
    <row r="30" spans="2:11" ht="12.95" customHeight="1">
      <c r="B30" s="1104" t="s">
        <v>1941</v>
      </c>
      <c r="C30" s="2076">
        <v>5101</v>
      </c>
      <c r="D30" s="1104" t="s">
        <v>651</v>
      </c>
      <c r="E30" s="2076">
        <v>4120</v>
      </c>
      <c r="F30" s="1104" t="s">
        <v>653</v>
      </c>
      <c r="G30" s="2076">
        <v>3162</v>
      </c>
      <c r="H30" s="1104" t="s">
        <v>2670</v>
      </c>
      <c r="I30" s="2076">
        <v>4547</v>
      </c>
      <c r="J30" s="1104" t="s">
        <v>644</v>
      </c>
      <c r="K30" s="2076">
        <v>585</v>
      </c>
    </row>
    <row r="31" spans="2:11" ht="12.95" customHeight="1">
      <c r="B31" s="1113"/>
      <c r="C31" s="542"/>
      <c r="D31" s="1113"/>
      <c r="E31" s="542"/>
      <c r="F31" s="1113"/>
      <c r="G31" s="542"/>
      <c r="H31" s="1113"/>
      <c r="I31" s="542"/>
      <c r="J31" s="1113" t="s">
        <v>1984</v>
      </c>
      <c r="K31" s="542">
        <v>600</v>
      </c>
    </row>
    <row r="32" spans="2:11" ht="12.95" customHeight="1">
      <c r="B32" s="1104" t="s">
        <v>1535</v>
      </c>
      <c r="C32" s="2076">
        <v>60</v>
      </c>
      <c r="D32" s="1104" t="s">
        <v>3464</v>
      </c>
      <c r="E32" s="2076">
        <v>90</v>
      </c>
      <c r="F32" s="1104" t="s">
        <v>1539</v>
      </c>
      <c r="G32" s="2076">
        <v>78</v>
      </c>
      <c r="H32" s="1104" t="s">
        <v>1531</v>
      </c>
      <c r="I32" s="2076">
        <v>95</v>
      </c>
      <c r="J32" s="1104" t="s">
        <v>2534</v>
      </c>
      <c r="K32" s="2076">
        <v>775</v>
      </c>
    </row>
    <row r="33" spans="2:11" ht="12.95" customHeight="1">
      <c r="B33" s="1113" t="s">
        <v>1593</v>
      </c>
      <c r="C33" s="542">
        <v>240</v>
      </c>
      <c r="D33" s="1113" t="s">
        <v>3465</v>
      </c>
      <c r="E33" s="542">
        <v>156</v>
      </c>
      <c r="F33" s="1113" t="s">
        <v>3468</v>
      </c>
      <c r="G33" s="542">
        <v>203</v>
      </c>
      <c r="H33" s="1113" t="s">
        <v>988</v>
      </c>
      <c r="I33" s="542">
        <v>486</v>
      </c>
      <c r="J33" s="1113" t="s">
        <v>640</v>
      </c>
      <c r="K33" s="542">
        <v>1024</v>
      </c>
    </row>
    <row r="34" spans="2:11" ht="12.95" customHeight="1">
      <c r="B34" s="1104" t="s">
        <v>2323</v>
      </c>
      <c r="C34" s="2076">
        <v>392</v>
      </c>
      <c r="D34" s="1104" t="s">
        <v>612</v>
      </c>
      <c r="E34" s="2076">
        <v>312</v>
      </c>
      <c r="F34" s="1104" t="s">
        <v>3469</v>
      </c>
      <c r="G34" s="2076">
        <v>240</v>
      </c>
      <c r="H34" s="1104" t="s">
        <v>2665</v>
      </c>
      <c r="I34" s="2076">
        <v>380</v>
      </c>
      <c r="J34" s="1104" t="s">
        <v>1063</v>
      </c>
      <c r="K34" s="2076">
        <v>1210</v>
      </c>
    </row>
    <row r="35" spans="2:11" ht="12.95" customHeight="1">
      <c r="B35" s="1113" t="s">
        <v>1519</v>
      </c>
      <c r="C35" s="542">
        <v>480</v>
      </c>
      <c r="D35" s="1113" t="s">
        <v>2545</v>
      </c>
      <c r="E35" s="542">
        <v>714</v>
      </c>
      <c r="F35" s="1113" t="s">
        <v>3470</v>
      </c>
      <c r="G35" s="542">
        <v>672</v>
      </c>
      <c r="H35" s="2102" t="s">
        <v>2666</v>
      </c>
      <c r="I35" s="542">
        <v>470</v>
      </c>
      <c r="J35" s="1113" t="s">
        <v>1985</v>
      </c>
      <c r="K35" s="542">
        <v>19580</v>
      </c>
    </row>
    <row r="36" spans="2:11" ht="12.95" customHeight="1">
      <c r="B36" s="1104" t="s">
        <v>1521</v>
      </c>
      <c r="C36" s="2076">
        <v>1224</v>
      </c>
      <c r="D36" s="1104" t="s">
        <v>613</v>
      </c>
      <c r="E36" s="2076">
        <v>1028</v>
      </c>
      <c r="F36" s="1104" t="s">
        <v>149</v>
      </c>
      <c r="G36" s="2076">
        <v>1106</v>
      </c>
      <c r="H36" s="1104" t="s">
        <v>3471</v>
      </c>
      <c r="I36" s="2076">
        <v>490</v>
      </c>
      <c r="J36" s="1104" t="s">
        <v>726</v>
      </c>
      <c r="K36" s="2076">
        <v>26433</v>
      </c>
    </row>
    <row r="37" spans="2:11" ht="12.95" customHeight="1">
      <c r="B37" s="1113" t="s">
        <v>3463</v>
      </c>
      <c r="C37" s="542">
        <v>1848</v>
      </c>
      <c r="D37" s="1113" t="s">
        <v>3466</v>
      </c>
      <c r="E37" s="542">
        <v>1518</v>
      </c>
      <c r="F37" s="1113" t="s">
        <v>150</v>
      </c>
      <c r="G37" s="542">
        <v>1443</v>
      </c>
      <c r="H37" s="1113" t="s">
        <v>2669</v>
      </c>
      <c r="I37" s="542">
        <v>2012</v>
      </c>
      <c r="J37" s="2102" t="s">
        <v>3473</v>
      </c>
      <c r="K37" s="542">
        <v>39338</v>
      </c>
    </row>
    <row r="38" spans="2:11" ht="12.95" customHeight="1" thickBot="1">
      <c r="B38" s="1105" t="s">
        <v>1222</v>
      </c>
      <c r="C38" s="2080">
        <v>7115</v>
      </c>
      <c r="D38" s="1105" t="s">
        <v>2611</v>
      </c>
      <c r="E38" s="2080">
        <v>5931</v>
      </c>
      <c r="F38" s="1105" t="s">
        <v>151</v>
      </c>
      <c r="G38" s="2080">
        <v>6168</v>
      </c>
      <c r="H38" s="1105" t="s">
        <v>1223</v>
      </c>
      <c r="I38" s="2080">
        <v>6721</v>
      </c>
      <c r="J38" s="1105" t="s">
        <v>727</v>
      </c>
      <c r="K38" s="2080">
        <v>78845</v>
      </c>
    </row>
    <row r="39" spans="2:11" ht="5.0999999999999996" customHeight="1" thickBot="1"/>
    <row r="40" spans="2:11" ht="12.95" customHeight="1" thickBot="1">
      <c r="B40" s="3602" t="s">
        <v>5317</v>
      </c>
      <c r="C40" s="3604"/>
      <c r="D40" s="3604"/>
      <c r="E40" s="3603"/>
      <c r="F40" s="1051"/>
      <c r="G40" s="2093"/>
      <c r="H40" s="1051"/>
      <c r="I40" s="2093"/>
    </row>
    <row r="41" spans="2:11" ht="12.95" customHeight="1" thickTop="1">
      <c r="B41" s="3605" t="s">
        <v>5318</v>
      </c>
      <c r="C41" s="3336"/>
      <c r="D41" s="3336"/>
      <c r="E41" s="2092">
        <v>600</v>
      </c>
      <c r="F41" s="431"/>
      <c r="G41" s="2095"/>
      <c r="H41" s="431"/>
      <c r="I41" s="2094"/>
    </row>
    <row r="42" spans="2:11" ht="12.95" customHeight="1">
      <c r="B42" s="3606" t="s">
        <v>5319</v>
      </c>
      <c r="C42" s="3607"/>
      <c r="D42" s="3607"/>
      <c r="E42" s="542">
        <v>500</v>
      </c>
      <c r="F42" s="431"/>
      <c r="G42" s="2095"/>
      <c r="H42" s="431"/>
      <c r="I42" s="2094"/>
    </row>
    <row r="43" spans="2:11" ht="12.95" customHeight="1">
      <c r="B43" s="3608" t="s">
        <v>5320</v>
      </c>
      <c r="C43" s="3609"/>
      <c r="D43" s="3609"/>
      <c r="E43" s="2076">
        <v>300</v>
      </c>
      <c r="F43" s="431"/>
      <c r="G43" s="2095"/>
      <c r="H43" s="431"/>
      <c r="I43" s="2094"/>
    </row>
    <row r="44" spans="2:11" ht="12.95" customHeight="1">
      <c r="B44" s="3606" t="s">
        <v>5321</v>
      </c>
      <c r="C44" s="3607"/>
      <c r="D44" s="3607"/>
      <c r="E44" s="542">
        <v>400</v>
      </c>
      <c r="F44" s="431"/>
      <c r="G44" s="2095"/>
      <c r="H44" s="431"/>
      <c r="I44" s="2094"/>
    </row>
    <row r="45" spans="2:11" ht="12.95" customHeight="1" thickBot="1">
      <c r="B45" s="3610" t="s">
        <v>5322</v>
      </c>
      <c r="C45" s="3611"/>
      <c r="D45" s="3611"/>
      <c r="E45" s="2080">
        <v>400</v>
      </c>
      <c r="F45" s="991"/>
      <c r="G45" s="2096"/>
      <c r="H45" s="991"/>
      <c r="I45" s="2094"/>
    </row>
    <row r="46" spans="2:11" ht="5.0999999999999996" customHeight="1"/>
    <row r="47" spans="2:11" ht="12.95" customHeight="1">
      <c r="B47" s="3601" t="s">
        <v>5323</v>
      </c>
      <c r="C47" s="3601"/>
      <c r="D47" s="3601"/>
      <c r="E47" s="3601"/>
      <c r="F47" s="3601"/>
      <c r="G47" s="3601"/>
      <c r="H47" s="3601"/>
      <c r="I47" s="3601"/>
      <c r="J47" s="3601"/>
      <c r="K47" s="3601"/>
    </row>
    <row r="48" spans="2:11" ht="5.0999999999999996" customHeight="1" thickBot="1"/>
    <row r="49" spans="3:11" ht="12.95" customHeight="1" thickBot="1">
      <c r="D49" s="261" t="s">
        <v>3476</v>
      </c>
      <c r="E49" s="2097" t="s">
        <v>5478</v>
      </c>
      <c r="F49" s="262" t="s">
        <v>5479</v>
      </c>
    </row>
    <row r="50" spans="3:11" s="387" customFormat="1" ht="12" thickTop="1">
      <c r="C50" s="1938"/>
      <c r="D50" s="263"/>
      <c r="E50" s="264"/>
      <c r="F50" s="265"/>
      <c r="G50" s="1938"/>
      <c r="I50" s="1938"/>
      <c r="K50" s="1938"/>
    </row>
    <row r="51" spans="3:11" ht="12.95" customHeight="1" outlineLevel="1">
      <c r="D51" s="1106" t="s">
        <v>727</v>
      </c>
      <c r="E51" s="2098">
        <v>78845</v>
      </c>
      <c r="F51" s="1107" t="s">
        <v>728</v>
      </c>
    </row>
    <row r="52" spans="3:11" ht="12.95" customHeight="1" outlineLevel="1">
      <c r="D52" s="1114" t="s">
        <v>3650</v>
      </c>
      <c r="E52" s="2099">
        <v>39338</v>
      </c>
      <c r="F52" s="1115" t="s">
        <v>728</v>
      </c>
    </row>
    <row r="53" spans="3:11" ht="12.95" customHeight="1" outlineLevel="1">
      <c r="D53" s="1108" t="s">
        <v>726</v>
      </c>
      <c r="E53" s="2100">
        <v>26433</v>
      </c>
      <c r="F53" s="1109" t="s">
        <v>728</v>
      </c>
    </row>
    <row r="54" spans="3:11" ht="12.95" customHeight="1" outlineLevel="1">
      <c r="D54" s="1114" t="s">
        <v>1985</v>
      </c>
      <c r="E54" s="2099">
        <v>19580</v>
      </c>
      <c r="F54" s="1115" t="s">
        <v>728</v>
      </c>
    </row>
    <row r="55" spans="3:11" ht="12.95" customHeight="1" outlineLevel="1">
      <c r="D55" s="1108" t="s">
        <v>1220</v>
      </c>
      <c r="E55" s="2100">
        <v>8776</v>
      </c>
      <c r="F55" s="1109" t="s">
        <v>2156</v>
      </c>
    </row>
    <row r="56" spans="3:11" ht="12.95" customHeight="1" outlineLevel="1">
      <c r="D56" s="1114" t="s">
        <v>3462</v>
      </c>
      <c r="E56" s="2099">
        <v>8721</v>
      </c>
      <c r="F56" s="1115" t="s">
        <v>626</v>
      </c>
    </row>
    <row r="57" spans="3:11" ht="12.95" customHeight="1" outlineLevel="1">
      <c r="D57" s="1108" t="s">
        <v>842</v>
      </c>
      <c r="E57" s="2100">
        <v>8613</v>
      </c>
      <c r="F57" s="1109" t="s">
        <v>893</v>
      </c>
    </row>
    <row r="58" spans="3:11" ht="12.95" customHeight="1" outlineLevel="1">
      <c r="D58" s="1114" t="s">
        <v>1221</v>
      </c>
      <c r="E58" s="2099">
        <v>7500</v>
      </c>
      <c r="F58" s="1115" t="s">
        <v>2141</v>
      </c>
    </row>
    <row r="59" spans="3:11" ht="12.95" customHeight="1" outlineLevel="1">
      <c r="D59" s="1108" t="s">
        <v>1222</v>
      </c>
      <c r="E59" s="2100">
        <v>7115</v>
      </c>
      <c r="F59" s="1109" t="s">
        <v>2557</v>
      </c>
    </row>
    <row r="60" spans="3:11" ht="12.95" customHeight="1" outlineLevel="1">
      <c r="D60" s="1114" t="s">
        <v>1223</v>
      </c>
      <c r="E60" s="2099">
        <v>6721</v>
      </c>
      <c r="F60" s="1115" t="s">
        <v>2259</v>
      </c>
    </row>
    <row r="61" spans="3:11" ht="12.95" customHeight="1" outlineLevel="1">
      <c r="D61" s="1108" t="s">
        <v>151</v>
      </c>
      <c r="E61" s="2100">
        <v>6168</v>
      </c>
      <c r="F61" s="1109" t="s">
        <v>627</v>
      </c>
    </row>
    <row r="62" spans="3:11" ht="12.95" customHeight="1" outlineLevel="1">
      <c r="D62" s="1114" t="s">
        <v>2611</v>
      </c>
      <c r="E62" s="2099">
        <v>5931</v>
      </c>
      <c r="F62" s="1115" t="s">
        <v>628</v>
      </c>
    </row>
    <row r="63" spans="3:11" ht="12.95" customHeight="1" outlineLevel="1">
      <c r="D63" s="1108" t="s">
        <v>1941</v>
      </c>
      <c r="E63" s="2100">
        <v>5101</v>
      </c>
      <c r="F63" s="1109" t="s">
        <v>2557</v>
      </c>
    </row>
    <row r="64" spans="3:11" ht="12.95" customHeight="1" outlineLevel="1">
      <c r="D64" s="1114" t="s">
        <v>650</v>
      </c>
      <c r="E64" s="2099">
        <v>5019</v>
      </c>
      <c r="F64" s="1115" t="s">
        <v>2156</v>
      </c>
    </row>
    <row r="65" spans="4:6" ht="12.95" customHeight="1" outlineLevel="1">
      <c r="D65" s="1108" t="s">
        <v>3447</v>
      </c>
      <c r="E65" s="2100">
        <v>4872</v>
      </c>
      <c r="F65" s="1109" t="s">
        <v>893</v>
      </c>
    </row>
    <row r="66" spans="4:6" ht="12.95" customHeight="1" outlineLevel="1">
      <c r="D66" s="1114" t="s">
        <v>1100</v>
      </c>
      <c r="E66" s="2099">
        <v>4702</v>
      </c>
      <c r="F66" s="1115" t="s">
        <v>626</v>
      </c>
    </row>
    <row r="67" spans="4:6" ht="12.95" customHeight="1" outlineLevel="1">
      <c r="D67" s="1108" t="s">
        <v>3457</v>
      </c>
      <c r="E67" s="2100">
        <v>4696</v>
      </c>
      <c r="F67" s="1109" t="s">
        <v>625</v>
      </c>
    </row>
    <row r="68" spans="4:6" ht="12.95" customHeight="1" outlineLevel="1">
      <c r="D68" s="1114" t="s">
        <v>2670</v>
      </c>
      <c r="E68" s="2099">
        <v>4547</v>
      </c>
      <c r="F68" s="1115" t="s">
        <v>2259</v>
      </c>
    </row>
    <row r="69" spans="4:6" ht="12.95" customHeight="1" outlineLevel="1">
      <c r="D69" s="1108" t="s">
        <v>651</v>
      </c>
      <c r="E69" s="2100">
        <v>4120</v>
      </c>
      <c r="F69" s="1109" t="s">
        <v>628</v>
      </c>
    </row>
    <row r="70" spans="4:6" ht="12.95" customHeight="1" outlineLevel="1">
      <c r="D70" s="1114" t="s">
        <v>652</v>
      </c>
      <c r="E70" s="2099">
        <v>3718</v>
      </c>
      <c r="F70" s="1115" t="s">
        <v>2141</v>
      </c>
    </row>
    <row r="71" spans="4:6" ht="12.95" customHeight="1" outlineLevel="1">
      <c r="D71" s="1108" t="s">
        <v>899</v>
      </c>
      <c r="E71" s="2100">
        <v>3388</v>
      </c>
      <c r="F71" s="1109" t="s">
        <v>625</v>
      </c>
    </row>
    <row r="72" spans="4:6" ht="12.95" customHeight="1" outlineLevel="1">
      <c r="D72" s="1114" t="s">
        <v>653</v>
      </c>
      <c r="E72" s="2099">
        <v>3162</v>
      </c>
      <c r="F72" s="1115" t="s">
        <v>627</v>
      </c>
    </row>
    <row r="73" spans="4:6" ht="12.95" customHeight="1" outlineLevel="1">
      <c r="D73" s="1108" t="s">
        <v>3453</v>
      </c>
      <c r="E73" s="2100">
        <v>2840</v>
      </c>
      <c r="F73" s="1109" t="s">
        <v>2141</v>
      </c>
    </row>
    <row r="74" spans="4:6" ht="12.95" customHeight="1" outlineLevel="1">
      <c r="D74" s="1114" t="s">
        <v>2607</v>
      </c>
      <c r="E74" s="2099">
        <v>2382</v>
      </c>
      <c r="F74" s="1115" t="s">
        <v>625</v>
      </c>
    </row>
    <row r="75" spans="4:6" ht="12.95" customHeight="1" outlineLevel="1">
      <c r="D75" s="1108" t="s">
        <v>654</v>
      </c>
      <c r="E75" s="2100">
        <v>2100</v>
      </c>
      <c r="F75" s="1109" t="s">
        <v>2156</v>
      </c>
    </row>
    <row r="76" spans="4:6" ht="12.95" customHeight="1" outlineLevel="1">
      <c r="D76" s="1114" t="s">
        <v>3456</v>
      </c>
      <c r="E76" s="2099">
        <v>2087</v>
      </c>
      <c r="F76" s="1115" t="s">
        <v>625</v>
      </c>
    </row>
    <row r="77" spans="4:6" ht="12.95" customHeight="1" outlineLevel="1">
      <c r="D77" s="1108" t="s">
        <v>841</v>
      </c>
      <c r="E77" s="2100">
        <v>2030</v>
      </c>
      <c r="F77" s="1109" t="s">
        <v>893</v>
      </c>
    </row>
    <row r="78" spans="4:6" ht="12.95" customHeight="1" outlineLevel="1">
      <c r="D78" s="1114" t="s">
        <v>566</v>
      </c>
      <c r="E78" s="2099">
        <v>2016</v>
      </c>
      <c r="F78" s="1115" t="s">
        <v>2141</v>
      </c>
    </row>
    <row r="79" spans="4:6" ht="12.95" customHeight="1" outlineLevel="1">
      <c r="D79" s="1108" t="s">
        <v>3651</v>
      </c>
      <c r="E79" s="2100">
        <v>2012</v>
      </c>
      <c r="F79" s="1109" t="s">
        <v>2259</v>
      </c>
    </row>
    <row r="80" spans="4:6" ht="12.95" customHeight="1" outlineLevel="1">
      <c r="D80" s="1114" t="s">
        <v>567</v>
      </c>
      <c r="E80" s="2099">
        <v>1946</v>
      </c>
      <c r="F80" s="1115" t="s">
        <v>2156</v>
      </c>
    </row>
    <row r="81" spans="4:6" ht="12.95" customHeight="1" outlineLevel="1">
      <c r="D81" s="1108" t="s">
        <v>3463</v>
      </c>
      <c r="E81" s="2100">
        <v>1848</v>
      </c>
      <c r="F81" s="1109" t="s">
        <v>2557</v>
      </c>
    </row>
    <row r="82" spans="4:6" ht="12.95" customHeight="1" outlineLevel="1">
      <c r="D82" s="1114" t="s">
        <v>1052</v>
      </c>
      <c r="E82" s="2099">
        <v>1806</v>
      </c>
      <c r="F82" s="1115" t="s">
        <v>893</v>
      </c>
    </row>
    <row r="83" spans="4:6" ht="12.95" customHeight="1" outlineLevel="1">
      <c r="D83" s="1108" t="s">
        <v>3063</v>
      </c>
      <c r="E83" s="2100">
        <v>1670</v>
      </c>
      <c r="F83" s="1109" t="s">
        <v>2557</v>
      </c>
    </row>
    <row r="84" spans="4:6" ht="12.95" customHeight="1" outlineLevel="1">
      <c r="D84" s="1114" t="s">
        <v>3652</v>
      </c>
      <c r="E84" s="2099">
        <v>1669</v>
      </c>
      <c r="F84" s="1115" t="s">
        <v>2259</v>
      </c>
    </row>
    <row r="85" spans="4:6" ht="12.95" customHeight="1" outlineLevel="1">
      <c r="D85" s="1108" t="s">
        <v>1053</v>
      </c>
      <c r="E85" s="2100">
        <v>1589</v>
      </c>
      <c r="F85" s="1109" t="s">
        <v>626</v>
      </c>
    </row>
    <row r="86" spans="4:6" ht="12.95" customHeight="1" outlineLevel="1">
      <c r="D86" s="1114" t="s">
        <v>1054</v>
      </c>
      <c r="E86" s="2099">
        <v>1547</v>
      </c>
      <c r="F86" s="1115" t="s">
        <v>626</v>
      </c>
    </row>
    <row r="87" spans="4:6" ht="12.95" customHeight="1" outlineLevel="1">
      <c r="D87" s="1108" t="s">
        <v>3466</v>
      </c>
      <c r="E87" s="2100">
        <v>1518</v>
      </c>
      <c r="F87" s="1109" t="s">
        <v>628</v>
      </c>
    </row>
    <row r="88" spans="4:6" ht="12.95" customHeight="1" outlineLevel="1">
      <c r="D88" s="1114" t="s">
        <v>150</v>
      </c>
      <c r="E88" s="2099">
        <v>1443</v>
      </c>
      <c r="F88" s="1115" t="s">
        <v>627</v>
      </c>
    </row>
    <row r="89" spans="4:6" ht="12.95" customHeight="1" outlineLevel="1">
      <c r="D89" s="1108" t="s">
        <v>614</v>
      </c>
      <c r="E89" s="2100">
        <v>1350</v>
      </c>
      <c r="F89" s="1109" t="s">
        <v>628</v>
      </c>
    </row>
    <row r="90" spans="4:6" ht="12.95" customHeight="1" outlineLevel="1">
      <c r="D90" s="1114" t="s">
        <v>1062</v>
      </c>
      <c r="E90" s="2099">
        <v>1266</v>
      </c>
      <c r="F90" s="1115" t="s">
        <v>627</v>
      </c>
    </row>
    <row r="91" spans="4:6" ht="12.95" customHeight="1" outlineLevel="1">
      <c r="D91" s="1108" t="s">
        <v>1521</v>
      </c>
      <c r="E91" s="2100">
        <v>1224</v>
      </c>
      <c r="F91" s="1109" t="s">
        <v>2557</v>
      </c>
    </row>
    <row r="92" spans="4:6" ht="12.95" customHeight="1" outlineLevel="1">
      <c r="D92" s="1114" t="s">
        <v>1063</v>
      </c>
      <c r="E92" s="2099">
        <v>1210</v>
      </c>
      <c r="F92" s="1115" t="s">
        <v>728</v>
      </c>
    </row>
    <row r="93" spans="4:6" ht="12.95" customHeight="1" outlineLevel="1">
      <c r="D93" s="1108" t="s">
        <v>149</v>
      </c>
      <c r="E93" s="2100">
        <v>1106</v>
      </c>
      <c r="F93" s="1109" t="s">
        <v>627</v>
      </c>
    </row>
    <row r="94" spans="4:6" ht="12.95" customHeight="1" outlineLevel="1">
      <c r="D94" s="1114" t="s">
        <v>5301</v>
      </c>
      <c r="E94" s="2099">
        <v>1079</v>
      </c>
      <c r="F94" s="1115" t="s">
        <v>625</v>
      </c>
    </row>
    <row r="95" spans="4:6" ht="12.95" customHeight="1" outlineLevel="1">
      <c r="D95" s="1108" t="s">
        <v>3461</v>
      </c>
      <c r="E95" s="2100">
        <v>1068</v>
      </c>
      <c r="F95" s="1109" t="s">
        <v>626</v>
      </c>
    </row>
    <row r="96" spans="4:6" ht="12.95" customHeight="1" outlineLevel="1">
      <c r="D96" s="1114" t="s">
        <v>613</v>
      </c>
      <c r="E96" s="2099">
        <v>1028</v>
      </c>
      <c r="F96" s="1115" t="s">
        <v>628</v>
      </c>
    </row>
    <row r="97" spans="4:6" ht="12.95" customHeight="1" outlineLevel="1">
      <c r="D97" s="1108" t="s">
        <v>1309</v>
      </c>
      <c r="E97" s="2100">
        <v>1027</v>
      </c>
      <c r="F97" s="1109" t="s">
        <v>627</v>
      </c>
    </row>
    <row r="98" spans="4:6" ht="12.95" customHeight="1" outlineLevel="1">
      <c r="D98" s="1114" t="s">
        <v>640</v>
      </c>
      <c r="E98" s="2099">
        <v>1024</v>
      </c>
      <c r="F98" s="1115" t="s">
        <v>728</v>
      </c>
    </row>
    <row r="99" spans="4:6" ht="12.95" customHeight="1" outlineLevel="1">
      <c r="D99" s="1108" t="s">
        <v>3452</v>
      </c>
      <c r="E99" s="2100">
        <v>942</v>
      </c>
      <c r="F99" s="1109" t="s">
        <v>2141</v>
      </c>
    </row>
    <row r="100" spans="4:6" ht="12.95" customHeight="1" outlineLevel="1">
      <c r="D100" s="1114" t="s">
        <v>641</v>
      </c>
      <c r="E100" s="2099">
        <v>890</v>
      </c>
      <c r="F100" s="1115" t="s">
        <v>628</v>
      </c>
    </row>
    <row r="101" spans="4:6" ht="12.95" customHeight="1" outlineLevel="1">
      <c r="D101" s="1108" t="s">
        <v>3062</v>
      </c>
      <c r="E101" s="2100">
        <v>884</v>
      </c>
      <c r="F101" s="1109" t="s">
        <v>2141</v>
      </c>
    </row>
    <row r="102" spans="4:6" ht="12.95" customHeight="1" outlineLevel="1">
      <c r="D102" s="1114" t="s">
        <v>642</v>
      </c>
      <c r="E102" s="2099">
        <v>848</v>
      </c>
      <c r="F102" s="1115" t="s">
        <v>625</v>
      </c>
    </row>
    <row r="103" spans="4:6" ht="12.95" customHeight="1" outlineLevel="1">
      <c r="D103" s="1108" t="s">
        <v>643</v>
      </c>
      <c r="E103" s="2100">
        <v>835</v>
      </c>
      <c r="F103" s="1109" t="s">
        <v>626</v>
      </c>
    </row>
    <row r="104" spans="4:6" ht="12.95" customHeight="1" outlineLevel="1">
      <c r="D104" s="1114" t="s">
        <v>3446</v>
      </c>
      <c r="E104" s="2099">
        <v>803</v>
      </c>
      <c r="F104" s="1115" t="s">
        <v>893</v>
      </c>
    </row>
    <row r="105" spans="4:6" ht="12.95" customHeight="1" outlineLevel="1">
      <c r="D105" s="1108" t="s">
        <v>3455</v>
      </c>
      <c r="E105" s="2100">
        <v>783</v>
      </c>
      <c r="F105" s="1109" t="s">
        <v>625</v>
      </c>
    </row>
    <row r="106" spans="4:6" ht="12.95" customHeight="1" outlineLevel="1">
      <c r="D106" s="1114" t="s">
        <v>2534</v>
      </c>
      <c r="E106" s="2099">
        <v>775</v>
      </c>
      <c r="F106" s="1115" t="s">
        <v>728</v>
      </c>
    </row>
    <row r="107" spans="4:6" ht="12.95" customHeight="1" outlineLevel="1">
      <c r="D107" s="1108" t="s">
        <v>1520</v>
      </c>
      <c r="E107" s="2100">
        <v>765</v>
      </c>
      <c r="F107" s="1109" t="s">
        <v>2557</v>
      </c>
    </row>
    <row r="108" spans="4:6" ht="12.95" customHeight="1" outlineLevel="1">
      <c r="D108" s="1114" t="s">
        <v>1644</v>
      </c>
      <c r="E108" s="2099">
        <v>750</v>
      </c>
      <c r="F108" s="1115" t="s">
        <v>2156</v>
      </c>
    </row>
    <row r="109" spans="4:6" ht="12.95" customHeight="1" outlineLevel="1">
      <c r="D109" s="1108" t="s">
        <v>2545</v>
      </c>
      <c r="E109" s="2100">
        <v>714</v>
      </c>
      <c r="F109" s="1109" t="s">
        <v>628</v>
      </c>
    </row>
    <row r="110" spans="4:6" ht="12.95" customHeight="1" outlineLevel="1">
      <c r="D110" s="1114" t="s">
        <v>3451</v>
      </c>
      <c r="E110" s="2099">
        <v>680</v>
      </c>
      <c r="F110" s="1115" t="s">
        <v>2141</v>
      </c>
    </row>
    <row r="111" spans="4:6" ht="12.95" customHeight="1" outlineLevel="1">
      <c r="D111" s="1108" t="s">
        <v>3470</v>
      </c>
      <c r="E111" s="2100">
        <v>672</v>
      </c>
      <c r="F111" s="1109" t="s">
        <v>627</v>
      </c>
    </row>
    <row r="112" spans="4:6" ht="12.95" customHeight="1" outlineLevel="1">
      <c r="D112" s="1114" t="s">
        <v>1984</v>
      </c>
      <c r="E112" s="2099">
        <v>600</v>
      </c>
      <c r="F112" s="1115" t="s">
        <v>728</v>
      </c>
    </row>
    <row r="113" spans="4:6" ht="12.95" customHeight="1" outlineLevel="1">
      <c r="D113" s="1108" t="s">
        <v>1645</v>
      </c>
      <c r="E113" s="2100">
        <v>588</v>
      </c>
      <c r="F113" s="1109" t="s">
        <v>2156</v>
      </c>
    </row>
    <row r="114" spans="4:6" ht="12.95" customHeight="1" outlineLevel="1">
      <c r="D114" s="1114" t="s">
        <v>644</v>
      </c>
      <c r="E114" s="2099">
        <v>585</v>
      </c>
      <c r="F114" s="1115" t="s">
        <v>728</v>
      </c>
    </row>
    <row r="115" spans="4:6" ht="12.95" customHeight="1" outlineLevel="1">
      <c r="D115" s="1108" t="s">
        <v>3460</v>
      </c>
      <c r="E115" s="2100">
        <v>577</v>
      </c>
      <c r="F115" s="1109" t="s">
        <v>626</v>
      </c>
    </row>
    <row r="116" spans="4:6" ht="12.95" customHeight="1" outlineLevel="1">
      <c r="D116" s="1114" t="s">
        <v>1817</v>
      </c>
      <c r="E116" s="2099">
        <v>570</v>
      </c>
      <c r="F116" s="1115" t="s">
        <v>2141</v>
      </c>
    </row>
    <row r="117" spans="4:6" ht="12.95" customHeight="1" outlineLevel="1">
      <c r="D117" s="1108" t="s">
        <v>895</v>
      </c>
      <c r="E117" s="2100">
        <v>555</v>
      </c>
      <c r="F117" s="1109" t="s">
        <v>625</v>
      </c>
    </row>
    <row r="118" spans="4:6" ht="12.95" customHeight="1" outlineLevel="1">
      <c r="D118" s="1114" t="s">
        <v>1947</v>
      </c>
      <c r="E118" s="2099">
        <v>552</v>
      </c>
      <c r="F118" s="1115" t="s">
        <v>628</v>
      </c>
    </row>
    <row r="119" spans="4:6" ht="12.95" customHeight="1" outlineLevel="1">
      <c r="D119" s="1108" t="s">
        <v>900</v>
      </c>
      <c r="E119" s="2100">
        <v>532</v>
      </c>
      <c r="F119" s="1109" t="s">
        <v>893</v>
      </c>
    </row>
    <row r="120" spans="4:6" ht="12.95" customHeight="1" outlineLevel="1">
      <c r="D120" s="1114" t="s">
        <v>1949</v>
      </c>
      <c r="E120" s="2099">
        <v>518</v>
      </c>
      <c r="F120" s="1115" t="s">
        <v>893</v>
      </c>
    </row>
    <row r="121" spans="4:6" ht="12.95" customHeight="1" outlineLevel="1">
      <c r="D121" s="1108" t="s">
        <v>3445</v>
      </c>
      <c r="E121" s="2100">
        <v>517</v>
      </c>
      <c r="F121" s="1109" t="s">
        <v>893</v>
      </c>
    </row>
    <row r="122" spans="4:6" ht="12.95" customHeight="1" outlineLevel="1">
      <c r="D122" s="1114" t="s">
        <v>490</v>
      </c>
      <c r="E122" s="2099">
        <v>517</v>
      </c>
      <c r="F122" s="1115" t="s">
        <v>626</v>
      </c>
    </row>
    <row r="123" spans="4:6" ht="12.95" customHeight="1" outlineLevel="1">
      <c r="D123" s="1108" t="s">
        <v>3653</v>
      </c>
      <c r="E123" s="2100">
        <v>490</v>
      </c>
      <c r="F123" s="1109" t="s">
        <v>2259</v>
      </c>
    </row>
    <row r="124" spans="4:6" ht="12.95" customHeight="1" outlineLevel="1">
      <c r="D124" s="1114" t="s">
        <v>3654</v>
      </c>
      <c r="E124" s="2099">
        <v>486</v>
      </c>
      <c r="F124" s="1115" t="s">
        <v>2259</v>
      </c>
    </row>
    <row r="125" spans="4:6" ht="12.95" customHeight="1" outlineLevel="1">
      <c r="D125" s="1108" t="s">
        <v>1948</v>
      </c>
      <c r="E125" s="2100">
        <v>485</v>
      </c>
      <c r="F125" s="1109" t="s">
        <v>2156</v>
      </c>
    </row>
    <row r="126" spans="4:6" ht="12.95" customHeight="1" outlineLevel="1">
      <c r="D126" s="1114" t="s">
        <v>1519</v>
      </c>
      <c r="E126" s="2099">
        <v>480</v>
      </c>
      <c r="F126" s="1115" t="s">
        <v>2557</v>
      </c>
    </row>
    <row r="127" spans="4:6" ht="12.95" customHeight="1" outlineLevel="1">
      <c r="D127" s="1108" t="s">
        <v>3655</v>
      </c>
      <c r="E127" s="2100">
        <v>470</v>
      </c>
      <c r="F127" s="1109" t="s">
        <v>2259</v>
      </c>
    </row>
    <row r="128" spans="4:6" ht="12.95" customHeight="1" outlineLevel="1">
      <c r="D128" s="1114" t="s">
        <v>3656</v>
      </c>
      <c r="E128" s="2099">
        <v>448</v>
      </c>
      <c r="F128" s="1115" t="s">
        <v>2156</v>
      </c>
    </row>
    <row r="129" spans="4:6" ht="12.95" customHeight="1" outlineLevel="1">
      <c r="D129" s="1108" t="s">
        <v>2152</v>
      </c>
      <c r="E129" s="2100">
        <v>445</v>
      </c>
      <c r="F129" s="1109" t="s">
        <v>2156</v>
      </c>
    </row>
    <row r="130" spans="4:6" ht="12.95" customHeight="1" outlineLevel="1">
      <c r="D130" s="1114" t="s">
        <v>1686</v>
      </c>
      <c r="E130" s="2099">
        <v>445</v>
      </c>
      <c r="F130" s="1115" t="s">
        <v>2557</v>
      </c>
    </row>
    <row r="131" spans="4:6" ht="12.95" customHeight="1" outlineLevel="1">
      <c r="D131" s="1108" t="s">
        <v>2322</v>
      </c>
      <c r="E131" s="2100">
        <v>416</v>
      </c>
      <c r="F131" s="1109" t="s">
        <v>627</v>
      </c>
    </row>
    <row r="132" spans="4:6" ht="12.95" customHeight="1" outlineLevel="1">
      <c r="D132" s="1114" t="s">
        <v>3450</v>
      </c>
      <c r="E132" s="2099">
        <v>412</v>
      </c>
      <c r="F132" s="1115" t="s">
        <v>2141</v>
      </c>
    </row>
    <row r="133" spans="4:6" ht="12.95" customHeight="1" outlineLevel="1">
      <c r="D133" s="1108" t="s">
        <v>2323</v>
      </c>
      <c r="E133" s="2100">
        <v>392</v>
      </c>
      <c r="F133" s="1109" t="s">
        <v>2557</v>
      </c>
    </row>
    <row r="134" spans="4:6" ht="12.95" customHeight="1" outlineLevel="1">
      <c r="D134" s="1114" t="s">
        <v>3657</v>
      </c>
      <c r="E134" s="2099">
        <v>380</v>
      </c>
      <c r="F134" s="1115" t="s">
        <v>2259</v>
      </c>
    </row>
    <row r="135" spans="4:6" ht="12.95" customHeight="1" outlineLevel="1">
      <c r="D135" s="1108" t="s">
        <v>3459</v>
      </c>
      <c r="E135" s="2100">
        <v>367</v>
      </c>
      <c r="F135" s="1109" t="s">
        <v>626</v>
      </c>
    </row>
    <row r="136" spans="4:6" ht="12.95" customHeight="1" outlineLevel="1">
      <c r="D136" s="1114" t="s">
        <v>1518</v>
      </c>
      <c r="E136" s="2099">
        <v>357</v>
      </c>
      <c r="F136" s="1115" t="s">
        <v>2557</v>
      </c>
    </row>
    <row r="137" spans="4:6" ht="12.95" customHeight="1" outlineLevel="1">
      <c r="D137" s="1108" t="s">
        <v>2846</v>
      </c>
      <c r="E137" s="2100">
        <v>356</v>
      </c>
      <c r="F137" s="1109" t="s">
        <v>2259</v>
      </c>
    </row>
    <row r="138" spans="4:6" ht="12.95" customHeight="1" outlineLevel="1">
      <c r="D138" s="1114" t="s">
        <v>2324</v>
      </c>
      <c r="E138" s="2099">
        <v>351</v>
      </c>
      <c r="F138" s="1115" t="s">
        <v>2156</v>
      </c>
    </row>
    <row r="139" spans="4:6" ht="12.95" customHeight="1" outlineLevel="1">
      <c r="D139" s="1108" t="s">
        <v>100</v>
      </c>
      <c r="E139" s="2100">
        <v>345</v>
      </c>
      <c r="F139" s="1109" t="s">
        <v>2259</v>
      </c>
    </row>
    <row r="140" spans="4:6" ht="12.95" customHeight="1" outlineLevel="1">
      <c r="D140" s="1114" t="s">
        <v>901</v>
      </c>
      <c r="E140" s="2099">
        <v>345</v>
      </c>
      <c r="F140" s="1115" t="s">
        <v>728</v>
      </c>
    </row>
    <row r="141" spans="4:6" ht="12.95" customHeight="1" outlineLevel="1">
      <c r="D141" s="1108" t="s">
        <v>2325</v>
      </c>
      <c r="E141" s="2100">
        <v>336</v>
      </c>
      <c r="F141" s="1109" t="s">
        <v>626</v>
      </c>
    </row>
    <row r="142" spans="4:6" ht="12.95" customHeight="1" outlineLevel="1">
      <c r="D142" s="1114" t="s">
        <v>840</v>
      </c>
      <c r="E142" s="2099">
        <v>331</v>
      </c>
      <c r="F142" s="1115" t="s">
        <v>893</v>
      </c>
    </row>
    <row r="143" spans="4:6" ht="12.95" customHeight="1" outlineLevel="1">
      <c r="D143" s="1108" t="s">
        <v>3658</v>
      </c>
      <c r="E143" s="2100">
        <v>330</v>
      </c>
      <c r="F143" s="1109" t="s">
        <v>2259</v>
      </c>
    </row>
    <row r="144" spans="4:6" ht="12.95" customHeight="1" outlineLevel="1">
      <c r="D144" s="1114" t="s">
        <v>1619</v>
      </c>
      <c r="E144" s="2099">
        <v>315</v>
      </c>
      <c r="F144" s="1115" t="s">
        <v>625</v>
      </c>
    </row>
    <row r="145" spans="4:6" ht="12.95" customHeight="1" outlineLevel="1">
      <c r="D145" s="1108" t="s">
        <v>3659</v>
      </c>
      <c r="E145" s="2100">
        <v>315</v>
      </c>
      <c r="F145" s="1109" t="s">
        <v>2259</v>
      </c>
    </row>
    <row r="146" spans="4:6" ht="12.95" customHeight="1" outlineLevel="1">
      <c r="D146" s="1114" t="s">
        <v>612</v>
      </c>
      <c r="E146" s="2099">
        <v>312</v>
      </c>
      <c r="F146" s="1115" t="s">
        <v>628</v>
      </c>
    </row>
    <row r="147" spans="4:6" ht="12.95" customHeight="1" outlineLevel="1">
      <c r="D147" s="1108" t="s">
        <v>1596</v>
      </c>
      <c r="E147" s="2100">
        <v>270</v>
      </c>
      <c r="F147" s="1109" t="s">
        <v>728</v>
      </c>
    </row>
    <row r="148" spans="4:6" ht="12.95" customHeight="1" outlineLevel="1">
      <c r="D148" s="1114" t="s">
        <v>1595</v>
      </c>
      <c r="E148" s="2099">
        <v>268</v>
      </c>
      <c r="F148" s="1115" t="s">
        <v>628</v>
      </c>
    </row>
    <row r="149" spans="4:6" ht="12.95" customHeight="1" outlineLevel="1">
      <c r="D149" s="1108" t="s">
        <v>1594</v>
      </c>
      <c r="E149" s="2100">
        <v>252</v>
      </c>
      <c r="F149" s="1109" t="s">
        <v>625</v>
      </c>
    </row>
    <row r="150" spans="4:6" ht="12.95" customHeight="1" outlineLevel="1">
      <c r="D150" s="1114" t="s">
        <v>2260</v>
      </c>
      <c r="E150" s="2099">
        <v>250</v>
      </c>
      <c r="F150" s="1115" t="s">
        <v>2141</v>
      </c>
    </row>
    <row r="151" spans="4:6" ht="12.95" customHeight="1" outlineLevel="1">
      <c r="D151" s="1108" t="s">
        <v>1593</v>
      </c>
      <c r="E151" s="2100">
        <v>240</v>
      </c>
      <c r="F151" s="1109" t="s">
        <v>2557</v>
      </c>
    </row>
    <row r="152" spans="4:6" ht="12.95" customHeight="1" outlineLevel="1">
      <c r="D152" s="1114" t="s">
        <v>3469</v>
      </c>
      <c r="E152" s="2099">
        <v>240</v>
      </c>
      <c r="F152" s="1115" t="s">
        <v>627</v>
      </c>
    </row>
    <row r="153" spans="4:6" ht="12.95" customHeight="1" outlineLevel="1">
      <c r="D153" s="1108" t="s">
        <v>3458</v>
      </c>
      <c r="E153" s="2100">
        <v>238</v>
      </c>
      <c r="F153" s="1109" t="s">
        <v>626</v>
      </c>
    </row>
    <row r="154" spans="4:6" ht="12.95" customHeight="1" outlineLevel="1">
      <c r="D154" s="1114" t="s">
        <v>2844</v>
      </c>
      <c r="E154" s="2099">
        <v>234</v>
      </c>
      <c r="F154" s="1115" t="s">
        <v>893</v>
      </c>
    </row>
    <row r="155" spans="4:6" ht="12.95" customHeight="1" outlineLevel="1">
      <c r="D155" s="1108" t="s">
        <v>1597</v>
      </c>
      <c r="E155" s="2100">
        <v>209</v>
      </c>
      <c r="F155" s="1109" t="s">
        <v>893</v>
      </c>
    </row>
    <row r="156" spans="4:6" ht="12.95" customHeight="1" outlineLevel="1">
      <c r="D156" s="1114" t="s">
        <v>3468</v>
      </c>
      <c r="E156" s="2099">
        <v>203</v>
      </c>
      <c r="F156" s="1115" t="s">
        <v>627</v>
      </c>
    </row>
    <row r="157" spans="4:6" ht="12.95" customHeight="1" outlineLevel="1">
      <c r="D157" s="1108" t="s">
        <v>3660</v>
      </c>
      <c r="E157" s="2100">
        <v>201</v>
      </c>
      <c r="F157" s="1109" t="s">
        <v>2141</v>
      </c>
    </row>
    <row r="158" spans="4:6" ht="12.95" customHeight="1" outlineLevel="1">
      <c r="D158" s="1114" t="s">
        <v>372</v>
      </c>
      <c r="E158" s="2099">
        <v>192</v>
      </c>
      <c r="F158" s="1115" t="s">
        <v>627</v>
      </c>
    </row>
    <row r="159" spans="4:6" ht="12.95" customHeight="1" outlineLevel="1">
      <c r="D159" s="1108" t="s">
        <v>343</v>
      </c>
      <c r="E159" s="2100">
        <v>184</v>
      </c>
      <c r="F159" s="1109" t="s">
        <v>2156</v>
      </c>
    </row>
    <row r="160" spans="4:6" ht="12.95" customHeight="1" outlineLevel="1">
      <c r="D160" s="1114" t="s">
        <v>5930</v>
      </c>
      <c r="E160" s="2099">
        <v>165</v>
      </c>
      <c r="F160" s="1115" t="s">
        <v>2141</v>
      </c>
    </row>
    <row r="161" spans="4:6" ht="12.95" customHeight="1" outlineLevel="1">
      <c r="D161" s="1108" t="s">
        <v>375</v>
      </c>
      <c r="E161" s="2100">
        <v>159</v>
      </c>
      <c r="F161" s="1109" t="s">
        <v>2557</v>
      </c>
    </row>
    <row r="162" spans="4:6" ht="12.95" customHeight="1" outlineLevel="1">
      <c r="D162" s="1114" t="s">
        <v>3465</v>
      </c>
      <c r="E162" s="2099">
        <v>156</v>
      </c>
      <c r="F162" s="1115" t="s">
        <v>628</v>
      </c>
    </row>
    <row r="163" spans="4:6" ht="12.95" customHeight="1" outlineLevel="1">
      <c r="D163" s="1108" t="s">
        <v>377</v>
      </c>
      <c r="E163" s="2100">
        <v>154</v>
      </c>
      <c r="F163" s="1109" t="s">
        <v>626</v>
      </c>
    </row>
    <row r="164" spans="4:6" ht="12.95" customHeight="1" outlineLevel="1">
      <c r="D164" s="1114" t="s">
        <v>5931</v>
      </c>
      <c r="E164" s="2099">
        <v>145</v>
      </c>
      <c r="F164" s="1115" t="s">
        <v>728</v>
      </c>
    </row>
    <row r="165" spans="4:6" ht="12.95" customHeight="1" outlineLevel="1">
      <c r="D165" s="1108" t="s">
        <v>374</v>
      </c>
      <c r="E165" s="2100">
        <v>138</v>
      </c>
      <c r="F165" s="1109" t="s">
        <v>893</v>
      </c>
    </row>
    <row r="166" spans="4:6" ht="12.95" customHeight="1" outlineLevel="1">
      <c r="D166" s="1114" t="s">
        <v>3444</v>
      </c>
      <c r="E166" s="2099">
        <v>138</v>
      </c>
      <c r="F166" s="1115" t="s">
        <v>893</v>
      </c>
    </row>
    <row r="167" spans="4:6" ht="12.95" customHeight="1" outlineLevel="1">
      <c r="D167" s="1108" t="s">
        <v>379</v>
      </c>
      <c r="E167" s="2100">
        <v>135</v>
      </c>
      <c r="F167" s="1109" t="s">
        <v>728</v>
      </c>
    </row>
    <row r="168" spans="4:6" ht="12.95" customHeight="1" outlineLevel="1">
      <c r="D168" s="1114" t="s">
        <v>3467</v>
      </c>
      <c r="E168" s="2099">
        <v>130</v>
      </c>
      <c r="F168" s="1115" t="s">
        <v>627</v>
      </c>
    </row>
    <row r="169" spans="4:6" ht="12.95" customHeight="1" outlineLevel="1">
      <c r="D169" s="1108" t="s">
        <v>376</v>
      </c>
      <c r="E169" s="2100">
        <v>128</v>
      </c>
      <c r="F169" s="1109" t="s">
        <v>625</v>
      </c>
    </row>
    <row r="170" spans="4:6" ht="12.95" customHeight="1" outlineLevel="1">
      <c r="D170" s="1114" t="s">
        <v>373</v>
      </c>
      <c r="E170" s="2099">
        <v>126</v>
      </c>
      <c r="F170" s="1115" t="s">
        <v>2156</v>
      </c>
    </row>
    <row r="171" spans="4:6" ht="12.95" customHeight="1" outlineLevel="1">
      <c r="D171" s="1108" t="s">
        <v>378</v>
      </c>
      <c r="E171" s="2100">
        <v>126</v>
      </c>
      <c r="F171" s="1109" t="s">
        <v>628</v>
      </c>
    </row>
    <row r="172" spans="4:6" ht="12.95" customHeight="1" outlineLevel="1">
      <c r="D172" s="1114" t="s">
        <v>2233</v>
      </c>
      <c r="E172" s="2099">
        <v>115</v>
      </c>
      <c r="F172" s="1115" t="s">
        <v>2156</v>
      </c>
    </row>
    <row r="173" spans="4:6" ht="12.95" customHeight="1" outlineLevel="1">
      <c r="D173" s="1108" t="s">
        <v>2234</v>
      </c>
      <c r="E173" s="2100">
        <v>100</v>
      </c>
      <c r="F173" s="1109" t="s">
        <v>893</v>
      </c>
    </row>
    <row r="174" spans="4:6" ht="12.95" customHeight="1" outlineLevel="1">
      <c r="D174" s="1114" t="s">
        <v>2528</v>
      </c>
      <c r="E174" s="2099">
        <v>98</v>
      </c>
      <c r="F174" s="1115" t="s">
        <v>625</v>
      </c>
    </row>
    <row r="175" spans="4:6" ht="12.95" customHeight="1" outlineLevel="1">
      <c r="D175" s="1108" t="s">
        <v>1531</v>
      </c>
      <c r="E175" s="2100">
        <v>95</v>
      </c>
      <c r="F175" s="1109" t="s">
        <v>2259</v>
      </c>
    </row>
    <row r="176" spans="4:6" ht="12.95" customHeight="1" outlineLevel="1">
      <c r="D176" s="1114" t="s">
        <v>3464</v>
      </c>
      <c r="E176" s="2099">
        <v>90</v>
      </c>
      <c r="F176" s="1115" t="s">
        <v>628</v>
      </c>
    </row>
    <row r="177" spans="4:6" ht="12.95" customHeight="1" outlineLevel="1">
      <c r="D177" s="1108" t="s">
        <v>3454</v>
      </c>
      <c r="E177" s="2100">
        <v>85</v>
      </c>
      <c r="F177" s="1109" t="s">
        <v>625</v>
      </c>
    </row>
    <row r="178" spans="4:6" ht="12.95" customHeight="1" outlineLevel="1">
      <c r="D178" s="1114" t="s">
        <v>1721</v>
      </c>
      <c r="E178" s="2099">
        <v>84</v>
      </c>
      <c r="F178" s="1115" t="s">
        <v>626</v>
      </c>
    </row>
    <row r="179" spans="4:6" ht="12.95" customHeight="1" outlineLevel="1">
      <c r="D179" s="1108" t="s">
        <v>2232</v>
      </c>
      <c r="E179" s="2100">
        <v>80</v>
      </c>
      <c r="F179" s="1109" t="s">
        <v>2156</v>
      </c>
    </row>
    <row r="180" spans="4:6" ht="12.95" customHeight="1" outlineLevel="1">
      <c r="D180" s="1114" t="s">
        <v>1539</v>
      </c>
      <c r="E180" s="2099">
        <v>78</v>
      </c>
      <c r="F180" s="1115" t="s">
        <v>627</v>
      </c>
    </row>
    <row r="181" spans="4:6" ht="12.95" customHeight="1" outlineLevel="1">
      <c r="D181" s="1108" t="s">
        <v>2014</v>
      </c>
      <c r="E181" s="2100">
        <v>75</v>
      </c>
      <c r="F181" s="1109" t="s">
        <v>728</v>
      </c>
    </row>
    <row r="182" spans="4:6" ht="12.95" customHeight="1" outlineLevel="1">
      <c r="D182" s="1114" t="s">
        <v>1533</v>
      </c>
      <c r="E182" s="2099">
        <v>66</v>
      </c>
      <c r="F182" s="1115" t="s">
        <v>2141</v>
      </c>
    </row>
    <row r="183" spans="4:6" ht="12.95" customHeight="1" outlineLevel="1">
      <c r="D183" s="1108" t="s">
        <v>1536</v>
      </c>
      <c r="E183" s="2100">
        <v>60</v>
      </c>
      <c r="F183" s="1109" t="s">
        <v>625</v>
      </c>
    </row>
    <row r="184" spans="4:6" ht="12.95" customHeight="1" outlineLevel="1">
      <c r="D184" s="1114" t="s">
        <v>1535</v>
      </c>
      <c r="E184" s="2099">
        <v>60</v>
      </c>
      <c r="F184" s="1115" t="s">
        <v>2557</v>
      </c>
    </row>
    <row r="185" spans="4:6" ht="12.95" customHeight="1" outlineLevel="1">
      <c r="D185" s="1108" t="s">
        <v>1538</v>
      </c>
      <c r="E185" s="2100">
        <v>60</v>
      </c>
      <c r="F185" s="1109" t="s">
        <v>627</v>
      </c>
    </row>
    <row r="186" spans="4:6" ht="12.95" customHeight="1" outlineLevel="1">
      <c r="D186" s="1114" t="s">
        <v>1537</v>
      </c>
      <c r="E186" s="2099">
        <v>59</v>
      </c>
      <c r="F186" s="1115" t="s">
        <v>626</v>
      </c>
    </row>
    <row r="187" spans="4:6" ht="12.95" customHeight="1" outlineLevel="1">
      <c r="D187" s="1108" t="s">
        <v>1540</v>
      </c>
      <c r="E187" s="2100">
        <v>56</v>
      </c>
      <c r="F187" s="1109" t="s">
        <v>628</v>
      </c>
    </row>
    <row r="188" spans="4:6" ht="12.95" customHeight="1" outlineLevel="1">
      <c r="D188" s="1114" t="s">
        <v>2663</v>
      </c>
      <c r="E188" s="2099">
        <v>55</v>
      </c>
      <c r="F188" s="1115" t="s">
        <v>2259</v>
      </c>
    </row>
    <row r="189" spans="4:6" ht="12.95" customHeight="1" outlineLevel="1">
      <c r="D189" s="1108" t="s">
        <v>1534</v>
      </c>
      <c r="E189" s="2100">
        <v>50</v>
      </c>
      <c r="F189" s="1109" t="s">
        <v>2557</v>
      </c>
    </row>
    <row r="190" spans="4:6" ht="12.95" customHeight="1" outlineLevel="1">
      <c r="D190" s="1114" t="s">
        <v>1532</v>
      </c>
      <c r="E190" s="2099">
        <v>44</v>
      </c>
      <c r="F190" s="1115" t="s">
        <v>2141</v>
      </c>
    </row>
    <row r="191" spans="4:6" ht="12.95" customHeight="1" outlineLevel="1" thickBot="1">
      <c r="D191" s="1110" t="s">
        <v>2015</v>
      </c>
      <c r="E191" s="2101">
        <v>15</v>
      </c>
      <c r="F191" s="1112" t="s">
        <v>728</v>
      </c>
    </row>
  </sheetData>
  <sheetProtection autoFilter="0"/>
  <autoFilter ref="D50:F50"/>
  <mergeCells count="20">
    <mergeCell ref="C1:K1"/>
    <mergeCell ref="B3:K3"/>
    <mergeCell ref="B4:K4"/>
    <mergeCell ref="B45:D45"/>
    <mergeCell ref="B47:K47"/>
    <mergeCell ref="H6:I6"/>
    <mergeCell ref="B23:C23"/>
    <mergeCell ref="D23:E23"/>
    <mergeCell ref="H23:I23"/>
    <mergeCell ref="J23:K23"/>
    <mergeCell ref="F23:G23"/>
    <mergeCell ref="B40:E40"/>
    <mergeCell ref="B41:D41"/>
    <mergeCell ref="B42:D42"/>
    <mergeCell ref="B43:D43"/>
    <mergeCell ref="B44:D44"/>
    <mergeCell ref="F6:G6"/>
    <mergeCell ref="J6:K6"/>
    <mergeCell ref="D6:E6"/>
    <mergeCell ref="B6:C6"/>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91" orientation="landscape" r:id="rId1"/>
  <headerFooter alignWithMargins="0"/>
  <rowBreaks count="5" manualBreakCount="5">
    <brk id="38" max="10" man="1"/>
    <brk id="76" max="10" man="1"/>
    <brk id="113" max="10" man="1"/>
    <brk id="151" max="10" man="1"/>
    <brk id="191" max="16" man="1"/>
  </rowBreaks>
</worksheet>
</file>

<file path=xl/worksheets/sheet44.xml><?xml version="1.0" encoding="utf-8"?>
<worksheet xmlns="http://schemas.openxmlformats.org/spreadsheetml/2006/main" xmlns:r="http://schemas.openxmlformats.org/officeDocument/2006/relationships">
  <dimension ref="B1:E32"/>
  <sheetViews>
    <sheetView zoomScaleNormal="100" workbookViewId="0">
      <pane ySplit="4" topLeftCell="A5" activePane="bottomLeft" state="frozen"/>
      <selection pane="bottomLeft" activeCell="B1" sqref="B1"/>
    </sheetView>
  </sheetViews>
  <sheetFormatPr defaultRowHeight="12.95" customHeight="1"/>
  <cols>
    <col min="1" max="1" width="3.7109375" style="377" customWidth="1"/>
    <col min="2" max="5" width="30.7109375" style="377" customWidth="1"/>
    <col min="6" max="16384" width="9.140625" style="377"/>
  </cols>
  <sheetData>
    <row r="1" spans="2:5" s="952" customFormat="1" ht="12.95" customHeight="1">
      <c r="B1" s="987" t="s">
        <v>2706</v>
      </c>
      <c r="C1" s="3195" t="s">
        <v>8269</v>
      </c>
      <c r="D1" s="3195"/>
      <c r="E1" s="3195"/>
    </row>
    <row r="2" spans="2:5" s="292" customFormat="1" ht="5.0999999999999996" customHeight="1"/>
    <row r="3" spans="2:5" ht="12.95" customHeight="1">
      <c r="B3" s="3266" t="s">
        <v>3661</v>
      </c>
      <c r="C3" s="3266"/>
      <c r="D3" s="3266"/>
      <c r="E3" s="3266"/>
    </row>
    <row r="4" spans="2:5" ht="5.0999999999999996" customHeight="1">
      <c r="B4" s="379"/>
      <c r="C4" s="379"/>
      <c r="D4" s="379"/>
    </row>
    <row r="5" spans="2:5" ht="26.1" customHeight="1">
      <c r="B5" s="2984" t="s">
        <v>8978</v>
      </c>
      <c r="C5" s="2984"/>
      <c r="D5" s="2984"/>
      <c r="E5" s="2984"/>
    </row>
    <row r="6" spans="2:5" ht="26.1" customHeight="1">
      <c r="B6" s="2984" t="s">
        <v>8979</v>
      </c>
      <c r="C6" s="2984"/>
      <c r="D6" s="2984"/>
      <c r="E6" s="2984"/>
    </row>
    <row r="7" spans="2:5" ht="26.1" customHeight="1">
      <c r="B7" s="2984" t="s">
        <v>8980</v>
      </c>
      <c r="C7" s="2984"/>
      <c r="D7" s="2984"/>
      <c r="E7" s="2984"/>
    </row>
    <row r="8" spans="2:5" ht="26.1" customHeight="1">
      <c r="B8" s="2984" t="s">
        <v>8981</v>
      </c>
      <c r="C8" s="2984"/>
      <c r="D8" s="2984"/>
      <c r="E8" s="2984"/>
    </row>
    <row r="9" spans="2:5" ht="12.95" customHeight="1">
      <c r="B9" s="2984" t="s">
        <v>8982</v>
      </c>
      <c r="C9" s="2984"/>
      <c r="D9" s="2984"/>
      <c r="E9" s="2984"/>
    </row>
    <row r="10" spans="2:5" ht="12.95" customHeight="1">
      <c r="B10" s="2984" t="s">
        <v>8983</v>
      </c>
      <c r="C10" s="2984"/>
      <c r="D10" s="2984"/>
      <c r="E10" s="2984"/>
    </row>
    <row r="11" spans="2:5" ht="26.1" customHeight="1">
      <c r="B11" s="2984" t="s">
        <v>8984</v>
      </c>
      <c r="C11" s="2984"/>
      <c r="D11" s="2984"/>
      <c r="E11" s="2984"/>
    </row>
    <row r="12" spans="2:5" ht="26.1" customHeight="1">
      <c r="B12" s="2984" t="s">
        <v>8985</v>
      </c>
      <c r="C12" s="2984"/>
      <c r="D12" s="2984"/>
      <c r="E12" s="2984"/>
    </row>
    <row r="13" spans="2:5" ht="5.0999999999999996" customHeight="1" thickBot="1">
      <c r="B13" s="994"/>
      <c r="C13" s="979"/>
      <c r="D13" s="979"/>
      <c r="E13" s="979"/>
    </row>
    <row r="14" spans="2:5" ht="12.95" customHeight="1" thickBot="1">
      <c r="C14" s="3612" t="s">
        <v>3663</v>
      </c>
      <c r="D14" s="3613"/>
    </row>
    <row r="15" spans="2:5" ht="12.95" customHeight="1">
      <c r="C15" s="1095" t="s">
        <v>8</v>
      </c>
      <c r="D15" s="1096" t="s">
        <v>9</v>
      </c>
    </row>
    <row r="16" spans="2:5" ht="12.95" customHeight="1">
      <c r="C16" s="1101" t="s">
        <v>15</v>
      </c>
      <c r="D16" s="1102" t="s">
        <v>16</v>
      </c>
    </row>
    <row r="17" spans="2:5" ht="12.95" customHeight="1">
      <c r="C17" s="1097" t="s">
        <v>2746</v>
      </c>
      <c r="D17" s="1098" t="s">
        <v>2747</v>
      </c>
    </row>
    <row r="18" spans="2:5" ht="12.95" customHeight="1">
      <c r="C18" s="1101" t="s">
        <v>17</v>
      </c>
      <c r="D18" s="1102" t="s">
        <v>18</v>
      </c>
    </row>
    <row r="19" spans="2:5" ht="12.95" customHeight="1">
      <c r="C19" s="1097" t="s">
        <v>23</v>
      </c>
      <c r="D19" s="989" t="s">
        <v>5929</v>
      </c>
    </row>
    <row r="20" spans="2:5" ht="12.95" customHeight="1">
      <c r="C20" s="1101" t="s">
        <v>28</v>
      </c>
      <c r="D20" s="1102" t="s">
        <v>29</v>
      </c>
    </row>
    <row r="21" spans="2:5" ht="12.95" customHeight="1">
      <c r="C21" s="1097" t="s">
        <v>12</v>
      </c>
      <c r="D21" s="989" t="s">
        <v>5302</v>
      </c>
    </row>
    <row r="22" spans="2:5" ht="12.95" customHeight="1">
      <c r="C22" s="1101" t="s">
        <v>2743</v>
      </c>
      <c r="D22" s="1102" t="s">
        <v>2748</v>
      </c>
    </row>
    <row r="23" spans="2:5" ht="12.95" customHeight="1">
      <c r="C23" s="1097" t="s">
        <v>24</v>
      </c>
      <c r="D23" s="1098" t="s">
        <v>25</v>
      </c>
    </row>
    <row r="24" spans="2:5" ht="12.95" customHeight="1">
      <c r="C24" s="1101" t="s">
        <v>2744</v>
      </c>
      <c r="D24" s="1102" t="s">
        <v>2745</v>
      </c>
    </row>
    <row r="25" spans="2:5" ht="12.95" customHeight="1">
      <c r="C25" s="1097" t="s">
        <v>13</v>
      </c>
      <c r="D25" s="1098" t="s">
        <v>14</v>
      </c>
    </row>
    <row r="26" spans="2:5" ht="12.95" customHeight="1">
      <c r="C26" s="1101" t="s">
        <v>10</v>
      </c>
      <c r="D26" s="1102" t="s">
        <v>11</v>
      </c>
    </row>
    <row r="27" spans="2:5" ht="12.95" customHeight="1">
      <c r="C27" s="1097" t="s">
        <v>19</v>
      </c>
      <c r="D27" s="1098" t="s">
        <v>20</v>
      </c>
    </row>
    <row r="28" spans="2:5" ht="12.95" customHeight="1">
      <c r="C28" s="1101" t="s">
        <v>21</v>
      </c>
      <c r="D28" s="1102" t="s">
        <v>22</v>
      </c>
    </row>
    <row r="29" spans="2:5" ht="12.95" customHeight="1" thickBot="1">
      <c r="C29" s="1099" t="s">
        <v>26</v>
      </c>
      <c r="D29" s="1100" t="s">
        <v>27</v>
      </c>
    </row>
    <row r="30" spans="2:5" ht="5.0999999999999996" customHeight="1"/>
    <row r="31" spans="2:5" ht="12.95" customHeight="1">
      <c r="B31" s="2984" t="s">
        <v>8986</v>
      </c>
      <c r="C31" s="2984"/>
      <c r="D31" s="2984"/>
      <c r="E31" s="2984"/>
    </row>
    <row r="32" spans="2:5" ht="26.1" customHeight="1">
      <c r="B32" s="2984" t="s">
        <v>8987</v>
      </c>
      <c r="C32" s="2984"/>
      <c r="D32" s="2984"/>
      <c r="E32" s="2984"/>
    </row>
  </sheetData>
  <sheetProtection autoFilter="0"/>
  <mergeCells count="13">
    <mergeCell ref="C1:E1"/>
    <mergeCell ref="C14:D14"/>
    <mergeCell ref="B9:E9"/>
    <mergeCell ref="B31:E31"/>
    <mergeCell ref="B32:E32"/>
    <mergeCell ref="B11:E11"/>
    <mergeCell ref="B10:E10"/>
    <mergeCell ref="B3:E3"/>
    <mergeCell ref="B6:E6"/>
    <mergeCell ref="B7:E7"/>
    <mergeCell ref="B8:E8"/>
    <mergeCell ref="B5:E5"/>
    <mergeCell ref="B12:E12"/>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45.xml><?xml version="1.0" encoding="utf-8"?>
<worksheet xmlns="http://schemas.openxmlformats.org/spreadsheetml/2006/main" xmlns:r="http://schemas.openxmlformats.org/officeDocument/2006/relationships">
  <dimension ref="B1:I47"/>
  <sheetViews>
    <sheetView zoomScaleNormal="100" workbookViewId="0">
      <pane ySplit="4" topLeftCell="A5" activePane="bottomLeft" state="frozen"/>
      <selection pane="bottomLeft"/>
    </sheetView>
  </sheetViews>
  <sheetFormatPr defaultRowHeight="12.95" customHeight="1"/>
  <cols>
    <col min="1" max="1" width="3.7109375" style="377" customWidth="1"/>
    <col min="2" max="2" width="20.7109375" style="377" customWidth="1"/>
    <col min="3" max="3" width="10.140625" style="377" bestFit="1" customWidth="1"/>
    <col min="4" max="4" width="15.7109375" style="377" customWidth="1"/>
    <col min="5" max="5" width="9" style="377" bestFit="1" customWidth="1"/>
    <col min="6" max="8" width="12.7109375" style="377" customWidth="1"/>
    <col min="9" max="9" width="28.7109375" style="377" customWidth="1"/>
    <col min="10" max="16384" width="9.140625" style="377"/>
  </cols>
  <sheetData>
    <row r="1" spans="2:9" s="952" customFormat="1" ht="12.95" customHeight="1">
      <c r="B1" s="987" t="s">
        <v>2706</v>
      </c>
      <c r="C1" s="3195" t="s">
        <v>8269</v>
      </c>
      <c r="D1" s="3195"/>
      <c r="E1" s="3195"/>
      <c r="F1" s="3195"/>
      <c r="G1" s="3195"/>
      <c r="H1" s="3195"/>
      <c r="I1" s="3195"/>
    </row>
    <row r="2" spans="2:9" s="292" customFormat="1" ht="5.0999999999999996" customHeight="1"/>
    <row r="3" spans="2:9" ht="12.95" customHeight="1">
      <c r="B3" s="3266" t="s">
        <v>3662</v>
      </c>
      <c r="C3" s="3266"/>
      <c r="D3" s="3266"/>
      <c r="E3" s="3266"/>
      <c r="F3" s="3266"/>
      <c r="G3" s="3266"/>
      <c r="H3" s="3266"/>
      <c r="I3" s="3266"/>
    </row>
    <row r="4" spans="2:9" ht="5.0999999999999996" customHeight="1">
      <c r="B4" s="380"/>
      <c r="C4" s="380"/>
      <c r="D4" s="380"/>
      <c r="E4" s="380"/>
      <c r="F4" s="380"/>
      <c r="G4" s="380"/>
      <c r="H4" s="380"/>
      <c r="I4" s="380"/>
    </row>
    <row r="5" spans="2:9" ht="26.1" customHeight="1">
      <c r="B5" s="2984" t="s">
        <v>8988</v>
      </c>
      <c r="C5" s="3253"/>
      <c r="D5" s="3253"/>
      <c r="E5" s="3253"/>
      <c r="F5" s="3253"/>
      <c r="G5" s="3253"/>
      <c r="H5" s="3253"/>
      <c r="I5" s="3253"/>
    </row>
    <row r="6" spans="2:9" ht="12.95" customHeight="1">
      <c r="B6" s="2984" t="s">
        <v>8989</v>
      </c>
      <c r="C6" s="2984"/>
      <c r="D6" s="2984"/>
      <c r="E6" s="2984"/>
      <c r="F6" s="2984"/>
      <c r="G6" s="2984"/>
      <c r="H6" s="2984"/>
      <c r="I6" s="2984"/>
    </row>
    <row r="7" spans="2:9" ht="12.95" customHeight="1" thickBot="1">
      <c r="B7" s="2985" t="s">
        <v>8990</v>
      </c>
      <c r="C7" s="2985"/>
      <c r="D7" s="2985"/>
      <c r="E7" s="2985"/>
      <c r="F7" s="2985"/>
      <c r="G7" s="2985"/>
      <c r="H7" s="2985"/>
      <c r="I7" s="2985"/>
    </row>
    <row r="8" spans="2:9" ht="12.95" customHeight="1">
      <c r="B8" s="3614" t="s">
        <v>3476</v>
      </c>
      <c r="C8" s="3618" t="s">
        <v>1926</v>
      </c>
      <c r="D8" s="3620" t="s">
        <v>310</v>
      </c>
      <c r="E8" s="3622" t="s">
        <v>1571</v>
      </c>
      <c r="F8" s="3624" t="s">
        <v>3623</v>
      </c>
      <c r="G8" s="3624"/>
      <c r="H8" s="3624"/>
      <c r="I8" s="3616" t="s">
        <v>6218</v>
      </c>
    </row>
    <row r="9" spans="2:9" ht="12.95" customHeight="1" thickBot="1">
      <c r="B9" s="3615"/>
      <c r="C9" s="3619"/>
      <c r="D9" s="3621"/>
      <c r="E9" s="3623"/>
      <c r="F9" s="1086" t="s">
        <v>7268</v>
      </c>
      <c r="G9" s="1086" t="s">
        <v>7269</v>
      </c>
      <c r="H9" s="1086" t="s">
        <v>7270</v>
      </c>
      <c r="I9" s="3617"/>
    </row>
    <row r="10" spans="2:9" ht="12.95" customHeight="1">
      <c r="B10" s="1080" t="s">
        <v>2324</v>
      </c>
      <c r="C10" s="1081">
        <v>25</v>
      </c>
      <c r="D10" s="446" t="s">
        <v>2156</v>
      </c>
      <c r="E10" s="457">
        <v>3</v>
      </c>
      <c r="F10" s="1082">
        <v>24</v>
      </c>
      <c r="G10" s="457">
        <v>50</v>
      </c>
      <c r="H10" s="1083">
        <v>36</v>
      </c>
      <c r="I10" s="1084">
        <f t="shared" ref="I10:I22" si="0">H10*C10</f>
        <v>900</v>
      </c>
    </row>
    <row r="11" spans="2:9" ht="12.95" customHeight="1">
      <c r="B11" s="1087" t="s">
        <v>1949</v>
      </c>
      <c r="C11" s="1088">
        <v>30</v>
      </c>
      <c r="D11" s="462" t="s">
        <v>893</v>
      </c>
      <c r="E11" s="463">
        <v>4</v>
      </c>
      <c r="F11" s="1089">
        <v>20</v>
      </c>
      <c r="G11" s="463">
        <v>40</v>
      </c>
      <c r="H11" s="1090">
        <f t="shared" ref="H11:H22" si="1">(F11+G11)/2</f>
        <v>30</v>
      </c>
      <c r="I11" s="464">
        <f t="shared" si="0"/>
        <v>900</v>
      </c>
    </row>
    <row r="12" spans="2:9" ht="12.95" customHeight="1">
      <c r="B12" s="1080" t="s">
        <v>55</v>
      </c>
      <c r="C12" s="1081">
        <v>18</v>
      </c>
      <c r="D12" s="446" t="s">
        <v>625</v>
      </c>
      <c r="E12" s="457">
        <v>3</v>
      </c>
      <c r="F12" s="1082">
        <v>24</v>
      </c>
      <c r="G12" s="1082">
        <v>50</v>
      </c>
      <c r="H12" s="1085">
        <v>36</v>
      </c>
      <c r="I12" s="456">
        <f t="shared" si="0"/>
        <v>648</v>
      </c>
    </row>
    <row r="13" spans="2:9" ht="12.95" customHeight="1">
      <c r="B13" s="1087" t="s">
        <v>377</v>
      </c>
      <c r="C13" s="1088">
        <v>14</v>
      </c>
      <c r="D13" s="462" t="s">
        <v>626</v>
      </c>
      <c r="E13" s="463">
        <v>2</v>
      </c>
      <c r="F13" s="463">
        <v>32</v>
      </c>
      <c r="G13" s="463">
        <v>60</v>
      </c>
      <c r="H13" s="1090">
        <f t="shared" si="1"/>
        <v>46</v>
      </c>
      <c r="I13" s="464">
        <f t="shared" si="0"/>
        <v>644</v>
      </c>
    </row>
    <row r="14" spans="2:9" ht="12.95" customHeight="1">
      <c r="B14" s="1080" t="s">
        <v>378</v>
      </c>
      <c r="C14" s="1081">
        <v>14</v>
      </c>
      <c r="D14" s="446" t="s">
        <v>628</v>
      </c>
      <c r="E14" s="457">
        <v>2</v>
      </c>
      <c r="F14" s="457">
        <v>32</v>
      </c>
      <c r="G14" s="457">
        <v>60</v>
      </c>
      <c r="H14" s="1085">
        <f t="shared" si="1"/>
        <v>46</v>
      </c>
      <c r="I14" s="456">
        <f t="shared" si="0"/>
        <v>644</v>
      </c>
    </row>
    <row r="15" spans="2:9" ht="12.95" customHeight="1">
      <c r="B15" s="1087" t="s">
        <v>1595</v>
      </c>
      <c r="C15" s="1088">
        <v>20</v>
      </c>
      <c r="D15" s="462" t="s">
        <v>628</v>
      </c>
      <c r="E15" s="463">
        <v>3</v>
      </c>
      <c r="F15" s="463">
        <v>24</v>
      </c>
      <c r="G15" s="463">
        <v>50</v>
      </c>
      <c r="H15" s="1091">
        <f t="shared" si="1"/>
        <v>37</v>
      </c>
      <c r="I15" s="464">
        <f t="shared" si="0"/>
        <v>740</v>
      </c>
    </row>
    <row r="16" spans="2:9" ht="12.95" customHeight="1">
      <c r="B16" s="1080" t="s">
        <v>375</v>
      </c>
      <c r="C16" s="1081">
        <v>13</v>
      </c>
      <c r="D16" s="446" t="s">
        <v>2557</v>
      </c>
      <c r="E16" s="457">
        <v>2</v>
      </c>
      <c r="F16" s="457">
        <v>32</v>
      </c>
      <c r="G16" s="457">
        <v>60</v>
      </c>
      <c r="H16" s="1085">
        <f t="shared" si="1"/>
        <v>46</v>
      </c>
      <c r="I16" s="456">
        <f t="shared" si="0"/>
        <v>598</v>
      </c>
    </row>
    <row r="17" spans="2:9" ht="12.95" customHeight="1">
      <c r="B17" s="1087" t="s">
        <v>2234</v>
      </c>
      <c r="C17" s="1088">
        <v>8</v>
      </c>
      <c r="D17" s="462" t="s">
        <v>893</v>
      </c>
      <c r="E17" s="463">
        <v>1</v>
      </c>
      <c r="F17" s="463">
        <v>40</v>
      </c>
      <c r="G17" s="463">
        <v>100</v>
      </c>
      <c r="H17" s="1090">
        <f t="shared" si="1"/>
        <v>70</v>
      </c>
      <c r="I17" s="464">
        <f t="shared" si="0"/>
        <v>560</v>
      </c>
    </row>
    <row r="18" spans="2:9" ht="12.95" customHeight="1">
      <c r="B18" s="564" t="s">
        <v>3467</v>
      </c>
      <c r="C18" s="1081">
        <v>10</v>
      </c>
      <c r="D18" s="446" t="s">
        <v>627</v>
      </c>
      <c r="E18" s="457">
        <v>2</v>
      </c>
      <c r="F18" s="457">
        <v>32</v>
      </c>
      <c r="G18" s="457">
        <v>60</v>
      </c>
      <c r="H18" s="1083">
        <f t="shared" si="1"/>
        <v>46</v>
      </c>
      <c r="I18" s="456">
        <f t="shared" si="0"/>
        <v>460</v>
      </c>
    </row>
    <row r="19" spans="2:9" ht="12.95" customHeight="1">
      <c r="B19" s="1087" t="s">
        <v>1537</v>
      </c>
      <c r="C19" s="1088">
        <v>5</v>
      </c>
      <c r="D19" s="462" t="s">
        <v>626</v>
      </c>
      <c r="E19" s="463">
        <v>1</v>
      </c>
      <c r="F19" s="463">
        <v>40</v>
      </c>
      <c r="G19" s="463">
        <v>100</v>
      </c>
      <c r="H19" s="1090">
        <f t="shared" si="1"/>
        <v>70</v>
      </c>
      <c r="I19" s="464">
        <f t="shared" si="0"/>
        <v>350</v>
      </c>
    </row>
    <row r="20" spans="2:9" ht="12.95" customHeight="1">
      <c r="B20" s="1080" t="s">
        <v>1532</v>
      </c>
      <c r="C20" s="1081">
        <v>4</v>
      </c>
      <c r="D20" s="446" t="s">
        <v>2141</v>
      </c>
      <c r="E20" s="457">
        <v>1</v>
      </c>
      <c r="F20" s="1082">
        <v>40</v>
      </c>
      <c r="G20" s="457">
        <v>100</v>
      </c>
      <c r="H20" s="1085">
        <f t="shared" si="1"/>
        <v>70</v>
      </c>
      <c r="I20" s="456">
        <f t="shared" si="0"/>
        <v>280</v>
      </c>
    </row>
    <row r="21" spans="2:9" ht="12.95" customHeight="1">
      <c r="B21" s="1087" t="s">
        <v>1539</v>
      </c>
      <c r="C21" s="1088">
        <v>5</v>
      </c>
      <c r="D21" s="462" t="s">
        <v>627</v>
      </c>
      <c r="E21" s="463">
        <v>1</v>
      </c>
      <c r="F21" s="463">
        <v>40</v>
      </c>
      <c r="G21" s="463">
        <v>60</v>
      </c>
      <c r="H21" s="1090">
        <f t="shared" si="1"/>
        <v>50</v>
      </c>
      <c r="I21" s="464">
        <f t="shared" si="0"/>
        <v>250</v>
      </c>
    </row>
    <row r="22" spans="2:9" ht="12.95" customHeight="1">
      <c r="B22" s="1080" t="s">
        <v>1534</v>
      </c>
      <c r="C22" s="1081">
        <v>4</v>
      </c>
      <c r="D22" s="446" t="s">
        <v>2557</v>
      </c>
      <c r="E22" s="457">
        <v>1</v>
      </c>
      <c r="F22" s="457">
        <v>40</v>
      </c>
      <c r="G22" s="457">
        <v>100</v>
      </c>
      <c r="H22" s="1085">
        <f t="shared" si="1"/>
        <v>70</v>
      </c>
      <c r="I22" s="456">
        <f t="shared" si="0"/>
        <v>280</v>
      </c>
    </row>
    <row r="23" spans="2:9" ht="12.95" customHeight="1">
      <c r="B23" s="1087" t="s">
        <v>45</v>
      </c>
      <c r="C23" s="1088" t="s">
        <v>137</v>
      </c>
      <c r="D23" s="462" t="s">
        <v>137</v>
      </c>
      <c r="E23" s="463" t="s">
        <v>137</v>
      </c>
      <c r="F23" s="463" t="s">
        <v>137</v>
      </c>
      <c r="G23" s="463" t="s">
        <v>137</v>
      </c>
      <c r="H23" s="463" t="s">
        <v>137</v>
      </c>
      <c r="I23" s="464" t="s">
        <v>137</v>
      </c>
    </row>
    <row r="24" spans="2:9" ht="12.95" customHeight="1">
      <c r="B24" s="1080" t="s">
        <v>46</v>
      </c>
      <c r="C24" s="1081" t="s">
        <v>137</v>
      </c>
      <c r="D24" s="446" t="s">
        <v>137</v>
      </c>
      <c r="E24" s="457" t="s">
        <v>137</v>
      </c>
      <c r="F24" s="457" t="s">
        <v>137</v>
      </c>
      <c r="G24" s="457" t="s">
        <v>137</v>
      </c>
      <c r="H24" s="457" t="s">
        <v>137</v>
      </c>
      <c r="I24" s="456" t="s">
        <v>137</v>
      </c>
    </row>
    <row r="25" spans="2:9" ht="12.95" customHeight="1">
      <c r="B25" s="1087" t="s">
        <v>47</v>
      </c>
      <c r="C25" s="1088" t="s">
        <v>137</v>
      </c>
      <c r="D25" s="462" t="s">
        <v>137</v>
      </c>
      <c r="E25" s="463" t="s">
        <v>137</v>
      </c>
      <c r="F25" s="463" t="s">
        <v>137</v>
      </c>
      <c r="G25" s="463" t="s">
        <v>137</v>
      </c>
      <c r="H25" s="463" t="s">
        <v>137</v>
      </c>
      <c r="I25" s="464" t="s">
        <v>137</v>
      </c>
    </row>
    <row r="26" spans="2:9" ht="12.95" customHeight="1">
      <c r="B26" s="1080" t="s">
        <v>48</v>
      </c>
      <c r="C26" s="1081" t="s">
        <v>137</v>
      </c>
      <c r="D26" s="446" t="s">
        <v>137</v>
      </c>
      <c r="E26" s="457" t="s">
        <v>137</v>
      </c>
      <c r="F26" s="457" t="s">
        <v>137</v>
      </c>
      <c r="G26" s="457" t="s">
        <v>137</v>
      </c>
      <c r="H26" s="457" t="s">
        <v>137</v>
      </c>
      <c r="I26" s="456" t="s">
        <v>137</v>
      </c>
    </row>
    <row r="27" spans="2:9" ht="12.95" customHeight="1">
      <c r="B27" s="1087" t="s">
        <v>50</v>
      </c>
      <c r="C27" s="1088" t="s">
        <v>137</v>
      </c>
      <c r="D27" s="462" t="s">
        <v>137</v>
      </c>
      <c r="E27" s="463" t="s">
        <v>137</v>
      </c>
      <c r="F27" s="463" t="s">
        <v>137</v>
      </c>
      <c r="G27" s="463" t="s">
        <v>137</v>
      </c>
      <c r="H27" s="463" t="s">
        <v>137</v>
      </c>
      <c r="I27" s="464" t="s">
        <v>137</v>
      </c>
    </row>
    <row r="28" spans="2:9" ht="12.95" customHeight="1">
      <c r="B28" s="1080" t="s">
        <v>51</v>
      </c>
      <c r="C28" s="1081" t="s">
        <v>137</v>
      </c>
      <c r="D28" s="446" t="s">
        <v>137</v>
      </c>
      <c r="E28" s="457" t="s">
        <v>137</v>
      </c>
      <c r="F28" s="457" t="s">
        <v>137</v>
      </c>
      <c r="G28" s="457" t="s">
        <v>137</v>
      </c>
      <c r="H28" s="457" t="s">
        <v>137</v>
      </c>
      <c r="I28" s="456" t="s">
        <v>137</v>
      </c>
    </row>
    <row r="29" spans="2:9" ht="12.95" customHeight="1">
      <c r="B29" s="1087" t="s">
        <v>52</v>
      </c>
      <c r="C29" s="1088" t="s">
        <v>137</v>
      </c>
      <c r="D29" s="462" t="s">
        <v>137</v>
      </c>
      <c r="E29" s="463" t="s">
        <v>137</v>
      </c>
      <c r="F29" s="463" t="s">
        <v>137</v>
      </c>
      <c r="G29" s="463" t="s">
        <v>137</v>
      </c>
      <c r="H29" s="463" t="s">
        <v>137</v>
      </c>
      <c r="I29" s="464" t="s">
        <v>137</v>
      </c>
    </row>
    <row r="30" spans="2:9" ht="12.95" customHeight="1">
      <c r="B30" s="564" t="s">
        <v>3665</v>
      </c>
      <c r="C30" s="1081" t="s">
        <v>137</v>
      </c>
      <c r="D30" s="446" t="s">
        <v>137</v>
      </c>
      <c r="E30" s="457" t="s">
        <v>137</v>
      </c>
      <c r="F30" s="457" t="s">
        <v>137</v>
      </c>
      <c r="G30" s="457" t="s">
        <v>137</v>
      </c>
      <c r="H30" s="457" t="s">
        <v>137</v>
      </c>
      <c r="I30" s="456" t="s">
        <v>137</v>
      </c>
    </row>
    <row r="31" spans="2:9" ht="12.95" customHeight="1">
      <c r="B31" s="576" t="s">
        <v>5635</v>
      </c>
      <c r="C31" s="1088" t="s">
        <v>137</v>
      </c>
      <c r="D31" s="462" t="s">
        <v>137</v>
      </c>
      <c r="E31" s="463" t="s">
        <v>137</v>
      </c>
      <c r="F31" s="463" t="s">
        <v>137</v>
      </c>
      <c r="G31" s="463" t="s">
        <v>137</v>
      </c>
      <c r="H31" s="463" t="s">
        <v>137</v>
      </c>
      <c r="I31" s="464" t="s">
        <v>137</v>
      </c>
    </row>
    <row r="32" spans="2:9" ht="12.95" customHeight="1">
      <c r="B32" s="564" t="s">
        <v>5636</v>
      </c>
      <c r="C32" s="1081" t="s">
        <v>137</v>
      </c>
      <c r="D32" s="446" t="s">
        <v>137</v>
      </c>
      <c r="E32" s="457" t="s">
        <v>137</v>
      </c>
      <c r="F32" s="457" t="s">
        <v>137</v>
      </c>
      <c r="G32" s="457" t="s">
        <v>137</v>
      </c>
      <c r="H32" s="457" t="s">
        <v>137</v>
      </c>
      <c r="I32" s="456" t="s">
        <v>137</v>
      </c>
    </row>
    <row r="33" spans="2:9" ht="26.1" customHeight="1" thickBot="1">
      <c r="B33" s="1092" t="s">
        <v>5928</v>
      </c>
      <c r="C33" s="1093" t="s">
        <v>137</v>
      </c>
      <c r="D33" s="3625" t="s">
        <v>3666</v>
      </c>
      <c r="E33" s="3626"/>
      <c r="F33" s="3626"/>
      <c r="G33" s="3626"/>
      <c r="H33" s="3626"/>
      <c r="I33" s="3627"/>
    </row>
    <row r="34" spans="2:9" ht="5.0999999999999996" customHeight="1"/>
    <row r="35" spans="2:9" ht="39" customHeight="1">
      <c r="B35" s="2984" t="s">
        <v>8991</v>
      </c>
      <c r="C35" s="3253"/>
      <c r="D35" s="3253"/>
      <c r="E35" s="3253"/>
      <c r="F35" s="3253"/>
      <c r="G35" s="3253"/>
      <c r="H35" s="3253"/>
      <c r="I35" s="3253"/>
    </row>
    <row r="36" spans="2:9" ht="12.95" customHeight="1">
      <c r="B36" s="2984" t="s">
        <v>8992</v>
      </c>
      <c r="C36" s="3253"/>
      <c r="D36" s="3253"/>
      <c r="E36" s="3253"/>
      <c r="F36" s="3253"/>
      <c r="G36" s="3253"/>
      <c r="H36" s="3253"/>
      <c r="I36" s="3253"/>
    </row>
    <row r="37" spans="2:9" ht="51.95" customHeight="1">
      <c r="B37" s="3594" t="s">
        <v>8993</v>
      </c>
      <c r="C37" s="3594"/>
      <c r="D37" s="3594"/>
      <c r="E37" s="3594"/>
      <c r="F37" s="3594"/>
      <c r="G37" s="3594"/>
      <c r="H37" s="3594"/>
      <c r="I37" s="3594"/>
    </row>
    <row r="38" spans="2:9" ht="26.1" customHeight="1">
      <c r="B38" s="3594" t="s">
        <v>8994</v>
      </c>
      <c r="C38" s="3594"/>
      <c r="D38" s="3594"/>
      <c r="E38" s="3594"/>
      <c r="F38" s="3594"/>
      <c r="G38" s="3594"/>
      <c r="H38" s="3594"/>
      <c r="I38" s="3594"/>
    </row>
    <row r="39" spans="2:9" ht="12.95" customHeight="1">
      <c r="B39" s="3594" t="s">
        <v>8995</v>
      </c>
      <c r="C39" s="3594"/>
      <c r="D39" s="3594"/>
      <c r="E39" s="3594"/>
      <c r="F39" s="3594"/>
      <c r="G39" s="3594"/>
      <c r="H39" s="3594"/>
      <c r="I39" s="3594"/>
    </row>
    <row r="40" spans="2:9" ht="90.95" customHeight="1">
      <c r="B40" s="2984" t="s">
        <v>10080</v>
      </c>
      <c r="C40" s="3253"/>
      <c r="D40" s="3253"/>
      <c r="E40" s="3253"/>
      <c r="F40" s="3253"/>
      <c r="G40" s="3253"/>
      <c r="H40" s="3253"/>
      <c r="I40" s="3253"/>
    </row>
    <row r="41" spans="2:9" ht="12.95" customHeight="1">
      <c r="B41" s="2984" t="s">
        <v>8996</v>
      </c>
      <c r="C41" s="3253"/>
      <c r="D41" s="3253"/>
      <c r="E41" s="3253"/>
      <c r="F41" s="3253"/>
      <c r="G41" s="3253"/>
      <c r="H41" s="3253"/>
      <c r="I41" s="3253"/>
    </row>
    <row r="42" spans="2:9" ht="12.95" customHeight="1">
      <c r="B42" s="2984" t="s">
        <v>8997</v>
      </c>
      <c r="C42" s="2984"/>
      <c r="D42" s="2984"/>
      <c r="E42" s="2984"/>
      <c r="F42" s="2984"/>
      <c r="G42" s="2984"/>
      <c r="H42" s="2984"/>
      <c r="I42" s="2984"/>
    </row>
    <row r="43" spans="2:9" ht="12.95" customHeight="1">
      <c r="B43" s="2984" t="s">
        <v>8998</v>
      </c>
      <c r="C43" s="2984"/>
      <c r="D43" s="2984"/>
      <c r="E43" s="2984"/>
      <c r="F43" s="2984"/>
      <c r="G43" s="2984"/>
      <c r="H43" s="2984"/>
      <c r="I43" s="2984"/>
    </row>
    <row r="44" spans="2:9" ht="39" customHeight="1">
      <c r="B44" s="2984" t="s">
        <v>8999</v>
      </c>
      <c r="C44" s="2984"/>
      <c r="D44" s="2984"/>
      <c r="E44" s="2984"/>
      <c r="F44" s="2984"/>
      <c r="G44" s="2984"/>
      <c r="H44" s="2984"/>
      <c r="I44" s="2984"/>
    </row>
    <row r="45" spans="2:9" ht="26.1" customHeight="1">
      <c r="B45" s="2984" t="s">
        <v>9000</v>
      </c>
      <c r="C45" s="3253"/>
      <c r="D45" s="3253"/>
      <c r="E45" s="3253"/>
      <c r="F45" s="3253"/>
      <c r="G45" s="3253"/>
      <c r="H45" s="3253"/>
      <c r="I45" s="3253"/>
    </row>
    <row r="46" spans="2:9" ht="12.95" customHeight="1">
      <c r="B46" s="2984" t="s">
        <v>9001</v>
      </c>
      <c r="C46" s="3253"/>
      <c r="D46" s="3253"/>
      <c r="E46" s="3253"/>
      <c r="F46" s="3253"/>
      <c r="G46" s="3253"/>
      <c r="H46" s="3253"/>
      <c r="I46" s="3253"/>
    </row>
    <row r="47" spans="2:9" ht="12.95" customHeight="1">
      <c r="B47" s="2984" t="s">
        <v>9002</v>
      </c>
      <c r="C47" s="3253"/>
      <c r="D47" s="3253"/>
      <c r="E47" s="3253"/>
      <c r="F47" s="3253"/>
      <c r="G47" s="3253"/>
      <c r="H47" s="3253"/>
      <c r="I47" s="3253"/>
    </row>
  </sheetData>
  <sheetProtection autoFilter="0"/>
  <mergeCells count="25">
    <mergeCell ref="C1:I1"/>
    <mergeCell ref="B37:I37"/>
    <mergeCell ref="B40:I40"/>
    <mergeCell ref="B36:I36"/>
    <mergeCell ref="B41:I41"/>
    <mergeCell ref="B38:I38"/>
    <mergeCell ref="B35:I35"/>
    <mergeCell ref="B5:I5"/>
    <mergeCell ref="B3:I3"/>
    <mergeCell ref="F8:H8"/>
    <mergeCell ref="D33:I33"/>
    <mergeCell ref="B7:I7"/>
    <mergeCell ref="B6:I6"/>
    <mergeCell ref="B45:I45"/>
    <mergeCell ref="B8:B9"/>
    <mergeCell ref="B47:I47"/>
    <mergeCell ref="B39:I39"/>
    <mergeCell ref="B44:I44"/>
    <mergeCell ref="B42:I42"/>
    <mergeCell ref="B43:I43"/>
    <mergeCell ref="B46:I46"/>
    <mergeCell ref="I8:I9"/>
    <mergeCell ref="C8:C9"/>
    <mergeCell ref="D8:D9"/>
    <mergeCell ref="E8:E9"/>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1" manualBreakCount="1">
    <brk id="33" max="8" man="1"/>
  </rowBreaks>
</worksheet>
</file>

<file path=xl/worksheets/sheet46.xml><?xml version="1.0" encoding="utf-8"?>
<worksheet xmlns="http://schemas.openxmlformats.org/spreadsheetml/2006/main" xmlns:r="http://schemas.openxmlformats.org/officeDocument/2006/relationships">
  <dimension ref="B1:G88"/>
  <sheetViews>
    <sheetView zoomScaleNormal="100" workbookViewId="0">
      <pane ySplit="5" topLeftCell="A6" activePane="bottomLeft" state="frozen"/>
      <selection pane="bottomLeft" activeCell="B1" sqref="B1"/>
    </sheetView>
  </sheetViews>
  <sheetFormatPr defaultRowHeight="12.95" customHeight="1"/>
  <cols>
    <col min="1" max="1" width="3.7109375" style="292" customWidth="1"/>
    <col min="2" max="2" width="13.140625" style="292" bestFit="1" customWidth="1"/>
    <col min="3" max="3" width="32" style="292" bestFit="1" customWidth="1"/>
    <col min="4" max="4" width="20.7109375" style="292" customWidth="1"/>
    <col min="5" max="5" width="20.7109375" style="966" customWidth="1"/>
    <col min="6" max="7" width="20.7109375" style="292" customWidth="1"/>
    <col min="8" max="16384" width="9.140625" style="292"/>
  </cols>
  <sheetData>
    <row r="1" spans="2:7" ht="12.95" customHeight="1">
      <c r="B1" s="313" t="s">
        <v>2706</v>
      </c>
      <c r="C1" s="2973" t="s">
        <v>8269</v>
      </c>
      <c r="D1" s="2973"/>
      <c r="E1" s="2973"/>
      <c r="F1" s="2973"/>
      <c r="G1" s="2973"/>
    </row>
    <row r="2" spans="2:7" ht="5.0999999999999996" customHeight="1"/>
    <row r="3" spans="2:7" ht="12.95" customHeight="1">
      <c r="B3" s="2978" t="s">
        <v>3667</v>
      </c>
      <c r="C3" s="2978"/>
      <c r="D3" s="2978"/>
      <c r="E3" s="2978"/>
      <c r="F3" s="2978"/>
      <c r="G3" s="2978"/>
    </row>
    <row r="4" spans="2:7" s="965" customFormat="1" ht="11.25">
      <c r="B4" s="2979" t="s">
        <v>5920</v>
      </c>
      <c r="C4" s="2979"/>
      <c r="D4" s="2979"/>
      <c r="E4" s="2979"/>
      <c r="F4" s="2979"/>
      <c r="G4" s="2979"/>
    </row>
    <row r="5" spans="2:7" ht="5.0999999999999996" customHeight="1">
      <c r="B5" s="3566"/>
      <c r="C5" s="3566"/>
      <c r="D5" s="3566"/>
      <c r="E5" s="3566"/>
    </row>
    <row r="6" spans="2:7" ht="12.95" customHeight="1">
      <c r="B6" s="3000" t="s">
        <v>3668</v>
      </c>
      <c r="C6" s="3000"/>
      <c r="D6" s="3000"/>
      <c r="E6" s="3000"/>
      <c r="F6" s="3000"/>
      <c r="G6" s="3000"/>
    </row>
    <row r="7" spans="2:7" ht="12.95" customHeight="1">
      <c r="B7" s="294" t="s">
        <v>3628</v>
      </c>
      <c r="C7" s="991" t="s">
        <v>1783</v>
      </c>
      <c r="D7" s="385"/>
    </row>
    <row r="8" spans="2:7" ht="12.95" customHeight="1">
      <c r="B8" s="294" t="s">
        <v>3631</v>
      </c>
      <c r="C8" s="991" t="s">
        <v>1784</v>
      </c>
      <c r="D8" s="385"/>
    </row>
    <row r="9" spans="2:7" ht="12.95" customHeight="1">
      <c r="B9" s="294" t="s">
        <v>3635</v>
      </c>
      <c r="C9" s="991" t="s">
        <v>1785</v>
      </c>
      <c r="D9" s="385"/>
    </row>
    <row r="10" spans="2:7" ht="12.95" customHeight="1">
      <c r="B10" s="294" t="s">
        <v>3638</v>
      </c>
      <c r="C10" s="991" t="s">
        <v>1786</v>
      </c>
      <c r="D10" s="1067"/>
    </row>
    <row r="11" spans="2:7" ht="5.0999999999999996" customHeight="1">
      <c r="C11" s="432"/>
      <c r="D11" s="432"/>
    </row>
    <row r="12" spans="2:7" ht="26.1" customHeight="1">
      <c r="B12" s="3250" t="s">
        <v>5927</v>
      </c>
      <c r="C12" s="3250"/>
      <c r="D12" s="3250"/>
      <c r="E12" s="3250"/>
      <c r="F12" s="3250"/>
      <c r="G12" s="3250"/>
    </row>
    <row r="13" spans="2:7" ht="5.0999999999999996" customHeight="1">
      <c r="C13" s="432"/>
      <c r="D13" s="432"/>
    </row>
    <row r="14" spans="2:7" ht="12.95" customHeight="1">
      <c r="B14" s="3102" t="s">
        <v>3669</v>
      </c>
      <c r="C14" s="3102"/>
      <c r="D14" s="3102"/>
      <c r="E14" s="3102"/>
      <c r="G14" s="3641" t="s">
        <v>3705</v>
      </c>
    </row>
    <row r="15" spans="2:7" ht="12.95" customHeight="1" thickBot="1">
      <c r="B15" s="3000" t="s">
        <v>3670</v>
      </c>
      <c r="C15" s="3000"/>
      <c r="D15" s="3000"/>
      <c r="E15" s="3000"/>
      <c r="G15" s="3641"/>
    </row>
    <row r="16" spans="2:7" ht="12.95" customHeight="1" thickBot="1">
      <c r="B16" s="984" t="s">
        <v>1277</v>
      </c>
      <c r="C16" s="956" t="s">
        <v>1278</v>
      </c>
      <c r="D16" s="957" t="s">
        <v>1279</v>
      </c>
      <c r="G16" s="3641"/>
    </row>
    <row r="17" spans="2:7" ht="12.95" customHeight="1">
      <c r="B17" s="1041">
        <v>0.3</v>
      </c>
      <c r="C17" s="605" t="s">
        <v>3671</v>
      </c>
      <c r="D17" s="978" t="s">
        <v>1119</v>
      </c>
      <c r="G17" s="3641"/>
    </row>
    <row r="18" spans="2:7" ht="26.1" customHeight="1">
      <c r="B18" s="157">
        <v>0.3</v>
      </c>
      <c r="C18" s="954" t="s">
        <v>3672</v>
      </c>
      <c r="D18" s="959" t="s">
        <v>2064</v>
      </c>
      <c r="G18" s="3641"/>
    </row>
    <row r="19" spans="2:7" ht="26.1" customHeight="1">
      <c r="B19" s="1042">
        <v>0.3</v>
      </c>
      <c r="C19" s="607" t="s">
        <v>3673</v>
      </c>
      <c r="D19" s="973" t="s">
        <v>3680</v>
      </c>
      <c r="F19" s="3644" t="s">
        <v>7331</v>
      </c>
      <c r="G19" s="3644"/>
    </row>
    <row r="20" spans="2:7" ht="26.1" customHeight="1" thickBot="1">
      <c r="B20" s="158">
        <v>0.1</v>
      </c>
      <c r="C20" s="955" t="s">
        <v>3674</v>
      </c>
      <c r="D20" s="958" t="s">
        <v>3681</v>
      </c>
      <c r="F20" s="3644"/>
      <c r="G20" s="3644"/>
    </row>
    <row r="21" spans="2:7" ht="12.95" customHeight="1">
      <c r="B21" s="3628" t="s">
        <v>5889</v>
      </c>
      <c r="C21" s="3628"/>
      <c r="D21" s="3628"/>
      <c r="E21" s="3628"/>
      <c r="F21" s="3644"/>
      <c r="G21" s="3644"/>
    </row>
    <row r="22" spans="2:7" ht="26.1" customHeight="1">
      <c r="B22" s="3642" t="s">
        <v>5305</v>
      </c>
      <c r="C22" s="3642"/>
      <c r="D22" s="3642"/>
      <c r="E22" s="3642"/>
      <c r="F22" s="3644"/>
      <c r="G22" s="3644"/>
    </row>
    <row r="23" spans="2:7" ht="5.0999999999999996" customHeight="1"/>
    <row r="24" spans="2:7" ht="12.95" customHeight="1">
      <c r="B24" s="3102" t="s">
        <v>3784</v>
      </c>
      <c r="C24" s="3102"/>
      <c r="D24" s="3102"/>
      <c r="E24" s="3102"/>
      <c r="G24" s="3641" t="s">
        <v>3706</v>
      </c>
    </row>
    <row r="25" spans="2:7" ht="12.95" customHeight="1" thickBot="1">
      <c r="B25" s="3000" t="s">
        <v>3675</v>
      </c>
      <c r="C25" s="3000"/>
      <c r="D25" s="3000"/>
      <c r="E25" s="3000"/>
      <c r="G25" s="3641"/>
    </row>
    <row r="26" spans="2:7" ht="12.95" customHeight="1" thickBot="1">
      <c r="B26" s="984" t="s">
        <v>1277</v>
      </c>
      <c r="C26" s="956" t="s">
        <v>1278</v>
      </c>
      <c r="D26" s="957" t="s">
        <v>1279</v>
      </c>
      <c r="G26" s="3641"/>
    </row>
    <row r="27" spans="2:7" ht="12.95" customHeight="1">
      <c r="B27" s="1041">
        <v>0.3</v>
      </c>
      <c r="C27" s="605" t="s">
        <v>3676</v>
      </c>
      <c r="D27" s="978" t="s">
        <v>558</v>
      </c>
      <c r="G27" s="3641"/>
    </row>
    <row r="28" spans="2:7" ht="26.1" customHeight="1">
      <c r="B28" s="157">
        <v>0.3</v>
      </c>
      <c r="C28" s="954" t="s">
        <v>3677</v>
      </c>
      <c r="D28" s="959" t="s">
        <v>3682</v>
      </c>
      <c r="G28" s="3641"/>
    </row>
    <row r="29" spans="2:7" ht="26.1" customHeight="1">
      <c r="B29" s="1042">
        <v>0.3</v>
      </c>
      <c r="C29" s="607" t="s">
        <v>3678</v>
      </c>
      <c r="D29" s="973" t="s">
        <v>3683</v>
      </c>
      <c r="F29" s="3644" t="s">
        <v>6365</v>
      </c>
      <c r="G29" s="3644"/>
    </row>
    <row r="30" spans="2:7" ht="39" customHeight="1" thickBot="1">
      <c r="B30" s="158">
        <v>0.1</v>
      </c>
      <c r="C30" s="955" t="s">
        <v>3679</v>
      </c>
      <c r="D30" s="958" t="s">
        <v>3684</v>
      </c>
      <c r="F30" s="3644"/>
      <c r="G30" s="3644"/>
    </row>
    <row r="31" spans="2:7" ht="12.95" customHeight="1">
      <c r="B31" s="3628" t="s">
        <v>5890</v>
      </c>
      <c r="C31" s="3628"/>
      <c r="D31" s="3628"/>
      <c r="E31" s="3628"/>
      <c r="F31" s="952"/>
      <c r="G31" s="952"/>
    </row>
    <row r="32" spans="2:7" s="969" customFormat="1" ht="5.0999999999999996" customHeight="1">
      <c r="B32" s="1070"/>
      <c r="C32" s="1071"/>
      <c r="D32" s="1071"/>
      <c r="E32" s="971"/>
    </row>
    <row r="33" spans="2:7" ht="12.95" customHeight="1">
      <c r="B33" s="3102" t="s">
        <v>3785</v>
      </c>
      <c r="C33" s="3102"/>
      <c r="D33" s="3102"/>
      <c r="E33" s="3102"/>
      <c r="G33" s="3641" t="s">
        <v>3706</v>
      </c>
    </row>
    <row r="34" spans="2:7" ht="12.95" customHeight="1" thickBot="1">
      <c r="B34" s="3000" t="s">
        <v>3685</v>
      </c>
      <c r="C34" s="3000"/>
      <c r="D34" s="3000"/>
      <c r="E34" s="3000"/>
      <c r="G34" s="3641"/>
    </row>
    <row r="35" spans="2:7" ht="12.95" customHeight="1" thickBot="1">
      <c r="B35" s="984" t="s">
        <v>1277</v>
      </c>
      <c r="C35" s="956" t="s">
        <v>1278</v>
      </c>
      <c r="D35" s="957" t="s">
        <v>1279</v>
      </c>
      <c r="G35" s="3641"/>
    </row>
    <row r="36" spans="2:7" ht="12.95" customHeight="1">
      <c r="B36" s="1041">
        <v>0.3</v>
      </c>
      <c r="C36" s="605" t="s">
        <v>559</v>
      </c>
      <c r="D36" s="978" t="s">
        <v>2064</v>
      </c>
      <c r="G36" s="3641"/>
    </row>
    <row r="37" spans="2:7" ht="12.95" customHeight="1">
      <c r="B37" s="157">
        <v>0.3</v>
      </c>
      <c r="C37" s="954" t="s">
        <v>560</v>
      </c>
      <c r="D37" s="959" t="s">
        <v>558</v>
      </c>
      <c r="G37" s="3641"/>
    </row>
    <row r="38" spans="2:7" ht="26.1" customHeight="1">
      <c r="B38" s="1042">
        <v>0.3</v>
      </c>
      <c r="C38" s="607" t="s">
        <v>1956</v>
      </c>
      <c r="D38" s="973" t="s">
        <v>3683</v>
      </c>
      <c r="F38" s="3643" t="s">
        <v>6366</v>
      </c>
      <c r="G38" s="3643"/>
    </row>
    <row r="39" spans="2:7" ht="39" customHeight="1" thickBot="1">
      <c r="B39" s="158">
        <v>0.1</v>
      </c>
      <c r="C39" s="955" t="s">
        <v>1957</v>
      </c>
      <c r="D39" s="958" t="s">
        <v>3686</v>
      </c>
      <c r="F39" s="3643"/>
      <c r="G39" s="3643"/>
    </row>
    <row r="40" spans="2:7" ht="12.95" customHeight="1">
      <c r="B40" s="3628" t="s">
        <v>5891</v>
      </c>
      <c r="C40" s="3628"/>
      <c r="D40" s="3628"/>
      <c r="E40" s="3628"/>
      <c r="F40" s="952"/>
      <c r="G40" s="952"/>
    </row>
    <row r="41" spans="2:7" ht="5.0999999999999996" customHeight="1"/>
    <row r="42" spans="2:7" ht="12.95" customHeight="1">
      <c r="B42" s="3102" t="s">
        <v>3786</v>
      </c>
      <c r="C42" s="3102"/>
      <c r="D42" s="3102"/>
      <c r="E42" s="3102"/>
      <c r="G42" s="1068"/>
    </row>
    <row r="43" spans="2:7" ht="12.95" customHeight="1" thickBot="1">
      <c r="B43" s="3000" t="s">
        <v>3687</v>
      </c>
      <c r="C43" s="3000"/>
      <c r="D43" s="3000"/>
      <c r="E43" s="3000"/>
      <c r="G43" s="1068"/>
    </row>
    <row r="44" spans="2:7" ht="12.95" customHeight="1" thickBot="1">
      <c r="B44" s="984" t="s">
        <v>1277</v>
      </c>
      <c r="C44" s="956" t="s">
        <v>1278</v>
      </c>
      <c r="D44" s="957" t="s">
        <v>1279</v>
      </c>
      <c r="G44" s="3641" t="s">
        <v>3706</v>
      </c>
    </row>
    <row r="45" spans="2:7" ht="39" customHeight="1">
      <c r="B45" s="1041">
        <v>0.3</v>
      </c>
      <c r="C45" s="605" t="s">
        <v>3688</v>
      </c>
      <c r="D45" s="978" t="s">
        <v>3692</v>
      </c>
      <c r="G45" s="3641"/>
    </row>
    <row r="46" spans="2:7" ht="65.099999999999994" customHeight="1">
      <c r="B46" s="157">
        <v>0.3</v>
      </c>
      <c r="C46" s="954" t="s">
        <v>3689</v>
      </c>
      <c r="D46" s="959" t="s">
        <v>3693</v>
      </c>
      <c r="F46" s="3643" t="s">
        <v>6370</v>
      </c>
      <c r="G46" s="3643"/>
    </row>
    <row r="47" spans="2:7" ht="39" customHeight="1">
      <c r="B47" s="1042">
        <v>0.3</v>
      </c>
      <c r="C47" s="607" t="s">
        <v>3690</v>
      </c>
      <c r="D47" s="973" t="s">
        <v>3694</v>
      </c>
      <c r="F47" s="3643"/>
      <c r="G47" s="3643"/>
    </row>
    <row r="48" spans="2:7" ht="39" customHeight="1" thickBot="1">
      <c r="B48" s="158">
        <v>0.1</v>
      </c>
      <c r="C48" s="955" t="s">
        <v>3691</v>
      </c>
      <c r="D48" s="958" t="s">
        <v>3695</v>
      </c>
      <c r="F48" s="3643"/>
      <c r="G48" s="3643"/>
    </row>
    <row r="49" spans="2:5" ht="5.0999999999999996" customHeight="1"/>
    <row r="50" spans="2:5" ht="12.95" customHeight="1" thickBot="1">
      <c r="B50" s="3102" t="s">
        <v>3787</v>
      </c>
      <c r="C50" s="3102"/>
      <c r="D50" s="3102"/>
      <c r="E50" s="3102"/>
    </row>
    <row r="51" spans="2:5" ht="12.95" customHeight="1" thickBot="1">
      <c r="B51" s="984" t="s">
        <v>1277</v>
      </c>
      <c r="C51" s="3649" t="s">
        <v>1279</v>
      </c>
      <c r="D51" s="3650"/>
    </row>
    <row r="52" spans="2:5" ht="12.95" customHeight="1">
      <c r="B52" s="1041">
        <v>0.2</v>
      </c>
      <c r="C52" s="3639" t="s">
        <v>3696</v>
      </c>
      <c r="D52" s="3640"/>
    </row>
    <row r="53" spans="2:5" ht="12.95" customHeight="1" thickBot="1">
      <c r="B53" s="158">
        <v>0.8</v>
      </c>
      <c r="C53" s="3631" t="s">
        <v>3697</v>
      </c>
      <c r="D53" s="3632"/>
    </row>
    <row r="54" spans="2:5" ht="5.0999999999999996" customHeight="1">
      <c r="D54" s="966"/>
    </row>
    <row r="55" spans="2:5" ht="12.95" customHeight="1" thickBot="1">
      <c r="B55" s="3102" t="s">
        <v>3788</v>
      </c>
      <c r="C55" s="3102"/>
      <c r="D55" s="3102"/>
      <c r="E55" s="3102"/>
    </row>
    <row r="56" spans="2:5" s="969" customFormat="1" ht="12.95" customHeight="1">
      <c r="B56" s="1079" t="s">
        <v>1277</v>
      </c>
      <c r="C56" s="3651" t="s">
        <v>1279</v>
      </c>
      <c r="D56" s="3652"/>
    </row>
    <row r="57" spans="2:5" s="969" customFormat="1" ht="12.95" customHeight="1">
      <c r="B57" s="1072">
        <v>0.1</v>
      </c>
      <c r="C57" s="3633" t="s">
        <v>3697</v>
      </c>
      <c r="D57" s="3634"/>
    </row>
    <row r="58" spans="2:5" s="969" customFormat="1" ht="12.95" customHeight="1">
      <c r="B58" s="160">
        <v>0.2</v>
      </c>
      <c r="C58" s="3637" t="s">
        <v>3698</v>
      </c>
      <c r="D58" s="3638"/>
    </row>
    <row r="59" spans="2:5" s="969" customFormat="1" ht="12.95" customHeight="1">
      <c r="B59" s="1072">
        <v>0.2</v>
      </c>
      <c r="C59" s="3633" t="s">
        <v>3699</v>
      </c>
      <c r="D59" s="3634"/>
    </row>
    <row r="60" spans="2:5" s="969" customFormat="1" ht="12.95" customHeight="1" thickBot="1">
      <c r="B60" s="159">
        <v>0.5</v>
      </c>
      <c r="C60" s="3647" t="s">
        <v>3700</v>
      </c>
      <c r="D60" s="3648"/>
    </row>
    <row r="61" spans="2:5" ht="5.0999999999999996" customHeight="1">
      <c r="D61" s="966"/>
    </row>
    <row r="62" spans="2:5" ht="12.95" customHeight="1" thickBot="1">
      <c r="B62" s="3102" t="s">
        <v>3789</v>
      </c>
      <c r="C62" s="3102"/>
      <c r="D62" s="3102"/>
      <c r="E62" s="3102"/>
    </row>
    <row r="63" spans="2:5" s="969" customFormat="1" ht="12.95" customHeight="1" thickBot="1">
      <c r="B63" s="1045" t="s">
        <v>1277</v>
      </c>
      <c r="C63" s="3629" t="s">
        <v>1279</v>
      </c>
      <c r="D63" s="3630"/>
    </row>
    <row r="64" spans="2:5" s="969" customFormat="1" ht="12.95" customHeight="1">
      <c r="B64" s="1073">
        <v>0.55000000000000004</v>
      </c>
      <c r="C64" s="3635" t="s">
        <v>3698</v>
      </c>
      <c r="D64" s="3636"/>
    </row>
    <row r="65" spans="2:7" s="969" customFormat="1" ht="12.95" customHeight="1">
      <c r="B65" s="160">
        <v>0.2</v>
      </c>
      <c r="C65" s="3637" t="s">
        <v>3699</v>
      </c>
      <c r="D65" s="3638"/>
    </row>
    <row r="66" spans="2:7" s="969" customFormat="1" ht="12.95" customHeight="1">
      <c r="B66" s="1072">
        <v>0.2</v>
      </c>
      <c r="C66" s="3633" t="s">
        <v>3702</v>
      </c>
      <c r="D66" s="3634"/>
    </row>
    <row r="67" spans="2:7" s="969" customFormat="1" ht="12.95" customHeight="1" thickBot="1">
      <c r="B67" s="161">
        <v>0.05</v>
      </c>
      <c r="C67" s="3647" t="s">
        <v>3701</v>
      </c>
      <c r="D67" s="3648"/>
    </row>
    <row r="68" spans="2:7" ht="5.0999999999999996" customHeight="1">
      <c r="D68" s="966"/>
    </row>
    <row r="69" spans="2:7" ht="12.95" customHeight="1" thickBot="1">
      <c r="B69" s="3102" t="s">
        <v>3790</v>
      </c>
      <c r="C69" s="3102"/>
      <c r="D69" s="3102"/>
      <c r="E69" s="3102"/>
    </row>
    <row r="70" spans="2:7" s="969" customFormat="1" ht="12.95" customHeight="1" thickBot="1">
      <c r="B70" s="1045" t="s">
        <v>1277</v>
      </c>
      <c r="C70" s="3629" t="s">
        <v>1279</v>
      </c>
      <c r="D70" s="3630"/>
    </row>
    <row r="71" spans="2:7" s="969" customFormat="1" ht="12.95" customHeight="1">
      <c r="B71" s="1073">
        <v>0.3</v>
      </c>
      <c r="C71" s="3635" t="s">
        <v>5892</v>
      </c>
      <c r="D71" s="3636"/>
    </row>
    <row r="72" spans="2:7" s="969" customFormat="1" ht="26.1" customHeight="1">
      <c r="B72" s="160">
        <v>0.5</v>
      </c>
      <c r="C72" s="3637" t="s">
        <v>5893</v>
      </c>
      <c r="D72" s="3638"/>
    </row>
    <row r="73" spans="2:7" s="969" customFormat="1" ht="12.95" customHeight="1">
      <c r="B73" s="1072">
        <v>0.15</v>
      </c>
      <c r="C73" s="3633" t="s">
        <v>5894</v>
      </c>
      <c r="D73" s="3634"/>
    </row>
    <row r="74" spans="2:7" s="969" customFormat="1" ht="12.95" customHeight="1" thickBot="1">
      <c r="B74" s="161">
        <v>0.05</v>
      </c>
      <c r="C74" s="3647" t="s">
        <v>5895</v>
      </c>
      <c r="D74" s="3648"/>
    </row>
    <row r="75" spans="2:7" ht="12.95" customHeight="1">
      <c r="B75" s="3628" t="s">
        <v>7286</v>
      </c>
      <c r="C75" s="3628"/>
      <c r="D75" s="3628"/>
      <c r="E75" s="3628"/>
      <c r="F75" s="2129"/>
      <c r="G75" s="2129"/>
    </row>
    <row r="76" spans="2:7" ht="5.0999999999999996" customHeight="1">
      <c r="C76" s="1078"/>
      <c r="D76" s="966"/>
    </row>
    <row r="77" spans="2:7" ht="12.95" customHeight="1" thickBot="1">
      <c r="B77" s="3102" t="s">
        <v>3791</v>
      </c>
      <c r="C77" s="3102"/>
      <c r="D77" s="3102"/>
      <c r="E77" s="3102"/>
    </row>
    <row r="78" spans="2:7" s="969" customFormat="1" ht="12.95" customHeight="1" thickBot="1">
      <c r="B78" s="1045" t="s">
        <v>1277</v>
      </c>
      <c r="C78" s="3629" t="s">
        <v>1279</v>
      </c>
      <c r="D78" s="3630"/>
      <c r="E78" s="1075"/>
    </row>
    <row r="79" spans="2:7" s="969" customFormat="1" ht="12.95" customHeight="1">
      <c r="B79" s="1076">
        <v>0.2</v>
      </c>
      <c r="C79" s="3645" t="s">
        <v>3697</v>
      </c>
      <c r="D79" s="3646"/>
      <c r="E79" s="1077"/>
    </row>
    <row r="80" spans="2:7" s="969" customFormat="1" ht="12.95" customHeight="1">
      <c r="B80" s="160">
        <v>0.1</v>
      </c>
      <c r="C80" s="3637" t="s">
        <v>3703</v>
      </c>
      <c r="D80" s="3638"/>
      <c r="E80" s="1077"/>
    </row>
    <row r="81" spans="2:5" s="969" customFormat="1" ht="12.95" customHeight="1" thickBot="1">
      <c r="B81" s="1074">
        <v>0.7</v>
      </c>
      <c r="C81" s="3653" t="s">
        <v>1119</v>
      </c>
      <c r="D81" s="3654"/>
      <c r="E81" s="1077"/>
    </row>
    <row r="82" spans="2:5" ht="5.0999999999999996" customHeight="1">
      <c r="D82" s="966"/>
    </row>
    <row r="83" spans="2:5" ht="12.95" customHeight="1" thickBot="1">
      <c r="B83" s="3102" t="s">
        <v>3792</v>
      </c>
      <c r="C83" s="3102"/>
      <c r="D83" s="3102"/>
      <c r="E83" s="3102"/>
    </row>
    <row r="84" spans="2:5" s="969" customFormat="1" ht="12.95" customHeight="1" thickBot="1">
      <c r="B84" s="1045" t="s">
        <v>1277</v>
      </c>
      <c r="C84" s="3629" t="s">
        <v>1279</v>
      </c>
      <c r="D84" s="3630"/>
      <c r="E84" s="1038"/>
    </row>
    <row r="85" spans="2:5" s="969" customFormat="1" ht="12.95" customHeight="1">
      <c r="B85" s="1039">
        <v>0.32</v>
      </c>
      <c r="C85" s="3645" t="s">
        <v>2254</v>
      </c>
      <c r="D85" s="3646"/>
      <c r="E85" s="1040"/>
    </row>
    <row r="86" spans="2:5" s="969" customFormat="1" ht="12.95" customHeight="1">
      <c r="B86" s="169">
        <v>0.32</v>
      </c>
      <c r="C86" s="3637" t="s">
        <v>2255</v>
      </c>
      <c r="D86" s="3638"/>
      <c r="E86" s="1040"/>
    </row>
    <row r="87" spans="2:5" s="969" customFormat="1" ht="12.95" customHeight="1">
      <c r="B87" s="1039">
        <v>0.31</v>
      </c>
      <c r="C87" s="3633" t="s">
        <v>2040</v>
      </c>
      <c r="D87" s="3634"/>
      <c r="E87" s="1040"/>
    </row>
    <row r="88" spans="2:5" s="969" customFormat="1" ht="26.1" customHeight="1" thickBot="1">
      <c r="B88" s="170">
        <v>0.05</v>
      </c>
      <c r="C88" s="3647" t="s">
        <v>3704</v>
      </c>
      <c r="D88" s="3648"/>
      <c r="E88" s="1040"/>
    </row>
  </sheetData>
  <sheetProtection autoFilter="0"/>
  <mergeCells count="60">
    <mergeCell ref="C86:D86"/>
    <mergeCell ref="C87:D87"/>
    <mergeCell ref="C88:D88"/>
    <mergeCell ref="G24:G28"/>
    <mergeCell ref="F29:G30"/>
    <mergeCell ref="G33:G37"/>
    <mergeCell ref="F38:G39"/>
    <mergeCell ref="B77:E77"/>
    <mergeCell ref="C78:D78"/>
    <mergeCell ref="C79:D79"/>
    <mergeCell ref="C80:D80"/>
    <mergeCell ref="C81:D81"/>
    <mergeCell ref="B83:E83"/>
    <mergeCell ref="C71:D71"/>
    <mergeCell ref="C72:D72"/>
    <mergeCell ref="C73:D73"/>
    <mergeCell ref="G44:G45"/>
    <mergeCell ref="F46:G48"/>
    <mergeCell ref="F19:G22"/>
    <mergeCell ref="C1:G1"/>
    <mergeCell ref="C85:D85"/>
    <mergeCell ref="C74:D74"/>
    <mergeCell ref="B50:E50"/>
    <mergeCell ref="C51:D51"/>
    <mergeCell ref="C67:D67"/>
    <mergeCell ref="C56:D56"/>
    <mergeCell ref="C57:D57"/>
    <mergeCell ref="C58:D58"/>
    <mergeCell ref="C59:D59"/>
    <mergeCell ref="C60:D60"/>
    <mergeCell ref="B62:E62"/>
    <mergeCell ref="C63:D63"/>
    <mergeCell ref="B3:G3"/>
    <mergeCell ref="B4:G4"/>
    <mergeCell ref="B6:G6"/>
    <mergeCell ref="B12:G12"/>
    <mergeCell ref="C52:D52"/>
    <mergeCell ref="B24:E24"/>
    <mergeCell ref="B25:E25"/>
    <mergeCell ref="B33:E33"/>
    <mergeCell ref="B34:E34"/>
    <mergeCell ref="G14:G18"/>
    <mergeCell ref="B21:E21"/>
    <mergeCell ref="B31:E31"/>
    <mergeCell ref="B40:E40"/>
    <mergeCell ref="B22:E22"/>
    <mergeCell ref="B42:E42"/>
    <mergeCell ref="B43:E43"/>
    <mergeCell ref="B75:E75"/>
    <mergeCell ref="C84:D84"/>
    <mergeCell ref="B5:E5"/>
    <mergeCell ref="B14:E14"/>
    <mergeCell ref="B15:E15"/>
    <mergeCell ref="C53:D53"/>
    <mergeCell ref="B55:E55"/>
    <mergeCell ref="C66:D66"/>
    <mergeCell ref="C70:D70"/>
    <mergeCell ref="C64:D64"/>
    <mergeCell ref="C65:D65"/>
    <mergeCell ref="B69:E69"/>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7" orientation="landscape" r:id="rId1"/>
  <headerFooter alignWithMargins="0"/>
  <rowBreaks count="2" manualBreakCount="2">
    <brk id="31" max="6" man="1"/>
    <brk id="53" max="6" man="1"/>
  </rowBreaks>
  <drawing r:id="rId2"/>
</worksheet>
</file>

<file path=xl/worksheets/sheet47.xml><?xml version="1.0" encoding="utf-8"?>
<worksheet xmlns="http://schemas.openxmlformats.org/spreadsheetml/2006/main" xmlns:r="http://schemas.openxmlformats.org/officeDocument/2006/relationships">
  <dimension ref="B1:G31"/>
  <sheetViews>
    <sheetView zoomScaleNormal="100" workbookViewId="0">
      <pane ySplit="5" topLeftCell="A6" activePane="bottomLeft" state="frozen"/>
      <selection pane="bottomLeft"/>
    </sheetView>
  </sheetViews>
  <sheetFormatPr defaultRowHeight="12.95" customHeight="1"/>
  <cols>
    <col min="1" max="1" width="3.7109375" style="292" customWidth="1"/>
    <col min="2" max="2" width="13.140625" style="292" bestFit="1" customWidth="1"/>
    <col min="3" max="3" width="32" style="292" bestFit="1" customWidth="1"/>
    <col min="4" max="4" width="20.7109375" style="292" customWidth="1"/>
    <col min="5" max="5" width="20.7109375" style="966" customWidth="1"/>
    <col min="6" max="7" width="20.7109375" style="292" customWidth="1"/>
    <col min="8" max="16384" width="9.140625" style="292"/>
  </cols>
  <sheetData>
    <row r="1" spans="2:7" ht="12.95" customHeight="1">
      <c r="B1" s="313" t="s">
        <v>2706</v>
      </c>
      <c r="C1" s="2973" t="s">
        <v>8269</v>
      </c>
      <c r="D1" s="2973"/>
      <c r="E1" s="2973"/>
      <c r="F1" s="2973"/>
      <c r="G1" s="2973"/>
    </row>
    <row r="2" spans="2:7" ht="5.0999999999999996" customHeight="1"/>
    <row r="3" spans="2:7" ht="12.95" customHeight="1">
      <c r="B3" s="2978" t="s">
        <v>3707</v>
      </c>
      <c r="C3" s="2978"/>
      <c r="D3" s="2978"/>
      <c r="E3" s="2978"/>
      <c r="F3" s="2978"/>
      <c r="G3" s="2978"/>
    </row>
    <row r="4" spans="2:7" s="965" customFormat="1" ht="11.25">
      <c r="B4" s="2979" t="s">
        <v>5920</v>
      </c>
      <c r="C4" s="2979"/>
      <c r="D4" s="2979"/>
      <c r="E4" s="2979"/>
      <c r="F4" s="2979"/>
      <c r="G4" s="2979"/>
    </row>
    <row r="5" spans="2:7" ht="5.0999999999999996" customHeight="1">
      <c r="B5" s="3566"/>
      <c r="C5" s="3566"/>
      <c r="D5" s="3566"/>
      <c r="E5" s="3566"/>
    </row>
    <row r="6" spans="2:7" ht="12.95" customHeight="1">
      <c r="B6" s="3000" t="s">
        <v>9003</v>
      </c>
      <c r="C6" s="3000"/>
      <c r="D6" s="3000"/>
      <c r="E6" s="3000"/>
      <c r="F6" s="3000"/>
      <c r="G6" s="3000"/>
    </row>
    <row r="7" spans="2:7" ht="12.95" customHeight="1">
      <c r="B7" s="294" t="s">
        <v>3628</v>
      </c>
      <c r="C7" s="991" t="s">
        <v>1783</v>
      </c>
      <c r="D7" s="385"/>
    </row>
    <row r="8" spans="2:7" ht="12.95" customHeight="1">
      <c r="B8" s="294" t="s">
        <v>3631</v>
      </c>
      <c r="C8" s="991" t="s">
        <v>1784</v>
      </c>
      <c r="D8" s="385"/>
    </row>
    <row r="9" spans="2:7" ht="12.95" customHeight="1">
      <c r="B9" s="294" t="s">
        <v>3635</v>
      </c>
      <c r="C9" s="991" t="s">
        <v>1785</v>
      </c>
      <c r="D9" s="385"/>
    </row>
    <row r="10" spans="2:7" ht="12.95" customHeight="1">
      <c r="B10" s="294" t="s">
        <v>3638</v>
      </c>
      <c r="C10" s="991" t="s">
        <v>1786</v>
      </c>
      <c r="D10" s="1067"/>
    </row>
    <row r="11" spans="2:7" ht="5.0999999999999996" customHeight="1">
      <c r="C11" s="432"/>
      <c r="D11" s="432"/>
    </row>
    <row r="12" spans="2:7" ht="26.1" customHeight="1">
      <c r="B12" s="3250" t="s">
        <v>9004</v>
      </c>
      <c r="C12" s="3250"/>
      <c r="D12" s="3250"/>
      <c r="E12" s="3250"/>
      <c r="F12" s="3250"/>
      <c r="G12" s="3250"/>
    </row>
    <row r="13" spans="2:7" ht="26.1" customHeight="1">
      <c r="B13" s="3250" t="s">
        <v>9005</v>
      </c>
      <c r="C13" s="3250"/>
      <c r="D13" s="3250"/>
      <c r="E13" s="3250"/>
      <c r="F13" s="3250"/>
      <c r="G13" s="3250"/>
    </row>
    <row r="14" spans="2:7" ht="5.0999999999999996" customHeight="1">
      <c r="C14" s="432"/>
      <c r="D14" s="432"/>
    </row>
    <row r="15" spans="2:7" ht="12.95" customHeight="1">
      <c r="B15" s="3102" t="s">
        <v>9006</v>
      </c>
      <c r="C15" s="3102"/>
      <c r="D15" s="3102"/>
      <c r="E15" s="3102"/>
      <c r="G15" s="1068"/>
    </row>
    <row r="16" spans="2:7" ht="51.95" customHeight="1">
      <c r="B16" s="2960" t="s">
        <v>9007</v>
      </c>
      <c r="C16" s="2960"/>
      <c r="D16" s="2960"/>
      <c r="E16" s="2960"/>
      <c r="F16" s="2960"/>
      <c r="G16" s="288"/>
    </row>
    <row r="17" spans="2:7" ht="12.95" customHeight="1">
      <c r="B17" s="3601" t="s">
        <v>9008</v>
      </c>
      <c r="C17" s="3601"/>
      <c r="D17" s="3601"/>
      <c r="E17" s="3601"/>
      <c r="F17" s="3601"/>
      <c r="G17" s="431"/>
    </row>
    <row r="18" spans="2:7" ht="5.0999999999999996" customHeight="1">
      <c r="B18" s="433"/>
      <c r="C18" s="600"/>
      <c r="D18" s="600"/>
      <c r="G18" s="1068"/>
    </row>
    <row r="19" spans="2:7" ht="12.95" customHeight="1">
      <c r="B19" s="3102" t="s">
        <v>9009</v>
      </c>
      <c r="C19" s="3102"/>
      <c r="D19" s="3102"/>
      <c r="E19" s="3102"/>
      <c r="G19" s="1068"/>
    </row>
    <row r="20" spans="2:7" ht="12.95" customHeight="1">
      <c r="B20" s="3601" t="s">
        <v>9010</v>
      </c>
      <c r="C20" s="3601"/>
      <c r="D20" s="3601"/>
      <c r="E20" s="3601"/>
      <c r="F20" s="3601"/>
      <c r="G20" s="431"/>
    </row>
    <row r="21" spans="2:7" ht="104.1" customHeight="1">
      <c r="B21" s="2960" t="s">
        <v>10081</v>
      </c>
      <c r="C21" s="2960"/>
      <c r="D21" s="2960"/>
      <c r="E21" s="2960"/>
      <c r="F21" s="2960"/>
      <c r="G21" s="288"/>
    </row>
    <row r="22" spans="2:7" ht="156" customHeight="1">
      <c r="B22" s="2960" t="s">
        <v>9011</v>
      </c>
      <c r="C22" s="2960"/>
      <c r="D22" s="2960"/>
      <c r="E22" s="2960"/>
      <c r="F22" s="2960"/>
      <c r="G22" s="288"/>
    </row>
    <row r="23" spans="2:7" ht="5.0999999999999996" customHeight="1">
      <c r="B23" s="952"/>
      <c r="C23" s="952"/>
      <c r="D23" s="952"/>
      <c r="E23" s="952"/>
      <c r="F23" s="952"/>
      <c r="G23" s="288"/>
    </row>
    <row r="24" spans="2:7" ht="51.95" customHeight="1">
      <c r="B24" s="2960" t="s">
        <v>9012</v>
      </c>
      <c r="C24" s="2960"/>
      <c r="D24" s="2960"/>
      <c r="E24" s="2960"/>
      <c r="F24" s="2960"/>
      <c r="G24" s="288"/>
    </row>
    <row r="25" spans="2:7" ht="5.0999999999999996" customHeight="1">
      <c r="B25" s="952"/>
      <c r="C25" s="952"/>
      <c r="D25" s="952"/>
      <c r="E25" s="952"/>
      <c r="F25" s="952"/>
      <c r="G25" s="288"/>
    </row>
    <row r="26" spans="2:7" ht="12.95" customHeight="1">
      <c r="B26" s="3655" t="s">
        <v>5925</v>
      </c>
      <c r="C26" s="3655"/>
      <c r="D26" s="3326" t="s">
        <v>3708</v>
      </c>
      <c r="E26" s="3326"/>
      <c r="F26" s="3326"/>
    </row>
    <row r="27" spans="2:7" ht="12.95" customHeight="1">
      <c r="B27" s="3655" t="s">
        <v>5926</v>
      </c>
      <c r="C27" s="3655"/>
      <c r="D27" s="3326" t="s">
        <v>3709</v>
      </c>
      <c r="E27" s="3326"/>
      <c r="F27" s="3326"/>
    </row>
    <row r="28" spans="2:7" ht="5.0999999999999996" customHeight="1">
      <c r="B28" s="528"/>
      <c r="C28" s="528"/>
      <c r="D28" s="970"/>
      <c r="E28" s="970"/>
      <c r="F28" s="970"/>
    </row>
    <row r="29" spans="2:7" ht="26.1" customHeight="1">
      <c r="B29" s="2960" t="s">
        <v>9013</v>
      </c>
      <c r="C29" s="2960"/>
      <c r="D29" s="2960"/>
      <c r="E29" s="2960"/>
      <c r="F29" s="2960"/>
      <c r="G29" s="1069"/>
    </row>
    <row r="30" spans="2:7" ht="26.1" customHeight="1">
      <c r="B30" s="2960" t="s">
        <v>9014</v>
      </c>
      <c r="C30" s="2960"/>
      <c r="D30" s="2960"/>
      <c r="E30" s="2960"/>
      <c r="F30" s="2960"/>
      <c r="G30" s="1069"/>
    </row>
    <row r="31" spans="2:7" ht="12.95" customHeight="1">
      <c r="B31" s="433"/>
      <c r="C31" s="600"/>
      <c r="D31" s="600"/>
      <c r="E31" s="991"/>
      <c r="F31" s="431"/>
      <c r="G31" s="1069"/>
    </row>
  </sheetData>
  <sheetProtection autoFilter="0"/>
  <mergeCells count="21">
    <mergeCell ref="C1:G1"/>
    <mergeCell ref="B30:F30"/>
    <mergeCell ref="B20:F20"/>
    <mergeCell ref="B16:F16"/>
    <mergeCell ref="B17:F17"/>
    <mergeCell ref="B21:F21"/>
    <mergeCell ref="B22:F22"/>
    <mergeCell ref="B24:F24"/>
    <mergeCell ref="B29:F29"/>
    <mergeCell ref="B15:E15"/>
    <mergeCell ref="B19:E19"/>
    <mergeCell ref="B26:C26"/>
    <mergeCell ref="D26:F26"/>
    <mergeCell ref="B27:C27"/>
    <mergeCell ref="D27:F27"/>
    <mergeCell ref="B13:G13"/>
    <mergeCell ref="B3:G3"/>
    <mergeCell ref="B4:G4"/>
    <mergeCell ref="B5:E5"/>
    <mergeCell ref="B6:G6"/>
    <mergeCell ref="B12:G12"/>
  </mergeCells>
  <hyperlinks>
    <hyperlink ref="B1" location="Index!A1" display="Назад"/>
  </hyperlinks>
  <pageMargins left="0.75" right="0.75" top="1" bottom="1" header="0.5" footer="0.5"/>
  <pageSetup paperSize="9" orientation="landscape" r:id="rId1"/>
  <headerFooter alignWithMargins="0"/>
  <drawing r:id="rId2"/>
</worksheet>
</file>

<file path=xl/worksheets/sheet48.xml><?xml version="1.0" encoding="utf-8"?>
<worksheet xmlns="http://schemas.openxmlformats.org/spreadsheetml/2006/main" xmlns:r="http://schemas.openxmlformats.org/officeDocument/2006/relationships">
  <dimension ref="B1:G103"/>
  <sheetViews>
    <sheetView zoomScaleNormal="100" workbookViewId="0">
      <pane ySplit="5" topLeftCell="A6" activePane="bottomLeft" state="frozen"/>
      <selection pane="bottomLeft"/>
    </sheetView>
  </sheetViews>
  <sheetFormatPr defaultRowHeight="12.95" customHeight="1"/>
  <cols>
    <col min="1" max="1" width="3.7109375" style="292" customWidth="1"/>
    <col min="2" max="2" width="15.28515625" style="292" bestFit="1" customWidth="1"/>
    <col min="3" max="3" width="32" style="292" bestFit="1" customWidth="1"/>
    <col min="4" max="4" width="20.7109375" style="292" customWidth="1"/>
    <col min="5" max="5" width="15.28515625" style="966" customWidth="1"/>
    <col min="6" max="7" width="20.7109375" style="292" customWidth="1"/>
    <col min="8" max="16384" width="9.140625" style="292"/>
  </cols>
  <sheetData>
    <row r="1" spans="2:7" ht="12.95" customHeight="1">
      <c r="B1" s="313" t="s">
        <v>2706</v>
      </c>
      <c r="C1" s="2973" t="s">
        <v>8269</v>
      </c>
      <c r="D1" s="2973"/>
      <c r="E1" s="2973"/>
      <c r="F1" s="2973"/>
      <c r="G1" s="2973"/>
    </row>
    <row r="2" spans="2:7" ht="5.0999999999999996" customHeight="1"/>
    <row r="3" spans="2:7" ht="12.95" customHeight="1">
      <c r="B3" s="2978" t="s">
        <v>3710</v>
      </c>
      <c r="C3" s="2978"/>
      <c r="D3" s="2978"/>
      <c r="E3" s="2978"/>
      <c r="F3" s="2978"/>
      <c r="G3" s="2978"/>
    </row>
    <row r="4" spans="2:7" s="965" customFormat="1" ht="11.25">
      <c r="B4" s="2979" t="s">
        <v>5920</v>
      </c>
      <c r="C4" s="2979"/>
      <c r="D4" s="2979"/>
      <c r="E4" s="2979"/>
      <c r="F4" s="2979"/>
      <c r="G4" s="2979"/>
    </row>
    <row r="5" spans="2:7" ht="5.0999999999999996" customHeight="1">
      <c r="B5" s="3566"/>
      <c r="C5" s="3566"/>
      <c r="D5" s="3566"/>
      <c r="E5" s="3566"/>
    </row>
    <row r="6" spans="2:7" ht="12.95" customHeight="1">
      <c r="B6" s="3102" t="s">
        <v>3711</v>
      </c>
      <c r="C6" s="3102"/>
      <c r="D6" s="3102"/>
      <c r="E6" s="3102"/>
    </row>
    <row r="7" spans="2:7" ht="26.1" customHeight="1">
      <c r="B7" s="2960" t="s">
        <v>3712</v>
      </c>
      <c r="C7" s="2960"/>
      <c r="D7" s="2960"/>
      <c r="E7" s="2960"/>
      <c r="F7" s="2960"/>
    </row>
    <row r="8" spans="2:7" ht="12.95" customHeight="1" thickBot="1">
      <c r="B8" s="3000" t="s">
        <v>3713</v>
      </c>
      <c r="C8" s="3000"/>
      <c r="D8" s="3000"/>
      <c r="E8" s="3000"/>
      <c r="F8" s="3000"/>
    </row>
    <row r="9" spans="2:7" ht="12.95" customHeight="1" thickBot="1">
      <c r="B9" s="984" t="s">
        <v>1149</v>
      </c>
      <c r="C9" s="957" t="s">
        <v>3714</v>
      </c>
      <c r="D9" s="385"/>
    </row>
    <row r="10" spans="2:7" ht="12.95" customHeight="1">
      <c r="B10" s="423" t="s">
        <v>3715</v>
      </c>
      <c r="C10" s="213">
        <v>8</v>
      </c>
      <c r="D10" s="1067"/>
    </row>
    <row r="11" spans="2:7" ht="12.95" customHeight="1">
      <c r="B11" s="992" t="s">
        <v>3716</v>
      </c>
      <c r="C11" s="980">
        <v>6</v>
      </c>
      <c r="D11" s="432"/>
    </row>
    <row r="12" spans="2:7" ht="12.95" customHeight="1" thickBot="1">
      <c r="B12" s="974" t="s">
        <v>3717</v>
      </c>
      <c r="C12" s="975">
        <v>4</v>
      </c>
      <c r="D12" s="1030"/>
      <c r="E12" s="1030"/>
      <c r="F12" s="1030"/>
      <c r="G12" s="1030"/>
    </row>
    <row r="13" spans="2:7" ht="5.0999999999999996" customHeight="1">
      <c r="B13" s="431"/>
      <c r="C13" s="431"/>
      <c r="D13" s="431"/>
      <c r="E13" s="431"/>
      <c r="F13" s="431"/>
      <c r="G13" s="431"/>
    </row>
    <row r="14" spans="2:7" ht="12.95" customHeight="1">
      <c r="B14" s="3102" t="s">
        <v>3718</v>
      </c>
      <c r="C14" s="3102"/>
      <c r="D14" s="3102"/>
      <c r="E14" s="3102"/>
    </row>
    <row r="15" spans="2:7" ht="12.95" customHeight="1">
      <c r="B15" s="3000" t="s">
        <v>3719</v>
      </c>
      <c r="C15" s="3000"/>
      <c r="D15" s="3000"/>
      <c r="E15" s="3000"/>
      <c r="F15" s="3000"/>
    </row>
    <row r="16" spans="2:7" ht="12.95" customHeight="1">
      <c r="B16" s="3000" t="s">
        <v>3720</v>
      </c>
      <c r="C16" s="3000"/>
      <c r="D16" s="3000"/>
      <c r="E16" s="3000"/>
      <c r="F16" s="3000"/>
    </row>
    <row r="17" spans="2:6" ht="12.95" customHeight="1" thickBot="1">
      <c r="B17" s="3102" t="s">
        <v>3721</v>
      </c>
      <c r="C17" s="3102"/>
      <c r="D17" s="3102"/>
      <c r="E17" s="3102"/>
      <c r="F17" s="3102"/>
    </row>
    <row r="18" spans="2:6" ht="12.95" customHeight="1" thickBot="1">
      <c r="B18" s="3664" t="s">
        <v>1200</v>
      </c>
      <c r="C18" s="3649"/>
      <c r="D18" s="3649" t="s">
        <v>3722</v>
      </c>
      <c r="E18" s="3649"/>
      <c r="F18" s="3650"/>
    </row>
    <row r="19" spans="2:6" ht="26.1" customHeight="1">
      <c r="B19" s="3656" t="s">
        <v>3723</v>
      </c>
      <c r="C19" s="3589"/>
      <c r="D19" s="3589" t="s">
        <v>3724</v>
      </c>
      <c r="E19" s="3589"/>
      <c r="F19" s="3657"/>
    </row>
    <row r="20" spans="2:6" ht="26.1" customHeight="1">
      <c r="B20" s="3658" t="s">
        <v>3725</v>
      </c>
      <c r="C20" s="3585"/>
      <c r="D20" s="3585" t="s">
        <v>3726</v>
      </c>
      <c r="E20" s="3585"/>
      <c r="F20" s="3661"/>
    </row>
    <row r="21" spans="2:6" ht="26.1" customHeight="1">
      <c r="B21" s="3662" t="s">
        <v>3727</v>
      </c>
      <c r="C21" s="3583"/>
      <c r="D21" s="3583" t="s">
        <v>3728</v>
      </c>
      <c r="E21" s="3583"/>
      <c r="F21" s="3663"/>
    </row>
    <row r="22" spans="2:6" ht="26.1" customHeight="1" thickBot="1">
      <c r="B22" s="3659" t="s">
        <v>3729</v>
      </c>
      <c r="C22" s="3587"/>
      <c r="D22" s="3587" t="s">
        <v>3726</v>
      </c>
      <c r="E22" s="3587"/>
      <c r="F22" s="3660"/>
    </row>
    <row r="23" spans="2:6" ht="5.0999999999999996" customHeight="1"/>
    <row r="24" spans="2:6" ht="90.95" customHeight="1">
      <c r="B24" s="2960" t="s">
        <v>10082</v>
      </c>
      <c r="C24" s="2960"/>
      <c r="D24" s="2960"/>
      <c r="E24" s="2960"/>
      <c r="F24" s="2960"/>
    </row>
    <row r="25" spans="2:6" ht="12.95" customHeight="1">
      <c r="B25" s="2960" t="s">
        <v>9015</v>
      </c>
      <c r="C25" s="2960"/>
      <c r="D25" s="2960"/>
      <c r="E25" s="2960"/>
      <c r="F25" s="2960"/>
    </row>
    <row r="26" spans="2:6" ht="39" customHeight="1">
      <c r="B26" s="2960" t="s">
        <v>10083</v>
      </c>
      <c r="C26" s="2960"/>
      <c r="D26" s="2960"/>
      <c r="E26" s="2960"/>
      <c r="F26" s="2960"/>
    </row>
    <row r="27" spans="2:6" ht="39" customHeight="1">
      <c r="B27" s="2960" t="s">
        <v>9016</v>
      </c>
      <c r="C27" s="2960"/>
      <c r="D27" s="2960"/>
      <c r="E27" s="2960"/>
      <c r="F27" s="2960"/>
    </row>
    <row r="28" spans="2:6" ht="5.0999999999999996" customHeight="1"/>
    <row r="29" spans="2:6" ht="12.95" customHeight="1" thickBot="1">
      <c r="B29" s="3102" t="s">
        <v>3735</v>
      </c>
      <c r="C29" s="3102"/>
      <c r="D29" s="3102"/>
      <c r="E29" s="3102"/>
      <c r="F29" s="3102"/>
    </row>
    <row r="30" spans="2:6" ht="12.95" customHeight="1" thickBot="1">
      <c r="B30" s="3664" t="s">
        <v>1200</v>
      </c>
      <c r="C30" s="3649"/>
      <c r="D30" s="3649" t="s">
        <v>3722</v>
      </c>
      <c r="E30" s="3649"/>
      <c r="F30" s="3650"/>
    </row>
    <row r="31" spans="2:6" ht="12.95" customHeight="1">
      <c r="B31" s="3656" t="s">
        <v>3730</v>
      </c>
      <c r="C31" s="3589"/>
      <c r="D31" s="3589" t="s">
        <v>3726</v>
      </c>
      <c r="E31" s="3589"/>
      <c r="F31" s="3657"/>
    </row>
    <row r="32" spans="2:6" ht="26.1" customHeight="1">
      <c r="B32" s="3658" t="s">
        <v>3731</v>
      </c>
      <c r="C32" s="3585"/>
      <c r="D32" s="3585" t="s">
        <v>3726</v>
      </c>
      <c r="E32" s="3585"/>
      <c r="F32" s="3661"/>
    </row>
    <row r="33" spans="2:6" ht="26.1" customHeight="1">
      <c r="B33" s="3662" t="s">
        <v>3732</v>
      </c>
      <c r="C33" s="3583"/>
      <c r="D33" s="3583" t="s">
        <v>3726</v>
      </c>
      <c r="E33" s="3583"/>
      <c r="F33" s="3663"/>
    </row>
    <row r="34" spans="2:6" ht="39" customHeight="1" thickBot="1">
      <c r="B34" s="3659" t="s">
        <v>3733</v>
      </c>
      <c r="C34" s="3587"/>
      <c r="D34" s="3587" t="s">
        <v>3734</v>
      </c>
      <c r="E34" s="3587"/>
      <c r="F34" s="3660"/>
    </row>
    <row r="35" spans="2:6" ht="5.0999999999999996" customHeight="1"/>
    <row r="36" spans="2:6" ht="12.95" customHeight="1">
      <c r="B36" s="3102" t="s">
        <v>3736</v>
      </c>
      <c r="C36" s="3102"/>
      <c r="D36" s="3102"/>
      <c r="E36" s="3102"/>
      <c r="F36" s="3102"/>
    </row>
    <row r="37" spans="2:6" ht="26.1" customHeight="1">
      <c r="B37" s="2960" t="s">
        <v>3737</v>
      </c>
      <c r="C37" s="2960"/>
      <c r="D37" s="2960"/>
      <c r="E37" s="2960"/>
      <c r="F37" s="2960"/>
    </row>
    <row r="38" spans="2:6" ht="5.0999999999999996" customHeight="1"/>
    <row r="39" spans="2:6" ht="12.95" customHeight="1">
      <c r="B39" s="3102" t="s">
        <v>3738</v>
      </c>
      <c r="C39" s="3102"/>
      <c r="D39" s="3102"/>
      <c r="E39" s="3102"/>
    </row>
    <row r="40" spans="2:6" ht="12.95" customHeight="1">
      <c r="B40" s="2960" t="s">
        <v>3739</v>
      </c>
      <c r="C40" s="2960"/>
      <c r="D40" s="2960"/>
      <c r="E40" s="2960"/>
      <c r="F40" s="2960"/>
    </row>
    <row r="42" spans="2:6" ht="12.95" customHeight="1">
      <c r="B42" s="3102" t="s">
        <v>3740</v>
      </c>
      <c r="C42" s="3102"/>
      <c r="D42" s="3102"/>
      <c r="E42" s="3102"/>
    </row>
    <row r="43" spans="2:6" ht="12.95" customHeight="1">
      <c r="B43" s="2960" t="s">
        <v>3741</v>
      </c>
      <c r="C43" s="2960"/>
      <c r="D43" s="2960"/>
      <c r="E43" s="2960"/>
      <c r="F43" s="2960"/>
    </row>
    <row r="45" spans="2:6" ht="12.95" customHeight="1">
      <c r="B45" s="3102" t="s">
        <v>3742</v>
      </c>
      <c r="C45" s="3102"/>
      <c r="D45" s="3102"/>
      <c r="E45" s="3102"/>
    </row>
    <row r="46" spans="2:6" ht="12.95" customHeight="1">
      <c r="B46" s="2960" t="s">
        <v>3743</v>
      </c>
      <c r="C46" s="2960"/>
      <c r="D46" s="2960"/>
      <c r="E46" s="2960"/>
      <c r="F46" s="2960"/>
    </row>
    <row r="48" spans="2:6" ht="12.95" customHeight="1">
      <c r="B48" s="3102" t="s">
        <v>3744</v>
      </c>
      <c r="C48" s="3102"/>
      <c r="D48" s="3102"/>
      <c r="E48" s="3102"/>
    </row>
    <row r="49" spans="2:6" ht="12.95" customHeight="1">
      <c r="B49" s="2960" t="s">
        <v>3745</v>
      </c>
      <c r="C49" s="2960"/>
      <c r="D49" s="2960"/>
      <c r="E49" s="2960"/>
      <c r="F49" s="2960"/>
    </row>
    <row r="51" spans="2:6" ht="12.95" customHeight="1">
      <c r="B51" s="3102" t="s">
        <v>5331</v>
      </c>
      <c r="C51" s="3102"/>
      <c r="D51" s="3102"/>
      <c r="E51" s="3102"/>
    </row>
    <row r="52" spans="2:6" ht="26.1" customHeight="1">
      <c r="B52" s="2960" t="s">
        <v>3746</v>
      </c>
      <c r="C52" s="2960"/>
      <c r="D52" s="2960"/>
      <c r="E52" s="2960"/>
      <c r="F52" s="2960"/>
    </row>
    <row r="54" spans="2:6" ht="12.95" customHeight="1">
      <c r="B54" s="3102" t="s">
        <v>3747</v>
      </c>
      <c r="C54" s="3102"/>
      <c r="D54" s="3102"/>
      <c r="E54" s="3102"/>
    </row>
    <row r="55" spans="2:6" ht="26.1" customHeight="1">
      <c r="B55" s="2960" t="s">
        <v>3748</v>
      </c>
      <c r="C55" s="2960"/>
      <c r="D55" s="2960"/>
      <c r="E55" s="2960"/>
      <c r="F55" s="2960"/>
    </row>
    <row r="57" spans="2:6" ht="12.95" customHeight="1">
      <c r="B57" s="3102" t="s">
        <v>3749</v>
      </c>
      <c r="C57" s="3102"/>
      <c r="D57" s="3102"/>
      <c r="E57" s="3102"/>
    </row>
    <row r="58" spans="2:6" ht="12.95" customHeight="1">
      <c r="B58" s="2960" t="s">
        <v>3750</v>
      </c>
      <c r="C58" s="2960"/>
      <c r="D58" s="2960"/>
      <c r="E58" s="2960"/>
      <c r="F58" s="2960"/>
    </row>
    <row r="60" spans="2:6" ht="12.95" customHeight="1">
      <c r="B60" s="3102" t="s">
        <v>5332</v>
      </c>
      <c r="C60" s="3102"/>
      <c r="D60" s="3102"/>
      <c r="E60" s="3102"/>
    </row>
    <row r="61" spans="2:6" ht="12.95" customHeight="1">
      <c r="B61" s="2960" t="s">
        <v>3751</v>
      </c>
      <c r="C61" s="2960"/>
      <c r="D61" s="2960"/>
      <c r="E61" s="2960"/>
      <c r="F61" s="2960"/>
    </row>
    <row r="62" spans="2:6" ht="12.95" customHeight="1">
      <c r="B62" s="3102" t="s">
        <v>5333</v>
      </c>
      <c r="C62" s="3102"/>
      <c r="D62" s="3102"/>
      <c r="E62" s="3102"/>
    </row>
    <row r="63" spans="2:6" ht="12.95" customHeight="1">
      <c r="B63" s="2960" t="s">
        <v>3752</v>
      </c>
      <c r="C63" s="2960"/>
      <c r="D63" s="2960"/>
      <c r="E63" s="2960"/>
      <c r="F63" s="2960"/>
    </row>
    <row r="64" spans="2:6" ht="12.95" customHeight="1">
      <c r="B64" s="3102" t="s">
        <v>5334</v>
      </c>
      <c r="C64" s="3102"/>
      <c r="D64" s="3102"/>
      <c r="E64" s="3102"/>
    </row>
    <row r="65" spans="2:6" ht="12.95" customHeight="1">
      <c r="B65" s="2960" t="s">
        <v>3753</v>
      </c>
      <c r="C65" s="2960"/>
      <c r="D65" s="2960"/>
      <c r="E65" s="2960"/>
      <c r="F65" s="2960"/>
    </row>
    <row r="66" spans="2:6" ht="5.0999999999999996" customHeight="1">
      <c r="B66" s="3643"/>
      <c r="C66" s="3643"/>
      <c r="D66" s="3643"/>
      <c r="E66" s="3643"/>
      <c r="F66" s="3643"/>
    </row>
    <row r="67" spans="2:6" ht="12.95" customHeight="1">
      <c r="B67" s="3102" t="s">
        <v>3754</v>
      </c>
      <c r="C67" s="3102"/>
      <c r="D67" s="3102"/>
      <c r="E67" s="3102"/>
    </row>
    <row r="68" spans="2:6" ht="12.95" customHeight="1">
      <c r="B68" s="2960" t="s">
        <v>3755</v>
      </c>
      <c r="C68" s="2960"/>
      <c r="D68" s="2960"/>
      <c r="E68" s="2960"/>
      <c r="F68" s="2960"/>
    </row>
    <row r="69" spans="2:6" ht="26.1" customHeight="1">
      <c r="B69" s="2960" t="s">
        <v>3756</v>
      </c>
      <c r="C69" s="2960"/>
      <c r="D69" s="2960"/>
      <c r="E69" s="2960"/>
      <c r="F69" s="2960"/>
    </row>
    <row r="70" spans="2:6" ht="26.1" customHeight="1">
      <c r="B70" s="2960" t="s">
        <v>5896</v>
      </c>
      <c r="C70" s="2960"/>
      <c r="D70" s="2960"/>
      <c r="E70" s="2960"/>
      <c r="F70" s="2960"/>
    </row>
    <row r="71" spans="2:6" ht="12.95" customHeight="1">
      <c r="B71" s="2960" t="s">
        <v>5312</v>
      </c>
      <c r="C71" s="2960"/>
      <c r="D71" s="2960"/>
      <c r="E71" s="2960"/>
      <c r="F71" s="2960"/>
    </row>
    <row r="72" spans="2:6" ht="5.0999999999999996" customHeight="1"/>
    <row r="73" spans="2:6" ht="12.95" customHeight="1">
      <c r="B73" s="3102" t="s">
        <v>3757</v>
      </c>
      <c r="C73" s="3102"/>
      <c r="D73" s="3102"/>
      <c r="E73" s="3102"/>
    </row>
    <row r="74" spans="2:6" ht="26.1" customHeight="1">
      <c r="B74" s="2960" t="s">
        <v>3758</v>
      </c>
      <c r="C74" s="2960"/>
      <c r="D74" s="2960"/>
      <c r="E74" s="2960"/>
      <c r="F74" s="2960"/>
    </row>
    <row r="75" spans="2:6" ht="26.1" customHeight="1">
      <c r="B75" s="2960" t="s">
        <v>9020</v>
      </c>
      <c r="C75" s="2960"/>
      <c r="D75" s="2960"/>
      <c r="E75" s="2960"/>
      <c r="F75" s="2960"/>
    </row>
    <row r="76" spans="2:6" ht="39" customHeight="1">
      <c r="B76" s="2960" t="s">
        <v>9019</v>
      </c>
      <c r="C76" s="2960"/>
      <c r="D76" s="2960"/>
      <c r="E76" s="2960"/>
      <c r="F76" s="2960"/>
    </row>
    <row r="77" spans="2:6" ht="39" customHeight="1">
      <c r="B77" s="2960" t="s">
        <v>9018</v>
      </c>
      <c r="C77" s="2960"/>
      <c r="D77" s="2960"/>
      <c r="E77" s="2960"/>
      <c r="F77" s="2960"/>
    </row>
    <row r="78" spans="2:6" ht="39" customHeight="1">
      <c r="B78" s="2960" t="s">
        <v>9017</v>
      </c>
      <c r="C78" s="2960"/>
      <c r="D78" s="2960"/>
      <c r="E78" s="2960"/>
      <c r="F78" s="2960"/>
    </row>
    <row r="79" spans="2:6" ht="5.0999999999999996" customHeight="1"/>
    <row r="80" spans="2:6" ht="12.95" customHeight="1">
      <c r="B80" s="3102" t="s">
        <v>3759</v>
      </c>
      <c r="C80" s="3102"/>
      <c r="D80" s="3102"/>
      <c r="E80" s="3102"/>
    </row>
    <row r="81" spans="2:6" ht="26.1" customHeight="1">
      <c r="B81" s="2960" t="s">
        <v>3760</v>
      </c>
      <c r="C81" s="2960"/>
      <c r="D81" s="2960"/>
      <c r="E81" s="2960"/>
      <c r="F81" s="2960"/>
    </row>
    <row r="82" spans="2:6" ht="12.95" customHeight="1">
      <c r="B82" s="2960" t="s">
        <v>3761</v>
      </c>
      <c r="C82" s="2960"/>
      <c r="D82" s="2960"/>
      <c r="E82" s="2960"/>
      <c r="F82" s="2960"/>
    </row>
    <row r="83" spans="2:6" ht="12.95" customHeight="1" thickBot="1">
      <c r="B83" s="2960" t="s">
        <v>5924</v>
      </c>
      <c r="C83" s="2960"/>
      <c r="D83" s="2960"/>
      <c r="E83" s="2960"/>
      <c r="F83" s="2960"/>
    </row>
    <row r="84" spans="2:6" ht="12.95" customHeight="1" thickBot="1">
      <c r="B84" s="984" t="s">
        <v>2710</v>
      </c>
      <c r="C84" s="3649" t="s">
        <v>3022</v>
      </c>
      <c r="D84" s="3650"/>
    </row>
    <row r="85" spans="2:6" ht="12.95" customHeight="1">
      <c r="B85" s="423" t="s">
        <v>2152</v>
      </c>
      <c r="C85" s="3671" t="s">
        <v>2333</v>
      </c>
      <c r="D85" s="3672"/>
    </row>
    <row r="86" spans="2:6" ht="12.95" customHeight="1">
      <c r="B86" s="992" t="s">
        <v>390</v>
      </c>
      <c r="C86" s="3669" t="s">
        <v>2333</v>
      </c>
      <c r="D86" s="3670"/>
    </row>
    <row r="87" spans="2:6" ht="12.95" customHeight="1">
      <c r="B87" s="752" t="s">
        <v>1486</v>
      </c>
      <c r="C87" s="3667" t="s">
        <v>3021</v>
      </c>
      <c r="D87" s="3668"/>
    </row>
    <row r="88" spans="2:6" ht="12.95" customHeight="1">
      <c r="B88" s="992" t="s">
        <v>1497</v>
      </c>
      <c r="C88" s="3669" t="s">
        <v>2333</v>
      </c>
      <c r="D88" s="3670"/>
    </row>
    <row r="89" spans="2:6" ht="12.95" customHeight="1">
      <c r="B89" s="752" t="s">
        <v>1506</v>
      </c>
      <c r="C89" s="3667" t="s">
        <v>2333</v>
      </c>
      <c r="D89" s="3668"/>
    </row>
    <row r="90" spans="2:6" ht="12.95" customHeight="1">
      <c r="B90" s="992" t="s">
        <v>1817</v>
      </c>
      <c r="C90" s="3669" t="s">
        <v>3020</v>
      </c>
      <c r="D90" s="3670"/>
    </row>
    <row r="91" spans="2:6" ht="12.95" customHeight="1">
      <c r="B91" s="752" t="s">
        <v>1686</v>
      </c>
      <c r="C91" s="3667" t="s">
        <v>2333</v>
      </c>
      <c r="D91" s="3668"/>
    </row>
    <row r="92" spans="2:6" ht="12.95" customHeight="1">
      <c r="B92" s="992" t="s">
        <v>1697</v>
      </c>
      <c r="C92" s="3669" t="s">
        <v>2333</v>
      </c>
      <c r="D92" s="3670"/>
    </row>
    <row r="93" spans="2:6" ht="12.95" customHeight="1">
      <c r="B93" s="752" t="s">
        <v>2607</v>
      </c>
      <c r="C93" s="3667" t="s">
        <v>5897</v>
      </c>
      <c r="D93" s="3668"/>
    </row>
    <row r="94" spans="2:6" ht="12.95" customHeight="1">
      <c r="B94" s="992" t="s">
        <v>935</v>
      </c>
      <c r="C94" s="3669" t="s">
        <v>2802</v>
      </c>
      <c r="D94" s="3670"/>
    </row>
    <row r="95" spans="2:6" ht="12.95" customHeight="1">
      <c r="B95" s="752" t="s">
        <v>1349</v>
      </c>
      <c r="C95" s="3667" t="s">
        <v>3762</v>
      </c>
      <c r="D95" s="3668"/>
    </row>
    <row r="96" spans="2:6" ht="12.95" customHeight="1">
      <c r="B96" s="992" t="s">
        <v>1361</v>
      </c>
      <c r="C96" s="3669" t="s">
        <v>3763</v>
      </c>
      <c r="D96" s="3670"/>
    </row>
    <row r="97" spans="2:4" ht="12.95" customHeight="1">
      <c r="B97" s="752" t="s">
        <v>327</v>
      </c>
      <c r="C97" s="3667" t="s">
        <v>3762</v>
      </c>
      <c r="D97" s="3668"/>
    </row>
    <row r="98" spans="2:4" ht="12.95" customHeight="1">
      <c r="B98" s="992" t="s">
        <v>475</v>
      </c>
      <c r="C98" s="3669" t="s">
        <v>3764</v>
      </c>
      <c r="D98" s="3670"/>
    </row>
    <row r="99" spans="2:4" ht="12.95" customHeight="1">
      <c r="B99" s="752" t="s">
        <v>398</v>
      </c>
      <c r="C99" s="3667" t="s">
        <v>3021</v>
      </c>
      <c r="D99" s="3668"/>
    </row>
    <row r="100" spans="2:4" ht="12.95" customHeight="1">
      <c r="B100" s="992" t="s">
        <v>169</v>
      </c>
      <c r="C100" s="3669" t="s">
        <v>3763</v>
      </c>
      <c r="D100" s="3670"/>
    </row>
    <row r="101" spans="2:4" ht="12.95" customHeight="1">
      <c r="B101" s="752" t="s">
        <v>2048</v>
      </c>
      <c r="C101" s="3667" t="s">
        <v>2333</v>
      </c>
      <c r="D101" s="3668"/>
    </row>
    <row r="102" spans="2:4" ht="12.95" customHeight="1" thickBot="1">
      <c r="B102" s="993" t="s">
        <v>2737</v>
      </c>
      <c r="C102" s="3665" t="s">
        <v>3020</v>
      </c>
      <c r="D102" s="3666"/>
    </row>
    <row r="103" spans="2:4" ht="12.95" customHeight="1">
      <c r="C103" s="966"/>
      <c r="D103" s="966"/>
    </row>
  </sheetData>
  <sheetProtection autoFilter="0"/>
  <mergeCells count="93">
    <mergeCell ref="C1:G1"/>
    <mergeCell ref="B77:F77"/>
    <mergeCell ref="B71:F71"/>
    <mergeCell ref="C99:D99"/>
    <mergeCell ref="C100:D100"/>
    <mergeCell ref="B24:F24"/>
    <mergeCell ref="B14:E14"/>
    <mergeCell ref="B15:F15"/>
    <mergeCell ref="B16:F16"/>
    <mergeCell ref="B17:F17"/>
    <mergeCell ref="B18:C18"/>
    <mergeCell ref="D18:F18"/>
    <mergeCell ref="D20:F20"/>
    <mergeCell ref="B21:C21"/>
    <mergeCell ref="D21:F21"/>
    <mergeCell ref="B22:C22"/>
    <mergeCell ref="C92:D92"/>
    <mergeCell ref="B83:F83"/>
    <mergeCell ref="B82:F82"/>
    <mergeCell ref="C84:D84"/>
    <mergeCell ref="C85:D85"/>
    <mergeCell ref="C86:D86"/>
    <mergeCell ref="C87:D87"/>
    <mergeCell ref="C88:D88"/>
    <mergeCell ref="C89:D89"/>
    <mergeCell ref="C90:D90"/>
    <mergeCell ref="C91:D91"/>
    <mergeCell ref="C102:D102"/>
    <mergeCell ref="C93:D93"/>
    <mergeCell ref="C94:D94"/>
    <mergeCell ref="C95:D95"/>
    <mergeCell ref="C96:D96"/>
    <mergeCell ref="C97:D97"/>
    <mergeCell ref="C98:D98"/>
    <mergeCell ref="C101:D101"/>
    <mergeCell ref="D22:F22"/>
    <mergeCell ref="B25:F25"/>
    <mergeCell ref="B26:F26"/>
    <mergeCell ref="B29:F29"/>
    <mergeCell ref="B30:C30"/>
    <mergeCell ref="D30:F30"/>
    <mergeCell ref="B27:F27"/>
    <mergeCell ref="B31:C31"/>
    <mergeCell ref="D31:F31"/>
    <mergeCell ref="B32:C32"/>
    <mergeCell ref="D32:F32"/>
    <mergeCell ref="B33:C33"/>
    <mergeCell ref="D33:F33"/>
    <mergeCell ref="B34:C34"/>
    <mergeCell ref="D34:F34"/>
    <mergeCell ref="B36:F36"/>
    <mergeCell ref="B37:F37"/>
    <mergeCell ref="B39:E39"/>
    <mergeCell ref="B40:F40"/>
    <mergeCell ref="B42:E42"/>
    <mergeCell ref="B43:F43"/>
    <mergeCell ref="B45:E45"/>
    <mergeCell ref="B46:F46"/>
    <mergeCell ref="B48:E48"/>
    <mergeCell ref="B49:F49"/>
    <mergeCell ref="B51:E51"/>
    <mergeCell ref="B52:F52"/>
    <mergeCell ref="B54:E54"/>
    <mergeCell ref="B55:F55"/>
    <mergeCell ref="B57:E57"/>
    <mergeCell ref="B58:F58"/>
    <mergeCell ref="B60:E60"/>
    <mergeCell ref="B61:F61"/>
    <mergeCell ref="B70:F70"/>
    <mergeCell ref="B73:E73"/>
    <mergeCell ref="B74:F74"/>
    <mergeCell ref="B62:E62"/>
    <mergeCell ref="B63:F63"/>
    <mergeCell ref="B64:E64"/>
    <mergeCell ref="B65:F65"/>
    <mergeCell ref="B67:E67"/>
    <mergeCell ref="B66:F66"/>
    <mergeCell ref="B78:F78"/>
    <mergeCell ref="B80:E80"/>
    <mergeCell ref="B81:F81"/>
    <mergeCell ref="B3:G3"/>
    <mergeCell ref="B4:G4"/>
    <mergeCell ref="B5:E5"/>
    <mergeCell ref="B6:E6"/>
    <mergeCell ref="B7:F7"/>
    <mergeCell ref="B8:F8"/>
    <mergeCell ref="B75:F75"/>
    <mergeCell ref="B76:F76"/>
    <mergeCell ref="B19:C19"/>
    <mergeCell ref="D19:F19"/>
    <mergeCell ref="B20:C20"/>
    <mergeCell ref="B68:F68"/>
    <mergeCell ref="B69:F69"/>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7" orientation="landscape" r:id="rId1"/>
  <headerFooter alignWithMargins="0"/>
  <rowBreaks count="3" manualBreakCount="3">
    <brk id="24" max="6" man="1"/>
    <brk id="52" max="6" man="1"/>
    <brk id="78" max="6" man="1"/>
  </rowBreaks>
  <drawing r:id="rId2"/>
</worksheet>
</file>

<file path=xl/worksheets/sheet49.xml><?xml version="1.0" encoding="utf-8"?>
<worksheet xmlns="http://schemas.openxmlformats.org/spreadsheetml/2006/main" xmlns:r="http://schemas.openxmlformats.org/officeDocument/2006/relationships">
  <dimension ref="B1:G68"/>
  <sheetViews>
    <sheetView zoomScaleNormal="100" workbookViewId="0">
      <pane ySplit="5" topLeftCell="A6" activePane="bottomLeft" state="frozen"/>
      <selection pane="bottomLeft"/>
    </sheetView>
  </sheetViews>
  <sheetFormatPr defaultRowHeight="12.95" customHeight="1"/>
  <cols>
    <col min="1" max="1" width="3.7109375" style="292" customWidth="1"/>
    <col min="2" max="2" width="15.28515625" style="292" bestFit="1" customWidth="1"/>
    <col min="3" max="3" width="32" style="292" bestFit="1" customWidth="1"/>
    <col min="4" max="4" width="20.7109375" style="292" customWidth="1"/>
    <col min="5" max="5" width="15.28515625" style="966" customWidth="1"/>
    <col min="6" max="7" width="20.7109375" style="292" customWidth="1"/>
    <col min="8" max="16384" width="9.140625" style="292"/>
  </cols>
  <sheetData>
    <row r="1" spans="2:7" ht="12.95" customHeight="1">
      <c r="B1" s="313" t="s">
        <v>2706</v>
      </c>
      <c r="C1" s="2973" t="s">
        <v>8269</v>
      </c>
      <c r="D1" s="2973"/>
      <c r="E1" s="2973"/>
      <c r="F1" s="2973"/>
      <c r="G1" s="2973"/>
    </row>
    <row r="2" spans="2:7" ht="5.0999999999999996" customHeight="1"/>
    <row r="3" spans="2:7" ht="12.95" customHeight="1">
      <c r="B3" s="2978" t="s">
        <v>3805</v>
      </c>
      <c r="C3" s="2978"/>
      <c r="D3" s="2978"/>
      <c r="E3" s="2978"/>
      <c r="F3" s="2978"/>
      <c r="G3" s="2978"/>
    </row>
    <row r="4" spans="2:7" s="965" customFormat="1" ht="11.25">
      <c r="B4" s="2979" t="s">
        <v>5920</v>
      </c>
      <c r="C4" s="2979"/>
      <c r="D4" s="2979"/>
      <c r="E4" s="2979"/>
      <c r="F4" s="2979"/>
      <c r="G4" s="2979"/>
    </row>
    <row r="5" spans="2:7" ht="5.0999999999999996" customHeight="1">
      <c r="B5" s="3566"/>
      <c r="C5" s="3566"/>
      <c r="D5" s="3566"/>
      <c r="E5" s="3566"/>
    </row>
    <row r="6" spans="2:7" ht="12.95" customHeight="1">
      <c r="B6" s="3102" t="s">
        <v>9021</v>
      </c>
      <c r="C6" s="3102"/>
      <c r="D6" s="3102"/>
      <c r="E6" s="3102"/>
    </row>
    <row r="7" spans="2:7" ht="90.95" customHeight="1" thickBot="1">
      <c r="B7" s="3567" t="s">
        <v>9022</v>
      </c>
      <c r="C7" s="3567"/>
      <c r="D7" s="3567"/>
      <c r="E7" s="3567"/>
      <c r="F7" s="3567"/>
    </row>
    <row r="8" spans="2:7" ht="12.95" customHeight="1" thickBot="1">
      <c r="B8" s="162" t="s">
        <v>1571</v>
      </c>
      <c r="C8" s="163" t="s">
        <v>4</v>
      </c>
      <c r="D8" s="3675" t="s">
        <v>355</v>
      </c>
      <c r="E8" s="3649"/>
      <c r="F8" s="3650"/>
    </row>
    <row r="9" spans="2:7" ht="39" customHeight="1">
      <c r="B9" s="1061">
        <v>1</v>
      </c>
      <c r="C9" s="589" t="s">
        <v>3766</v>
      </c>
      <c r="D9" s="3676" t="s">
        <v>10029</v>
      </c>
      <c r="E9" s="3677"/>
      <c r="F9" s="3678"/>
    </row>
    <row r="10" spans="2:7" ht="39" customHeight="1">
      <c r="B10" s="165">
        <v>2</v>
      </c>
      <c r="C10" s="113" t="s">
        <v>3767</v>
      </c>
      <c r="D10" s="3535" t="s">
        <v>3768</v>
      </c>
      <c r="E10" s="3679"/>
      <c r="F10" s="3680"/>
    </row>
    <row r="11" spans="2:7" ht="39" customHeight="1">
      <c r="B11" s="1062">
        <v>3</v>
      </c>
      <c r="C11" s="592" t="s">
        <v>3769</v>
      </c>
      <c r="D11" s="3531" t="s">
        <v>3770</v>
      </c>
      <c r="E11" s="3673"/>
      <c r="F11" s="3674"/>
    </row>
    <row r="12" spans="2:7" ht="12.95" customHeight="1">
      <c r="B12" s="165">
        <v>4</v>
      </c>
      <c r="C12" s="113" t="s">
        <v>3771</v>
      </c>
      <c r="D12" s="3535" t="s">
        <v>3772</v>
      </c>
      <c r="E12" s="3679"/>
      <c r="F12" s="3680"/>
    </row>
    <row r="13" spans="2:7" ht="12.95" customHeight="1">
      <c r="B13" s="1062">
        <v>5</v>
      </c>
      <c r="C13" s="592" t="s">
        <v>3773</v>
      </c>
      <c r="D13" s="3531" t="s">
        <v>3774</v>
      </c>
      <c r="E13" s="3673"/>
      <c r="F13" s="3674"/>
    </row>
    <row r="14" spans="2:7" ht="12.95" customHeight="1">
      <c r="B14" s="165">
        <v>6</v>
      </c>
      <c r="C14" s="113">
        <v>2</v>
      </c>
      <c r="D14" s="3535" t="s">
        <v>3775</v>
      </c>
      <c r="E14" s="3679"/>
      <c r="F14" s="3680"/>
    </row>
    <row r="15" spans="2:7" ht="12.95" customHeight="1" thickBot="1">
      <c r="B15" s="1063">
        <v>7</v>
      </c>
      <c r="C15" s="594" t="s">
        <v>3776</v>
      </c>
      <c r="D15" s="3683" t="s">
        <v>3777</v>
      </c>
      <c r="E15" s="3684"/>
      <c r="F15" s="3685"/>
    </row>
    <row r="16" spans="2:7" ht="5.0999999999999996" customHeight="1">
      <c r="B16" s="966"/>
      <c r="C16" s="966"/>
      <c r="D16" s="966"/>
      <c r="F16" s="966"/>
    </row>
    <row r="17" spans="2:7" ht="39" customHeight="1">
      <c r="B17" s="3250" t="s">
        <v>9023</v>
      </c>
      <c r="C17" s="3250"/>
      <c r="D17" s="3250"/>
      <c r="E17" s="3250"/>
      <c r="F17" s="3250"/>
    </row>
    <row r="18" spans="2:7" ht="26.1" customHeight="1">
      <c r="B18" s="3250" t="s">
        <v>10084</v>
      </c>
      <c r="C18" s="3250"/>
      <c r="D18" s="3250"/>
      <c r="E18" s="3250"/>
      <c r="F18" s="3250"/>
    </row>
    <row r="19" spans="2:7" ht="5.0999999999999996" customHeight="1">
      <c r="B19" s="431"/>
      <c r="C19" s="431"/>
      <c r="D19" s="431"/>
      <c r="E19" s="431"/>
      <c r="F19" s="431"/>
      <c r="G19" s="431"/>
    </row>
    <row r="20" spans="2:7" ht="12.95" customHeight="1">
      <c r="B20" s="3102" t="s">
        <v>9024</v>
      </c>
      <c r="C20" s="3102"/>
      <c r="D20" s="3102"/>
      <c r="E20" s="3102"/>
    </row>
    <row r="21" spans="2:7" ht="12.95" customHeight="1">
      <c r="B21" s="2960" t="s">
        <v>9025</v>
      </c>
      <c r="C21" s="2960"/>
      <c r="D21" s="2960"/>
      <c r="E21" s="2960"/>
      <c r="F21" s="2960"/>
    </row>
    <row r="22" spans="2:7" ht="26.1" customHeight="1">
      <c r="B22" s="2960" t="s">
        <v>10085</v>
      </c>
      <c r="C22" s="2960"/>
      <c r="D22" s="2960"/>
      <c r="E22" s="2960"/>
      <c r="F22" s="2960"/>
    </row>
    <row r="23" spans="2:7" ht="26.1" customHeight="1">
      <c r="B23" s="2960" t="s">
        <v>9026</v>
      </c>
      <c r="C23" s="2960"/>
      <c r="D23" s="2960"/>
      <c r="E23" s="2960"/>
      <c r="F23" s="2960"/>
    </row>
    <row r="24" spans="2:7" ht="5.0999999999999996" customHeight="1"/>
    <row r="25" spans="2:7" ht="12.95" customHeight="1">
      <c r="B25" s="3102" t="s">
        <v>9027</v>
      </c>
      <c r="C25" s="3102"/>
      <c r="D25" s="3102"/>
      <c r="E25" s="3102"/>
    </row>
    <row r="26" spans="2:7" ht="12.95" customHeight="1" thickBot="1">
      <c r="B26" s="2960" t="s">
        <v>9028</v>
      </c>
      <c r="C26" s="2960"/>
      <c r="D26" s="2960"/>
      <c r="E26" s="2960"/>
      <c r="F26" s="2960"/>
    </row>
    <row r="27" spans="2:7" ht="12.95" customHeight="1" thickBot="1">
      <c r="B27" s="984" t="s">
        <v>1571</v>
      </c>
      <c r="C27" s="957" t="s">
        <v>3778</v>
      </c>
      <c r="D27" s="3220" t="s">
        <v>3783</v>
      </c>
      <c r="E27" s="3220"/>
      <c r="F27" s="3220"/>
    </row>
    <row r="28" spans="2:7" ht="12.95" customHeight="1">
      <c r="B28" s="1064">
        <v>1</v>
      </c>
      <c r="C28" s="213" t="s">
        <v>1159</v>
      </c>
      <c r="D28" s="3220"/>
      <c r="E28" s="3220"/>
      <c r="F28" s="3220"/>
    </row>
    <row r="29" spans="2:7" ht="12.95" customHeight="1">
      <c r="B29" s="30">
        <v>2</v>
      </c>
      <c r="C29" s="1664" t="s">
        <v>3780</v>
      </c>
      <c r="D29" s="3220"/>
      <c r="E29" s="3220"/>
      <c r="F29" s="3220"/>
    </row>
    <row r="30" spans="2:7" ht="12.95" customHeight="1">
      <c r="B30" s="1065">
        <v>3</v>
      </c>
      <c r="C30" s="983" t="s">
        <v>3781</v>
      </c>
      <c r="D30" s="3220"/>
      <c r="E30" s="3220"/>
      <c r="F30" s="3220"/>
    </row>
    <row r="31" spans="2:7" ht="12.95" customHeight="1">
      <c r="B31" s="30">
        <v>4</v>
      </c>
      <c r="C31" s="1664" t="s">
        <v>3782</v>
      </c>
      <c r="D31" s="3220"/>
      <c r="E31" s="3220"/>
      <c r="F31" s="3220"/>
    </row>
    <row r="32" spans="2:7" ht="12.95" customHeight="1" thickBot="1">
      <c r="B32" s="1066" t="s">
        <v>3779</v>
      </c>
      <c r="C32" s="981" t="s">
        <v>1158</v>
      </c>
      <c r="D32" s="3220"/>
      <c r="E32" s="3220"/>
      <c r="F32" s="3220"/>
    </row>
    <row r="33" spans="2:7" ht="12.95" customHeight="1">
      <c r="B33" s="3601" t="s">
        <v>9029</v>
      </c>
      <c r="C33" s="3199"/>
      <c r="D33" s="3199"/>
      <c r="E33" s="3199"/>
      <c r="F33" s="3199"/>
    </row>
    <row r="34" spans="2:7" ht="5.0999999999999996" customHeight="1"/>
    <row r="35" spans="2:7" ht="12.95" customHeight="1">
      <c r="B35" s="3102" t="s">
        <v>9030</v>
      </c>
      <c r="C35" s="3102"/>
      <c r="D35" s="3102"/>
      <c r="E35" s="3102"/>
    </row>
    <row r="36" spans="2:7" ht="26.1" customHeight="1">
      <c r="B36" s="2960" t="s">
        <v>9031</v>
      </c>
      <c r="C36" s="2960"/>
      <c r="D36" s="2960"/>
      <c r="E36" s="2960"/>
      <c r="F36" s="2960"/>
    </row>
    <row r="38" spans="2:7" ht="12.95" customHeight="1">
      <c r="B38" s="3102" t="s">
        <v>9032</v>
      </c>
      <c r="C38" s="3102"/>
      <c r="D38" s="3102"/>
      <c r="E38" s="3102"/>
      <c r="G38" s="3641" t="s">
        <v>3706</v>
      </c>
    </row>
    <row r="39" spans="2:7" ht="12.95" customHeight="1" thickBot="1">
      <c r="B39" s="3000" t="s">
        <v>9033</v>
      </c>
      <c r="C39" s="3000"/>
      <c r="D39" s="3000"/>
      <c r="E39" s="3000"/>
      <c r="G39" s="3641"/>
    </row>
    <row r="40" spans="2:7" ht="12.95" customHeight="1" thickBot="1">
      <c r="B40" s="984" t="s">
        <v>1277</v>
      </c>
      <c r="C40" s="956" t="s">
        <v>1278</v>
      </c>
      <c r="D40" s="957" t="s">
        <v>1279</v>
      </c>
      <c r="G40" s="3641"/>
    </row>
    <row r="41" spans="2:7" ht="12.95" customHeight="1">
      <c r="B41" s="1041">
        <v>0.3</v>
      </c>
      <c r="C41" s="605" t="s">
        <v>3793</v>
      </c>
      <c r="D41" s="978" t="s">
        <v>1164</v>
      </c>
      <c r="G41" s="3641"/>
    </row>
    <row r="42" spans="2:7" ht="12.95" customHeight="1">
      <c r="B42" s="157">
        <v>0.3</v>
      </c>
      <c r="C42" s="954" t="s">
        <v>3794</v>
      </c>
      <c r="D42" s="959" t="s">
        <v>1165</v>
      </c>
      <c r="G42" s="3641"/>
    </row>
    <row r="43" spans="2:7" ht="12.95" customHeight="1">
      <c r="B43" s="1042">
        <v>0.3</v>
      </c>
      <c r="C43" s="607" t="s">
        <v>3795</v>
      </c>
      <c r="D43" s="973" t="s">
        <v>1166</v>
      </c>
      <c r="F43" s="3643" t="s">
        <v>6367</v>
      </c>
      <c r="G43" s="3643"/>
    </row>
    <row r="44" spans="2:7" ht="12.95" customHeight="1" thickBot="1">
      <c r="B44" s="158">
        <v>0.1</v>
      </c>
      <c r="C44" s="955" t="s">
        <v>3796</v>
      </c>
      <c r="D44" s="958" t="s">
        <v>1167</v>
      </c>
      <c r="F44" s="3643"/>
      <c r="G44" s="3643"/>
    </row>
    <row r="45" spans="2:7" ht="39" customHeight="1">
      <c r="B45" s="3682" t="s">
        <v>9034</v>
      </c>
      <c r="C45" s="3682"/>
      <c r="D45" s="3682"/>
      <c r="F45" s="3643"/>
      <c r="G45" s="3643"/>
    </row>
    <row r="46" spans="2:7" ht="5.0999999999999996" customHeight="1"/>
    <row r="47" spans="2:7" ht="12.95" customHeight="1">
      <c r="B47" s="3102" t="s">
        <v>9035</v>
      </c>
      <c r="C47" s="3102"/>
      <c r="D47" s="3102"/>
      <c r="E47" s="3102"/>
      <c r="G47" s="3641" t="s">
        <v>3706</v>
      </c>
    </row>
    <row r="48" spans="2:7" ht="12.95" customHeight="1" thickBot="1">
      <c r="B48" s="3000" t="s">
        <v>9036</v>
      </c>
      <c r="C48" s="3000"/>
      <c r="D48" s="3000"/>
      <c r="E48" s="3000"/>
      <c r="G48" s="3641"/>
    </row>
    <row r="49" spans="2:7" ht="12.95" customHeight="1" thickBot="1">
      <c r="B49" s="984" t="s">
        <v>1277</v>
      </c>
      <c r="C49" s="956" t="s">
        <v>1278</v>
      </c>
      <c r="D49" s="957" t="s">
        <v>1279</v>
      </c>
      <c r="G49" s="3641"/>
    </row>
    <row r="50" spans="2:7" ht="12.95" customHeight="1">
      <c r="B50" s="1041">
        <v>0.3</v>
      </c>
      <c r="C50" s="605" t="s">
        <v>3797</v>
      </c>
      <c r="D50" s="978" t="s">
        <v>3801</v>
      </c>
      <c r="G50" s="3641"/>
    </row>
    <row r="51" spans="2:7" ht="12.95" customHeight="1">
      <c r="B51" s="157">
        <v>0.3</v>
      </c>
      <c r="C51" s="954" t="s">
        <v>3798</v>
      </c>
      <c r="D51" s="959" t="s">
        <v>3802</v>
      </c>
      <c r="G51" s="3641"/>
    </row>
    <row r="52" spans="2:7" ht="12.95" customHeight="1">
      <c r="B52" s="1042">
        <v>0.3</v>
      </c>
      <c r="C52" s="607" t="s">
        <v>3799</v>
      </c>
      <c r="D52" s="973" t="s">
        <v>3803</v>
      </c>
      <c r="F52" s="3681" t="s">
        <v>6368</v>
      </c>
      <c r="G52" s="3681"/>
    </row>
    <row r="53" spans="2:7" ht="12.95" customHeight="1" thickBot="1">
      <c r="B53" s="158">
        <v>0.1</v>
      </c>
      <c r="C53" s="955" t="s">
        <v>3800</v>
      </c>
      <c r="D53" s="958" t="s">
        <v>3804</v>
      </c>
      <c r="F53" s="3681"/>
      <c r="G53" s="3681"/>
    </row>
    <row r="54" spans="2:7" ht="5.0999999999999996" customHeight="1">
      <c r="F54" s="3681"/>
      <c r="G54" s="3681"/>
    </row>
    <row r="55" spans="2:7" ht="12.95" customHeight="1">
      <c r="E55" s="1797"/>
      <c r="F55" s="3681"/>
      <c r="G55" s="3681"/>
    </row>
    <row r="56" spans="2:7" ht="12.95" customHeight="1">
      <c r="B56" s="3102" t="s">
        <v>9037</v>
      </c>
      <c r="C56" s="3102"/>
      <c r="D56" s="3102"/>
      <c r="E56" s="3102"/>
    </row>
    <row r="57" spans="2:7" ht="12.95" customHeight="1">
      <c r="B57" s="2960" t="s">
        <v>9038</v>
      </c>
      <c r="C57" s="2960"/>
      <c r="D57" s="2960"/>
      <c r="E57" s="2960"/>
      <c r="F57" s="2960"/>
    </row>
    <row r="58" spans="2:7" ht="12.95" customHeight="1">
      <c r="B58" s="2960" t="s">
        <v>9039</v>
      </c>
      <c r="C58" s="2960"/>
      <c r="D58" s="2960"/>
      <c r="E58" s="2960"/>
      <c r="F58" s="2960"/>
    </row>
    <row r="59" spans="2:7" ht="26.1" customHeight="1">
      <c r="B59" s="2960" t="s">
        <v>9040</v>
      </c>
      <c r="C59" s="2960"/>
      <c r="D59" s="2960"/>
      <c r="E59" s="2960"/>
      <c r="F59" s="2960"/>
    </row>
    <row r="60" spans="2:7" ht="5.0999999999999996" customHeight="1"/>
    <row r="61" spans="2:7" ht="12.95" customHeight="1">
      <c r="B61" s="3102" t="s">
        <v>9041</v>
      </c>
      <c r="C61" s="3102"/>
      <c r="D61" s="3102"/>
      <c r="E61" s="3102"/>
    </row>
    <row r="62" spans="2:7" ht="12.95" customHeight="1">
      <c r="B62" s="2960" t="s">
        <v>9042</v>
      </c>
      <c r="C62" s="2960"/>
      <c r="D62" s="2960"/>
      <c r="E62" s="2960"/>
      <c r="F62" s="2960"/>
    </row>
    <row r="63" spans="2:7" ht="12.95" customHeight="1">
      <c r="B63" s="2960" t="s">
        <v>9043</v>
      </c>
      <c r="C63" s="2960"/>
      <c r="D63" s="2960"/>
      <c r="E63" s="2960"/>
      <c r="F63" s="2960"/>
    </row>
    <row r="64" spans="2:7" ht="12.95" customHeight="1">
      <c r="B64" s="2960" t="s">
        <v>9044</v>
      </c>
      <c r="C64" s="2960"/>
      <c r="D64" s="2960"/>
      <c r="E64" s="2960"/>
      <c r="F64" s="2960"/>
    </row>
    <row r="65" spans="2:6" ht="5.0999999999999996" customHeight="1"/>
    <row r="66" spans="2:6" ht="12.95" customHeight="1">
      <c r="B66" s="3102" t="s">
        <v>9045</v>
      </c>
      <c r="C66" s="3102"/>
      <c r="D66" s="3102"/>
      <c r="E66" s="3102"/>
    </row>
    <row r="67" spans="2:6" ht="12.95" customHeight="1">
      <c r="B67" s="3601" t="s">
        <v>9046</v>
      </c>
      <c r="C67" s="3601"/>
      <c r="D67" s="3601"/>
      <c r="E67" s="3601"/>
      <c r="F67" s="3601"/>
    </row>
    <row r="68" spans="2:6" ht="65.099999999999994" customHeight="1">
      <c r="B68" s="3250" t="s">
        <v>9047</v>
      </c>
      <c r="C68" s="3250"/>
      <c r="D68" s="3250"/>
      <c r="E68" s="3250"/>
      <c r="F68" s="3250"/>
    </row>
  </sheetData>
  <sheetProtection autoFilter="0"/>
  <mergeCells count="46">
    <mergeCell ref="C1:G1"/>
    <mergeCell ref="B33:F33"/>
    <mergeCell ref="D14:F14"/>
    <mergeCell ref="D15:F15"/>
    <mergeCell ref="B17:F17"/>
    <mergeCell ref="B22:F22"/>
    <mergeCell ref="B25:E25"/>
    <mergeCell ref="D27:F32"/>
    <mergeCell ref="B26:F26"/>
    <mergeCell ref="B20:E20"/>
    <mergeCell ref="B21:F21"/>
    <mergeCell ref="B23:F23"/>
    <mergeCell ref="B3:G3"/>
    <mergeCell ref="B4:G4"/>
    <mergeCell ref="B5:E5"/>
    <mergeCell ref="B6:E6"/>
    <mergeCell ref="B45:D45"/>
    <mergeCell ref="F43:G45"/>
    <mergeCell ref="B35:E35"/>
    <mergeCell ref="B36:F36"/>
    <mergeCell ref="B38:E38"/>
    <mergeCell ref="G38:G42"/>
    <mergeCell ref="B39:E39"/>
    <mergeCell ref="B48:E48"/>
    <mergeCell ref="G47:G51"/>
    <mergeCell ref="B56:E56"/>
    <mergeCell ref="B47:E47"/>
    <mergeCell ref="F52:G55"/>
    <mergeCell ref="B57:F57"/>
    <mergeCell ref="B58:F58"/>
    <mergeCell ref="B59:F59"/>
    <mergeCell ref="B61:E61"/>
    <mergeCell ref="B62:F62"/>
    <mergeCell ref="B63:F63"/>
    <mergeCell ref="B64:F64"/>
    <mergeCell ref="B66:E66"/>
    <mergeCell ref="B67:F67"/>
    <mergeCell ref="B68:F68"/>
    <mergeCell ref="B18:F18"/>
    <mergeCell ref="B7:F7"/>
    <mergeCell ref="D13:F13"/>
    <mergeCell ref="D8:F8"/>
    <mergeCell ref="D9:F9"/>
    <mergeCell ref="D10:F10"/>
    <mergeCell ref="D11:F11"/>
    <mergeCell ref="D12:F12"/>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5" orientation="landscape" r:id="rId1"/>
  <headerFooter alignWithMargins="0"/>
  <rowBreaks count="2" manualBreakCount="2">
    <brk id="23" max="6" man="1"/>
    <brk id="55" max="6" man="1"/>
  </rowBreaks>
  <drawing r:id="rId2"/>
</worksheet>
</file>

<file path=xl/worksheets/sheet50.xml><?xml version="1.0" encoding="utf-8"?>
<worksheet xmlns="http://schemas.openxmlformats.org/spreadsheetml/2006/main" xmlns:r="http://schemas.openxmlformats.org/officeDocument/2006/relationships">
  <dimension ref="B1:N157"/>
  <sheetViews>
    <sheetView zoomScaleNormal="100" workbookViewId="0">
      <pane ySplit="5" topLeftCell="A6" activePane="bottomLeft" state="frozen"/>
      <selection pane="bottomLeft" activeCell="B1" sqref="B1"/>
    </sheetView>
  </sheetViews>
  <sheetFormatPr defaultRowHeight="12.95" customHeight="1"/>
  <cols>
    <col min="1" max="1" width="3.7109375" style="292" customWidth="1"/>
    <col min="2" max="2" width="25.140625" style="292" bestFit="1" customWidth="1"/>
    <col min="3" max="3" width="33" style="292" bestFit="1" customWidth="1"/>
    <col min="4" max="6" width="20.7109375" style="292" customWidth="1"/>
    <col min="7" max="16384" width="9.140625" style="292"/>
  </cols>
  <sheetData>
    <row r="1" spans="2:6" ht="12.95" customHeight="1">
      <c r="B1" s="313" t="s">
        <v>2706</v>
      </c>
      <c r="C1" s="2973" t="s">
        <v>8269</v>
      </c>
      <c r="D1" s="2973"/>
      <c r="E1" s="2973"/>
      <c r="F1" s="2973"/>
    </row>
    <row r="2" spans="2:6" ht="5.0999999999999996" customHeight="1"/>
    <row r="3" spans="2:6" ht="12.95" customHeight="1">
      <c r="B3" s="2978" t="s">
        <v>3902</v>
      </c>
      <c r="C3" s="2978"/>
      <c r="D3" s="2978"/>
      <c r="E3" s="2978"/>
      <c r="F3" s="2978"/>
    </row>
    <row r="4" spans="2:6" s="965" customFormat="1" ht="11.25">
      <c r="B4" s="2979" t="s">
        <v>5920</v>
      </c>
      <c r="C4" s="2979"/>
      <c r="D4" s="2979"/>
      <c r="E4" s="2979"/>
      <c r="F4" s="2979"/>
    </row>
    <row r="5" spans="2:6" ht="5.0999999999999996" customHeight="1">
      <c r="B5" s="3566"/>
      <c r="C5" s="3566"/>
      <c r="D5" s="3566"/>
    </row>
    <row r="6" spans="2:6" ht="12.95" customHeight="1">
      <c r="B6" s="3102" t="s">
        <v>3806</v>
      </c>
      <c r="C6" s="3102"/>
      <c r="D6" s="3102"/>
    </row>
    <row r="7" spans="2:6" ht="39" customHeight="1" thickBot="1">
      <c r="B7" s="3567" t="s">
        <v>3807</v>
      </c>
      <c r="C7" s="3567"/>
      <c r="D7" s="3250"/>
      <c r="E7" s="3250"/>
    </row>
    <row r="8" spans="2:6" ht="12.95" customHeight="1" thickBot="1">
      <c r="B8" s="162" t="s">
        <v>2011</v>
      </c>
      <c r="C8" s="163" t="s">
        <v>3808</v>
      </c>
      <c r="D8" s="3690"/>
      <c r="E8" s="3690"/>
    </row>
    <row r="9" spans="2:6" ht="12.95" customHeight="1">
      <c r="B9" s="588" t="s">
        <v>2012</v>
      </c>
      <c r="C9" s="648" t="s">
        <v>3810</v>
      </c>
      <c r="D9" s="3250"/>
      <c r="E9" s="3250"/>
    </row>
    <row r="10" spans="2:6" ht="12.95" customHeight="1">
      <c r="B10" s="164" t="s">
        <v>2646</v>
      </c>
      <c r="C10" s="166" t="s">
        <v>2013</v>
      </c>
      <c r="D10" s="3250"/>
      <c r="E10" s="3250"/>
    </row>
    <row r="11" spans="2:6" ht="12.95" customHeight="1">
      <c r="B11" s="591" t="s">
        <v>2346</v>
      </c>
      <c r="C11" s="649" t="s">
        <v>2250</v>
      </c>
      <c r="D11" s="3250"/>
      <c r="E11" s="3250"/>
    </row>
    <row r="12" spans="2:6" ht="12.95" customHeight="1">
      <c r="B12" s="164" t="s">
        <v>3809</v>
      </c>
      <c r="C12" s="166" t="s">
        <v>2251</v>
      </c>
      <c r="D12" s="3250"/>
      <c r="E12" s="3250"/>
    </row>
    <row r="13" spans="2:6" ht="12.95" customHeight="1">
      <c r="B13" s="591" t="s">
        <v>1945</v>
      </c>
      <c r="C13" s="649" t="s">
        <v>2252</v>
      </c>
      <c r="D13" s="3250"/>
      <c r="E13" s="3250"/>
    </row>
    <row r="14" spans="2:6" ht="12.95" customHeight="1">
      <c r="B14" s="164" t="s">
        <v>1943</v>
      </c>
      <c r="C14" s="166" t="s">
        <v>3811</v>
      </c>
      <c r="D14" s="3250"/>
      <c r="E14" s="3250"/>
    </row>
    <row r="15" spans="2:6" ht="12.95" customHeight="1" thickBot="1">
      <c r="B15" s="1046" t="s">
        <v>2058</v>
      </c>
      <c r="C15" s="650" t="s">
        <v>2644</v>
      </c>
      <c r="D15" s="3250"/>
      <c r="E15" s="3250"/>
    </row>
    <row r="16" spans="2:6" ht="26.1" customHeight="1">
      <c r="B16" s="3198" t="s">
        <v>5401</v>
      </c>
      <c r="C16" s="3198"/>
      <c r="D16" s="3198"/>
      <c r="E16" s="3198"/>
      <c r="F16" s="3198"/>
    </row>
    <row r="17" spans="2:6" ht="5.0999999999999996" customHeight="1">
      <c r="B17" s="966"/>
      <c r="C17" s="966"/>
      <c r="D17" s="966"/>
      <c r="E17" s="966"/>
    </row>
    <row r="18" spans="2:6" ht="12.95" customHeight="1">
      <c r="B18" s="3102" t="s">
        <v>3812</v>
      </c>
      <c r="C18" s="3102"/>
      <c r="D18" s="3102"/>
    </row>
    <row r="19" spans="2:6" ht="12.95" customHeight="1">
      <c r="B19" s="2960" t="s">
        <v>3813</v>
      </c>
      <c r="C19" s="2960"/>
      <c r="D19" s="2960"/>
      <c r="E19" s="2960"/>
    </row>
    <row r="20" spans="2:6" ht="12.95" customHeight="1">
      <c r="B20" s="2960" t="s">
        <v>3814</v>
      </c>
      <c r="C20" s="2960"/>
      <c r="D20" s="2960"/>
      <c r="E20" s="2960"/>
    </row>
    <row r="21" spans="2:6" ht="12.95" customHeight="1">
      <c r="B21" s="2960" t="s">
        <v>3815</v>
      </c>
      <c r="C21" s="2960"/>
      <c r="D21" s="2960"/>
      <c r="E21" s="2960"/>
    </row>
    <row r="22" spans="2:6" ht="26.1" customHeight="1">
      <c r="B22" s="3198" t="s">
        <v>5402</v>
      </c>
      <c r="C22" s="3198"/>
      <c r="D22" s="3198"/>
      <c r="E22" s="3198"/>
      <c r="F22" s="3198"/>
    </row>
    <row r="23" spans="2:6" ht="5.0999999999999996" customHeight="1">
      <c r="B23" s="952"/>
      <c r="C23" s="952"/>
      <c r="D23" s="952"/>
      <c r="E23" s="952"/>
    </row>
    <row r="24" spans="2:6" ht="12.95" customHeight="1">
      <c r="B24" s="3102" t="s">
        <v>3817</v>
      </c>
      <c r="C24" s="3102"/>
      <c r="D24" s="3102"/>
      <c r="F24" s="288"/>
    </row>
    <row r="25" spans="2:6" ht="12.95" customHeight="1">
      <c r="B25" s="2960" t="s">
        <v>3816</v>
      </c>
      <c r="C25" s="2960"/>
      <c r="D25" s="2960"/>
      <c r="E25" s="2960"/>
      <c r="F25" s="288"/>
    </row>
    <row r="26" spans="2:6" ht="26.1" customHeight="1">
      <c r="B26" s="2960" t="s">
        <v>5310</v>
      </c>
      <c r="C26" s="2960"/>
      <c r="D26" s="2960"/>
      <c r="E26" s="2960"/>
    </row>
    <row r="27" spans="2:6" ht="5.0999999999999996" customHeight="1">
      <c r="B27" s="952"/>
      <c r="C27" s="952"/>
      <c r="D27" s="952"/>
      <c r="E27" s="952"/>
    </row>
    <row r="28" spans="2:6" ht="12.95" customHeight="1">
      <c r="B28" s="3102" t="s">
        <v>3818</v>
      </c>
      <c r="C28" s="3102"/>
      <c r="D28" s="3102"/>
    </row>
    <row r="29" spans="2:6" ht="26.1" customHeight="1">
      <c r="B29" s="2960" t="s">
        <v>3819</v>
      </c>
      <c r="C29" s="2960"/>
      <c r="D29" s="2960"/>
      <c r="E29" s="2960"/>
    </row>
    <row r="30" spans="2:6" ht="26.1" customHeight="1">
      <c r="B30" s="2960" t="s">
        <v>5309</v>
      </c>
      <c r="C30" s="2960"/>
      <c r="D30" s="2960"/>
      <c r="E30" s="2960"/>
    </row>
    <row r="31" spans="2:6" ht="5.0999999999999996" customHeight="1">
      <c r="B31" s="952"/>
      <c r="C31" s="952"/>
      <c r="D31" s="952"/>
      <c r="E31" s="952"/>
    </row>
    <row r="32" spans="2:6" ht="12.95" customHeight="1">
      <c r="B32" s="3102" t="s">
        <v>3820</v>
      </c>
      <c r="C32" s="3102"/>
      <c r="D32" s="3102"/>
    </row>
    <row r="33" spans="2:5" ht="12.95" customHeight="1">
      <c r="B33" s="2960" t="s">
        <v>3821</v>
      </c>
      <c r="C33" s="2960"/>
      <c r="D33" s="2960"/>
      <c r="E33" s="2960"/>
    </row>
    <row r="35" spans="2:5" ht="12.95" customHeight="1">
      <c r="B35" s="3102" t="s">
        <v>3822</v>
      </c>
      <c r="C35" s="3102"/>
      <c r="D35" s="3102"/>
    </row>
    <row r="36" spans="2:5" ht="12.95" customHeight="1">
      <c r="B36" s="2960" t="s">
        <v>3823</v>
      </c>
      <c r="C36" s="2960"/>
      <c r="D36" s="2960"/>
      <c r="E36" s="2960"/>
    </row>
    <row r="37" spans="2:5" ht="5.0999999999999996" customHeight="1"/>
    <row r="38" spans="2:5" ht="12.95" customHeight="1">
      <c r="B38" s="3102" t="s">
        <v>3824</v>
      </c>
      <c r="C38" s="3102"/>
      <c r="D38" s="3102"/>
    </row>
    <row r="39" spans="2:5" ht="12.95" customHeight="1">
      <c r="B39" s="2960" t="s">
        <v>3825</v>
      </c>
      <c r="C39" s="2960"/>
      <c r="D39" s="2960"/>
      <c r="E39" s="2960"/>
    </row>
    <row r="41" spans="2:5" ht="12.95" customHeight="1">
      <c r="B41" s="3102" t="s">
        <v>3826</v>
      </c>
      <c r="C41" s="3102"/>
      <c r="D41" s="3102"/>
    </row>
    <row r="42" spans="2:5" ht="12.95" customHeight="1" thickBot="1">
      <c r="B42" s="2960" t="s">
        <v>3827</v>
      </c>
      <c r="C42" s="2960"/>
      <c r="D42" s="2960"/>
      <c r="E42" s="2960"/>
    </row>
    <row r="43" spans="2:5" ht="12.95" customHeight="1" thickBot="1">
      <c r="B43" s="984" t="s">
        <v>1277</v>
      </c>
      <c r="C43" s="957" t="s">
        <v>3828</v>
      </c>
      <c r="D43" s="3689" t="s">
        <v>3832</v>
      </c>
      <c r="E43" s="3643"/>
    </row>
    <row r="44" spans="2:5" ht="12.95" customHeight="1">
      <c r="B44" s="1041">
        <v>0.25</v>
      </c>
      <c r="C44" s="213" t="s">
        <v>3829</v>
      </c>
      <c r="D44" s="3689"/>
      <c r="E44" s="3643"/>
    </row>
    <row r="45" spans="2:5" ht="26.1" customHeight="1">
      <c r="B45" s="157">
        <v>0.25</v>
      </c>
      <c r="C45" s="959" t="s">
        <v>3830</v>
      </c>
      <c r="D45" s="3689"/>
      <c r="E45" s="3643"/>
    </row>
    <row r="46" spans="2:5" ht="26.1" customHeight="1">
      <c r="B46" s="1042">
        <v>0.25</v>
      </c>
      <c r="C46" s="973" t="s">
        <v>3831</v>
      </c>
      <c r="D46" s="3689"/>
      <c r="E46" s="3643"/>
    </row>
    <row r="47" spans="2:5" ht="12.95" customHeight="1" thickBot="1">
      <c r="B47" s="158">
        <v>0.25</v>
      </c>
      <c r="C47" s="958" t="s">
        <v>3697</v>
      </c>
      <c r="D47" s="3689"/>
      <c r="E47" s="3643"/>
    </row>
    <row r="49" spans="2:5" ht="12.95" customHeight="1" thickBot="1">
      <c r="B49" s="3102" t="s">
        <v>3833</v>
      </c>
      <c r="C49" s="3102"/>
      <c r="D49" s="3102"/>
    </row>
    <row r="50" spans="2:5" ht="12.95" customHeight="1" thickBot="1">
      <c r="B50" s="984" t="s">
        <v>3834</v>
      </c>
      <c r="C50" s="957" t="s">
        <v>3828</v>
      </c>
      <c r="D50" s="3689" t="s">
        <v>3843</v>
      </c>
      <c r="E50" s="3643"/>
    </row>
    <row r="51" spans="2:5" ht="12.95" customHeight="1">
      <c r="B51" s="1041" t="s">
        <v>2568</v>
      </c>
      <c r="C51" s="213" t="s">
        <v>3836</v>
      </c>
      <c r="D51" s="3689"/>
      <c r="E51" s="3643"/>
    </row>
    <row r="52" spans="2:5" ht="12.95" customHeight="1">
      <c r="B52" s="157" t="s">
        <v>3835</v>
      </c>
      <c r="C52" s="959" t="s">
        <v>3837</v>
      </c>
      <c r="D52" s="3689"/>
      <c r="E52" s="3643"/>
    </row>
    <row r="53" spans="2:5" ht="12.95" customHeight="1">
      <c r="B53" s="1042" t="s">
        <v>2570</v>
      </c>
      <c r="C53" s="973" t="s">
        <v>3838</v>
      </c>
      <c r="D53" s="3689"/>
      <c r="E53" s="3643"/>
    </row>
    <row r="54" spans="2:5" ht="12.95" customHeight="1">
      <c r="B54" s="157" t="s">
        <v>2571</v>
      </c>
      <c r="C54" s="959" t="s">
        <v>3839</v>
      </c>
      <c r="D54" s="3689"/>
      <c r="E54" s="3643"/>
    </row>
    <row r="55" spans="2:5" ht="12.95" customHeight="1">
      <c r="B55" s="1042" t="s">
        <v>2572</v>
      </c>
      <c r="C55" s="973" t="s">
        <v>3840</v>
      </c>
    </row>
    <row r="56" spans="2:5" ht="12.95" customHeight="1">
      <c r="B56" s="157" t="s">
        <v>1767</v>
      </c>
      <c r="C56" s="959" t="s">
        <v>3841</v>
      </c>
    </row>
    <row r="57" spans="2:5" ht="12.95" customHeight="1" thickBot="1">
      <c r="B57" s="1043" t="s">
        <v>1766</v>
      </c>
      <c r="C57" s="975" t="s">
        <v>3842</v>
      </c>
    </row>
    <row r="59" spans="2:5" ht="12.95" customHeight="1">
      <c r="B59" s="3102" t="s">
        <v>3844</v>
      </c>
      <c r="C59" s="3102"/>
      <c r="D59" s="3102"/>
    </row>
    <row r="60" spans="2:5" ht="39" customHeight="1">
      <c r="B60" s="2960" t="s">
        <v>3845</v>
      </c>
      <c r="C60" s="2960"/>
      <c r="D60" s="2960"/>
      <c r="E60" s="2960"/>
    </row>
    <row r="61" spans="2:5" ht="12.95" customHeight="1">
      <c r="B61" s="2960" t="s">
        <v>3846</v>
      </c>
      <c r="C61" s="2960"/>
      <c r="D61" s="2960"/>
      <c r="E61" s="2960"/>
    </row>
    <row r="62" spans="2:5" ht="12.95" customHeight="1">
      <c r="C62" s="2960" t="s">
        <v>6369</v>
      </c>
      <c r="D62" s="2960"/>
      <c r="E62" s="2960"/>
    </row>
    <row r="63" spans="2:5" ht="12.95" customHeight="1">
      <c r="C63" s="2960"/>
      <c r="D63" s="2960"/>
      <c r="E63" s="2960"/>
    </row>
    <row r="64" spans="2:5" ht="12.95" customHeight="1">
      <c r="C64" s="2960"/>
      <c r="D64" s="2960"/>
      <c r="E64" s="2960"/>
    </row>
    <row r="65" spans="2:5" ht="5.0999999999999996" customHeight="1"/>
    <row r="66" spans="2:5" ht="26.1" customHeight="1">
      <c r="C66" s="2960" t="s">
        <v>6399</v>
      </c>
      <c r="D66" s="2960"/>
      <c r="E66" s="2960"/>
    </row>
    <row r="67" spans="2:5" ht="12.95" customHeight="1">
      <c r="C67" s="3000" t="s">
        <v>3847</v>
      </c>
      <c r="D67" s="3000"/>
      <c r="E67" s="3000"/>
    </row>
    <row r="68" spans="2:5" ht="12.95" customHeight="1">
      <c r="C68" s="2960" t="s">
        <v>3848</v>
      </c>
      <c r="D68" s="2960"/>
      <c r="E68" s="2960"/>
    </row>
    <row r="69" spans="2:5" ht="12.95" customHeight="1">
      <c r="C69" s="2960"/>
      <c r="D69" s="2960"/>
      <c r="E69" s="2960"/>
    </row>
    <row r="70" spans="2:5" ht="12.95" customHeight="1">
      <c r="C70" s="2960"/>
      <c r="D70" s="2960"/>
      <c r="E70" s="2960"/>
    </row>
    <row r="71" spans="2:5" ht="5.0999999999999996" customHeight="1"/>
    <row r="72" spans="2:5" ht="12.95" customHeight="1">
      <c r="B72" s="2980" t="s">
        <v>5922</v>
      </c>
      <c r="C72" s="2980"/>
      <c r="D72" s="2980"/>
      <c r="E72" s="2980"/>
    </row>
    <row r="73" spans="2:5" ht="26.1" customHeight="1">
      <c r="B73" s="2980" t="s">
        <v>5923</v>
      </c>
      <c r="C73" s="2980"/>
      <c r="D73" s="2980"/>
      <c r="E73" s="2980"/>
    </row>
    <row r="74" spans="2:5" ht="5.0999999999999996" customHeight="1">
      <c r="B74" s="953"/>
      <c r="C74" s="953"/>
      <c r="D74" s="953"/>
      <c r="E74" s="953"/>
    </row>
    <row r="75" spans="2:5" ht="12.95" customHeight="1">
      <c r="B75" s="2960" t="s">
        <v>5182</v>
      </c>
      <c r="C75" s="2960"/>
      <c r="D75" s="2960"/>
      <c r="E75" s="2960"/>
    </row>
    <row r="76" spans="2:5" ht="12.95" customHeight="1" thickBot="1">
      <c r="B76" s="2980" t="s">
        <v>3849</v>
      </c>
      <c r="C76" s="2980"/>
      <c r="D76" s="2980"/>
      <c r="E76" s="2980"/>
    </row>
    <row r="77" spans="2:5" ht="12.95" customHeight="1" thickBot="1">
      <c r="B77" s="984" t="s">
        <v>1277</v>
      </c>
      <c r="C77" s="956" t="s">
        <v>1278</v>
      </c>
      <c r="D77" s="3649" t="s">
        <v>1279</v>
      </c>
      <c r="E77" s="3650"/>
    </row>
    <row r="78" spans="2:5" ht="12.95" customHeight="1">
      <c r="B78" s="1039">
        <v>0.3</v>
      </c>
      <c r="C78" s="605" t="s">
        <v>3850</v>
      </c>
      <c r="D78" s="3589" t="s">
        <v>3854</v>
      </c>
      <c r="E78" s="3657"/>
    </row>
    <row r="79" spans="2:5" ht="12.95" customHeight="1">
      <c r="B79" s="167">
        <v>0.3</v>
      </c>
      <c r="C79" s="954" t="s">
        <v>3851</v>
      </c>
      <c r="D79" s="3585" t="s">
        <v>3855</v>
      </c>
      <c r="E79" s="3661"/>
    </row>
    <row r="80" spans="2:5" ht="12.95" customHeight="1">
      <c r="B80" s="1049">
        <v>0.3</v>
      </c>
      <c r="C80" s="607" t="s">
        <v>3852</v>
      </c>
      <c r="D80" s="3583" t="s">
        <v>3856</v>
      </c>
      <c r="E80" s="3663"/>
    </row>
    <row r="81" spans="2:5" ht="12.95" customHeight="1" thickBot="1">
      <c r="B81" s="168">
        <v>0.1</v>
      </c>
      <c r="C81" s="955" t="s">
        <v>3853</v>
      </c>
      <c r="D81" s="3587" t="s">
        <v>3857</v>
      </c>
      <c r="E81" s="3660"/>
    </row>
    <row r="82" spans="2:5" ht="12.95" customHeight="1">
      <c r="B82" s="985"/>
      <c r="C82" s="985"/>
      <c r="D82" s="3643"/>
      <c r="E82" s="3643"/>
    </row>
    <row r="83" spans="2:5" ht="12.95" customHeight="1" thickBot="1">
      <c r="B83" s="2980" t="s">
        <v>3858</v>
      </c>
      <c r="C83" s="2980"/>
      <c r="D83" s="2980"/>
      <c r="E83" s="2980"/>
    </row>
    <row r="84" spans="2:5" ht="12.95" customHeight="1" thickBot="1">
      <c r="B84" s="984" t="s">
        <v>1277</v>
      </c>
      <c r="C84" s="956" t="s">
        <v>1278</v>
      </c>
      <c r="D84" s="3649" t="s">
        <v>1279</v>
      </c>
      <c r="E84" s="3650"/>
    </row>
    <row r="85" spans="2:5" ht="12.95" customHeight="1">
      <c r="B85" s="1039">
        <v>0.3</v>
      </c>
      <c r="C85" s="605" t="s">
        <v>3859</v>
      </c>
      <c r="D85" s="3589" t="s">
        <v>3863</v>
      </c>
      <c r="E85" s="3657"/>
    </row>
    <row r="86" spans="2:5" ht="12.95" customHeight="1">
      <c r="B86" s="167">
        <v>0.3</v>
      </c>
      <c r="C86" s="954" t="s">
        <v>3860</v>
      </c>
      <c r="D86" s="3585" t="s">
        <v>3864</v>
      </c>
      <c r="E86" s="3661"/>
    </row>
    <row r="87" spans="2:5" ht="12.95" customHeight="1">
      <c r="B87" s="1049">
        <v>0.3</v>
      </c>
      <c r="C87" s="607" t="s">
        <v>3861</v>
      </c>
      <c r="D87" s="3583" t="s">
        <v>3865</v>
      </c>
      <c r="E87" s="3663"/>
    </row>
    <row r="88" spans="2:5" ht="12.95" customHeight="1" thickBot="1">
      <c r="B88" s="168">
        <v>0.1</v>
      </c>
      <c r="C88" s="955" t="s">
        <v>3862</v>
      </c>
      <c r="D88" s="3587" t="s">
        <v>3866</v>
      </c>
      <c r="E88" s="3660"/>
    </row>
    <row r="89" spans="2:5" ht="12.95" customHeight="1">
      <c r="B89" s="985"/>
      <c r="C89" s="985"/>
      <c r="D89" s="3643"/>
      <c r="E89" s="3643"/>
    </row>
    <row r="90" spans="2:5" ht="12.95" customHeight="1" thickBot="1">
      <c r="B90" s="2980" t="s">
        <v>3875</v>
      </c>
      <c r="C90" s="2980"/>
      <c r="D90" s="2980"/>
      <c r="E90" s="2980"/>
    </row>
    <row r="91" spans="2:5" ht="12.95" customHeight="1" thickBot="1">
      <c r="B91" s="984" t="s">
        <v>1277</v>
      </c>
      <c r="C91" s="956" t="s">
        <v>1278</v>
      </c>
      <c r="D91" s="3649" t="s">
        <v>1279</v>
      </c>
      <c r="E91" s="3650"/>
    </row>
    <row r="92" spans="2:5" ht="12.95" customHeight="1">
      <c r="B92" s="1039">
        <v>0.3</v>
      </c>
      <c r="C92" s="605" t="s">
        <v>3867</v>
      </c>
      <c r="D92" s="3589" t="s">
        <v>3871</v>
      </c>
      <c r="E92" s="3657"/>
    </row>
    <row r="93" spans="2:5" ht="12.95" customHeight="1">
      <c r="B93" s="167">
        <v>0.3</v>
      </c>
      <c r="C93" s="954" t="s">
        <v>3868</v>
      </c>
      <c r="D93" s="3585" t="s">
        <v>3872</v>
      </c>
      <c r="E93" s="3661"/>
    </row>
    <row r="94" spans="2:5" ht="12.95" customHeight="1">
      <c r="B94" s="1049">
        <v>0.3</v>
      </c>
      <c r="C94" s="607" t="s">
        <v>3869</v>
      </c>
      <c r="D94" s="3583" t="s">
        <v>3873</v>
      </c>
      <c r="E94" s="3663"/>
    </row>
    <row r="95" spans="2:5" ht="12.95" customHeight="1" thickBot="1">
      <c r="B95" s="168">
        <v>0.1</v>
      </c>
      <c r="C95" s="955" t="s">
        <v>3870</v>
      </c>
      <c r="D95" s="3587" t="s">
        <v>5898</v>
      </c>
      <c r="E95" s="3660"/>
    </row>
    <row r="96" spans="2:5" ht="12.95" customHeight="1">
      <c r="B96" s="985"/>
      <c r="C96" s="985"/>
      <c r="D96" s="3643"/>
      <c r="E96" s="3643"/>
    </row>
    <row r="97" spans="2:5" ht="12.95" customHeight="1" thickBot="1">
      <c r="B97" s="2980" t="s">
        <v>3874</v>
      </c>
      <c r="C97" s="2980"/>
      <c r="D97" s="2980"/>
      <c r="E97" s="2980"/>
    </row>
    <row r="98" spans="2:5" ht="12.95" customHeight="1" thickBot="1">
      <c r="B98" s="984" t="s">
        <v>1277</v>
      </c>
      <c r="C98" s="956" t="s">
        <v>1278</v>
      </c>
      <c r="D98" s="3649" t="s">
        <v>1279</v>
      </c>
      <c r="E98" s="3650"/>
    </row>
    <row r="99" spans="2:5" ht="12.95" customHeight="1">
      <c r="B99" s="1039">
        <v>0.3</v>
      </c>
      <c r="C99" s="605" t="s">
        <v>3876</v>
      </c>
      <c r="D99" s="3589" t="s">
        <v>3880</v>
      </c>
      <c r="E99" s="3657"/>
    </row>
    <row r="100" spans="2:5" ht="12.95" customHeight="1">
      <c r="B100" s="167">
        <v>0.3</v>
      </c>
      <c r="C100" s="954" t="s">
        <v>3877</v>
      </c>
      <c r="D100" s="3585" t="s">
        <v>3881</v>
      </c>
      <c r="E100" s="3661"/>
    </row>
    <row r="101" spans="2:5" ht="12.95" customHeight="1">
      <c r="B101" s="1049">
        <v>0.3</v>
      </c>
      <c r="C101" s="607" t="s">
        <v>3878</v>
      </c>
      <c r="D101" s="3583" t="s">
        <v>3882</v>
      </c>
      <c r="E101" s="3663"/>
    </row>
    <row r="102" spans="2:5" ht="12.95" customHeight="1" thickBot="1">
      <c r="B102" s="168">
        <v>0.1</v>
      </c>
      <c r="C102" s="955" t="s">
        <v>3879</v>
      </c>
      <c r="D102" s="3587" t="s">
        <v>3883</v>
      </c>
      <c r="E102" s="3660"/>
    </row>
    <row r="103" spans="2:5" ht="12.95" customHeight="1">
      <c r="B103" s="985"/>
      <c r="C103" s="985"/>
      <c r="D103" s="3643"/>
      <c r="E103" s="3643"/>
    </row>
    <row r="104" spans="2:5" ht="12.95" customHeight="1" thickBot="1">
      <c r="B104" s="2980" t="s">
        <v>3884</v>
      </c>
      <c r="C104" s="2980"/>
      <c r="D104" s="2980"/>
      <c r="E104" s="2980"/>
    </row>
    <row r="105" spans="2:5" ht="12.95" customHeight="1" thickBot="1">
      <c r="B105" s="984" t="s">
        <v>1277</v>
      </c>
      <c r="C105" s="956" t="s">
        <v>1278</v>
      </c>
      <c r="D105" s="3649" t="s">
        <v>1279</v>
      </c>
      <c r="E105" s="3650"/>
    </row>
    <row r="106" spans="2:5" ht="12.95" customHeight="1">
      <c r="B106" s="1039">
        <v>0.3</v>
      </c>
      <c r="C106" s="605" t="s">
        <v>3885</v>
      </c>
      <c r="D106" s="3589" t="s">
        <v>3873</v>
      </c>
      <c r="E106" s="3657"/>
    </row>
    <row r="107" spans="2:5" ht="12.95" customHeight="1">
      <c r="B107" s="167">
        <v>0.3</v>
      </c>
      <c r="C107" s="954" t="s">
        <v>3886</v>
      </c>
      <c r="D107" s="3585" t="s">
        <v>3889</v>
      </c>
      <c r="E107" s="3661"/>
    </row>
    <row r="108" spans="2:5" ht="12.95" customHeight="1">
      <c r="B108" s="1049">
        <v>0.3</v>
      </c>
      <c r="C108" s="607" t="s">
        <v>3887</v>
      </c>
      <c r="D108" s="3583" t="s">
        <v>3890</v>
      </c>
      <c r="E108" s="3663"/>
    </row>
    <row r="109" spans="2:5" ht="12.95" customHeight="1" thickBot="1">
      <c r="B109" s="168">
        <v>0.1</v>
      </c>
      <c r="C109" s="955" t="s">
        <v>3888</v>
      </c>
      <c r="D109" s="3587" t="s">
        <v>3891</v>
      </c>
      <c r="E109" s="3660"/>
    </row>
    <row r="110" spans="2:5" ht="26.1" customHeight="1">
      <c r="B110" s="3682" t="s">
        <v>6094</v>
      </c>
      <c r="C110" s="3682"/>
      <c r="D110" s="3682"/>
      <c r="E110" s="3682"/>
    </row>
    <row r="111" spans="2:5" ht="5.0999999999999996" customHeight="1">
      <c r="B111" s="985"/>
      <c r="C111" s="985"/>
      <c r="D111" s="985"/>
      <c r="E111" s="985"/>
    </row>
    <row r="112" spans="2:5" ht="51.95" customHeight="1">
      <c r="B112" s="2980" t="s">
        <v>3892</v>
      </c>
      <c r="C112" s="2960"/>
      <c r="D112" s="2960"/>
      <c r="E112" s="2960"/>
    </row>
    <row r="113" spans="2:14" ht="51.95" customHeight="1">
      <c r="B113" s="2980" t="s">
        <v>10086</v>
      </c>
      <c r="C113" s="2960"/>
      <c r="D113" s="2960"/>
      <c r="E113" s="2960"/>
    </row>
    <row r="114" spans="2:14" ht="5.0999999999999996" customHeight="1"/>
    <row r="115" spans="2:14" ht="12.95" customHeight="1">
      <c r="B115" s="3102" t="s">
        <v>3893</v>
      </c>
      <c r="C115" s="3102"/>
      <c r="D115" s="3102"/>
    </row>
    <row r="116" spans="2:14" ht="12.95" customHeight="1" thickBot="1">
      <c r="B116" s="2960" t="s">
        <v>3899</v>
      </c>
      <c r="C116" s="2960"/>
      <c r="D116" s="2960"/>
      <c r="E116" s="2960"/>
    </row>
    <row r="117" spans="2:14" ht="12.95" customHeight="1" thickBot="1">
      <c r="B117" s="172" t="s">
        <v>3894</v>
      </c>
      <c r="C117" s="3675" t="s">
        <v>2206</v>
      </c>
      <c r="D117" s="3649"/>
      <c r="E117" s="3650"/>
      <c r="F117" s="1051"/>
      <c r="G117" s="1051"/>
      <c r="H117" s="1051"/>
      <c r="I117" s="1051"/>
      <c r="J117" s="1051"/>
      <c r="K117" s="1051"/>
      <c r="L117" s="1051"/>
      <c r="M117" s="1051"/>
      <c r="N117" s="1051"/>
    </row>
    <row r="118" spans="2:14" ht="12.95" customHeight="1">
      <c r="B118" s="1052" t="s">
        <v>3895</v>
      </c>
      <c r="C118" s="1053" t="s">
        <v>3398</v>
      </c>
      <c r="D118" s="1054" t="s">
        <v>1230</v>
      </c>
      <c r="E118" s="1055" t="s">
        <v>502</v>
      </c>
      <c r="F118" s="1056"/>
      <c r="G118" s="1056"/>
      <c r="H118" s="1056"/>
      <c r="I118" s="1056"/>
      <c r="J118" s="1056"/>
      <c r="K118" s="1056"/>
      <c r="L118" s="1056"/>
      <c r="M118" s="1056"/>
      <c r="N118" s="1056"/>
    </row>
    <row r="119" spans="2:14" ht="12.95" customHeight="1">
      <c r="B119" s="1649" t="s">
        <v>3896</v>
      </c>
      <c r="C119" s="119" t="s">
        <v>3401</v>
      </c>
      <c r="D119" s="117" t="s">
        <v>2292</v>
      </c>
      <c r="E119" s="118" t="s">
        <v>1231</v>
      </c>
      <c r="F119" s="1056"/>
      <c r="G119" s="1056"/>
      <c r="H119" s="1056"/>
      <c r="I119" s="1056"/>
      <c r="J119" s="1056"/>
      <c r="K119" s="1056"/>
      <c r="L119" s="1056"/>
      <c r="M119" s="1056"/>
      <c r="N119" s="1056"/>
    </row>
    <row r="120" spans="2:14" ht="12.95" customHeight="1">
      <c r="B120" s="194" t="s">
        <v>3897</v>
      </c>
      <c r="C120" s="429" t="s">
        <v>3414</v>
      </c>
      <c r="D120" s="982" t="s">
        <v>2212</v>
      </c>
      <c r="E120" s="983" t="s">
        <v>2211</v>
      </c>
      <c r="F120" s="431"/>
      <c r="G120" s="431"/>
      <c r="H120" s="431"/>
      <c r="I120" s="431"/>
      <c r="J120" s="431"/>
      <c r="K120" s="431"/>
      <c r="L120" s="431"/>
      <c r="M120" s="431"/>
      <c r="N120" s="431"/>
    </row>
    <row r="121" spans="2:14" ht="12.95" customHeight="1" thickBot="1">
      <c r="B121" s="208" t="s">
        <v>3898</v>
      </c>
      <c r="C121" s="1645" t="s">
        <v>3420</v>
      </c>
      <c r="D121" s="1639" t="s">
        <v>1796</v>
      </c>
      <c r="E121" s="1640" t="s">
        <v>1795</v>
      </c>
      <c r="F121" s="431"/>
      <c r="G121" s="431"/>
      <c r="H121" s="431"/>
      <c r="I121" s="431"/>
      <c r="J121" s="431"/>
      <c r="K121" s="431"/>
      <c r="L121" s="431"/>
      <c r="M121" s="431"/>
      <c r="N121" s="431"/>
    </row>
    <row r="122" spans="2:14" ht="12.95" customHeight="1">
      <c r="B122" s="3686" t="s">
        <v>5307</v>
      </c>
      <c r="C122" s="3686"/>
      <c r="D122" s="3686"/>
      <c r="E122" s="3686"/>
      <c r="F122" s="431"/>
      <c r="G122" s="431"/>
      <c r="H122" s="431"/>
      <c r="I122" s="431"/>
      <c r="J122" s="431"/>
      <c r="K122" s="431"/>
      <c r="L122" s="431"/>
      <c r="M122" s="431"/>
      <c r="N122" s="431"/>
    </row>
    <row r="123" spans="2:14" ht="5.0999999999999996" customHeight="1"/>
    <row r="124" spans="2:14" ht="12.95" customHeight="1">
      <c r="B124" s="3102" t="s">
        <v>3900</v>
      </c>
      <c r="C124" s="3102"/>
      <c r="D124" s="3102"/>
    </row>
    <row r="125" spans="2:14" ht="39" customHeight="1">
      <c r="B125" s="2960" t="s">
        <v>5325</v>
      </c>
      <c r="C125" s="2960"/>
      <c r="D125" s="2960"/>
      <c r="E125" s="2960"/>
    </row>
    <row r="126" spans="2:14" ht="24.95" customHeight="1" thickBot="1">
      <c r="B126" s="2960" t="s">
        <v>5326</v>
      </c>
      <c r="C126" s="2960"/>
      <c r="D126" s="2960"/>
      <c r="E126" s="2960"/>
    </row>
    <row r="127" spans="2:14" ht="12.95" customHeight="1" thickBot="1">
      <c r="B127" s="1647" t="s">
        <v>5327</v>
      </c>
      <c r="C127" s="1646" t="s">
        <v>5328</v>
      </c>
      <c r="D127" s="952"/>
      <c r="E127" s="952"/>
    </row>
    <row r="128" spans="2:14" ht="12.95" customHeight="1">
      <c r="B128" s="977">
        <v>1</v>
      </c>
      <c r="C128" s="616">
        <v>0.3</v>
      </c>
      <c r="D128" s="952"/>
      <c r="E128" s="952"/>
    </row>
    <row r="129" spans="2:6" ht="12.95" customHeight="1">
      <c r="B129" s="1642">
        <v>2</v>
      </c>
      <c r="C129" s="244">
        <v>0.45</v>
      </c>
      <c r="D129" s="952"/>
      <c r="E129" s="952"/>
    </row>
    <row r="130" spans="2:6" ht="12.95" customHeight="1">
      <c r="B130" s="972">
        <v>3</v>
      </c>
      <c r="C130" s="621">
        <v>0.5</v>
      </c>
      <c r="D130" s="952"/>
      <c r="E130" s="952"/>
    </row>
    <row r="131" spans="2:6" ht="12.95" customHeight="1">
      <c r="B131" s="1642">
        <v>4</v>
      </c>
      <c r="C131" s="244">
        <v>0.65</v>
      </c>
      <c r="D131" s="952"/>
      <c r="E131" s="952"/>
    </row>
    <row r="132" spans="2:6" ht="12.95" customHeight="1">
      <c r="B132" s="972">
        <v>5</v>
      </c>
      <c r="C132" s="621">
        <v>0.7</v>
      </c>
      <c r="D132" s="952"/>
      <c r="E132" s="952"/>
    </row>
    <row r="133" spans="2:6" ht="12.95" customHeight="1">
      <c r="B133" s="1642">
        <v>6</v>
      </c>
      <c r="C133" s="244">
        <v>0.85</v>
      </c>
      <c r="D133" s="952"/>
      <c r="E133" s="952"/>
    </row>
    <row r="134" spans="2:6" ht="12.95" customHeight="1">
      <c r="B134" s="972">
        <v>7</v>
      </c>
      <c r="C134" s="621">
        <v>0.9</v>
      </c>
      <c r="D134" s="952"/>
      <c r="E134" s="952"/>
    </row>
    <row r="135" spans="2:6" ht="12.95" customHeight="1" thickBot="1">
      <c r="B135" s="1643" t="s">
        <v>5329</v>
      </c>
      <c r="C135" s="245">
        <v>1</v>
      </c>
      <c r="D135" s="952"/>
      <c r="E135" s="952"/>
    </row>
    <row r="136" spans="2:6" ht="5.0999999999999996" customHeight="1"/>
    <row r="137" spans="2:6" ht="12.95" customHeight="1">
      <c r="B137" s="3102" t="s">
        <v>10088</v>
      </c>
      <c r="C137" s="3102"/>
      <c r="D137" s="3688" t="s">
        <v>10087</v>
      </c>
      <c r="E137" s="3688"/>
      <c r="F137" s="3688"/>
    </row>
    <row r="138" spans="2:6" ht="51.95" customHeight="1">
      <c r="B138" s="2960" t="s">
        <v>3390</v>
      </c>
      <c r="C138" s="2960"/>
      <c r="D138" s="2960"/>
      <c r="E138" s="2960"/>
    </row>
    <row r="139" spans="2:6" ht="5.0999999999999996" customHeight="1"/>
    <row r="140" spans="2:6" ht="12.95" customHeight="1">
      <c r="B140" s="3102" t="s">
        <v>3901</v>
      </c>
      <c r="C140" s="3102"/>
      <c r="D140" s="3102"/>
    </row>
    <row r="141" spans="2:6" ht="12.95" customHeight="1">
      <c r="B141" s="2980" t="s">
        <v>3903</v>
      </c>
      <c r="C141" s="2980"/>
      <c r="D141" s="2980"/>
      <c r="E141" s="2980"/>
    </row>
    <row r="142" spans="2:6" ht="26.1" customHeight="1">
      <c r="B142" s="3687" t="s">
        <v>10089</v>
      </c>
      <c r="C142" s="3687"/>
      <c r="D142" s="3687"/>
      <c r="E142" s="3687"/>
    </row>
    <row r="143" spans="2:6" ht="5.0999999999999996" customHeight="1">
      <c r="B143" s="952"/>
      <c r="C143" s="952"/>
      <c r="D143" s="952"/>
      <c r="E143" s="952"/>
    </row>
    <row r="144" spans="2:6" ht="12.95" customHeight="1">
      <c r="B144" s="2980" t="s">
        <v>3904</v>
      </c>
      <c r="C144" s="2980"/>
      <c r="D144" s="2980"/>
      <c r="E144" s="2980"/>
    </row>
    <row r="145" spans="2:5" ht="26.1" customHeight="1">
      <c r="B145" s="2960" t="s">
        <v>3905</v>
      </c>
      <c r="C145" s="2960"/>
      <c r="D145" s="2960"/>
      <c r="E145" s="2960"/>
    </row>
    <row r="146" spans="2:5" ht="5.0999999999999996" customHeight="1">
      <c r="B146" s="952"/>
      <c r="C146" s="952"/>
      <c r="D146" s="952"/>
      <c r="E146" s="952"/>
    </row>
    <row r="147" spans="2:5" ht="12.95" customHeight="1" thickBot="1">
      <c r="B147" s="2980" t="s">
        <v>3906</v>
      </c>
      <c r="C147" s="2980"/>
      <c r="D147" s="2980"/>
      <c r="E147" s="2980"/>
    </row>
    <row r="148" spans="2:5" ht="12.95" customHeight="1" thickBot="1">
      <c r="B148" s="1644" t="s">
        <v>310</v>
      </c>
      <c r="C148" s="1641" t="s">
        <v>3808</v>
      </c>
    </row>
    <row r="149" spans="2:5" ht="12.95" customHeight="1">
      <c r="B149" s="423" t="s">
        <v>2156</v>
      </c>
      <c r="C149" s="1058" t="s">
        <v>3907</v>
      </c>
    </row>
    <row r="150" spans="2:5" ht="12.95" customHeight="1">
      <c r="B150" s="1648" t="s">
        <v>893</v>
      </c>
      <c r="C150" s="1650" t="s">
        <v>2252</v>
      </c>
    </row>
    <row r="151" spans="2:5" ht="12.95" customHeight="1">
      <c r="B151" s="752" t="s">
        <v>2141</v>
      </c>
      <c r="C151" s="1059" t="s">
        <v>2251</v>
      </c>
    </row>
    <row r="152" spans="2:5" ht="12.95" customHeight="1">
      <c r="B152" s="1648" t="s">
        <v>625</v>
      </c>
      <c r="C152" s="1650" t="s">
        <v>3907</v>
      </c>
    </row>
    <row r="153" spans="2:5" ht="12.95" customHeight="1">
      <c r="B153" s="752" t="s">
        <v>2557</v>
      </c>
      <c r="C153" s="1059" t="s">
        <v>2250</v>
      </c>
    </row>
    <row r="154" spans="2:5" ht="12.95" customHeight="1">
      <c r="B154" s="1648" t="s">
        <v>626</v>
      </c>
      <c r="C154" s="1650" t="s">
        <v>3811</v>
      </c>
    </row>
    <row r="155" spans="2:5" ht="12.95" customHeight="1">
      <c r="B155" s="752" t="s">
        <v>628</v>
      </c>
      <c r="C155" s="1059" t="s">
        <v>3907</v>
      </c>
    </row>
    <row r="156" spans="2:5" ht="12.95" customHeight="1">
      <c r="B156" s="1648" t="s">
        <v>627</v>
      </c>
      <c r="C156" s="1650" t="s">
        <v>3907</v>
      </c>
    </row>
    <row r="157" spans="2:5" ht="12.95" customHeight="1" thickBot="1">
      <c r="B157" s="900" t="s">
        <v>2259</v>
      </c>
      <c r="C157" s="1060" t="s">
        <v>2250</v>
      </c>
    </row>
  </sheetData>
  <sheetProtection autoFilter="0"/>
  <mergeCells count="100">
    <mergeCell ref="C1:F1"/>
    <mergeCell ref="B75:E75"/>
    <mergeCell ref="D77:E77"/>
    <mergeCell ref="B76:E76"/>
    <mergeCell ref="D107:E107"/>
    <mergeCell ref="D98:E98"/>
    <mergeCell ref="D99:E99"/>
    <mergeCell ref="D100:E100"/>
    <mergeCell ref="D101:E101"/>
    <mergeCell ref="D102:E102"/>
    <mergeCell ref="D103:E103"/>
    <mergeCell ref="B104:E104"/>
    <mergeCell ref="D105:E105"/>
    <mergeCell ref="D106:E106"/>
    <mergeCell ref="D92:E92"/>
    <mergeCell ref="B90:E90"/>
    <mergeCell ref="D86:E86"/>
    <mergeCell ref="B39:E39"/>
    <mergeCell ref="B32:D32"/>
    <mergeCell ref="B33:E33"/>
    <mergeCell ref="B35:D35"/>
    <mergeCell ref="B36:E36"/>
    <mergeCell ref="B38:D38"/>
    <mergeCell ref="D82:E82"/>
    <mergeCell ref="B83:E83"/>
    <mergeCell ref="D80:E80"/>
    <mergeCell ref="D12:E12"/>
    <mergeCell ref="D13:E13"/>
    <mergeCell ref="B16:F16"/>
    <mergeCell ref="B22:F22"/>
    <mergeCell ref="D15:E15"/>
    <mergeCell ref="B18:D18"/>
    <mergeCell ref="B19:E19"/>
    <mergeCell ref="B20:E20"/>
    <mergeCell ref="B21:E21"/>
    <mergeCell ref="B3:F3"/>
    <mergeCell ref="B4:F4"/>
    <mergeCell ref="B5:D5"/>
    <mergeCell ref="B6:D6"/>
    <mergeCell ref="B7:E7"/>
    <mergeCell ref="D8:E8"/>
    <mergeCell ref="D9:E9"/>
    <mergeCell ref="D10:E10"/>
    <mergeCell ref="D11:E11"/>
    <mergeCell ref="D81:E81"/>
    <mergeCell ref="D14:E14"/>
    <mergeCell ref="B26:E26"/>
    <mergeCell ref="B24:D24"/>
    <mergeCell ref="B25:E25"/>
    <mergeCell ref="B72:E72"/>
    <mergeCell ref="B41:D41"/>
    <mergeCell ref="D43:E47"/>
    <mergeCell ref="B49:D49"/>
    <mergeCell ref="B42:E42"/>
    <mergeCell ref="C66:E66"/>
    <mergeCell ref="B28:D28"/>
    <mergeCell ref="B97:E97"/>
    <mergeCell ref="D93:E93"/>
    <mergeCell ref="D94:E94"/>
    <mergeCell ref="D95:E95"/>
    <mergeCell ref="D96:E96"/>
    <mergeCell ref="B29:E29"/>
    <mergeCell ref="B30:E30"/>
    <mergeCell ref="D50:E54"/>
    <mergeCell ref="D78:E78"/>
    <mergeCell ref="D79:E79"/>
    <mergeCell ref="B73:E73"/>
    <mergeCell ref="C67:E67"/>
    <mergeCell ref="C68:E70"/>
    <mergeCell ref="B61:E61"/>
    <mergeCell ref="C62:E64"/>
    <mergeCell ref="B59:D59"/>
    <mergeCell ref="B60:E60"/>
    <mergeCell ref="B144:E144"/>
    <mergeCell ref="B145:E145"/>
    <mergeCell ref="B147:E147"/>
    <mergeCell ref="B124:D124"/>
    <mergeCell ref="B125:E125"/>
    <mergeCell ref="B126:E126"/>
    <mergeCell ref="B138:E138"/>
    <mergeCell ref="B140:D140"/>
    <mergeCell ref="B142:E142"/>
    <mergeCell ref="B137:C137"/>
    <mergeCell ref="D137:F137"/>
    <mergeCell ref="D108:E108"/>
    <mergeCell ref="D91:E91"/>
    <mergeCell ref="D84:E84"/>
    <mergeCell ref="D85:E85"/>
    <mergeCell ref="B141:E141"/>
    <mergeCell ref="B122:E122"/>
    <mergeCell ref="D109:E109"/>
    <mergeCell ref="B115:D115"/>
    <mergeCell ref="B116:E116"/>
    <mergeCell ref="B112:E112"/>
    <mergeCell ref="B113:E113"/>
    <mergeCell ref="B110:E110"/>
    <mergeCell ref="C117:E117"/>
    <mergeCell ref="D87:E87"/>
    <mergeCell ref="D88:E88"/>
    <mergeCell ref="D89:E89"/>
  </mergeCells>
  <hyperlinks>
    <hyperlink ref="B1" location="Index!A1" display="Назад"/>
    <hyperlink ref="D137:F137" location="'6.4'!A1" display="&gt;&gt; Подробнее о Рынках и Торговцах артефактами."/>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5" manualBreakCount="5">
    <brk id="30" max="5" man="1"/>
    <brk id="57" max="5" man="1"/>
    <brk id="88" max="5" man="1"/>
    <brk id="113" max="5" man="1"/>
    <brk id="138" max="5" man="1"/>
  </rowBreaks>
  <drawing r:id="rId2"/>
</worksheet>
</file>

<file path=xl/worksheets/sheet51.xml><?xml version="1.0" encoding="utf-8"?>
<worksheet xmlns="http://schemas.openxmlformats.org/spreadsheetml/2006/main" xmlns:r="http://schemas.openxmlformats.org/officeDocument/2006/relationships">
  <sheetPr>
    <outlinePr summaryBelow="0"/>
  </sheetPr>
  <dimension ref="B1:G107"/>
  <sheetViews>
    <sheetView zoomScaleNormal="100" workbookViewId="0">
      <pane ySplit="5" topLeftCell="A6" activePane="bottomLeft" state="frozen"/>
      <selection pane="bottomLeft"/>
    </sheetView>
  </sheetViews>
  <sheetFormatPr defaultRowHeight="12.95" customHeight="1" outlineLevelRow="1"/>
  <cols>
    <col min="1" max="1" width="3.7109375" style="292" customWidth="1"/>
    <col min="2" max="2" width="35" style="292" customWidth="1"/>
    <col min="3" max="3" width="18.7109375" style="292" customWidth="1"/>
    <col min="4" max="5" width="23.7109375" style="292" customWidth="1"/>
    <col min="6" max="6" width="21.7109375" style="292" customWidth="1"/>
    <col min="7" max="16384" width="9.140625" style="292"/>
  </cols>
  <sheetData>
    <row r="1" spans="2:6" ht="12.95" customHeight="1">
      <c r="B1" s="313" t="s">
        <v>2706</v>
      </c>
      <c r="C1" s="2973" t="s">
        <v>8269</v>
      </c>
      <c r="D1" s="2973"/>
      <c r="E1" s="2973"/>
      <c r="F1" s="2973"/>
    </row>
    <row r="2" spans="2:6" ht="5.0999999999999996" customHeight="1"/>
    <row r="3" spans="2:6" ht="12.95" customHeight="1">
      <c r="B3" s="2978" t="s">
        <v>3908</v>
      </c>
      <c r="C3" s="2978"/>
      <c r="D3" s="2978"/>
      <c r="E3" s="2978"/>
      <c r="F3" s="2978"/>
    </row>
    <row r="4" spans="2:6" s="965" customFormat="1" ht="11.25">
      <c r="B4" s="2979" t="s">
        <v>5920</v>
      </c>
      <c r="C4" s="2979"/>
      <c r="D4" s="2979"/>
      <c r="E4" s="2979"/>
      <c r="F4" s="2979"/>
    </row>
    <row r="5" spans="2:6" ht="5.0999999999999996" customHeight="1">
      <c r="B5" s="3566"/>
      <c r="C5" s="3566"/>
      <c r="D5" s="3566"/>
    </row>
    <row r="6" spans="2:6" ht="12.95" customHeight="1" thickBot="1">
      <c r="B6" s="3102" t="s">
        <v>3792</v>
      </c>
      <c r="C6" s="3102"/>
      <c r="D6" s="3102"/>
    </row>
    <row r="7" spans="2:6" ht="12.95" customHeight="1" thickBot="1">
      <c r="B7" s="1045" t="s">
        <v>1277</v>
      </c>
      <c r="C7" s="3629" t="s">
        <v>1279</v>
      </c>
      <c r="D7" s="3630"/>
      <c r="E7" s="1038"/>
    </row>
    <row r="8" spans="2:6" ht="12.95" customHeight="1">
      <c r="B8" s="1039">
        <v>0.32</v>
      </c>
      <c r="C8" s="3645" t="s">
        <v>2254</v>
      </c>
      <c r="D8" s="3646"/>
      <c r="E8" s="1040"/>
    </row>
    <row r="9" spans="2:6" ht="12.95" customHeight="1">
      <c r="B9" s="169">
        <v>0.32</v>
      </c>
      <c r="C9" s="3637" t="s">
        <v>2255</v>
      </c>
      <c r="D9" s="3638"/>
      <c r="E9" s="1040"/>
    </row>
    <row r="10" spans="2:6" ht="12.95" customHeight="1">
      <c r="B10" s="1039">
        <v>0.31</v>
      </c>
      <c r="C10" s="3633" t="s">
        <v>2040</v>
      </c>
      <c r="D10" s="3634"/>
      <c r="E10" s="1040"/>
    </row>
    <row r="11" spans="2:6" ht="26.1" customHeight="1" thickBot="1">
      <c r="B11" s="170">
        <v>0.05</v>
      </c>
      <c r="C11" s="3698" t="s">
        <v>5899</v>
      </c>
      <c r="D11" s="3699"/>
      <c r="E11" s="1040"/>
    </row>
    <row r="12" spans="2:6" ht="5.0999999999999996" customHeight="1"/>
    <row r="13" spans="2:6" ht="12.95" customHeight="1">
      <c r="B13" s="3102" t="s">
        <v>3909</v>
      </c>
      <c r="C13" s="3102"/>
      <c r="D13" s="3102"/>
      <c r="E13" s="3102"/>
    </row>
    <row r="14" spans="2:6" ht="12.95" customHeight="1">
      <c r="B14" s="3250" t="s">
        <v>3910</v>
      </c>
      <c r="C14" s="3250"/>
      <c r="D14" s="3250"/>
      <c r="E14" s="3250"/>
    </row>
    <row r="16" spans="2:6" ht="12.95" customHeight="1">
      <c r="B16" s="3102" t="s">
        <v>3911</v>
      </c>
      <c r="C16" s="3102"/>
      <c r="D16" s="3102"/>
      <c r="E16" s="3102"/>
    </row>
    <row r="17" spans="2:5" ht="65.099999999999994" customHeight="1">
      <c r="B17" s="3250" t="s">
        <v>3912</v>
      </c>
      <c r="C17" s="3250"/>
      <c r="D17" s="3250"/>
      <c r="E17" s="3250"/>
    </row>
    <row r="18" spans="2:5" ht="12.95" customHeight="1" thickBot="1">
      <c r="B18" s="3250" t="s">
        <v>3913</v>
      </c>
      <c r="C18" s="3250"/>
      <c r="D18" s="3250"/>
      <c r="E18" s="3250"/>
    </row>
    <row r="19" spans="2:5" ht="12.95" customHeight="1" thickBot="1">
      <c r="B19" s="984" t="s">
        <v>1277</v>
      </c>
      <c r="C19" s="957" t="s">
        <v>3914</v>
      </c>
    </row>
    <row r="20" spans="2:5" ht="12.95" customHeight="1">
      <c r="B20" s="1041">
        <v>0.34</v>
      </c>
      <c r="C20" s="213" t="s">
        <v>3697</v>
      </c>
    </row>
    <row r="21" spans="2:5" ht="12.95" customHeight="1">
      <c r="B21" s="157">
        <v>0.33</v>
      </c>
      <c r="C21" s="980" t="s">
        <v>2064</v>
      </c>
    </row>
    <row r="22" spans="2:5" ht="12.95" customHeight="1" thickBot="1">
      <c r="B22" s="1043">
        <v>0.33</v>
      </c>
      <c r="C22" s="981" t="s">
        <v>966</v>
      </c>
    </row>
    <row r="23" spans="2:5" ht="5.0999999999999996" customHeight="1"/>
    <row r="24" spans="2:5" ht="51.95" customHeight="1">
      <c r="B24" s="3198" t="s">
        <v>9048</v>
      </c>
      <c r="C24" s="3198"/>
      <c r="D24" s="3198"/>
      <c r="E24" s="3198"/>
    </row>
    <row r="25" spans="2:5" ht="12.95" customHeight="1">
      <c r="B25" s="3250" t="s">
        <v>5311</v>
      </c>
      <c r="C25" s="3250"/>
      <c r="D25" s="3250"/>
      <c r="E25" s="3250"/>
    </row>
    <row r="26" spans="2:5" ht="5.0999999999999996" customHeight="1"/>
    <row r="27" spans="2:5" ht="12.95" customHeight="1">
      <c r="B27" s="3102" t="s">
        <v>5900</v>
      </c>
      <c r="C27" s="3102"/>
      <c r="D27" s="3102"/>
      <c r="E27" s="3102"/>
    </row>
    <row r="28" spans="2:5" ht="65.099999999999994" customHeight="1">
      <c r="B28" s="3250" t="s">
        <v>3947</v>
      </c>
      <c r="C28" s="3250"/>
      <c r="D28" s="3250"/>
      <c r="E28" s="3250"/>
    </row>
    <row r="29" spans="2:5" ht="5.0999999999999996" customHeight="1"/>
    <row r="30" spans="2:5" ht="12.95" customHeight="1">
      <c r="B30" s="3102" t="s">
        <v>3915</v>
      </c>
      <c r="C30" s="3102"/>
      <c r="D30" s="3102"/>
      <c r="E30" s="3102"/>
    </row>
    <row r="31" spans="2:5" ht="12.95" customHeight="1">
      <c r="B31" s="3102" t="s">
        <v>3916</v>
      </c>
      <c r="C31" s="3102"/>
      <c r="D31" s="3102"/>
      <c r="E31" s="3102"/>
    </row>
    <row r="32" spans="2:5" ht="51.95" customHeight="1" thickBot="1">
      <c r="B32" s="3250" t="s">
        <v>10090</v>
      </c>
      <c r="C32" s="3250"/>
      <c r="D32" s="3250"/>
      <c r="E32" s="3250"/>
    </row>
    <row r="33" spans="2:5" ht="12.95" customHeight="1" thickBot="1">
      <c r="B33" s="984" t="s">
        <v>2635</v>
      </c>
      <c r="C33" s="957" t="s">
        <v>2291</v>
      </c>
      <c r="D33" s="3675" t="s">
        <v>5921</v>
      </c>
      <c r="E33" s="3650"/>
    </row>
    <row r="34" spans="2:5" ht="12.95" customHeight="1">
      <c r="B34" s="423" t="s">
        <v>77</v>
      </c>
      <c r="C34" s="213">
        <v>1000</v>
      </c>
      <c r="D34" s="3691" t="s">
        <v>3917</v>
      </c>
      <c r="E34" s="3640"/>
    </row>
    <row r="35" spans="2:5" ht="12.95" customHeight="1">
      <c r="B35" s="992" t="s">
        <v>79</v>
      </c>
      <c r="C35" s="980">
        <v>1500</v>
      </c>
      <c r="D35" s="3692" t="s">
        <v>3918</v>
      </c>
      <c r="E35" s="3693"/>
    </row>
    <row r="36" spans="2:5" ht="12.95" customHeight="1">
      <c r="B36" s="752" t="s">
        <v>81</v>
      </c>
      <c r="C36" s="983">
        <v>3000</v>
      </c>
      <c r="D36" s="3694" t="s">
        <v>3919</v>
      </c>
      <c r="E36" s="3695"/>
    </row>
    <row r="37" spans="2:5" ht="12.95" customHeight="1" thickBot="1">
      <c r="B37" s="993" t="s">
        <v>83</v>
      </c>
      <c r="C37" s="188">
        <v>6000</v>
      </c>
      <c r="D37" s="3696" t="s">
        <v>3920</v>
      </c>
      <c r="E37" s="3632"/>
    </row>
    <row r="38" spans="2:5" ht="12.95" customHeight="1">
      <c r="B38" s="3686" t="s">
        <v>5324</v>
      </c>
      <c r="C38" s="3686"/>
      <c r="D38" s="3686"/>
      <c r="E38" s="3686"/>
    </row>
    <row r="39" spans="2:5" ht="5.0999999999999996" customHeight="1"/>
    <row r="40" spans="2:5" ht="12.95" customHeight="1" thickBot="1">
      <c r="B40" s="3102" t="s">
        <v>5183</v>
      </c>
      <c r="C40" s="3102"/>
      <c r="D40" s="3102"/>
      <c r="E40" s="3102"/>
    </row>
    <row r="41" spans="2:5" ht="12.95" customHeight="1" thickBot="1">
      <c r="B41" s="961" t="s">
        <v>3921</v>
      </c>
      <c r="C41" s="172" t="s">
        <v>2291</v>
      </c>
      <c r="D41" s="3697" t="s">
        <v>9049</v>
      </c>
      <c r="E41" s="3250"/>
    </row>
    <row r="42" spans="2:5" ht="12.95" customHeight="1" outlineLevel="1">
      <c r="B42" s="1044" t="s">
        <v>727</v>
      </c>
      <c r="C42" s="925">
        <v>9855</v>
      </c>
      <c r="D42" s="3697"/>
      <c r="E42" s="3250"/>
    </row>
    <row r="43" spans="2:5" ht="12.95" customHeight="1" outlineLevel="1">
      <c r="B43" s="654" t="s">
        <v>3473</v>
      </c>
      <c r="C43" s="113">
        <v>4915</v>
      </c>
      <c r="D43" s="3697"/>
      <c r="E43" s="3250"/>
    </row>
    <row r="44" spans="2:5" ht="12.95" customHeight="1" outlineLevel="1">
      <c r="B44" s="617" t="s">
        <v>726</v>
      </c>
      <c r="C44" s="592">
        <v>3300</v>
      </c>
      <c r="D44" s="3697"/>
      <c r="E44" s="3250"/>
    </row>
    <row r="45" spans="2:5" ht="12.95" customHeight="1" outlineLevel="1">
      <c r="B45" s="654" t="s">
        <v>1985</v>
      </c>
      <c r="C45" s="113">
        <v>2445</v>
      </c>
      <c r="D45" s="3697"/>
      <c r="E45" s="3250"/>
    </row>
    <row r="46" spans="2:5" ht="12.95" customHeight="1" outlineLevel="1">
      <c r="B46" s="617" t="s">
        <v>1220</v>
      </c>
      <c r="C46" s="592">
        <v>1095</v>
      </c>
      <c r="D46" s="3697"/>
      <c r="E46" s="3250"/>
    </row>
    <row r="47" spans="2:5" ht="12.95" customHeight="1" outlineLevel="1">
      <c r="B47" s="654" t="s">
        <v>3462</v>
      </c>
      <c r="C47" s="113">
        <v>1090</v>
      </c>
    </row>
    <row r="48" spans="2:5" ht="12.95" customHeight="1" outlineLevel="1">
      <c r="B48" s="617" t="s">
        <v>842</v>
      </c>
      <c r="C48" s="592">
        <v>1075</v>
      </c>
    </row>
    <row r="49" spans="2:7" ht="12.95" customHeight="1" outlineLevel="1">
      <c r="B49" s="654" t="s">
        <v>1221</v>
      </c>
      <c r="C49" s="113">
        <v>935</v>
      </c>
      <c r="F49" s="960"/>
      <c r="G49" s="600"/>
    </row>
    <row r="50" spans="2:7" ht="12.95" customHeight="1" outlineLevel="1">
      <c r="B50" s="617" t="s">
        <v>1222</v>
      </c>
      <c r="C50" s="592">
        <v>885</v>
      </c>
      <c r="F50" s="960"/>
      <c r="G50" s="600"/>
    </row>
    <row r="51" spans="2:7" ht="12.95" customHeight="1" outlineLevel="1">
      <c r="B51" s="654" t="s">
        <v>1223</v>
      </c>
      <c r="C51" s="113">
        <v>840</v>
      </c>
      <c r="F51" s="960"/>
      <c r="G51" s="600"/>
    </row>
    <row r="52" spans="2:7" ht="12.95" customHeight="1" outlineLevel="1">
      <c r="B52" s="617" t="s">
        <v>151</v>
      </c>
      <c r="C52" s="592">
        <v>770</v>
      </c>
      <c r="F52" s="960"/>
      <c r="G52" s="600"/>
    </row>
    <row r="53" spans="2:7" ht="12.95" customHeight="1" outlineLevel="1">
      <c r="B53" s="654" t="s">
        <v>2611</v>
      </c>
      <c r="C53" s="113">
        <v>740</v>
      </c>
      <c r="F53" s="960"/>
      <c r="G53" s="600"/>
    </row>
    <row r="54" spans="2:7" ht="12.95" customHeight="1" outlineLevel="1">
      <c r="B54" s="617" t="s">
        <v>1941</v>
      </c>
      <c r="C54" s="592">
        <v>635</v>
      </c>
      <c r="F54" s="960"/>
      <c r="G54" s="600"/>
    </row>
    <row r="55" spans="2:7" ht="12.95" customHeight="1" outlineLevel="1">
      <c r="B55" s="654" t="s">
        <v>650</v>
      </c>
      <c r="C55" s="113">
        <v>625</v>
      </c>
      <c r="F55" s="960"/>
      <c r="G55" s="600"/>
    </row>
    <row r="56" spans="2:7" ht="12.95" customHeight="1" outlineLevel="1">
      <c r="B56" s="617" t="s">
        <v>3447</v>
      </c>
      <c r="C56" s="592">
        <v>605</v>
      </c>
      <c r="F56" s="960"/>
      <c r="G56" s="600"/>
    </row>
    <row r="57" spans="2:7" ht="12.95" customHeight="1" outlineLevel="1">
      <c r="B57" s="654" t="s">
        <v>3922</v>
      </c>
      <c r="C57" s="113">
        <v>585</v>
      </c>
      <c r="F57" s="960"/>
      <c r="G57" s="600"/>
    </row>
    <row r="58" spans="2:7" ht="12.95" customHeight="1" outlineLevel="1">
      <c r="B58" s="617" t="s">
        <v>2670</v>
      </c>
      <c r="C58" s="592">
        <v>565</v>
      </c>
      <c r="F58" s="960"/>
      <c r="G58" s="600"/>
    </row>
    <row r="59" spans="2:7" ht="12.95" customHeight="1" outlineLevel="1">
      <c r="B59" s="654" t="s">
        <v>651</v>
      </c>
      <c r="C59" s="113">
        <v>515</v>
      </c>
    </row>
    <row r="60" spans="2:7" ht="12.95" customHeight="1" outlineLevel="1">
      <c r="B60" s="617" t="s">
        <v>652</v>
      </c>
      <c r="C60" s="592">
        <v>460</v>
      </c>
    </row>
    <row r="61" spans="2:7" ht="12.95" customHeight="1" outlineLevel="1">
      <c r="B61" s="654" t="s">
        <v>899</v>
      </c>
      <c r="C61" s="113">
        <v>420</v>
      </c>
    </row>
    <row r="62" spans="2:7" ht="12.95" customHeight="1" outlineLevel="1">
      <c r="B62" s="617" t="s">
        <v>653</v>
      </c>
      <c r="C62" s="592">
        <v>395</v>
      </c>
    </row>
    <row r="63" spans="2:7" ht="12.95" customHeight="1" outlineLevel="1">
      <c r="B63" s="654" t="s">
        <v>3453</v>
      </c>
      <c r="C63" s="113">
        <v>355</v>
      </c>
    </row>
    <row r="64" spans="2:7" ht="12.95" customHeight="1" outlineLevel="1">
      <c r="B64" s="617" t="s">
        <v>2607</v>
      </c>
      <c r="C64" s="592">
        <v>295</v>
      </c>
      <c r="D64" s="431"/>
      <c r="E64" s="431"/>
    </row>
    <row r="65" spans="2:7" ht="12.95" customHeight="1" outlineLevel="1">
      <c r="B65" s="654" t="s">
        <v>3923</v>
      </c>
      <c r="C65" s="113">
        <v>260</v>
      </c>
      <c r="D65" s="431"/>
      <c r="E65" s="431"/>
    </row>
    <row r="66" spans="2:7" ht="26.1" customHeight="1" outlineLevel="1">
      <c r="B66" s="617" t="s">
        <v>3924</v>
      </c>
      <c r="C66" s="592">
        <v>250</v>
      </c>
      <c r="D66" s="431"/>
      <c r="E66" s="431"/>
    </row>
    <row r="67" spans="2:7" ht="12.95" customHeight="1" outlineLevel="1">
      <c r="B67" s="654" t="s">
        <v>567</v>
      </c>
      <c r="C67" s="113">
        <v>240</v>
      </c>
      <c r="D67" s="431"/>
      <c r="E67" s="431"/>
    </row>
    <row r="68" spans="2:7" ht="12.95" customHeight="1" outlineLevel="1">
      <c r="B68" s="617" t="s">
        <v>3463</v>
      </c>
      <c r="C68" s="592">
        <v>230</v>
      </c>
      <c r="D68" s="431"/>
      <c r="E68" s="431"/>
    </row>
    <row r="69" spans="2:7" ht="12.95" customHeight="1" outlineLevel="1">
      <c r="B69" s="654" t="s">
        <v>1052</v>
      </c>
      <c r="C69" s="113">
        <v>225</v>
      </c>
      <c r="D69" s="431"/>
      <c r="E69" s="431"/>
    </row>
    <row r="70" spans="2:7" ht="12.95" customHeight="1" outlineLevel="1">
      <c r="B70" s="617" t="s">
        <v>3925</v>
      </c>
      <c r="C70" s="592">
        <v>205</v>
      </c>
      <c r="D70" s="431"/>
      <c r="E70" s="431"/>
    </row>
    <row r="71" spans="2:7" ht="12.95" customHeight="1" outlineLevel="1">
      <c r="B71" s="654" t="s">
        <v>1053</v>
      </c>
      <c r="C71" s="113">
        <v>195</v>
      </c>
      <c r="D71" s="431"/>
      <c r="E71" s="431"/>
      <c r="F71" s="960"/>
      <c r="G71" s="600"/>
    </row>
    <row r="72" spans="2:7" ht="12.95" customHeight="1" outlineLevel="1">
      <c r="B72" s="617" t="s">
        <v>1054</v>
      </c>
      <c r="C72" s="592">
        <v>190</v>
      </c>
      <c r="D72" s="431"/>
      <c r="E72" s="431"/>
      <c r="F72" s="960"/>
      <c r="G72" s="600"/>
    </row>
    <row r="73" spans="2:7" ht="12.95" customHeight="1" outlineLevel="1">
      <c r="B73" s="654" t="s">
        <v>3466</v>
      </c>
      <c r="C73" s="113">
        <v>185</v>
      </c>
      <c r="D73" s="431"/>
      <c r="E73" s="431"/>
      <c r="F73" s="960"/>
      <c r="G73" s="600"/>
    </row>
    <row r="74" spans="2:7" ht="12.95" customHeight="1" outlineLevel="1">
      <c r="B74" s="617" t="s">
        <v>150</v>
      </c>
      <c r="C74" s="592">
        <v>180</v>
      </c>
      <c r="D74" s="431"/>
      <c r="E74" s="431"/>
      <c r="F74" s="960"/>
      <c r="G74" s="600"/>
    </row>
    <row r="75" spans="2:7" ht="12.95" customHeight="1" outlineLevel="1">
      <c r="B75" s="617" t="s">
        <v>614</v>
      </c>
      <c r="C75" s="592">
        <v>165</v>
      </c>
      <c r="D75" s="431"/>
      <c r="E75" s="431"/>
      <c r="F75" s="960"/>
      <c r="G75" s="600"/>
    </row>
    <row r="76" spans="2:7" ht="12.95" customHeight="1" outlineLevel="1">
      <c r="B76" s="654" t="s">
        <v>1062</v>
      </c>
      <c r="C76" s="592">
        <v>155</v>
      </c>
      <c r="D76" s="431"/>
      <c r="E76" s="431"/>
      <c r="F76" s="960"/>
      <c r="G76" s="600"/>
    </row>
    <row r="77" spans="2:7" ht="12.95" customHeight="1" outlineLevel="1">
      <c r="B77" s="654" t="s">
        <v>3926</v>
      </c>
      <c r="C77" s="113">
        <v>150</v>
      </c>
      <c r="D77" s="431"/>
      <c r="E77" s="431"/>
      <c r="F77" s="960"/>
      <c r="G77" s="600"/>
    </row>
    <row r="78" spans="2:7" ht="12.95" customHeight="1" outlineLevel="1">
      <c r="B78" s="617" t="s">
        <v>149</v>
      </c>
      <c r="C78" s="592">
        <v>135</v>
      </c>
      <c r="D78" s="431"/>
      <c r="E78" s="431"/>
      <c r="F78" s="960"/>
      <c r="G78" s="600"/>
    </row>
    <row r="79" spans="2:7" ht="26.1" customHeight="1" outlineLevel="1">
      <c r="B79" s="654" t="s">
        <v>3927</v>
      </c>
      <c r="C79" s="113">
        <v>130</v>
      </c>
      <c r="D79" s="431"/>
      <c r="E79" s="431"/>
      <c r="F79" s="960"/>
      <c r="G79" s="600"/>
    </row>
    <row r="80" spans="2:7" ht="12.95" customHeight="1" outlineLevel="1">
      <c r="B80" s="617" t="s">
        <v>3928</v>
      </c>
      <c r="C80" s="592">
        <v>125</v>
      </c>
      <c r="D80" s="431"/>
      <c r="E80" s="431"/>
      <c r="F80" s="960"/>
      <c r="G80" s="600"/>
    </row>
    <row r="81" spans="2:7" ht="12.95" customHeight="1" outlineLevel="1">
      <c r="B81" s="654" t="s">
        <v>3452</v>
      </c>
      <c r="C81" s="113">
        <v>115</v>
      </c>
      <c r="D81" s="431"/>
      <c r="E81" s="431"/>
      <c r="F81" s="960"/>
      <c r="G81" s="600"/>
    </row>
    <row r="82" spans="2:7" ht="12.95" customHeight="1" outlineLevel="1">
      <c r="B82" s="617" t="s">
        <v>3929</v>
      </c>
      <c r="C82" s="592">
        <v>110</v>
      </c>
      <c r="D82" s="431"/>
      <c r="E82" s="431"/>
      <c r="F82" s="960"/>
      <c r="G82" s="600"/>
    </row>
    <row r="83" spans="2:7" ht="12.95" customHeight="1" outlineLevel="1">
      <c r="B83" s="654" t="s">
        <v>642</v>
      </c>
      <c r="C83" s="113">
        <v>105</v>
      </c>
      <c r="D83" s="431"/>
      <c r="E83" s="431"/>
      <c r="F83" s="960"/>
      <c r="G83" s="600"/>
    </row>
    <row r="84" spans="2:7" ht="12.95" customHeight="1" outlineLevel="1">
      <c r="B84" s="617" t="s">
        <v>3930</v>
      </c>
      <c r="C84" s="592">
        <v>100</v>
      </c>
      <c r="D84" s="431"/>
      <c r="E84" s="431"/>
      <c r="F84" s="960"/>
      <c r="G84" s="600"/>
    </row>
    <row r="85" spans="2:7" ht="26.1" customHeight="1" outlineLevel="1">
      <c r="B85" s="654" t="s">
        <v>3931</v>
      </c>
      <c r="C85" s="113">
        <v>95</v>
      </c>
      <c r="D85" s="431"/>
      <c r="E85" s="431"/>
      <c r="F85" s="960"/>
      <c r="G85" s="600"/>
    </row>
    <row r="86" spans="2:7" ht="12.95" customHeight="1" outlineLevel="1">
      <c r="B86" s="617" t="s">
        <v>1644</v>
      </c>
      <c r="C86" s="592">
        <v>90</v>
      </c>
      <c r="D86" s="431"/>
      <c r="E86" s="431"/>
      <c r="F86" s="960"/>
      <c r="G86" s="600"/>
    </row>
    <row r="87" spans="2:7" ht="12.95" customHeight="1" outlineLevel="1">
      <c r="B87" s="654" t="s">
        <v>3932</v>
      </c>
      <c r="C87" s="113">
        <v>85</v>
      </c>
      <c r="D87" s="431"/>
      <c r="E87" s="431"/>
      <c r="F87" s="960"/>
      <c r="G87" s="600"/>
    </row>
    <row r="88" spans="2:7" ht="12.95" customHeight="1" outlineLevel="1">
      <c r="B88" s="617" t="s">
        <v>3470</v>
      </c>
      <c r="C88" s="592">
        <v>80</v>
      </c>
      <c r="E88" s="1030"/>
      <c r="F88" s="960"/>
      <c r="G88" s="600"/>
    </row>
    <row r="89" spans="2:7" ht="12.95" customHeight="1" outlineLevel="1">
      <c r="B89" s="654" t="s">
        <v>1984</v>
      </c>
      <c r="C89" s="113">
        <v>75</v>
      </c>
      <c r="D89" s="2103"/>
      <c r="E89" s="1030"/>
      <c r="F89" s="960"/>
      <c r="G89" s="600"/>
    </row>
    <row r="90" spans="2:7" ht="26.1" customHeight="1" outlineLevel="1">
      <c r="B90" s="617" t="s">
        <v>3933</v>
      </c>
      <c r="C90" s="592">
        <v>70</v>
      </c>
      <c r="D90" s="2103"/>
      <c r="E90" s="1030"/>
      <c r="F90" s="960"/>
      <c r="G90" s="600"/>
    </row>
    <row r="91" spans="2:7" ht="12.95" customHeight="1" outlineLevel="1">
      <c r="B91" s="654" t="s">
        <v>3934</v>
      </c>
      <c r="C91" s="113">
        <v>65</v>
      </c>
      <c r="D91" s="2103"/>
      <c r="E91" s="1030"/>
      <c r="F91" s="960"/>
      <c r="G91" s="600"/>
    </row>
    <row r="92" spans="2:7" ht="39" customHeight="1" outlineLevel="1">
      <c r="B92" s="617" t="s">
        <v>3935</v>
      </c>
      <c r="C92" s="592">
        <v>60</v>
      </c>
      <c r="D92" s="2103"/>
      <c r="E92" s="1030"/>
      <c r="F92" s="960"/>
      <c r="G92" s="600"/>
    </row>
    <row r="93" spans="2:7" ht="26.1" customHeight="1" outlineLevel="1">
      <c r="B93" s="654" t="s">
        <v>3936</v>
      </c>
      <c r="C93" s="113">
        <v>55</v>
      </c>
      <c r="D93" s="2103"/>
      <c r="E93" s="1030"/>
      <c r="F93" s="960"/>
      <c r="G93" s="600"/>
    </row>
    <row r="94" spans="2:7" ht="12.95" customHeight="1" outlineLevel="1">
      <c r="B94" s="617" t="s">
        <v>3937</v>
      </c>
      <c r="C94" s="592">
        <v>50</v>
      </c>
      <c r="D94" s="2103"/>
      <c r="E94" s="1030"/>
      <c r="F94" s="960"/>
      <c r="G94" s="600"/>
    </row>
    <row r="95" spans="2:7" ht="26.1" customHeight="1" outlineLevel="1">
      <c r="B95" s="654" t="s">
        <v>3938</v>
      </c>
      <c r="C95" s="113">
        <v>45</v>
      </c>
      <c r="D95" s="2103"/>
      <c r="E95" s="1030"/>
      <c r="F95" s="960"/>
      <c r="G95" s="600"/>
    </row>
    <row r="96" spans="2:7" ht="51.95" customHeight="1" outlineLevel="1">
      <c r="B96" s="617" t="s">
        <v>3939</v>
      </c>
      <c r="C96" s="592">
        <v>40</v>
      </c>
      <c r="D96" s="2103"/>
      <c r="E96" s="1030"/>
      <c r="F96" s="960"/>
      <c r="G96" s="600"/>
    </row>
    <row r="97" spans="2:7" ht="26.1" customHeight="1" outlineLevel="1">
      <c r="B97" s="654" t="s">
        <v>3940</v>
      </c>
      <c r="C97" s="113">
        <v>35</v>
      </c>
      <c r="D97" s="2103"/>
      <c r="E97" s="1030"/>
      <c r="F97" s="960"/>
      <c r="G97" s="600"/>
    </row>
    <row r="98" spans="2:7" ht="26.1" customHeight="1" outlineLevel="1">
      <c r="B98" s="617" t="s">
        <v>3941</v>
      </c>
      <c r="C98" s="592">
        <v>30</v>
      </c>
      <c r="D98" s="2103"/>
      <c r="E98" s="1030"/>
      <c r="F98" s="960"/>
      <c r="G98" s="600"/>
    </row>
    <row r="99" spans="2:7" ht="39" customHeight="1" outlineLevel="1">
      <c r="B99" s="654" t="s">
        <v>3942</v>
      </c>
      <c r="C99" s="113">
        <v>25</v>
      </c>
      <c r="D99" s="2103"/>
      <c r="E99" s="1030"/>
      <c r="F99" s="960"/>
      <c r="G99" s="600"/>
    </row>
    <row r="100" spans="2:7" ht="12.95" customHeight="1" outlineLevel="1">
      <c r="B100" s="617" t="s">
        <v>3943</v>
      </c>
      <c r="C100" s="592">
        <v>20</v>
      </c>
      <c r="E100" s="1030"/>
      <c r="F100" s="1030"/>
      <c r="G100" s="600"/>
    </row>
    <row r="101" spans="2:7" ht="51.95" customHeight="1" outlineLevel="1">
      <c r="B101" s="654" t="s">
        <v>3944</v>
      </c>
      <c r="C101" s="113">
        <v>15</v>
      </c>
      <c r="D101" s="3697" t="s">
        <v>9050</v>
      </c>
      <c r="E101" s="3250"/>
      <c r="F101" s="3250"/>
      <c r="G101" s="600"/>
    </row>
    <row r="102" spans="2:7" ht="39" customHeight="1" outlineLevel="1">
      <c r="B102" s="617" t="s">
        <v>3945</v>
      </c>
      <c r="C102" s="592">
        <v>10</v>
      </c>
      <c r="D102" s="3697"/>
      <c r="E102" s="3250"/>
      <c r="F102" s="3250"/>
      <c r="G102" s="600"/>
    </row>
    <row r="103" spans="2:7" ht="39" customHeight="1" outlineLevel="1">
      <c r="B103" s="654" t="s">
        <v>3946</v>
      </c>
      <c r="C103" s="113">
        <v>5</v>
      </c>
      <c r="D103" s="3697"/>
      <c r="E103" s="3250"/>
      <c r="F103" s="3250"/>
      <c r="G103" s="600"/>
    </row>
    <row r="104" spans="2:7" ht="12.95" customHeight="1" outlineLevel="1" thickBot="1">
      <c r="B104" s="841" t="s">
        <v>2015</v>
      </c>
      <c r="C104" s="594">
        <v>0</v>
      </c>
      <c r="D104" s="3697"/>
      <c r="E104" s="3250"/>
      <c r="F104" s="3250"/>
      <c r="G104" s="600"/>
    </row>
    <row r="105" spans="2:7" ht="5.0999999999999996" customHeight="1">
      <c r="B105" s="960"/>
      <c r="C105" s="600"/>
      <c r="D105" s="431"/>
      <c r="E105" s="431"/>
      <c r="F105" s="960"/>
      <c r="G105" s="600"/>
    </row>
    <row r="106" spans="2:7" ht="12.95" customHeight="1">
      <c r="B106" s="3102" t="s">
        <v>5480</v>
      </c>
      <c r="C106" s="3102"/>
      <c r="D106" s="3102"/>
      <c r="E106" s="3102"/>
    </row>
    <row r="107" spans="2:7" ht="12.95" customHeight="1">
      <c r="D107" s="431"/>
      <c r="E107" s="431"/>
    </row>
  </sheetData>
  <sheetProtection autoFilter="0"/>
  <mergeCells count="32">
    <mergeCell ref="C1:F1"/>
    <mergeCell ref="D33:E33"/>
    <mergeCell ref="B3:F3"/>
    <mergeCell ref="B4:F4"/>
    <mergeCell ref="B5:D5"/>
    <mergeCell ref="B6:D6"/>
    <mergeCell ref="B18:E18"/>
    <mergeCell ref="C7:D7"/>
    <mergeCell ref="C8:D8"/>
    <mergeCell ref="C9:D9"/>
    <mergeCell ref="C10:D10"/>
    <mergeCell ref="C11:D11"/>
    <mergeCell ref="B16:E16"/>
    <mergeCell ref="B17:E17"/>
    <mergeCell ref="B13:E13"/>
    <mergeCell ref="B14:E14"/>
    <mergeCell ref="B27:E27"/>
    <mergeCell ref="B28:E28"/>
    <mergeCell ref="B30:E30"/>
    <mergeCell ref="B24:E24"/>
    <mergeCell ref="B32:E32"/>
    <mergeCell ref="B31:E31"/>
    <mergeCell ref="B25:E25"/>
    <mergeCell ref="B106:E106"/>
    <mergeCell ref="B40:E40"/>
    <mergeCell ref="D34:E34"/>
    <mergeCell ref="D35:E35"/>
    <mergeCell ref="D36:E36"/>
    <mergeCell ref="D37:E37"/>
    <mergeCell ref="D41:E46"/>
    <mergeCell ref="B38:E38"/>
    <mergeCell ref="D101:F104"/>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8" orientation="landscape" r:id="rId1"/>
  <headerFooter alignWithMargins="0"/>
  <rowBreaks count="3" manualBreakCount="3">
    <brk id="25" max="5" man="1"/>
    <brk id="88" max="5" man="1"/>
    <brk id="106" max="20" man="1"/>
  </rowBreaks>
  <drawing r:id="rId2"/>
</worksheet>
</file>

<file path=xl/worksheets/sheet52.xml><?xml version="1.0" encoding="utf-8"?>
<worksheet xmlns="http://schemas.openxmlformats.org/spreadsheetml/2006/main" xmlns:r="http://schemas.openxmlformats.org/officeDocument/2006/relationships">
  <dimension ref="B1:D42"/>
  <sheetViews>
    <sheetView zoomScaleNormal="100" workbookViewId="0">
      <pane ySplit="5" topLeftCell="A6" activePane="bottomLeft" state="frozen"/>
      <selection pane="bottomLeft" activeCell="B1" sqref="B1"/>
    </sheetView>
  </sheetViews>
  <sheetFormatPr defaultRowHeight="12.95" customHeight="1"/>
  <cols>
    <col min="1" max="1" width="3.7109375" style="292" customWidth="1"/>
    <col min="2" max="2" width="35.85546875" style="292" customWidth="1"/>
    <col min="3" max="3" width="68" style="292" customWidth="1"/>
    <col min="4" max="4" width="18.5703125" style="292" customWidth="1"/>
    <col min="5" max="16384" width="9.140625" style="292"/>
  </cols>
  <sheetData>
    <row r="1" spans="2:4" ht="12.95" customHeight="1">
      <c r="B1" s="313" t="s">
        <v>2706</v>
      </c>
      <c r="C1" s="2973" t="s">
        <v>8269</v>
      </c>
      <c r="D1" s="2973"/>
    </row>
    <row r="2" spans="2:4" ht="5.0999999999999996" customHeight="1"/>
    <row r="3" spans="2:4" ht="12.95" customHeight="1">
      <c r="B3" s="2978" t="s">
        <v>3948</v>
      </c>
      <c r="C3" s="2978"/>
      <c r="D3" s="2978"/>
    </row>
    <row r="4" spans="2:4" s="387" customFormat="1" ht="11.25">
      <c r="B4" s="2979" t="s">
        <v>5920</v>
      </c>
      <c r="C4" s="2979"/>
      <c r="D4" s="2979"/>
    </row>
    <row r="5" spans="2:4" ht="5.0999999999999996" customHeight="1" thickBot="1"/>
    <row r="6" spans="2:4" ht="12.95" customHeight="1" thickBot="1">
      <c r="B6" s="976" t="s">
        <v>2392</v>
      </c>
      <c r="C6" s="964" t="s">
        <v>3949</v>
      </c>
    </row>
    <row r="7" spans="2:4" ht="12.95" customHeight="1">
      <c r="B7" s="1022" t="s">
        <v>2393</v>
      </c>
      <c r="C7" s="1033" t="s">
        <v>3959</v>
      </c>
    </row>
    <row r="8" spans="2:4" ht="12.95" customHeight="1">
      <c r="B8" s="173" t="s">
        <v>2394</v>
      </c>
      <c r="C8" s="1034" t="s">
        <v>3950</v>
      </c>
    </row>
    <row r="9" spans="2:4" ht="12.95" customHeight="1">
      <c r="B9" s="1020" t="s">
        <v>335</v>
      </c>
      <c r="C9" s="1026" t="s">
        <v>3951</v>
      </c>
    </row>
    <row r="10" spans="2:4" ht="12.95" customHeight="1">
      <c r="B10" s="173" t="s">
        <v>4719</v>
      </c>
      <c r="C10" s="1035" t="s">
        <v>3952</v>
      </c>
    </row>
    <row r="11" spans="2:4" ht="12.95" customHeight="1">
      <c r="B11" s="1020" t="s">
        <v>336</v>
      </c>
      <c r="C11" s="1026" t="s">
        <v>3953</v>
      </c>
    </row>
    <row r="12" spans="2:4" ht="26.1" customHeight="1">
      <c r="B12" s="173" t="s">
        <v>2144</v>
      </c>
      <c r="C12" s="1036" t="s">
        <v>3954</v>
      </c>
    </row>
    <row r="13" spans="2:4" ht="39" customHeight="1">
      <c r="B13" s="1020" t="s">
        <v>2145</v>
      </c>
      <c r="C13" s="1027" t="s">
        <v>3955</v>
      </c>
    </row>
    <row r="14" spans="2:4" ht="39" customHeight="1">
      <c r="B14" s="173" t="s">
        <v>334</v>
      </c>
      <c r="C14" s="1035" t="s">
        <v>3956</v>
      </c>
    </row>
    <row r="15" spans="2:4" ht="39" customHeight="1">
      <c r="B15" s="1020" t="s">
        <v>358</v>
      </c>
      <c r="C15" s="1026" t="s">
        <v>3957</v>
      </c>
    </row>
    <row r="16" spans="2:4" ht="51.95" customHeight="1">
      <c r="B16" s="173" t="s">
        <v>337</v>
      </c>
      <c r="C16" s="1037" t="s">
        <v>5308</v>
      </c>
    </row>
    <row r="17" spans="2:3" ht="51.95" customHeight="1">
      <c r="B17" s="1020" t="s">
        <v>489</v>
      </c>
      <c r="C17" s="1028" t="s">
        <v>5304</v>
      </c>
    </row>
    <row r="18" spans="2:3" ht="12.95" customHeight="1">
      <c r="B18" s="173" t="s">
        <v>227</v>
      </c>
      <c r="C18" s="1035" t="s">
        <v>3958</v>
      </c>
    </row>
    <row r="19" spans="2:3" ht="12.95" customHeight="1" thickBot="1">
      <c r="B19" s="1021" t="s">
        <v>228</v>
      </c>
      <c r="C19" s="1029" t="s">
        <v>3959</v>
      </c>
    </row>
    <row r="20" spans="2:3" ht="5.0999999999999996" customHeight="1">
      <c r="B20" s="1024"/>
      <c r="C20" s="1030"/>
    </row>
    <row r="21" spans="2:3" ht="39" customHeight="1" thickBot="1">
      <c r="B21" s="3642" t="s">
        <v>9051</v>
      </c>
      <c r="C21" s="3642"/>
    </row>
    <row r="22" spans="2:3" ht="12.95" customHeight="1" thickBot="1">
      <c r="B22" s="174" t="s">
        <v>1335</v>
      </c>
      <c r="C22" s="175" t="s">
        <v>3949</v>
      </c>
    </row>
    <row r="23" spans="2:3" ht="51.95" customHeight="1">
      <c r="B23" s="1022" t="s">
        <v>1273</v>
      </c>
      <c r="C23" s="2939" t="s">
        <v>10091</v>
      </c>
    </row>
    <row r="24" spans="2:3" ht="39" customHeight="1">
      <c r="B24" s="173" t="s">
        <v>2599</v>
      </c>
      <c r="C24" s="150" t="s">
        <v>3960</v>
      </c>
    </row>
    <row r="25" spans="2:3" ht="39" customHeight="1">
      <c r="B25" s="1020" t="s">
        <v>2215</v>
      </c>
      <c r="C25" s="1031" t="s">
        <v>3961</v>
      </c>
    </row>
    <row r="26" spans="2:3" ht="26.1" customHeight="1" thickBot="1">
      <c r="B26" s="181" t="s">
        <v>1332</v>
      </c>
      <c r="C26" s="266" t="s">
        <v>3962</v>
      </c>
    </row>
    <row r="27" spans="2:3" ht="5.0999999999999996" customHeight="1">
      <c r="B27" s="1024"/>
      <c r="C27" s="1030"/>
    </row>
    <row r="28" spans="2:3" ht="65.099999999999994" customHeight="1" thickBot="1">
      <c r="B28" s="3642" t="s">
        <v>9052</v>
      </c>
      <c r="C28" s="3642"/>
    </row>
    <row r="29" spans="2:3" ht="12.95" customHeight="1">
      <c r="B29" s="1025" t="s">
        <v>412</v>
      </c>
      <c r="C29" s="1032" t="s">
        <v>5901</v>
      </c>
    </row>
    <row r="30" spans="2:3" ht="12.95" customHeight="1">
      <c r="B30" s="173" t="s">
        <v>3963</v>
      </c>
      <c r="C30" s="150" t="s">
        <v>5902</v>
      </c>
    </row>
    <row r="31" spans="2:3" ht="12.95" customHeight="1">
      <c r="B31" s="1020" t="s">
        <v>3964</v>
      </c>
      <c r="C31" s="1031" t="s">
        <v>5903</v>
      </c>
    </row>
    <row r="32" spans="2:3" ht="12.95" customHeight="1">
      <c r="B32" s="173" t="s">
        <v>3965</v>
      </c>
      <c r="C32" s="150" t="s">
        <v>5902</v>
      </c>
    </row>
    <row r="33" spans="2:4" ht="12.95" customHeight="1" thickBot="1">
      <c r="B33" s="1021" t="s">
        <v>5184</v>
      </c>
      <c r="C33" s="1023" t="s">
        <v>5902</v>
      </c>
    </row>
    <row r="34" spans="2:4" ht="5.0999999999999996" customHeight="1"/>
    <row r="35" spans="2:4" ht="104.1" customHeight="1">
      <c r="B35" s="3134" t="s">
        <v>9053</v>
      </c>
      <c r="C35" s="3134"/>
      <c r="D35" s="3134"/>
    </row>
    <row r="36" spans="2:4" ht="5.0999999999999996" customHeight="1">
      <c r="B36" s="962"/>
      <c r="C36" s="962"/>
      <c r="D36" s="962"/>
    </row>
    <row r="37" spans="2:4" ht="12.95" customHeight="1" thickBot="1">
      <c r="B37" s="3134" t="s">
        <v>9054</v>
      </c>
      <c r="C37" s="3134"/>
      <c r="D37" s="3134"/>
    </row>
    <row r="38" spans="2:4" ht="12.95" customHeight="1" thickBot="1">
      <c r="B38" s="976" t="s">
        <v>2392</v>
      </c>
      <c r="C38" s="964" t="s">
        <v>3949</v>
      </c>
    </row>
    <row r="39" spans="2:4" ht="26.1" customHeight="1">
      <c r="B39" s="1020" t="s">
        <v>943</v>
      </c>
      <c r="C39" s="1031" t="s">
        <v>5904</v>
      </c>
    </row>
    <row r="40" spans="2:4" ht="78" customHeight="1">
      <c r="B40" s="173" t="s">
        <v>941</v>
      </c>
      <c r="C40" s="150" t="s">
        <v>10092</v>
      </c>
    </row>
    <row r="41" spans="2:4" ht="26.1" customHeight="1">
      <c r="B41" s="1020" t="s">
        <v>5918</v>
      </c>
      <c r="C41" s="1031" t="s">
        <v>3974</v>
      </c>
    </row>
    <row r="42" spans="2:4" ht="39" customHeight="1" thickBot="1">
      <c r="B42" s="181" t="s">
        <v>5919</v>
      </c>
      <c r="C42" s="266" t="s">
        <v>10169</v>
      </c>
    </row>
  </sheetData>
  <sheetProtection autoFilter="0"/>
  <mergeCells count="7">
    <mergeCell ref="C1:D1"/>
    <mergeCell ref="B3:D3"/>
    <mergeCell ref="B4:D4"/>
    <mergeCell ref="B37:D37"/>
    <mergeCell ref="B35:D35"/>
    <mergeCell ref="B21:C21"/>
    <mergeCell ref="B28:C28"/>
  </mergeCells>
  <phoneticPr fontId="9" type="noConversion"/>
  <hyperlinks>
    <hyperlink ref="B1" location="Index!A1" display="Назад"/>
    <hyperlink ref="C23" location="'3.2.3'!A1" display="Нейтрализует удачу, боевой дух и бонусы родной земли всех существ во время боя. Запрещает использование в бою любых заклинаний выше 1 уровня. Блокирует действие некоторых способностей существ (подробнее см.раздел 3.2.3)."/>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2" manualBreakCount="2">
    <brk id="21" max="3" man="1"/>
    <brk id="35" max="3" man="1"/>
  </rowBreaks>
  <drawing r:id="rId2"/>
</worksheet>
</file>

<file path=xl/worksheets/sheet53.xml><?xml version="1.0" encoding="utf-8"?>
<worksheet xmlns="http://schemas.openxmlformats.org/spreadsheetml/2006/main" xmlns:r="http://schemas.openxmlformats.org/officeDocument/2006/relationships">
  <dimension ref="B1:F135"/>
  <sheetViews>
    <sheetView zoomScaleNormal="100" workbookViewId="0">
      <pane ySplit="4" topLeftCell="A5" activePane="bottomLeft" state="frozen"/>
      <selection pane="bottomLeft"/>
    </sheetView>
  </sheetViews>
  <sheetFormatPr defaultRowHeight="12.95" customHeight="1"/>
  <cols>
    <col min="1" max="1" width="3.7109375" style="299" customWidth="1"/>
    <col min="2" max="2" width="34.28515625" style="299" bestFit="1" customWidth="1"/>
    <col min="3" max="3" width="32" style="299" bestFit="1" customWidth="1"/>
    <col min="4" max="6" width="20.7109375" style="299" customWidth="1"/>
    <col min="7" max="16384" width="9.140625" style="299"/>
  </cols>
  <sheetData>
    <row r="1" spans="2:6" ht="12.95" customHeight="1">
      <c r="B1" s="1724" t="s">
        <v>2706</v>
      </c>
      <c r="C1" s="2973" t="s">
        <v>8269</v>
      </c>
      <c r="D1" s="2973"/>
      <c r="E1" s="2973"/>
      <c r="F1" s="2973"/>
    </row>
    <row r="2" spans="2:6" ht="5.0999999999999996" customHeight="1"/>
    <row r="3" spans="2:6" ht="12.95" customHeight="1">
      <c r="B3" s="3704" t="s">
        <v>4125</v>
      </c>
      <c r="C3" s="3704"/>
      <c r="D3" s="3704"/>
      <c r="E3" s="3704"/>
      <c r="F3" s="3704"/>
    </row>
    <row r="4" spans="2:6" ht="5.0999999999999996" customHeight="1">
      <c r="B4" s="3701"/>
      <c r="C4" s="3701"/>
      <c r="D4" s="3701"/>
    </row>
    <row r="5" spans="2:6" ht="12.95" customHeight="1">
      <c r="B5" s="3700" t="s">
        <v>9055</v>
      </c>
      <c r="C5" s="3700"/>
      <c r="D5" s="3700"/>
      <c r="E5" s="935"/>
      <c r="F5" s="3701"/>
    </row>
    <row r="6" spans="2:6" ht="26.1" customHeight="1">
      <c r="B6" s="3250" t="s">
        <v>9056</v>
      </c>
      <c r="C6" s="3250"/>
      <c r="D6" s="3250"/>
      <c r="E6" s="3250"/>
      <c r="F6" s="3701"/>
    </row>
    <row r="7" spans="2:6" ht="12.95" customHeight="1">
      <c r="F7" s="3701"/>
    </row>
    <row r="8" spans="2:6" ht="12.95" customHeight="1">
      <c r="B8" s="3700" t="s">
        <v>9057</v>
      </c>
      <c r="C8" s="3700"/>
      <c r="D8" s="3700"/>
      <c r="E8" s="935"/>
      <c r="F8" s="3701"/>
    </row>
    <row r="9" spans="2:6" ht="65.099999999999994" customHeight="1">
      <c r="B9" s="3250" t="s">
        <v>9058</v>
      </c>
      <c r="C9" s="3250"/>
      <c r="D9" s="3250"/>
      <c r="E9" s="3250"/>
      <c r="F9" s="3701"/>
    </row>
    <row r="10" spans="2:6" ht="5.0999999999999996" customHeight="1"/>
    <row r="11" spans="2:6" ht="12.95" customHeight="1">
      <c r="B11" s="3700" t="s">
        <v>9059</v>
      </c>
      <c r="C11" s="3700"/>
      <c r="D11" s="3700"/>
      <c r="E11" s="935"/>
      <c r="F11" s="3701"/>
    </row>
    <row r="12" spans="2:6" ht="39" customHeight="1">
      <c r="B12" s="3250" t="s">
        <v>9060</v>
      </c>
      <c r="C12" s="3250"/>
      <c r="D12" s="3250"/>
      <c r="E12" s="3250"/>
      <c r="F12" s="3701"/>
    </row>
    <row r="13" spans="2:6" ht="26.1" customHeight="1">
      <c r="B13" s="3250" t="s">
        <v>9061</v>
      </c>
      <c r="C13" s="3250"/>
      <c r="D13" s="3250"/>
      <c r="E13" s="3250"/>
      <c r="F13" s="3701"/>
    </row>
    <row r="14" spans="2:6" ht="5.0999999999999996" customHeight="1">
      <c r="F14" s="3701"/>
    </row>
    <row r="15" spans="2:6" ht="12.95" customHeight="1">
      <c r="B15" s="3700" t="s">
        <v>9062</v>
      </c>
      <c r="C15" s="3700"/>
      <c r="D15" s="3700"/>
      <c r="E15" s="935"/>
      <c r="F15" s="3701"/>
    </row>
    <row r="16" spans="2:6" ht="26.1" customHeight="1">
      <c r="B16" s="3250" t="s">
        <v>10093</v>
      </c>
      <c r="C16" s="3250"/>
      <c r="D16" s="3250"/>
      <c r="E16" s="3250"/>
      <c r="F16" s="3701"/>
    </row>
    <row r="17" spans="2:6" ht="5.0999999999999996" customHeight="1"/>
    <row r="18" spans="2:6" ht="12.95" customHeight="1">
      <c r="B18" s="3700" t="s">
        <v>9063</v>
      </c>
      <c r="C18" s="3700"/>
      <c r="D18" s="3700"/>
      <c r="E18" s="935"/>
      <c r="F18" s="3701"/>
    </row>
    <row r="19" spans="2:6" ht="51.95" customHeight="1">
      <c r="B19" s="3250" t="s">
        <v>9064</v>
      </c>
      <c r="C19" s="3250"/>
      <c r="D19" s="3250"/>
      <c r="E19" s="3250"/>
      <c r="F19" s="3701"/>
    </row>
    <row r="20" spans="2:6" ht="26.1" customHeight="1">
      <c r="B20" s="3250" t="s">
        <v>9065</v>
      </c>
      <c r="C20" s="3250"/>
      <c r="D20" s="3250"/>
      <c r="E20" s="3250"/>
      <c r="F20" s="3701"/>
    </row>
    <row r="21" spans="2:6" ht="5.0999999999999996" customHeight="1"/>
    <row r="22" spans="2:6" ht="12.95" customHeight="1">
      <c r="B22" s="3700" t="s">
        <v>9066</v>
      </c>
      <c r="C22" s="3700"/>
      <c r="D22" s="3700"/>
      <c r="E22" s="935"/>
      <c r="F22" s="3701"/>
    </row>
    <row r="23" spans="2:6" ht="26.1" customHeight="1">
      <c r="B23" s="3250" t="s">
        <v>9067</v>
      </c>
      <c r="C23" s="3250"/>
      <c r="D23" s="3250"/>
      <c r="E23" s="3250"/>
      <c r="F23" s="3701"/>
    </row>
    <row r="24" spans="2:6" ht="26.1" customHeight="1">
      <c r="F24" s="3701"/>
    </row>
    <row r="25" spans="2:6" ht="12.95" customHeight="1">
      <c r="B25" s="3700" t="s">
        <v>9068</v>
      </c>
      <c r="C25" s="3700"/>
      <c r="D25" s="3700"/>
      <c r="E25" s="935"/>
      <c r="F25" s="3701"/>
    </row>
    <row r="26" spans="2:6" ht="26.1" customHeight="1">
      <c r="B26" s="3250" t="s">
        <v>9069</v>
      </c>
      <c r="C26" s="3250"/>
      <c r="D26" s="3250"/>
      <c r="E26" s="3250"/>
      <c r="F26" s="3701"/>
    </row>
    <row r="27" spans="2:6" ht="5.0999999999999996" customHeight="1">
      <c r="F27" s="3701"/>
    </row>
    <row r="28" spans="2:6" ht="12.95" customHeight="1">
      <c r="B28" s="3700" t="s">
        <v>9070</v>
      </c>
      <c r="C28" s="3700"/>
      <c r="D28" s="3700"/>
      <c r="E28" s="935"/>
      <c r="F28" s="3701"/>
    </row>
    <row r="29" spans="2:6" ht="26.1" customHeight="1">
      <c r="B29" s="3250" t="s">
        <v>9071</v>
      </c>
      <c r="C29" s="3250"/>
      <c r="D29" s="3250"/>
      <c r="E29" s="3250"/>
      <c r="F29" s="3701"/>
    </row>
    <row r="30" spans="2:6" ht="5.0999999999999996" customHeight="1"/>
    <row r="31" spans="2:6" ht="12.95" customHeight="1">
      <c r="B31" s="3700" t="s">
        <v>9072</v>
      </c>
      <c r="C31" s="3700"/>
      <c r="D31" s="3700"/>
      <c r="E31" s="935"/>
      <c r="F31" s="3701"/>
    </row>
    <row r="32" spans="2:6" ht="12.95" customHeight="1">
      <c r="B32" s="3250" t="s">
        <v>4215</v>
      </c>
      <c r="C32" s="3250"/>
      <c r="D32" s="3250"/>
      <c r="E32" s="3250"/>
      <c r="F32" s="3701"/>
    </row>
    <row r="33" spans="2:6" ht="12.95" customHeight="1">
      <c r="B33" s="2981" t="s">
        <v>4216</v>
      </c>
      <c r="C33" s="2981"/>
      <c r="D33" s="2981"/>
      <c r="E33" s="2981"/>
      <c r="F33" s="3701"/>
    </row>
    <row r="34" spans="2:6" ht="12.95" customHeight="1">
      <c r="B34" s="2981" t="s">
        <v>4217</v>
      </c>
      <c r="C34" s="2981"/>
      <c r="D34" s="2981"/>
      <c r="E34" s="2981"/>
      <c r="F34" s="3701"/>
    </row>
    <row r="35" spans="2:6" ht="12.95" customHeight="1">
      <c r="B35" s="2981" t="s">
        <v>4218</v>
      </c>
      <c r="C35" s="2981"/>
      <c r="D35" s="2981"/>
      <c r="E35" s="2981"/>
      <c r="F35" s="3701"/>
    </row>
    <row r="36" spans="2:6" ht="12.95" customHeight="1">
      <c r="B36" s="2981" t="s">
        <v>4219</v>
      </c>
      <c r="C36" s="2981"/>
      <c r="D36" s="2981"/>
      <c r="E36" s="2981"/>
      <c r="F36" s="3701"/>
    </row>
    <row r="37" spans="2:6" ht="12.95" customHeight="1">
      <c r="B37" s="2981" t="s">
        <v>4220</v>
      </c>
      <c r="C37" s="2981"/>
      <c r="D37" s="2981"/>
      <c r="E37" s="2981"/>
      <c r="F37" s="3701"/>
    </row>
    <row r="38" spans="2:6" ht="12.95" customHeight="1">
      <c r="B38" s="2981" t="s">
        <v>4221</v>
      </c>
      <c r="C38" s="2981"/>
      <c r="D38" s="2981"/>
      <c r="E38" s="2981"/>
      <c r="F38" s="3701"/>
    </row>
    <row r="39" spans="2:6" ht="12.95" customHeight="1">
      <c r="B39" s="2981" t="s">
        <v>4222</v>
      </c>
      <c r="C39" s="2981"/>
      <c r="D39" s="2981"/>
      <c r="E39" s="2981"/>
      <c r="F39" s="3701"/>
    </row>
    <row r="40" spans="2:6" ht="12.95" customHeight="1">
      <c r="B40" s="2981" t="s">
        <v>4223</v>
      </c>
      <c r="C40" s="2981"/>
      <c r="D40" s="2981"/>
      <c r="E40" s="2981"/>
      <c r="F40" s="3701"/>
    </row>
    <row r="41" spans="2:6" ht="12.95" customHeight="1">
      <c r="B41" s="2981" t="s">
        <v>4224</v>
      </c>
      <c r="C41" s="2981"/>
      <c r="D41" s="2981"/>
      <c r="E41" s="2981"/>
      <c r="F41" s="3701"/>
    </row>
    <row r="42" spans="2:6" ht="12.95" customHeight="1">
      <c r="B42" s="2981" t="s">
        <v>4225</v>
      </c>
      <c r="C42" s="2981"/>
      <c r="D42" s="2981"/>
      <c r="E42" s="2981"/>
      <c r="F42" s="3701"/>
    </row>
    <row r="43" spans="2:6" ht="12.95" customHeight="1">
      <c r="B43" s="2981" t="s">
        <v>5880</v>
      </c>
      <c r="C43" s="2981"/>
      <c r="D43" s="2981"/>
      <c r="E43" s="2981"/>
      <c r="F43" s="3701"/>
    </row>
    <row r="44" spans="2:6" ht="12.95" customHeight="1">
      <c r="B44" s="2981" t="s">
        <v>6371</v>
      </c>
      <c r="C44" s="2981"/>
      <c r="D44" s="2981"/>
      <c r="E44" s="2981"/>
      <c r="F44" s="3701"/>
    </row>
    <row r="45" spans="2:6" ht="5.0999999999999996" customHeight="1"/>
    <row r="46" spans="2:6" ht="12.95" customHeight="1">
      <c r="B46" s="3700" t="s">
        <v>9073</v>
      </c>
      <c r="C46" s="3700"/>
      <c r="D46" s="3700"/>
      <c r="E46" s="935"/>
      <c r="F46" s="3701"/>
    </row>
    <row r="47" spans="2:6" ht="26.1" customHeight="1">
      <c r="B47" s="3250" t="s">
        <v>9074</v>
      </c>
      <c r="C47" s="3250"/>
      <c r="D47" s="3250"/>
      <c r="E47" s="3250"/>
      <c r="F47" s="3701"/>
    </row>
    <row r="48" spans="2:6" ht="5.0999999999999996" customHeight="1">
      <c r="F48" s="3701"/>
    </row>
    <row r="49" spans="2:6" ht="12.95" customHeight="1">
      <c r="B49" s="3700" t="s">
        <v>9075</v>
      </c>
      <c r="C49" s="3700"/>
      <c r="D49" s="3700"/>
      <c r="E49" s="935"/>
      <c r="F49" s="3701"/>
    </row>
    <row r="50" spans="2:6" ht="26.1" customHeight="1">
      <c r="B50" s="3250" t="s">
        <v>9076</v>
      </c>
      <c r="C50" s="3250"/>
      <c r="D50" s="3250"/>
      <c r="E50" s="3250"/>
      <c r="F50" s="3701"/>
    </row>
    <row r="51" spans="2:6" ht="5.0999999999999996" customHeight="1"/>
    <row r="52" spans="2:6" ht="12.95" customHeight="1">
      <c r="B52" s="3700" t="s">
        <v>9077</v>
      </c>
      <c r="C52" s="3700"/>
      <c r="D52" s="3700"/>
      <c r="E52" s="935"/>
      <c r="F52" s="3701"/>
    </row>
    <row r="53" spans="2:6" ht="26.1" customHeight="1">
      <c r="B53" s="3250" t="s">
        <v>9078</v>
      </c>
      <c r="C53" s="3250"/>
      <c r="D53" s="3250"/>
      <c r="E53" s="3250"/>
      <c r="F53" s="3701"/>
    </row>
    <row r="54" spans="2:6" ht="12.95" customHeight="1">
      <c r="B54" s="2981" t="s">
        <v>6397</v>
      </c>
      <c r="C54" s="2981"/>
      <c r="D54" s="2981"/>
      <c r="E54" s="2981"/>
      <c r="F54" s="3701"/>
    </row>
    <row r="55" spans="2:6" ht="12.95" customHeight="1">
      <c r="B55" s="2981" t="s">
        <v>6398</v>
      </c>
      <c r="C55" s="2981"/>
      <c r="D55" s="2981"/>
      <c r="E55" s="2981"/>
      <c r="F55" s="3701"/>
    </row>
    <row r="56" spans="2:6" ht="12.95" customHeight="1">
      <c r="B56" s="2981" t="s">
        <v>10094</v>
      </c>
      <c r="C56" s="2981"/>
      <c r="D56" s="2981"/>
      <c r="E56" s="2981"/>
      <c r="F56" s="3701"/>
    </row>
    <row r="57" spans="2:6" ht="5.0999999999999996" customHeight="1"/>
    <row r="58" spans="2:6" ht="12.95" customHeight="1">
      <c r="B58" s="3700" t="s">
        <v>9079</v>
      </c>
      <c r="C58" s="3700"/>
      <c r="D58" s="3700"/>
      <c r="E58" s="935"/>
      <c r="F58" s="3701"/>
    </row>
    <row r="59" spans="2:6" ht="39" customHeight="1">
      <c r="B59" s="3250" t="s">
        <v>9080</v>
      </c>
      <c r="C59" s="3250"/>
      <c r="D59" s="3250"/>
      <c r="E59" s="3250"/>
      <c r="F59" s="3701"/>
    </row>
    <row r="60" spans="2:6" ht="39" customHeight="1">
      <c r="B60" s="3250" t="s">
        <v>9081</v>
      </c>
      <c r="C60" s="3250"/>
      <c r="D60" s="3250"/>
      <c r="E60" s="3250"/>
      <c r="F60" s="3701"/>
    </row>
    <row r="61" spans="2:6" ht="12.95" customHeight="1">
      <c r="B61" s="3250" t="s">
        <v>9082</v>
      </c>
      <c r="C61" s="3250"/>
      <c r="D61" s="3250"/>
      <c r="E61" s="3250"/>
      <c r="F61" s="3701"/>
    </row>
    <row r="62" spans="2:6" ht="5.0999999999999996" customHeight="1">
      <c r="B62" s="299" t="s">
        <v>4226</v>
      </c>
      <c r="F62" s="3701"/>
    </row>
    <row r="63" spans="2:6" ht="12.95" customHeight="1">
      <c r="B63" s="3700" t="s">
        <v>9083</v>
      </c>
      <c r="C63" s="3700"/>
      <c r="D63" s="3700"/>
      <c r="E63" s="935"/>
      <c r="F63" s="3701"/>
    </row>
    <row r="64" spans="2:6" ht="39" customHeight="1">
      <c r="B64" s="3250" t="s">
        <v>9084</v>
      </c>
      <c r="C64" s="3250"/>
      <c r="D64" s="3250"/>
      <c r="E64" s="3250"/>
      <c r="F64" s="3701"/>
    </row>
    <row r="65" spans="2:6" ht="5.0999999999999996" customHeight="1"/>
    <row r="66" spans="2:6" ht="12.95" customHeight="1">
      <c r="B66" s="3700" t="s">
        <v>9085</v>
      </c>
      <c r="C66" s="3700"/>
      <c r="D66" s="3700"/>
      <c r="E66" s="935"/>
      <c r="F66" s="3701"/>
    </row>
    <row r="67" spans="2:6" ht="51.95" customHeight="1">
      <c r="B67" s="3250" t="s">
        <v>9086</v>
      </c>
      <c r="C67" s="3250"/>
      <c r="D67" s="3250"/>
      <c r="E67" s="3250"/>
      <c r="F67" s="3701"/>
    </row>
    <row r="68" spans="2:6" ht="5.0999999999999996" customHeight="1">
      <c r="F68" s="3701"/>
    </row>
    <row r="69" spans="2:6" ht="12.95" customHeight="1">
      <c r="B69" s="3700" t="s">
        <v>9087</v>
      </c>
      <c r="C69" s="3700"/>
      <c r="D69" s="3700"/>
      <c r="E69" s="935"/>
      <c r="F69" s="3701"/>
    </row>
    <row r="70" spans="2:6" ht="39" customHeight="1">
      <c r="B70" s="3250" t="s">
        <v>10095</v>
      </c>
      <c r="C70" s="3250"/>
      <c r="D70" s="3250"/>
      <c r="E70" s="3250"/>
      <c r="F70" s="3701"/>
    </row>
    <row r="71" spans="2:6" ht="5.0999999999999996" customHeight="1"/>
    <row r="72" spans="2:6" ht="12.95" customHeight="1">
      <c r="B72" s="3700" t="s">
        <v>9088</v>
      </c>
      <c r="C72" s="3700"/>
      <c r="D72" s="3700"/>
      <c r="E72" s="935"/>
      <c r="F72" s="3701"/>
    </row>
    <row r="73" spans="2:6" ht="26.1" customHeight="1">
      <c r="B73" s="3250" t="s">
        <v>9089</v>
      </c>
      <c r="C73" s="3250"/>
      <c r="D73" s="3250"/>
      <c r="E73" s="3250"/>
      <c r="F73" s="3701"/>
    </row>
    <row r="74" spans="2:6" ht="12.95" customHeight="1">
      <c r="B74" s="666"/>
      <c r="C74" s="666"/>
      <c r="D74" s="666"/>
      <c r="E74" s="666"/>
    </row>
    <row r="75" spans="2:6" ht="12.95" customHeight="1">
      <c r="B75" s="3700" t="s">
        <v>9090</v>
      </c>
      <c r="C75" s="3700"/>
      <c r="D75" s="3700"/>
      <c r="E75" s="935"/>
      <c r="F75" s="3701"/>
    </row>
    <row r="76" spans="2:6" ht="51.95" customHeight="1">
      <c r="B76" s="3250" t="s">
        <v>9091</v>
      </c>
      <c r="C76" s="3250"/>
      <c r="D76" s="3250"/>
      <c r="E76" s="3250"/>
      <c r="F76" s="3701"/>
    </row>
    <row r="77" spans="2:6" ht="12.95" customHeight="1">
      <c r="B77" s="2981" t="s">
        <v>4227</v>
      </c>
      <c r="C77" s="2981"/>
      <c r="D77" s="2981"/>
      <c r="E77" s="2981"/>
      <c r="F77" s="3701"/>
    </row>
    <row r="78" spans="2:6" ht="26.1" customHeight="1">
      <c r="B78" s="3001" t="s">
        <v>4228</v>
      </c>
      <c r="C78" s="3001"/>
      <c r="D78" s="3001"/>
      <c r="E78" s="3001"/>
      <c r="F78" s="3701"/>
    </row>
    <row r="79" spans="2:6" ht="12.95" customHeight="1">
      <c r="B79" s="3001" t="s">
        <v>4229</v>
      </c>
      <c r="C79" s="3001"/>
      <c r="D79" s="3001"/>
      <c r="E79" s="3001"/>
      <c r="F79" s="3701"/>
    </row>
    <row r="80" spans="2:6" ht="12.95" customHeight="1">
      <c r="B80" s="3001" t="s">
        <v>4230</v>
      </c>
      <c r="C80" s="3001"/>
      <c r="D80" s="3001"/>
      <c r="E80" s="3001"/>
      <c r="F80" s="3701"/>
    </row>
    <row r="81" spans="2:6" ht="12.95" customHeight="1">
      <c r="B81" s="3001" t="s">
        <v>4231</v>
      </c>
      <c r="C81" s="3001"/>
      <c r="D81" s="3001"/>
      <c r="E81" s="3001"/>
      <c r="F81" s="3701"/>
    </row>
    <row r="82" spans="2:6" ht="12.95" customHeight="1">
      <c r="B82" s="3001" t="s">
        <v>4232</v>
      </c>
      <c r="C82" s="3001"/>
      <c r="D82" s="3001"/>
      <c r="E82" s="3001"/>
      <c r="F82" s="3701"/>
    </row>
    <row r="83" spans="2:6" ht="12.95" customHeight="1">
      <c r="B83" s="3001" t="s">
        <v>4233</v>
      </c>
      <c r="C83" s="3001"/>
      <c r="D83" s="3001"/>
      <c r="E83" s="3001"/>
      <c r="F83" s="3701"/>
    </row>
    <row r="84" spans="2:6" ht="12.95" customHeight="1">
      <c r="B84" s="3001" t="s">
        <v>4234</v>
      </c>
      <c r="C84" s="3001"/>
      <c r="D84" s="3001"/>
      <c r="E84" s="3001"/>
      <c r="F84" s="3701"/>
    </row>
    <row r="85" spans="2:6" ht="12.95" customHeight="1">
      <c r="B85" s="3001" t="s">
        <v>4235</v>
      </c>
      <c r="C85" s="3001"/>
      <c r="D85" s="3001"/>
      <c r="E85" s="3001"/>
      <c r="F85" s="3701"/>
    </row>
    <row r="86" spans="2:6" ht="5.0999999999999996" customHeight="1"/>
    <row r="87" spans="2:6" ht="12.95" customHeight="1">
      <c r="B87" s="3700" t="s">
        <v>9092</v>
      </c>
      <c r="C87" s="3700"/>
      <c r="D87" s="3700"/>
      <c r="E87" s="935"/>
      <c r="F87" s="3701"/>
    </row>
    <row r="88" spans="2:6" ht="65.099999999999994" customHeight="1">
      <c r="B88" s="3250" t="s">
        <v>9093</v>
      </c>
      <c r="C88" s="3250"/>
      <c r="D88" s="3250"/>
      <c r="E88" s="3250"/>
      <c r="F88" s="3701"/>
    </row>
    <row r="89" spans="2:6" ht="5.0999999999999996" customHeight="1">
      <c r="F89" s="3701"/>
    </row>
    <row r="90" spans="2:6" ht="12.95" customHeight="1">
      <c r="B90" s="3700" t="s">
        <v>9094</v>
      </c>
      <c r="C90" s="3700"/>
      <c r="D90" s="3700"/>
      <c r="E90" s="935"/>
      <c r="F90" s="3701"/>
    </row>
    <row r="91" spans="2:6" ht="26.1" customHeight="1">
      <c r="B91" s="3250" t="s">
        <v>9095</v>
      </c>
      <c r="C91" s="3250"/>
      <c r="D91" s="3250"/>
      <c r="E91" s="3250"/>
      <c r="F91" s="3701"/>
    </row>
    <row r="92" spans="2:6" ht="12.95" customHeight="1">
      <c r="F92" s="3701"/>
    </row>
    <row r="93" spans="2:6" ht="12.95" customHeight="1">
      <c r="B93" s="3700" t="s">
        <v>9096</v>
      </c>
      <c r="C93" s="3700"/>
      <c r="D93" s="3700"/>
      <c r="E93" s="935"/>
      <c r="F93" s="3701"/>
    </row>
    <row r="94" spans="2:6" ht="39" customHeight="1">
      <c r="B94" s="3250" t="s">
        <v>9097</v>
      </c>
      <c r="C94" s="3250"/>
      <c r="D94" s="3250"/>
      <c r="E94" s="3250"/>
      <c r="F94" s="3701"/>
    </row>
    <row r="95" spans="2:6" ht="12.95" customHeight="1">
      <c r="B95" s="3001" t="s">
        <v>4236</v>
      </c>
      <c r="C95" s="3001"/>
      <c r="D95" s="3001"/>
      <c r="E95" s="3001"/>
      <c r="F95" s="3701"/>
    </row>
    <row r="96" spans="2:6" ht="12.95" customHeight="1">
      <c r="B96" s="3001" t="s">
        <v>4237</v>
      </c>
      <c r="C96" s="3001"/>
      <c r="D96" s="3001"/>
      <c r="E96" s="3001"/>
      <c r="F96" s="3701"/>
    </row>
    <row r="97" spans="2:6" ht="12.95" customHeight="1">
      <c r="B97" s="3001" t="s">
        <v>4238</v>
      </c>
      <c r="C97" s="3001"/>
      <c r="D97" s="3001"/>
      <c r="E97" s="3001"/>
      <c r="F97" s="3701"/>
    </row>
    <row r="98" spans="2:6" ht="12.95" customHeight="1">
      <c r="B98" s="3001" t="s">
        <v>4239</v>
      </c>
      <c r="C98" s="3001"/>
      <c r="D98" s="3001"/>
      <c r="E98" s="3001"/>
      <c r="F98" s="3701"/>
    </row>
    <row r="99" spans="2:6" ht="12.95" customHeight="1">
      <c r="B99" s="3001" t="s">
        <v>4240</v>
      </c>
      <c r="C99" s="3001"/>
      <c r="D99" s="3001"/>
      <c r="E99" s="3001"/>
      <c r="F99" s="3701"/>
    </row>
    <row r="100" spans="2:6" ht="12.95" customHeight="1">
      <c r="B100" s="3001" t="s">
        <v>4241</v>
      </c>
      <c r="C100" s="3001"/>
      <c r="D100" s="3001"/>
      <c r="E100" s="3001"/>
      <c r="F100" s="3701"/>
    </row>
    <row r="101" spans="2:6" ht="12.95" customHeight="1">
      <c r="B101" s="3001" t="s">
        <v>4242</v>
      </c>
      <c r="C101" s="3001"/>
      <c r="D101" s="3001"/>
      <c r="E101" s="3001"/>
      <c r="F101" s="3701"/>
    </row>
    <row r="102" spans="2:6" ht="12.95" customHeight="1">
      <c r="B102" s="3001" t="s">
        <v>4243</v>
      </c>
      <c r="C102" s="3001"/>
      <c r="D102" s="3001"/>
      <c r="E102" s="3001"/>
      <c r="F102" s="3701"/>
    </row>
    <row r="103" spans="2:6" ht="12.95" customHeight="1">
      <c r="B103" s="3001" t="s">
        <v>4244</v>
      </c>
      <c r="C103" s="3001"/>
      <c r="D103" s="3001"/>
      <c r="E103" s="3001"/>
      <c r="F103" s="3701"/>
    </row>
    <row r="104" spans="2:6" ht="12.95" customHeight="1">
      <c r="B104" s="3001" t="s">
        <v>4245</v>
      </c>
      <c r="C104" s="3001"/>
      <c r="D104" s="3001"/>
      <c r="E104" s="3001"/>
      <c r="F104" s="3701"/>
    </row>
    <row r="105" spans="2:6" ht="5.0999999999999996" customHeight="1"/>
    <row r="106" spans="2:6" ht="12.95" customHeight="1">
      <c r="B106" s="3700" t="s">
        <v>9098</v>
      </c>
      <c r="C106" s="3700"/>
      <c r="D106" s="3700"/>
      <c r="E106" s="935"/>
      <c r="F106" s="3701"/>
    </row>
    <row r="107" spans="2:6" ht="39" customHeight="1">
      <c r="B107" s="3250" t="s">
        <v>9099</v>
      </c>
      <c r="C107" s="3250"/>
      <c r="D107" s="3250"/>
      <c r="E107" s="3250"/>
      <c r="F107" s="3701"/>
    </row>
    <row r="108" spans="2:6" ht="5.0999999999999996" customHeight="1">
      <c r="F108" s="3701"/>
    </row>
    <row r="109" spans="2:6" ht="12.95" customHeight="1">
      <c r="B109" s="3700" t="s">
        <v>9100</v>
      </c>
      <c r="C109" s="3700"/>
      <c r="D109" s="3700"/>
      <c r="E109" s="935"/>
      <c r="F109" s="3701"/>
    </row>
    <row r="110" spans="2:6" ht="65.099999999999994" customHeight="1">
      <c r="B110" s="3250" t="s">
        <v>9101</v>
      </c>
      <c r="C110" s="3250"/>
      <c r="D110" s="3250"/>
      <c r="E110" s="3250"/>
      <c r="F110" s="3701"/>
    </row>
    <row r="111" spans="2:6" ht="5.0999999999999996" customHeight="1">
      <c r="F111" s="3701"/>
    </row>
    <row r="112" spans="2:6" ht="12.95" customHeight="1">
      <c r="B112" s="3700" t="s">
        <v>9102</v>
      </c>
      <c r="C112" s="3700"/>
      <c r="D112" s="3700"/>
      <c r="E112" s="935"/>
      <c r="F112" s="3701"/>
    </row>
    <row r="113" spans="2:6" ht="12.95" customHeight="1">
      <c r="B113" s="3250" t="s">
        <v>9103</v>
      </c>
      <c r="C113" s="3250"/>
      <c r="D113" s="3250"/>
      <c r="E113" s="3250"/>
      <c r="F113" s="3701"/>
    </row>
    <row r="114" spans="2:6" ht="12.95" customHeight="1">
      <c r="B114" s="3250" t="s">
        <v>9104</v>
      </c>
      <c r="C114" s="3250"/>
      <c r="D114" s="3250"/>
      <c r="E114" s="3250"/>
      <c r="F114" s="3701"/>
    </row>
    <row r="115" spans="2:6" ht="12.95" customHeight="1">
      <c r="B115" s="1837" t="s">
        <v>6373</v>
      </c>
      <c r="C115" s="1837" t="s">
        <v>6379</v>
      </c>
      <c r="D115" s="1837" t="s">
        <v>6385</v>
      </c>
      <c r="E115" s="1837" t="s">
        <v>6390</v>
      </c>
      <c r="F115" s="3701"/>
    </row>
    <row r="116" spans="2:6" ht="12.95" customHeight="1">
      <c r="B116" s="1837" t="s">
        <v>6374</v>
      </c>
      <c r="C116" s="1837" t="s">
        <v>6380</v>
      </c>
      <c r="D116" s="1838" t="s">
        <v>6386</v>
      </c>
      <c r="E116" s="1837" t="s">
        <v>6391</v>
      </c>
      <c r="F116" s="3701"/>
    </row>
    <row r="117" spans="2:6" ht="12.95" customHeight="1">
      <c r="B117" s="1837" t="s">
        <v>6375</v>
      </c>
      <c r="C117" s="1837" t="s">
        <v>6381</v>
      </c>
      <c r="D117" s="1837" t="s">
        <v>6387</v>
      </c>
      <c r="E117" s="1837" t="s">
        <v>6392</v>
      </c>
      <c r="F117" s="3701"/>
    </row>
    <row r="118" spans="2:6" ht="12.95" customHeight="1">
      <c r="B118" s="1837" t="s">
        <v>6376</v>
      </c>
      <c r="C118" s="1837" t="s">
        <v>6382</v>
      </c>
      <c r="D118" s="1837" t="s">
        <v>6388</v>
      </c>
      <c r="E118" s="1837" t="s">
        <v>6393</v>
      </c>
      <c r="F118" s="3701"/>
    </row>
    <row r="119" spans="2:6" ht="12.95" customHeight="1">
      <c r="B119" s="1837" t="s">
        <v>6377</v>
      </c>
      <c r="C119" s="1837" t="s">
        <v>6383</v>
      </c>
      <c r="D119" s="1837" t="s">
        <v>6389</v>
      </c>
      <c r="E119" s="1837" t="s">
        <v>6394</v>
      </c>
      <c r="F119" s="3701"/>
    </row>
    <row r="120" spans="2:6" ht="12.95" customHeight="1">
      <c r="B120" s="3703" t="s">
        <v>7285</v>
      </c>
      <c r="C120" s="3702" t="s">
        <v>6384</v>
      </c>
      <c r="D120" s="3702" t="s">
        <v>6378</v>
      </c>
      <c r="E120" s="1837" t="s">
        <v>6395</v>
      </c>
      <c r="F120" s="3701"/>
    </row>
    <row r="121" spans="2:6" ht="12.95" customHeight="1">
      <c r="B121" s="3703"/>
      <c r="C121" s="3702"/>
      <c r="D121" s="3702"/>
      <c r="E121" s="1837" t="s">
        <v>6396</v>
      </c>
      <c r="F121" s="3701"/>
    </row>
    <row r="122" spans="2:6" ht="5.0999999999999996" customHeight="1">
      <c r="B122" s="1833"/>
      <c r="C122" s="1833"/>
      <c r="E122" s="1833"/>
      <c r="F122" s="3701"/>
    </row>
    <row r="123" spans="2:6" ht="12.95" customHeight="1">
      <c r="B123" s="3700" t="s">
        <v>9105</v>
      </c>
      <c r="C123" s="3700"/>
      <c r="D123" s="3700"/>
      <c r="E123" s="935"/>
      <c r="F123" s="3701"/>
    </row>
    <row r="124" spans="2:6" ht="26.1" customHeight="1">
      <c r="B124" s="3250" t="s">
        <v>9106</v>
      </c>
      <c r="C124" s="3250"/>
      <c r="D124" s="3250"/>
      <c r="E124" s="3250"/>
      <c r="F124" s="3701"/>
    </row>
    <row r="125" spans="2:6" ht="5.0999999999999996" customHeight="1"/>
    <row r="126" spans="2:6" ht="12.95" customHeight="1">
      <c r="B126" s="3700" t="s">
        <v>9107</v>
      </c>
      <c r="C126" s="3700"/>
      <c r="D126" s="3700"/>
      <c r="E126" s="935"/>
      <c r="F126" s="3701"/>
    </row>
    <row r="127" spans="2:6" ht="78" customHeight="1">
      <c r="B127" s="3250" t="s">
        <v>9108</v>
      </c>
      <c r="C127" s="3250"/>
      <c r="D127" s="3250"/>
      <c r="E127" s="3250"/>
      <c r="F127" s="3701"/>
    </row>
    <row r="128" spans="2:6" ht="5.0999999999999996" customHeight="1"/>
    <row r="129" spans="2:6" ht="12.95" customHeight="1">
      <c r="B129" s="3700" t="s">
        <v>9109</v>
      </c>
      <c r="C129" s="3700"/>
      <c r="D129" s="3700"/>
      <c r="E129" s="935"/>
      <c r="F129" s="3701"/>
    </row>
    <row r="130" spans="2:6" ht="51.95" customHeight="1">
      <c r="B130" s="3250" t="s">
        <v>9110</v>
      </c>
      <c r="C130" s="3250"/>
      <c r="D130" s="3250"/>
      <c r="E130" s="3250"/>
      <c r="F130" s="3701"/>
    </row>
    <row r="131" spans="2:6" ht="12.95" customHeight="1">
      <c r="B131" s="3250" t="s">
        <v>9111</v>
      </c>
      <c r="C131" s="3250"/>
      <c r="D131" s="3250"/>
      <c r="E131" s="3250"/>
      <c r="F131" s="1834"/>
    </row>
    <row r="132" spans="2:6" ht="5.0999999999999996" customHeight="1"/>
    <row r="133" spans="2:6" ht="12.95" customHeight="1">
      <c r="B133" s="3700" t="s">
        <v>9112</v>
      </c>
      <c r="C133" s="3700"/>
      <c r="D133" s="3700"/>
      <c r="E133" s="935"/>
      <c r="F133" s="3701"/>
    </row>
    <row r="134" spans="2:6" ht="51.95" customHeight="1">
      <c r="B134" s="3250" t="s">
        <v>9113</v>
      </c>
      <c r="C134" s="3250"/>
      <c r="D134" s="3250"/>
      <c r="E134" s="3250"/>
      <c r="F134" s="3701"/>
    </row>
    <row r="135" spans="2:6" ht="12.95" customHeight="1">
      <c r="B135" s="3250" t="s">
        <v>10096</v>
      </c>
      <c r="C135" s="3250"/>
      <c r="D135" s="3250"/>
      <c r="E135" s="3250"/>
    </row>
  </sheetData>
  <sheetProtection autoFilter="0"/>
  <mergeCells count="126">
    <mergeCell ref="C1:F1"/>
    <mergeCell ref="F129:F130"/>
    <mergeCell ref="F11:F16"/>
    <mergeCell ref="F90:F92"/>
    <mergeCell ref="F93:F104"/>
    <mergeCell ref="F106:F109"/>
    <mergeCell ref="F110:F111"/>
    <mergeCell ref="F72:F73"/>
    <mergeCell ref="F75:F85"/>
    <mergeCell ref="F87:F89"/>
    <mergeCell ref="F46:F50"/>
    <mergeCell ref="F52:F56"/>
    <mergeCell ref="F58:F64"/>
    <mergeCell ref="F66:F70"/>
    <mergeCell ref="F22:F24"/>
    <mergeCell ref="F25:F29"/>
    <mergeCell ref="F31:F44"/>
    <mergeCell ref="B20:E20"/>
    <mergeCell ref="F18:F20"/>
    <mergeCell ref="B39:E39"/>
    <mergeCell ref="B41:E41"/>
    <mergeCell ref="B33:E33"/>
    <mergeCell ref="B35:E35"/>
    <mergeCell ref="F112:F122"/>
    <mergeCell ref="F123:F124"/>
    <mergeCell ref="F126:F127"/>
    <mergeCell ref="B110:E110"/>
    <mergeCell ref="B81:E81"/>
    <mergeCell ref="B82:E82"/>
    <mergeCell ref="B84:E84"/>
    <mergeCell ref="B85:E85"/>
    <mergeCell ref="B102:E102"/>
    <mergeCell ref="B103:E103"/>
    <mergeCell ref="B104:E104"/>
    <mergeCell ref="B106:D106"/>
    <mergeCell ref="B109:D109"/>
    <mergeCell ref="B88:E88"/>
    <mergeCell ref="B90:D90"/>
    <mergeCell ref="B83:E83"/>
    <mergeCell ref="B87:D87"/>
    <mergeCell ref="B94:E94"/>
    <mergeCell ref="B91:E91"/>
    <mergeCell ref="B93:D93"/>
    <mergeCell ref="B95:E95"/>
    <mergeCell ref="B96:E96"/>
    <mergeCell ref="B100:E100"/>
    <mergeCell ref="B19:E19"/>
    <mergeCell ref="B22:D22"/>
    <mergeCell ref="B23:E23"/>
    <mergeCell ref="B42:E42"/>
    <mergeCell ref="B38:E38"/>
    <mergeCell ref="B43:E43"/>
    <mergeCell ref="B44:E44"/>
    <mergeCell ref="B46:D46"/>
    <mergeCell ref="B31:D31"/>
    <mergeCell ref="B32:E32"/>
    <mergeCell ref="B34:E34"/>
    <mergeCell ref="B37:E37"/>
    <mergeCell ref="B40:E40"/>
    <mergeCell ref="B36:E36"/>
    <mergeCell ref="B25:D25"/>
    <mergeCell ref="B26:E26"/>
    <mergeCell ref="B28:D28"/>
    <mergeCell ref="B29:E29"/>
    <mergeCell ref="B3:F3"/>
    <mergeCell ref="B4:D4"/>
    <mergeCell ref="B5:D5"/>
    <mergeCell ref="B6:E6"/>
    <mergeCell ref="B18:D18"/>
    <mergeCell ref="B16:E16"/>
    <mergeCell ref="B8:D8"/>
    <mergeCell ref="B9:E9"/>
    <mergeCell ref="B11:D11"/>
    <mergeCell ref="B12:E12"/>
    <mergeCell ref="B15:D15"/>
    <mergeCell ref="B13:E13"/>
    <mergeCell ref="F5:F7"/>
    <mergeCell ref="F8:F9"/>
    <mergeCell ref="B79:E79"/>
    <mergeCell ref="B47:E47"/>
    <mergeCell ref="B49:D49"/>
    <mergeCell ref="B50:E50"/>
    <mergeCell ref="B72:D72"/>
    <mergeCell ref="B73:E73"/>
    <mergeCell ref="B58:D58"/>
    <mergeCell ref="B60:E60"/>
    <mergeCell ref="B63:D63"/>
    <mergeCell ref="B64:E64"/>
    <mergeCell ref="B66:D66"/>
    <mergeCell ref="B67:E67"/>
    <mergeCell ref="B70:E70"/>
    <mergeCell ref="B69:D69"/>
    <mergeCell ref="B52:D52"/>
    <mergeCell ref="B54:E54"/>
    <mergeCell ref="B55:E55"/>
    <mergeCell ref="B56:E56"/>
    <mergeCell ref="B78:E78"/>
    <mergeCell ref="B75:D75"/>
    <mergeCell ref="B59:E59"/>
    <mergeCell ref="B53:E53"/>
    <mergeCell ref="B76:E76"/>
    <mergeCell ref="B77:E77"/>
    <mergeCell ref="B135:E135"/>
    <mergeCell ref="B133:D133"/>
    <mergeCell ref="F133:F134"/>
    <mergeCell ref="B134:E134"/>
    <mergeCell ref="B131:E131"/>
    <mergeCell ref="B61:E61"/>
    <mergeCell ref="B114:E114"/>
    <mergeCell ref="C120:C121"/>
    <mergeCell ref="D120:D121"/>
    <mergeCell ref="B120:B121"/>
    <mergeCell ref="B129:D129"/>
    <mergeCell ref="B130:E130"/>
    <mergeCell ref="B113:E113"/>
    <mergeCell ref="B123:D123"/>
    <mergeCell ref="B124:E124"/>
    <mergeCell ref="B126:D126"/>
    <mergeCell ref="B127:E127"/>
    <mergeCell ref="B112:D112"/>
    <mergeCell ref="B80:E80"/>
    <mergeCell ref="B107:E107"/>
    <mergeCell ref="B101:E101"/>
    <mergeCell ref="B97:E97"/>
    <mergeCell ref="B98:E98"/>
    <mergeCell ref="B99:E99"/>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5" manualBreakCount="5">
    <brk id="56" max="5" man="1"/>
    <brk id="74" max="5" man="1"/>
    <brk id="92" max="5" man="1"/>
    <brk id="121" max="5" man="1"/>
    <brk id="140" max="11" man="1"/>
  </rowBreaks>
  <drawing r:id="rId2"/>
</worksheet>
</file>

<file path=xl/worksheets/sheet54.xml><?xml version="1.0" encoding="utf-8"?>
<worksheet xmlns="http://schemas.openxmlformats.org/spreadsheetml/2006/main" xmlns:r="http://schemas.openxmlformats.org/officeDocument/2006/relationships">
  <dimension ref="B1:AJ260"/>
  <sheetViews>
    <sheetView zoomScaleNormal="100" workbookViewId="0">
      <pane ySplit="4" topLeftCell="A5" activePane="bottomLeft" state="frozen"/>
      <selection pane="bottomLeft"/>
    </sheetView>
  </sheetViews>
  <sheetFormatPr defaultRowHeight="12.95" customHeight="1"/>
  <cols>
    <col min="1" max="1" width="3.7109375" style="292" customWidth="1"/>
    <col min="2" max="4" width="4.85546875" style="292" customWidth="1"/>
    <col min="5" max="5" width="4.85546875" style="1793" customWidth="1"/>
    <col min="6" max="21" width="4.85546875" style="292" customWidth="1"/>
    <col min="22" max="22" width="5.7109375" style="292" customWidth="1"/>
    <col min="23" max="30" width="4.85546875" style="292" customWidth="1"/>
    <col min="31" max="16384" width="9.140625" style="292"/>
  </cols>
  <sheetData>
    <row r="1" spans="2:30" ht="12.95" customHeight="1">
      <c r="B1" s="3129" t="s">
        <v>2706</v>
      </c>
      <c r="C1" s="3129"/>
      <c r="D1" s="2973" t="s">
        <v>8269</v>
      </c>
      <c r="E1" s="2973"/>
      <c r="F1" s="2973"/>
      <c r="G1" s="2973"/>
      <c r="H1" s="2973"/>
      <c r="I1" s="2973"/>
      <c r="J1" s="2973"/>
      <c r="K1" s="2973"/>
      <c r="L1" s="2973"/>
      <c r="M1" s="2973"/>
      <c r="N1" s="2973"/>
      <c r="O1" s="2973"/>
      <c r="P1" s="2973"/>
      <c r="Q1" s="2973"/>
      <c r="R1" s="2973"/>
      <c r="S1" s="2973"/>
      <c r="T1" s="2973"/>
      <c r="U1" s="2973"/>
      <c r="V1" s="2973"/>
      <c r="W1" s="2973"/>
      <c r="X1" s="2973"/>
      <c r="Y1" s="2973"/>
      <c r="Z1" s="2973"/>
      <c r="AA1" s="2973"/>
      <c r="AB1" s="2973"/>
      <c r="AC1" s="2973"/>
      <c r="AD1" s="2973"/>
    </row>
    <row r="2" spans="2:30" ht="5.0999999999999996" customHeight="1"/>
    <row r="3" spans="2:30" ht="12.95" customHeight="1">
      <c r="B3" s="2978" t="s">
        <v>6244</v>
      </c>
      <c r="C3" s="2978"/>
      <c r="D3" s="2978"/>
      <c r="E3" s="2978"/>
      <c r="F3" s="2978"/>
      <c r="G3" s="2978"/>
      <c r="H3" s="2978"/>
      <c r="I3" s="2978"/>
      <c r="J3" s="2978"/>
      <c r="K3" s="2978"/>
      <c r="L3" s="2978"/>
      <c r="M3" s="2978"/>
      <c r="N3" s="2978"/>
      <c r="O3" s="2978"/>
      <c r="P3" s="2978"/>
      <c r="Q3" s="2978"/>
      <c r="R3" s="2978"/>
      <c r="S3" s="2978"/>
      <c r="T3" s="2978"/>
      <c r="U3" s="2978"/>
      <c r="V3" s="2978"/>
      <c r="W3" s="2978"/>
      <c r="X3" s="2978"/>
      <c r="Y3" s="2978"/>
      <c r="Z3" s="2978"/>
      <c r="AA3" s="2978"/>
      <c r="AB3" s="2978"/>
      <c r="AC3" s="2978"/>
      <c r="AD3" s="2978"/>
    </row>
    <row r="4" spans="2:30" ht="5.0999999999999996" customHeight="1">
      <c r="B4" s="3566"/>
      <c r="C4" s="3566"/>
      <c r="D4" s="3566"/>
      <c r="E4" s="3566"/>
    </row>
    <row r="5" spans="2:30" ht="26.1" customHeight="1">
      <c r="B5" s="2960" t="s">
        <v>7316</v>
      </c>
      <c r="C5" s="2960"/>
      <c r="D5" s="2960"/>
      <c r="E5" s="2960"/>
      <c r="F5" s="2960"/>
      <c r="G5" s="2960"/>
      <c r="H5" s="2960"/>
      <c r="I5" s="2960"/>
      <c r="J5" s="2960"/>
      <c r="K5" s="2960"/>
      <c r="L5" s="2960"/>
      <c r="M5" s="2960"/>
      <c r="N5" s="2960"/>
      <c r="O5" s="2960"/>
      <c r="P5" s="2960"/>
      <c r="Q5" s="2960"/>
      <c r="R5" s="2960"/>
      <c r="S5" s="2960"/>
      <c r="T5" s="2960"/>
      <c r="U5" s="2960"/>
      <c r="V5" s="2960"/>
      <c r="W5" s="2960"/>
      <c r="X5" s="2960"/>
      <c r="Y5" s="2960"/>
      <c r="Z5" s="2960"/>
      <c r="AA5" s="2960"/>
      <c r="AB5" s="2960"/>
      <c r="AC5" s="2960"/>
      <c r="AD5" s="2960"/>
    </row>
    <row r="6" spans="2:30" ht="12.95" customHeight="1">
      <c r="B6" s="294" t="s">
        <v>3628</v>
      </c>
      <c r="C6" s="3199" t="s">
        <v>6245</v>
      </c>
      <c r="D6" s="3199"/>
      <c r="E6" s="3199"/>
      <c r="F6" s="3199"/>
      <c r="G6" s="3199"/>
      <c r="H6" s="3199"/>
      <c r="I6" s="3199"/>
      <c r="J6" s="3199"/>
      <c r="K6" s="3199"/>
      <c r="L6" s="3199"/>
      <c r="M6" s="3199"/>
      <c r="N6" s="3199"/>
      <c r="O6" s="3199"/>
      <c r="P6" s="3199"/>
      <c r="Q6" s="3199"/>
      <c r="R6" s="3199"/>
      <c r="S6" s="3199"/>
      <c r="T6" s="3199"/>
      <c r="U6" s="3199"/>
      <c r="V6" s="3199"/>
      <c r="W6" s="3199"/>
      <c r="X6" s="3199"/>
      <c r="Y6" s="3199"/>
      <c r="Z6" s="3199"/>
      <c r="AA6" s="3199"/>
      <c r="AB6" s="3199"/>
      <c r="AC6" s="3199"/>
      <c r="AD6" s="3199"/>
    </row>
    <row r="7" spans="2:30" ht="26.1" customHeight="1">
      <c r="B7" s="294"/>
      <c r="C7" s="3250" t="s">
        <v>6246</v>
      </c>
      <c r="D7" s="3250"/>
      <c r="E7" s="3250"/>
      <c r="F7" s="3250"/>
      <c r="G7" s="3250"/>
      <c r="H7" s="3250"/>
      <c r="I7" s="3250"/>
      <c r="J7" s="3250"/>
      <c r="K7" s="3250"/>
      <c r="L7" s="3250"/>
      <c r="M7" s="3250"/>
      <c r="N7" s="3250"/>
      <c r="O7" s="3250"/>
      <c r="P7" s="3250"/>
      <c r="Q7" s="3250"/>
      <c r="R7" s="3250"/>
      <c r="S7" s="3250"/>
      <c r="T7" s="3250"/>
      <c r="U7" s="3250"/>
      <c r="V7" s="3250"/>
      <c r="W7" s="3250"/>
      <c r="X7" s="3250"/>
      <c r="Y7" s="3250"/>
      <c r="Z7" s="3250"/>
      <c r="AA7" s="3250"/>
      <c r="AB7" s="3250"/>
      <c r="AC7" s="3250"/>
      <c r="AD7" s="3250"/>
    </row>
    <row r="8" spans="2:30" ht="12.95" customHeight="1">
      <c r="B8" s="294" t="s">
        <v>3631</v>
      </c>
      <c r="C8" s="3199" t="s">
        <v>6247</v>
      </c>
      <c r="D8" s="3199"/>
      <c r="E8" s="3199"/>
      <c r="F8" s="3199"/>
      <c r="G8" s="3199"/>
      <c r="H8" s="3199"/>
      <c r="I8" s="3199"/>
      <c r="J8" s="3199"/>
      <c r="K8" s="3199"/>
      <c r="L8" s="3199"/>
      <c r="M8" s="3199"/>
      <c r="N8" s="3199"/>
      <c r="O8" s="3199"/>
      <c r="P8" s="3199"/>
      <c r="Q8" s="3199"/>
      <c r="R8" s="3199"/>
      <c r="S8" s="3199"/>
      <c r="T8" s="3199"/>
      <c r="U8" s="3199"/>
      <c r="V8" s="3199"/>
      <c r="W8" s="3199"/>
      <c r="X8" s="3199"/>
      <c r="Y8" s="3199"/>
      <c r="Z8" s="3199"/>
      <c r="AA8" s="3199"/>
      <c r="AB8" s="3199"/>
      <c r="AC8" s="3199"/>
      <c r="AD8" s="3199"/>
    </row>
    <row r="9" spans="2:30" ht="65.099999999999994" customHeight="1">
      <c r="B9" s="294"/>
      <c r="C9" s="3250" t="s">
        <v>6372</v>
      </c>
      <c r="D9" s="3250"/>
      <c r="E9" s="3250"/>
      <c r="F9" s="3250"/>
      <c r="G9" s="3250"/>
      <c r="H9" s="3250"/>
      <c r="I9" s="3250"/>
      <c r="J9" s="3250"/>
      <c r="K9" s="3250"/>
      <c r="L9" s="3250"/>
      <c r="M9" s="3250"/>
      <c r="N9" s="3250"/>
      <c r="O9" s="3250"/>
      <c r="P9" s="3250"/>
      <c r="Q9" s="3250"/>
      <c r="R9" s="3250"/>
      <c r="S9" s="3250"/>
      <c r="T9" s="3250"/>
      <c r="U9" s="3250"/>
      <c r="V9" s="3250"/>
      <c r="W9" s="3250"/>
      <c r="X9" s="3250"/>
      <c r="Y9" s="3250"/>
      <c r="Z9" s="3250"/>
      <c r="AA9" s="3250"/>
      <c r="AB9" s="3250"/>
      <c r="AC9" s="3250"/>
      <c r="AD9" s="3250"/>
    </row>
    <row r="10" spans="2:30" ht="12.95" customHeight="1">
      <c r="B10" s="294" t="s">
        <v>3635</v>
      </c>
      <c r="C10" s="3199" t="s">
        <v>6248</v>
      </c>
      <c r="D10" s="3199"/>
      <c r="E10" s="3199"/>
      <c r="F10" s="3199"/>
      <c r="G10" s="3199"/>
      <c r="H10" s="3199"/>
      <c r="I10" s="3199"/>
      <c r="J10" s="3199"/>
      <c r="K10" s="3199"/>
      <c r="L10" s="3199"/>
      <c r="M10" s="3199"/>
      <c r="N10" s="3199"/>
      <c r="O10" s="3199"/>
      <c r="P10" s="3199"/>
      <c r="Q10" s="3199"/>
      <c r="R10" s="3199"/>
      <c r="S10" s="3199"/>
      <c r="T10" s="3199"/>
      <c r="U10" s="3199"/>
      <c r="V10" s="3199"/>
      <c r="W10" s="3199"/>
      <c r="X10" s="3199"/>
      <c r="Y10" s="3199"/>
      <c r="Z10" s="3199"/>
      <c r="AA10" s="3199"/>
      <c r="AB10" s="3199"/>
      <c r="AC10" s="3199"/>
      <c r="AD10" s="3199"/>
    </row>
    <row r="11" spans="2:30" ht="26.1" customHeight="1">
      <c r="B11" s="294"/>
      <c r="C11" s="3250" t="s">
        <v>6249</v>
      </c>
      <c r="D11" s="3250"/>
      <c r="E11" s="3250"/>
      <c r="F11" s="3250"/>
      <c r="G11" s="3250"/>
      <c r="H11" s="3250"/>
      <c r="I11" s="3250"/>
      <c r="J11" s="3250"/>
      <c r="K11" s="3250"/>
      <c r="L11" s="3250"/>
      <c r="M11" s="3250"/>
      <c r="N11" s="3250"/>
      <c r="O11" s="3250"/>
      <c r="P11" s="3250"/>
      <c r="Q11" s="3250"/>
      <c r="R11" s="3250"/>
      <c r="S11" s="3250"/>
      <c r="T11" s="3250"/>
      <c r="U11" s="3250"/>
      <c r="V11" s="3250"/>
      <c r="W11" s="3250"/>
      <c r="X11" s="3250"/>
      <c r="Y11" s="3250"/>
      <c r="Z11" s="3250"/>
      <c r="AA11" s="3250"/>
      <c r="AB11" s="3250"/>
      <c r="AC11" s="3250"/>
      <c r="AD11" s="3250"/>
    </row>
    <row r="12" spans="2:30" ht="12.95" customHeight="1">
      <c r="B12" s="294" t="s">
        <v>3638</v>
      </c>
      <c r="C12" s="3199" t="s">
        <v>6250</v>
      </c>
      <c r="D12" s="3199"/>
      <c r="E12" s="3199"/>
      <c r="F12" s="3199"/>
      <c r="G12" s="3199"/>
      <c r="H12" s="3199"/>
      <c r="I12" s="3199"/>
      <c r="J12" s="3199"/>
      <c r="K12" s="3199"/>
      <c r="L12" s="3199"/>
      <c r="M12" s="3199"/>
      <c r="N12" s="3199"/>
      <c r="O12" s="3199"/>
      <c r="P12" s="3199"/>
      <c r="Q12" s="3199"/>
      <c r="R12" s="3199"/>
      <c r="S12" s="3199"/>
      <c r="T12" s="3199"/>
      <c r="U12" s="3199"/>
      <c r="V12" s="3199"/>
      <c r="W12" s="3199"/>
      <c r="X12" s="3199"/>
      <c r="Y12" s="3199"/>
      <c r="Z12" s="3199"/>
      <c r="AA12" s="3199"/>
      <c r="AB12" s="3199"/>
      <c r="AC12" s="3199"/>
      <c r="AD12" s="3199"/>
    </row>
    <row r="13" spans="2:30" ht="26.1" customHeight="1">
      <c r="B13" s="294"/>
      <c r="C13" s="3250" t="s">
        <v>6251</v>
      </c>
      <c r="D13" s="3250"/>
      <c r="E13" s="3250"/>
      <c r="F13" s="3250"/>
      <c r="G13" s="3250"/>
      <c r="H13" s="3250"/>
      <c r="I13" s="3250"/>
      <c r="J13" s="3250"/>
      <c r="K13" s="3250"/>
      <c r="L13" s="3250"/>
      <c r="M13" s="3250"/>
      <c r="N13" s="3250"/>
      <c r="O13" s="3250"/>
      <c r="P13" s="3250"/>
      <c r="Q13" s="3250"/>
      <c r="R13" s="3250"/>
      <c r="S13" s="3250"/>
      <c r="T13" s="3250"/>
      <c r="U13" s="3250"/>
      <c r="V13" s="3250"/>
      <c r="W13" s="3250"/>
      <c r="X13" s="3250"/>
      <c r="Y13" s="3250"/>
      <c r="Z13" s="3250"/>
      <c r="AA13" s="3250"/>
      <c r="AB13" s="3250"/>
      <c r="AC13" s="3250"/>
      <c r="AD13" s="3250"/>
    </row>
    <row r="14" spans="2:30" ht="5.0999999999999996" customHeight="1">
      <c r="B14" s="294"/>
      <c r="C14" s="1795"/>
      <c r="D14" s="385"/>
    </row>
    <row r="15" spans="2:30" ht="12.95" customHeight="1">
      <c r="B15" s="3000" t="s">
        <v>9114</v>
      </c>
      <c r="C15" s="3000"/>
      <c r="D15" s="3000"/>
      <c r="E15" s="3000"/>
      <c r="F15" s="3000"/>
      <c r="G15" s="3000"/>
      <c r="H15" s="3000"/>
      <c r="I15" s="3000"/>
      <c r="J15" s="3000"/>
      <c r="K15" s="3000"/>
      <c r="L15" s="3000"/>
      <c r="M15" s="3000"/>
      <c r="N15" s="3000"/>
      <c r="O15" s="3000"/>
      <c r="P15" s="3000"/>
      <c r="Q15" s="3000"/>
      <c r="R15" s="3000"/>
      <c r="S15" s="3000"/>
      <c r="T15" s="3000"/>
      <c r="U15" s="3000"/>
      <c r="V15" s="3000"/>
      <c r="W15" s="3000"/>
      <c r="X15" s="3000"/>
      <c r="Y15" s="3000"/>
      <c r="Z15" s="3000"/>
      <c r="AA15" s="3000"/>
      <c r="AB15" s="3000"/>
      <c r="AC15" s="3000"/>
      <c r="AD15" s="3000"/>
    </row>
    <row r="16" spans="2:30" ht="5.0999999999999996" customHeight="1">
      <c r="C16" s="432"/>
      <c r="D16" s="432"/>
    </row>
    <row r="17" spans="2:30" ht="12.95" customHeight="1">
      <c r="B17" s="3102" t="s">
        <v>6252</v>
      </c>
      <c r="C17" s="3102"/>
      <c r="D17" s="3102"/>
      <c r="E17" s="3102"/>
      <c r="F17" s="3102"/>
      <c r="G17" s="3102"/>
      <c r="H17" s="3102"/>
      <c r="I17" s="3102"/>
      <c r="J17" s="3102"/>
      <c r="K17" s="3102"/>
      <c r="L17" s="3102"/>
      <c r="M17" s="3102"/>
      <c r="N17" s="3102"/>
      <c r="O17" s="3102"/>
      <c r="P17" s="3102"/>
      <c r="Q17" s="3102"/>
      <c r="R17" s="3102"/>
      <c r="S17" s="3102"/>
      <c r="T17" s="3102"/>
      <c r="U17" s="3102"/>
      <c r="V17" s="3102"/>
      <c r="W17" s="3102"/>
      <c r="X17" s="3102"/>
      <c r="Y17" s="3102"/>
      <c r="Z17" s="3102"/>
      <c r="AA17" s="3102"/>
      <c r="AB17" s="3102"/>
      <c r="AC17" s="3102"/>
      <c r="AD17" s="3102"/>
    </row>
    <row r="18" spans="2:30" ht="22.5" customHeight="1">
      <c r="D18" s="1793"/>
      <c r="E18" s="2960" t="s">
        <v>6253</v>
      </c>
      <c r="F18" s="2960"/>
      <c r="J18" s="2960" t="s">
        <v>6254</v>
      </c>
      <c r="K18" s="2960"/>
      <c r="L18" s="2960"/>
      <c r="M18" s="2960"/>
      <c r="N18" s="2960"/>
      <c r="U18" s="2960" t="s">
        <v>6255</v>
      </c>
      <c r="V18" s="2960"/>
      <c r="Z18" s="2960" t="s">
        <v>6256</v>
      </c>
      <c r="AA18" s="2960"/>
      <c r="AB18" s="2960"/>
      <c r="AC18" s="2960"/>
    </row>
    <row r="19" spans="2:30" ht="22.5" customHeight="1">
      <c r="D19" s="1793"/>
      <c r="E19" s="2960"/>
      <c r="F19" s="2960"/>
      <c r="J19" s="2960"/>
      <c r="K19" s="2960"/>
      <c r="L19" s="2960"/>
      <c r="M19" s="2960"/>
      <c r="N19" s="2960"/>
      <c r="U19" s="2960"/>
      <c r="V19" s="2960"/>
      <c r="Z19" s="2960"/>
      <c r="AA19" s="2960"/>
      <c r="AB19" s="2960"/>
      <c r="AC19" s="2960"/>
    </row>
    <row r="20" spans="2:30" ht="22.5" customHeight="1">
      <c r="D20" s="1793"/>
      <c r="E20" s="2960"/>
      <c r="F20" s="2960"/>
      <c r="J20" s="2960"/>
      <c r="K20" s="2960"/>
      <c r="L20" s="2960"/>
      <c r="M20" s="2960"/>
      <c r="N20" s="2960"/>
      <c r="U20" s="2960"/>
      <c r="V20" s="2960"/>
      <c r="Z20" s="3707" t="s">
        <v>6257</v>
      </c>
      <c r="AA20" s="3707"/>
      <c r="AB20" s="3707"/>
      <c r="AC20" s="3707"/>
    </row>
    <row r="21" spans="2:30" ht="22.5" customHeight="1">
      <c r="D21" s="1793"/>
      <c r="E21" s="288"/>
      <c r="F21" s="288"/>
      <c r="J21" s="3706" t="s">
        <v>6258</v>
      </c>
      <c r="K21" s="3706"/>
      <c r="L21" s="3706"/>
      <c r="M21" s="3706"/>
      <c r="N21" s="3706"/>
      <c r="U21" s="2960"/>
      <c r="V21" s="2960"/>
    </row>
    <row r="22" spans="2:30" ht="22.5" customHeight="1">
      <c r="D22" s="1793"/>
      <c r="E22" s="2960" t="s">
        <v>6259</v>
      </c>
      <c r="F22" s="2960"/>
      <c r="J22" s="3706"/>
      <c r="K22" s="3706"/>
      <c r="L22" s="3706"/>
      <c r="M22" s="3706"/>
      <c r="N22" s="3706"/>
      <c r="U22" s="2960"/>
      <c r="V22" s="2960"/>
      <c r="Z22" s="2960" t="s">
        <v>6260</v>
      </c>
      <c r="AA22" s="2960"/>
      <c r="AB22" s="2960"/>
      <c r="AC22" s="2960"/>
    </row>
    <row r="23" spans="2:30" ht="22.5" customHeight="1">
      <c r="D23" s="1793"/>
      <c r="E23" s="2960"/>
      <c r="F23" s="2960"/>
      <c r="J23" s="3707" t="s">
        <v>6257</v>
      </c>
      <c r="K23" s="3707"/>
      <c r="L23" s="3707"/>
      <c r="M23" s="3707"/>
      <c r="N23" s="3707"/>
      <c r="U23" s="2960"/>
      <c r="V23" s="2960"/>
      <c r="Z23" s="2960"/>
      <c r="AA23" s="2960"/>
      <c r="AB23" s="2960"/>
      <c r="AC23" s="2960"/>
    </row>
    <row r="24" spans="2:30" ht="22.5" customHeight="1">
      <c r="D24" s="1793"/>
      <c r="E24" s="2960"/>
      <c r="F24" s="2960"/>
      <c r="R24" s="2960" t="s">
        <v>6261</v>
      </c>
      <c r="S24" s="2960"/>
      <c r="Z24" s="3707" t="s">
        <v>6257</v>
      </c>
      <c r="AA24" s="3707"/>
      <c r="AB24" s="3707"/>
      <c r="AC24" s="3707"/>
    </row>
    <row r="25" spans="2:30" ht="22.5" customHeight="1">
      <c r="D25" s="1793"/>
      <c r="E25" s="288"/>
      <c r="F25" s="288"/>
      <c r="K25" s="2960" t="s">
        <v>6262</v>
      </c>
      <c r="L25" s="2960"/>
      <c r="M25" s="2960"/>
      <c r="N25" s="2960"/>
      <c r="R25" s="2960"/>
      <c r="S25" s="2960"/>
      <c r="Z25" s="3708" t="s">
        <v>6263</v>
      </c>
      <c r="AA25" s="3708"/>
      <c r="AB25" s="3708"/>
      <c r="AC25" s="3708"/>
    </row>
    <row r="26" spans="2:30" ht="22.5" customHeight="1">
      <c r="D26" s="1793"/>
      <c r="E26" s="2960" t="s">
        <v>6264</v>
      </c>
      <c r="F26" s="2960"/>
      <c r="K26" s="2960"/>
      <c r="L26" s="2960"/>
      <c r="M26" s="2960"/>
      <c r="N26" s="2960"/>
      <c r="R26" s="2960"/>
      <c r="S26" s="2960"/>
      <c r="X26" s="3712" t="s">
        <v>6265</v>
      </c>
      <c r="Y26" s="3712"/>
      <c r="Z26" s="3712"/>
      <c r="AA26" s="3712"/>
      <c r="AB26" s="3712"/>
    </row>
    <row r="27" spans="2:30" ht="22.5" customHeight="1">
      <c r="D27" s="1793"/>
      <c r="E27" s="2960"/>
      <c r="F27" s="2960"/>
      <c r="K27" s="3707" t="s">
        <v>6257</v>
      </c>
      <c r="L27" s="3707"/>
      <c r="M27" s="3707"/>
      <c r="N27" s="3707"/>
      <c r="O27" s="3707" t="s">
        <v>6257</v>
      </c>
      <c r="P27" s="3707"/>
      <c r="Q27" s="3707"/>
      <c r="R27" s="3707"/>
      <c r="S27" s="3707"/>
      <c r="X27" s="3707" t="s">
        <v>6257</v>
      </c>
      <c r="Y27" s="3707"/>
      <c r="Z27" s="3707"/>
      <c r="AA27" s="3707"/>
      <c r="AB27" s="3707"/>
    </row>
    <row r="28" spans="2:30" ht="22.5" customHeight="1">
      <c r="E28" s="2960"/>
      <c r="F28" s="2960"/>
      <c r="O28" s="3708" t="s">
        <v>6263</v>
      </c>
      <c r="P28" s="3708"/>
      <c r="Q28" s="3708"/>
      <c r="R28" s="3708"/>
      <c r="S28" s="3708"/>
      <c r="X28" s="3708" t="s">
        <v>6263</v>
      </c>
      <c r="Y28" s="3708"/>
      <c r="Z28" s="3708"/>
      <c r="AA28" s="3708"/>
      <c r="AB28" s="3708"/>
    </row>
    <row r="29" spans="2:30" ht="5.0999999999999996" customHeight="1">
      <c r="B29" s="3102"/>
      <c r="C29" s="3102"/>
      <c r="D29" s="3102"/>
      <c r="E29" s="3102"/>
      <c r="F29" s="3102"/>
      <c r="G29" s="3102"/>
      <c r="H29" s="3102"/>
      <c r="I29" s="3102"/>
      <c r="J29" s="3102"/>
      <c r="K29" s="3102"/>
      <c r="L29" s="3102"/>
      <c r="M29" s="3102"/>
      <c r="N29" s="3102"/>
      <c r="O29" s="3102"/>
      <c r="P29" s="3102"/>
      <c r="Q29" s="3102"/>
      <c r="R29" s="3102"/>
      <c r="S29" s="3102"/>
      <c r="T29" s="3102"/>
      <c r="U29" s="3102"/>
      <c r="V29" s="3102"/>
      <c r="W29" s="3102"/>
      <c r="X29" s="3102"/>
      <c r="Y29" s="3102"/>
      <c r="Z29" s="3102"/>
      <c r="AA29" s="3102"/>
      <c r="AB29" s="3102"/>
      <c r="AC29" s="3102"/>
      <c r="AD29" s="3102"/>
    </row>
    <row r="30" spans="2:30" ht="12.95" customHeight="1">
      <c r="B30" s="3102" t="s">
        <v>6266</v>
      </c>
      <c r="C30" s="3102"/>
      <c r="D30" s="3102"/>
      <c r="E30" s="3102"/>
      <c r="F30" s="3102"/>
      <c r="G30" s="3102"/>
      <c r="H30" s="3102"/>
      <c r="I30" s="3102"/>
      <c r="J30" s="3102"/>
      <c r="K30" s="3102"/>
      <c r="L30" s="3102"/>
      <c r="M30" s="3102"/>
      <c r="N30" s="3102"/>
      <c r="O30" s="3102"/>
      <c r="P30" s="3102"/>
      <c r="Q30" s="3102"/>
      <c r="R30" s="3102"/>
      <c r="S30" s="3102"/>
      <c r="T30" s="3102"/>
      <c r="U30" s="3102"/>
      <c r="V30" s="3102"/>
      <c r="W30" s="3102"/>
      <c r="X30" s="3102"/>
      <c r="Y30" s="3102"/>
      <c r="Z30" s="3102"/>
      <c r="AA30" s="3102"/>
      <c r="AB30" s="3102"/>
      <c r="AC30" s="3102"/>
      <c r="AD30" s="3102"/>
    </row>
    <row r="31" spans="2:30" ht="12.95" customHeight="1">
      <c r="F31" s="2960" t="s">
        <v>6267</v>
      </c>
      <c r="G31" s="2960"/>
      <c r="H31" s="2960"/>
      <c r="I31" s="2960"/>
      <c r="J31" s="2960"/>
    </row>
    <row r="32" spans="2:30" ht="12.95" customHeight="1">
      <c r="F32" s="2960"/>
      <c r="G32" s="2960"/>
      <c r="H32" s="2960"/>
      <c r="I32" s="2960"/>
      <c r="J32" s="2960"/>
    </row>
    <row r="33" spans="2:30" ht="12.95" customHeight="1">
      <c r="F33" s="2960"/>
      <c r="G33" s="2960"/>
      <c r="H33" s="2960"/>
      <c r="I33" s="2960"/>
      <c r="J33" s="2960"/>
    </row>
    <row r="34" spans="2:30" ht="12.95" customHeight="1">
      <c r="F34" s="2960"/>
      <c r="G34" s="2960"/>
      <c r="H34" s="2960"/>
      <c r="I34" s="2960"/>
      <c r="J34" s="2960"/>
    </row>
    <row r="35" spans="2:30" ht="12.95" customHeight="1">
      <c r="F35" s="2960"/>
      <c r="G35" s="2960"/>
      <c r="H35" s="2960"/>
      <c r="I35" s="2960"/>
      <c r="J35" s="2960"/>
    </row>
    <row r="36" spans="2:30" ht="12.95" customHeight="1">
      <c r="B36" s="3102" t="s">
        <v>6268</v>
      </c>
      <c r="C36" s="3102"/>
      <c r="D36" s="3102"/>
      <c r="E36" s="3102"/>
      <c r="F36" s="3102"/>
      <c r="G36" s="3102"/>
      <c r="H36" s="3102"/>
      <c r="I36" s="3102"/>
      <c r="J36" s="3102"/>
      <c r="K36" s="3102"/>
      <c r="L36" s="3102"/>
      <c r="M36" s="3102"/>
      <c r="N36" s="3102"/>
      <c r="O36" s="3102"/>
      <c r="P36" s="3102"/>
      <c r="Q36" s="3102"/>
      <c r="R36" s="3102"/>
      <c r="S36" s="3102"/>
      <c r="T36" s="3102"/>
      <c r="U36" s="3102"/>
      <c r="V36" s="3102"/>
      <c r="W36" s="3102"/>
      <c r="X36" s="3102"/>
      <c r="Y36" s="3102"/>
      <c r="Z36" s="3102"/>
      <c r="AA36" s="3102"/>
      <c r="AB36" s="3102"/>
      <c r="AC36" s="3102"/>
      <c r="AD36" s="3102"/>
    </row>
    <row r="37" spans="2:30" ht="12.95" customHeight="1">
      <c r="F37" s="2960" t="s">
        <v>6269</v>
      </c>
      <c r="G37" s="2960"/>
      <c r="H37" s="2960"/>
      <c r="L37" s="2960" t="s">
        <v>6270</v>
      </c>
      <c r="M37" s="2960"/>
      <c r="N37" s="2960"/>
      <c r="O37" s="2960"/>
      <c r="S37" s="2960" t="s">
        <v>6271</v>
      </c>
      <c r="T37" s="2960"/>
      <c r="X37" s="2960" t="s">
        <v>6272</v>
      </c>
      <c r="Y37" s="2960"/>
    </row>
    <row r="38" spans="2:30" ht="12.95" customHeight="1">
      <c r="F38" s="2960"/>
      <c r="G38" s="2960"/>
      <c r="H38" s="2960"/>
      <c r="L38" s="2960"/>
      <c r="M38" s="2960"/>
      <c r="N38" s="2960"/>
      <c r="O38" s="2960"/>
      <c r="S38" s="2960"/>
      <c r="T38" s="2960"/>
      <c r="X38" s="2960"/>
      <c r="Y38" s="2960"/>
    </row>
    <row r="39" spans="2:30" ht="12.95" customHeight="1">
      <c r="F39" s="2960"/>
      <c r="G39" s="2960"/>
      <c r="H39" s="2960"/>
      <c r="L39" s="3707" t="s">
        <v>6257</v>
      </c>
      <c r="M39" s="3707"/>
      <c r="N39" s="3707"/>
      <c r="O39" s="3707"/>
      <c r="S39" s="2960"/>
      <c r="T39" s="2960"/>
      <c r="X39" s="2960"/>
      <c r="Y39" s="2960"/>
    </row>
    <row r="40" spans="2:30" ht="12.95" customHeight="1">
      <c r="F40" s="2960"/>
      <c r="G40" s="2960"/>
      <c r="H40" s="2960"/>
      <c r="L40" s="3707"/>
      <c r="M40" s="3707"/>
      <c r="N40" s="3707"/>
      <c r="O40" s="3707"/>
      <c r="S40" s="2960"/>
      <c r="T40" s="2960"/>
      <c r="X40" s="2960"/>
      <c r="Y40" s="2960"/>
    </row>
    <row r="41" spans="2:30" ht="12.95" customHeight="1">
      <c r="F41" s="2960"/>
      <c r="G41" s="2960"/>
      <c r="H41" s="2960"/>
      <c r="L41" s="3708" t="s">
        <v>6263</v>
      </c>
      <c r="M41" s="3708"/>
      <c r="N41" s="3708"/>
      <c r="O41" s="3708"/>
      <c r="S41" s="2960"/>
      <c r="T41" s="2960"/>
      <c r="X41" s="2960"/>
      <c r="Y41" s="2960"/>
    </row>
    <row r="42" spans="2:30" ht="12.95" customHeight="1">
      <c r="L42" s="3708"/>
      <c r="M42" s="3708"/>
      <c r="N42" s="3708"/>
      <c r="O42" s="3708"/>
      <c r="S42" s="2960"/>
      <c r="T42" s="2960"/>
      <c r="X42" s="2960"/>
      <c r="Y42" s="2960"/>
    </row>
    <row r="43" spans="2:30" ht="12.95" customHeight="1">
      <c r="E43" s="2960" t="s">
        <v>6273</v>
      </c>
      <c r="F43" s="2960"/>
      <c r="J43" s="2960" t="s">
        <v>6274</v>
      </c>
      <c r="K43" s="2960"/>
      <c r="L43" s="2960"/>
      <c r="P43" s="2960" t="s">
        <v>6275</v>
      </c>
      <c r="Q43" s="2960"/>
      <c r="U43" s="2960" t="s">
        <v>6276</v>
      </c>
      <c r="V43" s="2960"/>
    </row>
    <row r="44" spans="2:30" ht="12.95" customHeight="1">
      <c r="E44" s="2960"/>
      <c r="F44" s="2960"/>
      <c r="J44" s="2960"/>
      <c r="K44" s="2960"/>
      <c r="L44" s="2960"/>
      <c r="P44" s="2960"/>
      <c r="Q44" s="2960"/>
      <c r="U44" s="2960"/>
      <c r="V44" s="2960"/>
    </row>
    <row r="45" spans="2:30" ht="12.95" customHeight="1">
      <c r="E45" s="2960"/>
      <c r="F45" s="2960"/>
      <c r="J45" s="2960"/>
      <c r="K45" s="2960"/>
      <c r="L45" s="2960"/>
      <c r="P45" s="2960"/>
      <c r="Q45" s="2960"/>
      <c r="U45" s="2960"/>
      <c r="V45" s="2960"/>
    </row>
    <row r="46" spans="2:30" ht="12.95" customHeight="1">
      <c r="E46" s="2960"/>
      <c r="F46" s="2960"/>
      <c r="J46" s="2960"/>
      <c r="K46" s="2960"/>
      <c r="L46" s="2960"/>
      <c r="P46" s="2960"/>
      <c r="Q46" s="2960"/>
      <c r="U46" s="2960"/>
      <c r="V46" s="2960"/>
      <c r="AB46" s="2960" t="s">
        <v>6277</v>
      </c>
      <c r="AC46" s="2960"/>
      <c r="AD46" s="2960"/>
    </row>
    <row r="47" spans="2:30" ht="12.95" customHeight="1">
      <c r="E47" s="2960"/>
      <c r="F47" s="2960"/>
      <c r="J47" s="2960"/>
      <c r="K47" s="2960"/>
      <c r="L47" s="2960"/>
      <c r="P47" s="2960"/>
      <c r="Q47" s="2960"/>
      <c r="U47" s="2960"/>
      <c r="V47" s="2960"/>
      <c r="AB47" s="2960"/>
      <c r="AC47" s="2960"/>
      <c r="AD47" s="2960"/>
    </row>
    <row r="48" spans="2:30" ht="12.95" customHeight="1">
      <c r="E48" s="2960" t="s">
        <v>6278</v>
      </c>
      <c r="F48" s="2960"/>
      <c r="K48" s="2960" t="s">
        <v>6279</v>
      </c>
      <c r="L48" s="2960"/>
      <c r="P48" s="2960" t="s">
        <v>6280</v>
      </c>
      <c r="Q48" s="2960"/>
      <c r="R48" s="2960"/>
      <c r="V48" s="2960" t="s">
        <v>6281</v>
      </c>
      <c r="W48" s="2960"/>
      <c r="AB48" s="2960"/>
      <c r="AC48" s="2960"/>
      <c r="AD48" s="2960"/>
    </row>
    <row r="49" spans="2:30" ht="12.95" customHeight="1">
      <c r="E49" s="2960"/>
      <c r="F49" s="2960"/>
      <c r="K49" s="2960"/>
      <c r="L49" s="2960"/>
      <c r="P49" s="2960"/>
      <c r="Q49" s="2960"/>
      <c r="R49" s="2960"/>
      <c r="V49" s="2960"/>
      <c r="W49" s="2960"/>
      <c r="AB49" s="2960"/>
      <c r="AC49" s="2960"/>
      <c r="AD49" s="2960"/>
    </row>
    <row r="50" spans="2:30" ht="12.95" customHeight="1">
      <c r="E50" s="2960"/>
      <c r="F50" s="2960"/>
      <c r="K50" s="2960"/>
      <c r="L50" s="2960"/>
      <c r="P50" s="2960"/>
      <c r="Q50" s="2960"/>
      <c r="R50" s="2960"/>
      <c r="V50" s="2960"/>
      <c r="W50" s="2960"/>
      <c r="AB50" s="2960"/>
      <c r="AC50" s="2960"/>
      <c r="AD50" s="2960"/>
    </row>
    <row r="51" spans="2:30" ht="12.95" customHeight="1">
      <c r="E51" s="2960"/>
      <c r="F51" s="2960"/>
      <c r="K51" s="2960"/>
      <c r="L51" s="2960"/>
      <c r="P51" s="2960"/>
      <c r="Q51" s="2960"/>
      <c r="R51" s="2960"/>
      <c r="V51" s="2960"/>
      <c r="W51" s="2960"/>
      <c r="AB51" s="2960"/>
      <c r="AC51" s="2960"/>
      <c r="AD51" s="2960"/>
    </row>
    <row r="52" spans="2:30" ht="12.95" customHeight="1">
      <c r="E52" s="2960"/>
      <c r="F52" s="2960"/>
      <c r="K52" s="2960"/>
      <c r="L52" s="2960"/>
      <c r="P52" s="2960"/>
      <c r="Q52" s="2960"/>
      <c r="R52" s="2960"/>
      <c r="V52" s="2960"/>
      <c r="W52" s="2960"/>
      <c r="AB52" s="2960"/>
      <c r="AC52" s="2960"/>
      <c r="AD52" s="2960"/>
    </row>
    <row r="53" spans="2:30" ht="12.95" customHeight="1">
      <c r="E53" s="2960"/>
      <c r="F53" s="2960"/>
      <c r="K53" s="2960"/>
      <c r="L53" s="2960"/>
      <c r="P53" s="2960"/>
      <c r="Q53" s="2960"/>
      <c r="R53" s="2960"/>
      <c r="V53" s="2960"/>
      <c r="W53" s="2960"/>
    </row>
    <row r="54" spans="2:30" ht="12.95" customHeight="1">
      <c r="K54" s="2960"/>
      <c r="L54" s="2960"/>
      <c r="V54" s="2960"/>
      <c r="W54" s="2960"/>
    </row>
    <row r="55" spans="2:30" ht="12.95" customHeight="1">
      <c r="K55" s="288"/>
      <c r="L55" s="288"/>
    </row>
    <row r="56" spans="2:30" ht="12.95" customHeight="1">
      <c r="B56" s="3102" t="s">
        <v>6282</v>
      </c>
      <c r="C56" s="3102"/>
      <c r="D56" s="3102"/>
      <c r="E56" s="3102"/>
      <c r="F56" s="3102"/>
      <c r="G56" s="3102"/>
      <c r="H56" s="3102"/>
      <c r="I56" s="3102"/>
      <c r="J56" s="3102"/>
      <c r="K56" s="3102"/>
      <c r="L56" s="3102"/>
      <c r="M56" s="3102"/>
      <c r="N56" s="3102"/>
      <c r="O56" s="3102"/>
      <c r="P56" s="3102"/>
      <c r="Q56" s="3102"/>
      <c r="R56" s="3102"/>
      <c r="S56" s="3102"/>
      <c r="T56" s="3102"/>
      <c r="U56" s="3102"/>
      <c r="V56" s="3102"/>
      <c r="W56" s="3102"/>
      <c r="X56" s="3102"/>
      <c r="Y56" s="3102"/>
      <c r="Z56" s="3102"/>
      <c r="AA56" s="3102"/>
      <c r="AB56" s="3102"/>
      <c r="AC56" s="3102"/>
      <c r="AD56" s="3102"/>
    </row>
    <row r="57" spans="2:30" ht="12.95" customHeight="1">
      <c r="B57" s="3643" t="s">
        <v>6283</v>
      </c>
      <c r="C57" s="3643"/>
      <c r="D57" s="3643"/>
      <c r="E57" s="3643"/>
      <c r="Z57" s="2960" t="s">
        <v>6284</v>
      </c>
      <c r="AA57" s="2960"/>
      <c r="AB57" s="2960"/>
      <c r="AC57" s="2960"/>
      <c r="AD57" s="2960"/>
    </row>
    <row r="58" spans="2:30" ht="12.95" customHeight="1">
      <c r="B58" s="3643"/>
      <c r="C58" s="3643"/>
      <c r="D58" s="3643"/>
      <c r="E58" s="3643"/>
      <c r="Z58" s="2960"/>
      <c r="AA58" s="2960"/>
      <c r="AB58" s="2960"/>
      <c r="AC58" s="2960"/>
      <c r="AD58" s="2960"/>
    </row>
    <row r="59" spans="2:30" ht="12.95" customHeight="1">
      <c r="Z59" s="2960"/>
      <c r="AA59" s="2960"/>
      <c r="AB59" s="2960"/>
      <c r="AC59" s="2960"/>
      <c r="AD59" s="2960"/>
    </row>
    <row r="60" spans="2:30" ht="12.95" customHeight="1">
      <c r="Z60" s="2960"/>
      <c r="AA60" s="2960"/>
      <c r="AB60" s="2960"/>
      <c r="AC60" s="2960"/>
      <c r="AD60" s="2960"/>
    </row>
    <row r="61" spans="2:30" ht="12.95" customHeight="1">
      <c r="Z61" s="2960"/>
      <c r="AA61" s="2960"/>
      <c r="AB61" s="2960"/>
      <c r="AC61" s="2960"/>
      <c r="AD61" s="2960"/>
    </row>
    <row r="62" spans="2:30" ht="12.95" customHeight="1">
      <c r="Z62" s="2960"/>
      <c r="AA62" s="2960"/>
      <c r="AB62" s="2960"/>
      <c r="AC62" s="2960"/>
      <c r="AD62" s="2960"/>
    </row>
    <row r="63" spans="2:30" ht="12.95" customHeight="1">
      <c r="Z63" s="2960"/>
      <c r="AA63" s="2960"/>
      <c r="AB63" s="2960"/>
      <c r="AC63" s="2960"/>
      <c r="AD63" s="2960"/>
    </row>
    <row r="64" spans="2:30" ht="12.95" customHeight="1">
      <c r="Z64" s="2960"/>
      <c r="AA64" s="2960"/>
      <c r="AB64" s="2960"/>
      <c r="AC64" s="2960"/>
      <c r="AD64" s="2960"/>
    </row>
    <row r="65" spans="2:30" ht="12.95" customHeight="1">
      <c r="Z65" s="2960"/>
      <c r="AA65" s="2960"/>
      <c r="AB65" s="2960"/>
      <c r="AC65" s="2960"/>
      <c r="AD65" s="2960"/>
    </row>
    <row r="66" spans="2:30" ht="12.95" customHeight="1">
      <c r="Z66" s="2960"/>
      <c r="AA66" s="2960"/>
      <c r="AB66" s="2960"/>
      <c r="AC66" s="2960"/>
      <c r="AD66" s="2960"/>
    </row>
    <row r="67" spans="2:30" ht="12.95" customHeight="1">
      <c r="Z67" s="2960"/>
      <c r="AA67" s="2960"/>
      <c r="AB67" s="2960"/>
      <c r="AC67" s="2960"/>
      <c r="AD67" s="2960"/>
    </row>
    <row r="68" spans="2:30" ht="12.95" customHeight="1">
      <c r="Z68" s="2960"/>
      <c r="AA68" s="2960"/>
      <c r="AB68" s="2960"/>
      <c r="AC68" s="2960"/>
      <c r="AD68" s="2960"/>
    </row>
    <row r="69" spans="2:30" ht="12.95" customHeight="1">
      <c r="Z69" s="2960"/>
      <c r="AA69" s="2960"/>
      <c r="AB69" s="2960"/>
      <c r="AC69" s="2960"/>
      <c r="AD69" s="2960"/>
    </row>
    <row r="70" spans="2:30" ht="12.95" customHeight="1">
      <c r="B70" s="3643" t="s">
        <v>6402</v>
      </c>
      <c r="C70" s="3643"/>
      <c r="D70" s="3643"/>
      <c r="E70" s="3643"/>
      <c r="Z70" s="2960" t="s">
        <v>7317</v>
      </c>
      <c r="AA70" s="2960"/>
      <c r="AB70" s="2960"/>
      <c r="AC70" s="2960"/>
      <c r="AD70" s="2960"/>
    </row>
    <row r="71" spans="2:30" ht="12.95" customHeight="1">
      <c r="B71" s="3643"/>
      <c r="C71" s="3643"/>
      <c r="D71" s="3643"/>
      <c r="E71" s="3643"/>
      <c r="Z71" s="2960"/>
      <c r="AA71" s="2960"/>
      <c r="AB71" s="2960"/>
      <c r="AC71" s="2960"/>
      <c r="AD71" s="2960"/>
    </row>
    <row r="72" spans="2:30" ht="12.95" customHeight="1">
      <c r="Z72" s="2960"/>
      <c r="AA72" s="2960"/>
      <c r="AB72" s="2960"/>
      <c r="AC72" s="2960"/>
      <c r="AD72" s="2960"/>
    </row>
    <row r="73" spans="2:30" ht="12.95" customHeight="1">
      <c r="Z73" s="2960"/>
      <c r="AA73" s="2960"/>
      <c r="AB73" s="2960"/>
      <c r="AC73" s="2960"/>
      <c r="AD73" s="2960"/>
    </row>
    <row r="74" spans="2:30" ht="12.95" customHeight="1">
      <c r="Z74" s="2960"/>
      <c r="AA74" s="2960"/>
      <c r="AB74" s="2960"/>
      <c r="AC74" s="2960"/>
      <c r="AD74" s="2960"/>
    </row>
    <row r="75" spans="2:30" ht="12.95" customHeight="1">
      <c r="Z75" s="2960"/>
      <c r="AA75" s="2960"/>
      <c r="AB75" s="2960"/>
      <c r="AC75" s="2960"/>
      <c r="AD75" s="2960"/>
    </row>
    <row r="76" spans="2:30" ht="12.95" customHeight="1">
      <c r="Z76" s="2960"/>
      <c r="AA76" s="2960"/>
      <c r="AB76" s="2960"/>
      <c r="AC76" s="2960"/>
      <c r="AD76" s="2960"/>
    </row>
    <row r="77" spans="2:30" ht="12.95" customHeight="1">
      <c r="Z77" s="2960"/>
      <c r="AA77" s="2960"/>
      <c r="AB77" s="2960"/>
      <c r="AC77" s="2960"/>
      <c r="AD77" s="2960"/>
    </row>
    <row r="78" spans="2:30" ht="12.95" customHeight="1">
      <c r="Z78" s="2960"/>
      <c r="AA78" s="2960"/>
      <c r="AB78" s="2960"/>
      <c r="AC78" s="2960"/>
      <c r="AD78" s="2960"/>
    </row>
    <row r="79" spans="2:30" ht="12.95" customHeight="1">
      <c r="Z79" s="2960"/>
      <c r="AA79" s="2960"/>
      <c r="AB79" s="2960"/>
      <c r="AC79" s="2960"/>
      <c r="AD79" s="2960"/>
    </row>
    <row r="80" spans="2:30" ht="12.95" customHeight="1">
      <c r="Z80" s="2960"/>
      <c r="AA80" s="2960"/>
      <c r="AB80" s="2960"/>
      <c r="AC80" s="2960"/>
      <c r="AD80" s="2960"/>
    </row>
    <row r="81" spans="26:30" s="292" customFormat="1" ht="12.95" customHeight="1">
      <c r="Z81" s="2960"/>
      <c r="AA81" s="2960"/>
      <c r="AB81" s="2960"/>
      <c r="AC81" s="2960"/>
      <c r="AD81" s="2960"/>
    </row>
    <row r="82" spans="26:30" s="292" customFormat="1" ht="12.95" customHeight="1">
      <c r="Z82" s="2960"/>
      <c r="AA82" s="2960"/>
      <c r="AB82" s="2960"/>
      <c r="AC82" s="2960"/>
      <c r="AD82" s="2960"/>
    </row>
    <row r="83" spans="26:30" s="292" customFormat="1" ht="12.95" customHeight="1">
      <c r="Z83" s="2960"/>
      <c r="AA83" s="2960"/>
      <c r="AB83" s="2960"/>
      <c r="AC83" s="2960"/>
      <c r="AD83" s="2960"/>
    </row>
    <row r="84" spans="26:30" s="292" customFormat="1" ht="12.95" customHeight="1">
      <c r="Z84" s="2960"/>
      <c r="AA84" s="2960"/>
      <c r="AB84" s="2960"/>
      <c r="AC84" s="2960"/>
      <c r="AD84" s="2960"/>
    </row>
    <row r="85" spans="26:30" s="292" customFormat="1" ht="12.95" customHeight="1">
      <c r="Z85" s="2960"/>
      <c r="AA85" s="2960"/>
      <c r="AB85" s="2960"/>
      <c r="AC85" s="2960"/>
      <c r="AD85" s="2960"/>
    </row>
    <row r="86" spans="26:30" s="292" customFormat="1" ht="12.95" customHeight="1">
      <c r="Z86" s="2960"/>
      <c r="AA86" s="2960"/>
      <c r="AB86" s="2960"/>
      <c r="AC86" s="2960"/>
      <c r="AD86" s="2960"/>
    </row>
    <row r="87" spans="26:30" s="292" customFormat="1" ht="12.95" customHeight="1">
      <c r="Z87" s="2960"/>
      <c r="AA87" s="2960"/>
      <c r="AB87" s="2960"/>
      <c r="AC87" s="2960"/>
      <c r="AD87" s="2960"/>
    </row>
    <row r="88" spans="26:30" s="292" customFormat="1" ht="12.95" customHeight="1">
      <c r="Z88" s="2960"/>
      <c r="AA88" s="2960"/>
      <c r="AB88" s="2960"/>
      <c r="AC88" s="2960"/>
      <c r="AD88" s="2960"/>
    </row>
    <row r="89" spans="26:30" s="292" customFormat="1" ht="12.95" customHeight="1">
      <c r="Z89" s="2960"/>
      <c r="AA89" s="2960"/>
      <c r="AB89" s="2960"/>
      <c r="AC89" s="2960"/>
      <c r="AD89" s="2960"/>
    </row>
    <row r="90" spans="26:30" s="292" customFormat="1" ht="12.95" customHeight="1">
      <c r="Z90" s="2960"/>
      <c r="AA90" s="2960"/>
      <c r="AB90" s="2960"/>
      <c r="AC90" s="2960"/>
      <c r="AD90" s="2960"/>
    </row>
    <row r="91" spans="26:30" s="292" customFormat="1" ht="12.95" customHeight="1">
      <c r="Z91" s="2960"/>
      <c r="AA91" s="2960"/>
      <c r="AB91" s="2960"/>
      <c r="AC91" s="2960"/>
      <c r="AD91" s="2960"/>
    </row>
    <row r="92" spans="26:30" s="292" customFormat="1" ht="12.95" customHeight="1">
      <c r="Z92" s="2960"/>
      <c r="AA92" s="2960"/>
      <c r="AB92" s="2960"/>
      <c r="AC92" s="2960"/>
      <c r="AD92" s="2960"/>
    </row>
    <row r="93" spans="26:30" s="292" customFormat="1" ht="12.95" customHeight="1">
      <c r="Z93" s="2960"/>
      <c r="AA93" s="2960"/>
      <c r="AB93" s="2960"/>
      <c r="AC93" s="2960"/>
      <c r="AD93" s="2960"/>
    </row>
    <row r="94" spans="26:30" s="292" customFormat="1" ht="12.95" customHeight="1">
      <c r="Z94" s="2960"/>
      <c r="AA94" s="2960"/>
      <c r="AB94" s="2960"/>
      <c r="AC94" s="2960"/>
      <c r="AD94" s="2960"/>
    </row>
    <row r="95" spans="26:30" s="292" customFormat="1" ht="12.95" customHeight="1">
      <c r="Z95" s="2960"/>
      <c r="AA95" s="2960"/>
      <c r="AB95" s="2960"/>
      <c r="AC95" s="2960"/>
      <c r="AD95" s="2960"/>
    </row>
    <row r="96" spans="26:30" s="292" customFormat="1" ht="12.95" customHeight="1">
      <c r="Z96" s="2960"/>
      <c r="AA96" s="2960"/>
      <c r="AB96" s="2960"/>
      <c r="AC96" s="2960"/>
      <c r="AD96" s="2960"/>
    </row>
    <row r="97" spans="26:30" s="292" customFormat="1" ht="12.95" customHeight="1">
      <c r="Z97" s="2960"/>
      <c r="AA97" s="2960"/>
      <c r="AB97" s="2960"/>
      <c r="AC97" s="2960"/>
      <c r="AD97" s="2960"/>
    </row>
    <row r="98" spans="26:30" s="292" customFormat="1" ht="12.95" customHeight="1">
      <c r="Z98" s="2960"/>
      <c r="AA98" s="2960"/>
      <c r="AB98" s="2960"/>
      <c r="AC98" s="2960"/>
      <c r="AD98" s="2960"/>
    </row>
    <row r="99" spans="26:30" s="292" customFormat="1" ht="12.95" customHeight="1">
      <c r="Z99" s="2960"/>
      <c r="AA99" s="2960"/>
      <c r="AB99" s="2960"/>
      <c r="AC99" s="2960"/>
      <c r="AD99" s="2960"/>
    </row>
    <row r="100" spans="26:30" s="292" customFormat="1" ht="12.95" customHeight="1">
      <c r="Z100" s="2960"/>
      <c r="AA100" s="2960"/>
      <c r="AB100" s="2960"/>
      <c r="AC100" s="2960"/>
      <c r="AD100" s="2960"/>
    </row>
    <row r="101" spans="26:30" s="292" customFormat="1" ht="12.95" customHeight="1">
      <c r="Z101" s="2960"/>
      <c r="AA101" s="2960"/>
      <c r="AB101" s="2960"/>
      <c r="AC101" s="2960"/>
      <c r="AD101" s="2960"/>
    </row>
    <row r="102" spans="26:30" s="292" customFormat="1" ht="12.95" customHeight="1">
      <c r="Z102" s="2960"/>
      <c r="AA102" s="2960"/>
      <c r="AB102" s="2960"/>
      <c r="AC102" s="2960"/>
      <c r="AD102" s="2960"/>
    </row>
    <row r="103" spans="26:30" s="292" customFormat="1" ht="12.95" customHeight="1">
      <c r="Z103" s="2960"/>
      <c r="AA103" s="2960"/>
      <c r="AB103" s="2960"/>
      <c r="AC103" s="2960"/>
      <c r="AD103" s="2960"/>
    </row>
    <row r="104" spans="26:30" s="292" customFormat="1" ht="12.95" customHeight="1">
      <c r="Z104" s="2960"/>
      <c r="AA104" s="2960"/>
      <c r="AB104" s="2960"/>
      <c r="AC104" s="2960"/>
      <c r="AD104" s="2960"/>
    </row>
    <row r="105" spans="26:30" s="292" customFormat="1" ht="12.95" customHeight="1">
      <c r="Z105" s="2960"/>
      <c r="AA105" s="2960"/>
      <c r="AB105" s="2960"/>
      <c r="AC105" s="2960"/>
      <c r="AD105" s="2960"/>
    </row>
    <row r="106" spans="26:30" s="292" customFormat="1" ht="12.95" customHeight="1">
      <c r="Z106" s="2960"/>
      <c r="AA106" s="2960"/>
      <c r="AB106" s="2960"/>
      <c r="AC106" s="2960"/>
      <c r="AD106" s="2960"/>
    </row>
    <row r="107" spans="26:30" s="292" customFormat="1" ht="12.95" customHeight="1">
      <c r="Z107" s="2960"/>
      <c r="AA107" s="2960"/>
      <c r="AB107" s="2960"/>
      <c r="AC107" s="2960"/>
      <c r="AD107" s="2960"/>
    </row>
    <row r="108" spans="26:30" s="292" customFormat="1" ht="12.95" customHeight="1">
      <c r="Z108" s="2960"/>
      <c r="AA108" s="2960"/>
      <c r="AB108" s="2960"/>
      <c r="AC108" s="2960"/>
      <c r="AD108" s="2960"/>
    </row>
    <row r="109" spans="26:30" s="292" customFormat="1" ht="12.95" customHeight="1">
      <c r="Z109" s="2960"/>
      <c r="AA109" s="2960"/>
      <c r="AB109" s="2960"/>
      <c r="AC109" s="2960"/>
      <c r="AD109" s="2960"/>
    </row>
    <row r="110" spans="26:30" s="292" customFormat="1" ht="12.95" customHeight="1">
      <c r="Z110" s="2960" t="s">
        <v>7318</v>
      </c>
      <c r="AA110" s="2960"/>
      <c r="AB110" s="2960"/>
      <c r="AC110" s="2960"/>
      <c r="AD110" s="2960"/>
    </row>
    <row r="111" spans="26:30" s="292" customFormat="1" ht="12.95" customHeight="1">
      <c r="Z111" s="2960"/>
      <c r="AA111" s="2960"/>
      <c r="AB111" s="2960"/>
      <c r="AC111" s="2960"/>
      <c r="AD111" s="2960"/>
    </row>
    <row r="112" spans="26:30" s="292" customFormat="1" ht="12.95" customHeight="1">
      <c r="Z112" s="2960"/>
      <c r="AA112" s="2960"/>
      <c r="AB112" s="2960"/>
      <c r="AC112" s="2960"/>
      <c r="AD112" s="2960"/>
    </row>
    <row r="113" spans="2:30" ht="12.95" customHeight="1">
      <c r="Z113" s="2960"/>
      <c r="AA113" s="2960"/>
      <c r="AB113" s="2960"/>
      <c r="AC113" s="2960"/>
      <c r="AD113" s="2960"/>
    </row>
    <row r="114" spans="2:30" ht="12.95" customHeight="1">
      <c r="Z114" s="2960"/>
      <c r="AA114" s="2960"/>
      <c r="AB114" s="2960"/>
      <c r="AC114" s="2960"/>
      <c r="AD114" s="2960"/>
    </row>
    <row r="115" spans="2:30" ht="12.95" customHeight="1">
      <c r="Z115" s="2960"/>
      <c r="AA115" s="2960"/>
      <c r="AB115" s="2960"/>
      <c r="AC115" s="2960"/>
      <c r="AD115" s="2960"/>
    </row>
    <row r="116" spans="2:30" ht="12.95" customHeight="1">
      <c r="Z116" s="2960"/>
      <c r="AA116" s="2960"/>
      <c r="AB116" s="2960"/>
      <c r="AC116" s="2960"/>
      <c r="AD116" s="2960"/>
    </row>
    <row r="117" spans="2:30" ht="12.95" customHeight="1">
      <c r="Z117" s="2960"/>
      <c r="AA117" s="2960"/>
      <c r="AB117" s="2960"/>
      <c r="AC117" s="2960"/>
      <c r="AD117" s="2960"/>
    </row>
    <row r="118" spans="2:30" ht="12.95" customHeight="1">
      <c r="Z118" s="2960"/>
      <c r="AA118" s="2960"/>
      <c r="AB118" s="2960"/>
      <c r="AC118" s="2960"/>
      <c r="AD118" s="2960"/>
    </row>
    <row r="119" spans="2:30" ht="12.95" customHeight="1">
      <c r="Z119" s="2960"/>
      <c r="AA119" s="2960"/>
      <c r="AB119" s="2960"/>
      <c r="AC119" s="2960"/>
      <c r="AD119" s="2960"/>
    </row>
    <row r="120" spans="2:30" ht="12.95" customHeight="1">
      <c r="Z120" s="2960"/>
      <c r="AA120" s="2960"/>
      <c r="AB120" s="2960"/>
      <c r="AC120" s="2960"/>
      <c r="AD120" s="2960"/>
    </row>
    <row r="121" spans="2:30" ht="12.95" customHeight="1">
      <c r="B121" s="3643" t="s">
        <v>6285</v>
      </c>
      <c r="C121" s="3643"/>
      <c r="D121" s="3643"/>
      <c r="E121" s="3643"/>
      <c r="Z121" s="2960" t="s">
        <v>6286</v>
      </c>
      <c r="AA121" s="2960"/>
      <c r="AB121" s="2960"/>
      <c r="AC121" s="2960"/>
      <c r="AD121" s="2960"/>
    </row>
    <row r="122" spans="2:30" ht="12.95" customHeight="1">
      <c r="B122" s="3643"/>
      <c r="C122" s="3643"/>
      <c r="D122" s="3643"/>
      <c r="E122" s="3643"/>
      <c r="Z122" s="2960"/>
      <c r="AA122" s="2960"/>
      <c r="AB122" s="2960"/>
      <c r="AC122" s="2960"/>
      <c r="AD122" s="2960"/>
    </row>
    <row r="123" spans="2:30" ht="12.95" customHeight="1">
      <c r="Z123" s="2960"/>
      <c r="AA123" s="2960"/>
      <c r="AB123" s="2960"/>
      <c r="AC123" s="2960"/>
      <c r="AD123" s="2960"/>
    </row>
    <row r="124" spans="2:30" ht="12.95" customHeight="1">
      <c r="Z124" s="2960"/>
      <c r="AA124" s="2960"/>
      <c r="AB124" s="2960"/>
      <c r="AC124" s="2960"/>
      <c r="AD124" s="2960"/>
    </row>
    <row r="125" spans="2:30" ht="12.95" customHeight="1">
      <c r="Z125" s="2960"/>
      <c r="AA125" s="2960"/>
      <c r="AB125" s="2960"/>
      <c r="AC125" s="2960"/>
      <c r="AD125" s="2960"/>
    </row>
    <row r="127" spans="2:30" ht="5.0999999999999996" customHeight="1"/>
    <row r="128" spans="2:30" ht="12.95" customHeight="1">
      <c r="E128" s="2960" t="s">
        <v>6287</v>
      </c>
      <c r="F128" s="2960"/>
      <c r="G128" s="2960"/>
      <c r="K128" s="2960" t="s">
        <v>6288</v>
      </c>
      <c r="L128" s="2960"/>
      <c r="M128" s="2960"/>
      <c r="N128" s="288"/>
      <c r="Q128" s="2960" t="s">
        <v>6289</v>
      </c>
      <c r="R128" s="2960"/>
      <c r="S128" s="2960"/>
      <c r="W128" s="2960" t="s">
        <v>6290</v>
      </c>
      <c r="X128" s="2960"/>
      <c r="Y128" s="2960"/>
    </row>
    <row r="129" spans="2:30" ht="12.95" customHeight="1">
      <c r="E129" s="2960"/>
      <c r="F129" s="2960"/>
      <c r="G129" s="2960"/>
      <c r="K129" s="2960"/>
      <c r="L129" s="2960"/>
      <c r="M129" s="2960"/>
      <c r="N129" s="288"/>
      <c r="Q129" s="2960"/>
      <c r="R129" s="2960"/>
      <c r="S129" s="2960"/>
      <c r="W129" s="2960"/>
      <c r="X129" s="2960"/>
      <c r="Y129" s="2960"/>
    </row>
    <row r="130" spans="2:30" ht="12.95" customHeight="1">
      <c r="E130" s="2960"/>
      <c r="F130" s="2960"/>
      <c r="G130" s="2960"/>
      <c r="K130" s="2960"/>
      <c r="L130" s="2960"/>
      <c r="M130" s="2960"/>
      <c r="N130" s="288"/>
      <c r="Q130" s="2960"/>
      <c r="R130" s="2960"/>
      <c r="S130" s="2960"/>
      <c r="W130" s="2960"/>
      <c r="X130" s="2960"/>
      <c r="Y130" s="2960"/>
    </row>
    <row r="131" spans="2:30" ht="12.95" customHeight="1">
      <c r="E131" s="2960"/>
      <c r="F131" s="2960"/>
      <c r="G131" s="2960"/>
      <c r="K131" s="2960"/>
      <c r="L131" s="2960"/>
      <c r="M131" s="2960"/>
      <c r="N131" s="288"/>
      <c r="Q131" s="2960"/>
      <c r="R131" s="2960"/>
      <c r="S131" s="2960"/>
      <c r="W131" s="2960"/>
      <c r="X131" s="2960"/>
      <c r="Y131" s="2960"/>
    </row>
    <row r="132" spans="2:30" ht="12.95" customHeight="1">
      <c r="E132" s="2960"/>
      <c r="F132" s="2960"/>
      <c r="G132" s="2960"/>
      <c r="K132" s="2960"/>
      <c r="L132" s="2960"/>
      <c r="M132" s="2960"/>
      <c r="N132" s="288"/>
      <c r="Q132" s="2960"/>
      <c r="R132" s="2960"/>
      <c r="S132" s="2960"/>
      <c r="W132" s="2960"/>
      <c r="X132" s="2960"/>
      <c r="Y132" s="2960"/>
    </row>
    <row r="133" spans="2:30" ht="12.95" customHeight="1">
      <c r="E133" s="2960"/>
      <c r="F133" s="2960"/>
      <c r="G133" s="2960"/>
      <c r="K133" s="2960"/>
      <c r="L133" s="2960"/>
      <c r="M133" s="2960"/>
      <c r="N133" s="288"/>
      <c r="Q133" s="2960"/>
      <c r="R133" s="2960"/>
      <c r="S133" s="2960"/>
      <c r="W133" s="2960"/>
      <c r="X133" s="2960"/>
      <c r="Y133" s="2960"/>
    </row>
    <row r="134" spans="2:30" ht="12.95" customHeight="1">
      <c r="E134" s="2960" t="s">
        <v>6291</v>
      </c>
      <c r="F134" s="2960"/>
      <c r="G134" s="2960"/>
      <c r="K134" s="2960" t="s">
        <v>6292</v>
      </c>
      <c r="L134" s="2960"/>
      <c r="M134" s="2960"/>
    </row>
    <row r="135" spans="2:30" ht="12.95" customHeight="1">
      <c r="E135" s="2960"/>
      <c r="F135" s="2960"/>
      <c r="G135" s="2960"/>
      <c r="K135" s="2960"/>
      <c r="L135" s="2960"/>
      <c r="M135" s="2960"/>
    </row>
    <row r="136" spans="2:30" ht="12.95" customHeight="1">
      <c r="E136" s="2960"/>
      <c r="F136" s="2960"/>
      <c r="G136" s="2960"/>
      <c r="K136" s="2960"/>
      <c r="L136" s="2960"/>
      <c r="M136" s="2960"/>
    </row>
    <row r="137" spans="2:30" ht="12.95" customHeight="1">
      <c r="E137" s="2960"/>
      <c r="F137" s="2960"/>
      <c r="G137" s="2960"/>
      <c r="K137" s="2960"/>
      <c r="L137" s="2960"/>
      <c r="M137" s="2960"/>
    </row>
    <row r="138" spans="2:30" ht="12.95" customHeight="1">
      <c r="E138" s="2960"/>
      <c r="F138" s="2960"/>
      <c r="G138" s="2960"/>
      <c r="K138" s="2960"/>
      <c r="L138" s="2960"/>
      <c r="M138" s="2960"/>
    </row>
    <row r="139" spans="2:30" ht="12.95" customHeight="1">
      <c r="E139" s="2960"/>
      <c r="F139" s="2960"/>
      <c r="G139" s="2960"/>
      <c r="K139" s="2960"/>
      <c r="L139" s="2960"/>
      <c r="M139" s="2960"/>
    </row>
    <row r="140" spans="2:30" ht="12.95" customHeight="1">
      <c r="B140" s="3102" t="s">
        <v>6293</v>
      </c>
      <c r="C140" s="3102"/>
      <c r="D140" s="3102"/>
      <c r="E140" s="3102"/>
      <c r="F140" s="3102"/>
      <c r="G140" s="3102"/>
      <c r="H140" s="3102"/>
      <c r="I140" s="3102"/>
      <c r="J140" s="3102"/>
      <c r="K140" s="3102"/>
      <c r="L140" s="3102"/>
      <c r="M140" s="3102"/>
      <c r="N140" s="3102"/>
      <c r="O140" s="3102"/>
      <c r="P140" s="3102"/>
      <c r="Q140" s="3102"/>
      <c r="R140" s="3102"/>
      <c r="S140" s="3102"/>
      <c r="T140" s="3102"/>
      <c r="U140" s="3102"/>
      <c r="V140" s="3102"/>
      <c r="W140" s="3102"/>
      <c r="X140" s="3102"/>
      <c r="Y140" s="3102"/>
      <c r="Z140" s="3102"/>
      <c r="AA140" s="3102"/>
      <c r="AB140" s="3102"/>
      <c r="AC140" s="3102"/>
      <c r="AD140" s="3102"/>
    </row>
    <row r="141" spans="2:30" ht="12.95" customHeight="1">
      <c r="U141" s="2960" t="s">
        <v>6294</v>
      </c>
      <c r="V141" s="2960"/>
      <c r="W141" s="2960"/>
      <c r="X141" s="2960"/>
      <c r="Y141" s="2960"/>
      <c r="Z141" s="2960"/>
      <c r="AA141" s="2960"/>
      <c r="AB141" s="2960"/>
      <c r="AC141" s="2960"/>
      <c r="AD141" s="2960"/>
    </row>
    <row r="142" spans="2:30" ht="12.95" customHeight="1">
      <c r="U142" s="2960"/>
      <c r="V142" s="2960"/>
      <c r="W142" s="2960"/>
      <c r="X142" s="2960"/>
      <c r="Y142" s="2960"/>
      <c r="Z142" s="2960"/>
      <c r="AA142" s="2960"/>
      <c r="AB142" s="2960"/>
      <c r="AC142" s="2960"/>
      <c r="AD142" s="2960"/>
    </row>
    <row r="143" spans="2:30" ht="12.95" customHeight="1">
      <c r="U143" s="2960"/>
      <c r="V143" s="2960"/>
      <c r="W143" s="2960"/>
      <c r="X143" s="2960"/>
      <c r="Y143" s="2960"/>
      <c r="Z143" s="2960"/>
      <c r="AA143" s="2960"/>
      <c r="AB143" s="2960"/>
      <c r="AC143" s="2960"/>
      <c r="AD143" s="2960"/>
    </row>
    <row r="144" spans="2:30" ht="12.95" customHeight="1">
      <c r="U144" s="2960"/>
      <c r="V144" s="2960"/>
      <c r="W144" s="2960"/>
      <c r="X144" s="2960"/>
      <c r="Y144" s="2960"/>
      <c r="Z144" s="2960"/>
      <c r="AA144" s="2960"/>
      <c r="AB144" s="2960"/>
      <c r="AC144" s="2960"/>
      <c r="AD144" s="2960"/>
    </row>
    <row r="145" spans="5:30" ht="12.95" customHeight="1">
      <c r="U145" s="2960"/>
      <c r="V145" s="2960"/>
      <c r="W145" s="2960"/>
      <c r="X145" s="2960"/>
      <c r="Y145" s="2960"/>
      <c r="Z145" s="2960"/>
      <c r="AA145" s="2960"/>
      <c r="AB145" s="2960"/>
      <c r="AC145" s="2960"/>
      <c r="AD145" s="2960"/>
    </row>
    <row r="146" spans="5:30" ht="12.95" customHeight="1">
      <c r="U146" s="2960"/>
      <c r="V146" s="2960"/>
      <c r="W146" s="2960"/>
      <c r="X146" s="2960"/>
      <c r="Y146" s="2960"/>
      <c r="Z146" s="2960"/>
      <c r="AA146" s="2960"/>
      <c r="AB146" s="2960"/>
      <c r="AC146" s="2960"/>
      <c r="AD146" s="2960"/>
    </row>
    <row r="147" spans="5:30" ht="12.95" customHeight="1">
      <c r="U147" s="2960"/>
      <c r="V147" s="2960"/>
      <c r="W147" s="2960"/>
      <c r="X147" s="2960"/>
      <c r="Y147" s="2960"/>
      <c r="Z147" s="2960"/>
      <c r="AA147" s="2960"/>
      <c r="AB147" s="2960"/>
      <c r="AC147" s="2960"/>
      <c r="AD147" s="2960"/>
    </row>
    <row r="148" spans="5:30" ht="12.95" customHeight="1">
      <c r="U148" s="2960"/>
      <c r="V148" s="2960"/>
      <c r="W148" s="2960"/>
      <c r="X148" s="2960"/>
      <c r="Y148" s="2960"/>
      <c r="Z148" s="2960"/>
      <c r="AA148" s="2960"/>
      <c r="AB148" s="2960"/>
      <c r="AC148" s="2960"/>
      <c r="AD148" s="2960"/>
    </row>
    <row r="149" spans="5:30" ht="12.95" customHeight="1">
      <c r="U149" s="2960"/>
      <c r="V149" s="2960"/>
      <c r="W149" s="2960"/>
      <c r="X149" s="2960"/>
      <c r="Y149" s="2960"/>
      <c r="Z149" s="2960"/>
      <c r="AA149" s="2960"/>
      <c r="AB149" s="2960"/>
      <c r="AC149" s="2960"/>
      <c r="AD149" s="2960"/>
    </row>
    <row r="150" spans="5:30" ht="12.95" customHeight="1">
      <c r="U150" s="2960"/>
      <c r="V150" s="2960"/>
      <c r="W150" s="2960"/>
      <c r="X150" s="2960"/>
      <c r="Y150" s="2960"/>
      <c r="Z150" s="2960"/>
      <c r="AA150" s="2960"/>
      <c r="AB150" s="2960"/>
      <c r="AC150" s="2960"/>
      <c r="AD150" s="2960"/>
    </row>
    <row r="151" spans="5:30" ht="5.0999999999999996" customHeight="1"/>
    <row r="152" spans="5:30" ht="12.95" customHeight="1">
      <c r="E152" s="2960" t="s">
        <v>6295</v>
      </c>
      <c r="F152" s="2960"/>
      <c r="G152" s="2960"/>
      <c r="K152" s="2960" t="s">
        <v>6296</v>
      </c>
      <c r="L152" s="2960"/>
      <c r="P152" s="2960" t="s">
        <v>6297</v>
      </c>
      <c r="Q152" s="2960"/>
      <c r="U152" s="2960" t="s">
        <v>6298</v>
      </c>
      <c r="V152" s="2960"/>
      <c r="W152" s="2960"/>
      <c r="AA152" s="3710" t="s">
        <v>6300</v>
      </c>
      <c r="AB152" s="3710"/>
      <c r="AC152" s="3710"/>
      <c r="AD152" s="3710"/>
    </row>
    <row r="153" spans="5:30" ht="12.95" customHeight="1">
      <c r="E153" s="2960"/>
      <c r="F153" s="2960"/>
      <c r="G153" s="2960"/>
      <c r="K153" s="2960"/>
      <c r="L153" s="2960"/>
      <c r="P153" s="2960"/>
      <c r="Q153" s="2960"/>
      <c r="U153" s="2960"/>
      <c r="V153" s="2960"/>
      <c r="W153" s="2960"/>
      <c r="AA153" s="3710"/>
      <c r="AB153" s="3710"/>
      <c r="AC153" s="3710"/>
      <c r="AD153" s="3710"/>
    </row>
    <row r="154" spans="5:30" ht="12.95" customHeight="1">
      <c r="E154" s="2960"/>
      <c r="F154" s="2960"/>
      <c r="G154" s="2960"/>
      <c r="K154" s="2960"/>
      <c r="L154" s="2960"/>
      <c r="P154" s="2960"/>
      <c r="Q154" s="2960"/>
      <c r="U154" s="2960"/>
      <c r="V154" s="2960"/>
      <c r="W154" s="2960"/>
      <c r="AA154" s="3710"/>
      <c r="AB154" s="3710"/>
      <c r="AC154" s="3710"/>
      <c r="AD154" s="3710"/>
    </row>
    <row r="155" spans="5:30" ht="12.95" customHeight="1">
      <c r="E155" s="2960"/>
      <c r="F155" s="2960"/>
      <c r="G155" s="2960"/>
      <c r="K155" s="2960"/>
      <c r="L155" s="2960"/>
      <c r="P155" s="2960"/>
      <c r="Q155" s="2960"/>
      <c r="U155" s="2960"/>
      <c r="V155" s="2960"/>
      <c r="W155" s="2960"/>
      <c r="AA155" s="3710"/>
      <c r="AB155" s="3710"/>
      <c r="AC155" s="3710"/>
      <c r="AD155" s="3710"/>
    </row>
    <row r="156" spans="5:30" ht="12.95" customHeight="1">
      <c r="E156" s="2960"/>
      <c r="F156" s="2960"/>
      <c r="G156" s="2960"/>
      <c r="K156" s="2960"/>
      <c r="L156" s="2960"/>
      <c r="P156" s="2960"/>
      <c r="Q156" s="2960"/>
      <c r="U156" s="2960"/>
      <c r="V156" s="2960"/>
      <c r="W156" s="2960"/>
      <c r="AA156" s="3710"/>
      <c r="AB156" s="3710"/>
      <c r="AC156" s="3710"/>
      <c r="AD156" s="3710"/>
    </row>
    <row r="157" spans="5:30" ht="12.95" customHeight="1">
      <c r="F157" s="2960" t="s">
        <v>6299</v>
      </c>
      <c r="G157" s="2960"/>
      <c r="K157" s="3711" t="s">
        <v>6401</v>
      </c>
      <c r="L157" s="3711"/>
      <c r="M157" s="3711"/>
      <c r="Q157" s="3706" t="s">
        <v>6301</v>
      </c>
      <c r="R157" s="3706"/>
      <c r="S157" s="3706"/>
      <c r="T157" s="3706"/>
      <c r="X157" s="3706" t="s">
        <v>6302</v>
      </c>
      <c r="Y157" s="3706"/>
      <c r="Z157" s="3706"/>
      <c r="AA157" s="3706"/>
    </row>
    <row r="158" spans="5:30" ht="12.95" customHeight="1">
      <c r="F158" s="2960"/>
      <c r="G158" s="2960"/>
      <c r="K158" s="3711"/>
      <c r="L158" s="3711"/>
      <c r="M158" s="3711"/>
      <c r="Q158" s="3706"/>
      <c r="R158" s="3706"/>
      <c r="S158" s="3706"/>
      <c r="T158" s="3706"/>
      <c r="X158" s="3706"/>
      <c r="Y158" s="3706"/>
      <c r="Z158" s="3706"/>
      <c r="AA158" s="3706"/>
    </row>
    <row r="159" spans="5:30" ht="12.95" customHeight="1">
      <c r="F159" s="2960"/>
      <c r="G159" s="2960"/>
      <c r="K159" s="3711"/>
      <c r="L159" s="3711"/>
      <c r="M159" s="3711"/>
      <c r="Q159" s="3706"/>
      <c r="R159" s="3706"/>
      <c r="S159" s="3706"/>
      <c r="T159" s="3706"/>
      <c r="X159" s="3706"/>
      <c r="Y159" s="3706"/>
      <c r="Z159" s="3706"/>
      <c r="AA159" s="3706"/>
    </row>
    <row r="160" spans="5:30" ht="12.95" customHeight="1">
      <c r="F160" s="2960"/>
      <c r="G160" s="2960"/>
      <c r="K160" s="3711"/>
      <c r="L160" s="3711"/>
      <c r="M160" s="3711"/>
      <c r="Q160" s="3707" t="s">
        <v>6257</v>
      </c>
      <c r="R160" s="3707"/>
      <c r="S160" s="3707"/>
      <c r="T160" s="3707"/>
      <c r="X160" s="3707" t="s">
        <v>6257</v>
      </c>
      <c r="Y160" s="3707"/>
      <c r="Z160" s="3707"/>
      <c r="AA160" s="3707"/>
    </row>
    <row r="161" spans="3:30" ht="12.95" customHeight="1">
      <c r="F161" s="2960"/>
      <c r="G161" s="2960"/>
      <c r="K161" s="3711"/>
      <c r="L161" s="3711"/>
      <c r="M161" s="3711"/>
      <c r="Q161" s="3707"/>
      <c r="R161" s="3707"/>
      <c r="S161" s="3707"/>
      <c r="T161" s="3707"/>
      <c r="X161" s="3707"/>
      <c r="Y161" s="3707"/>
      <c r="Z161" s="3707"/>
      <c r="AA161" s="3707"/>
    </row>
    <row r="162" spans="3:30" ht="12.95" customHeight="1">
      <c r="F162" s="2960"/>
      <c r="G162" s="2960"/>
      <c r="K162" s="3711"/>
      <c r="L162" s="3711"/>
      <c r="M162" s="3711"/>
      <c r="Q162" s="3708" t="s">
        <v>6263</v>
      </c>
      <c r="R162" s="3708"/>
      <c r="S162" s="3708"/>
      <c r="T162" s="3708"/>
      <c r="X162" s="3708" t="s">
        <v>6263</v>
      </c>
      <c r="Y162" s="3708"/>
      <c r="Z162" s="3708"/>
      <c r="AA162" s="3708"/>
    </row>
    <row r="163" spans="3:30" ht="12.75" customHeight="1">
      <c r="F163" s="2960"/>
      <c r="G163" s="2960"/>
      <c r="K163" s="3711"/>
      <c r="L163" s="3711"/>
      <c r="M163" s="3711"/>
      <c r="Q163" s="3708"/>
      <c r="R163" s="3708"/>
      <c r="S163" s="3708"/>
      <c r="T163" s="3708"/>
      <c r="X163" s="3708"/>
      <c r="Y163" s="3708"/>
      <c r="Z163" s="3708"/>
      <c r="AA163" s="3708"/>
    </row>
    <row r="164" spans="3:30" ht="12.95" customHeight="1">
      <c r="C164" s="1793"/>
      <c r="E164" s="292"/>
      <c r="V164" s="2960" t="s">
        <v>6303</v>
      </c>
      <c r="W164" s="2960"/>
      <c r="X164" s="2960"/>
      <c r="Y164" s="2960"/>
      <c r="Z164" s="2960"/>
      <c r="AA164" s="2960"/>
      <c r="AB164" s="2960"/>
      <c r="AC164" s="2960"/>
      <c r="AD164" s="2960"/>
    </row>
    <row r="165" spans="3:30" ht="12.95" customHeight="1">
      <c r="C165" s="1793"/>
      <c r="E165" s="292"/>
      <c r="V165" s="2960"/>
      <c r="W165" s="2960"/>
      <c r="X165" s="2960"/>
      <c r="Y165" s="2960"/>
      <c r="Z165" s="2960"/>
      <c r="AA165" s="2960"/>
      <c r="AB165" s="2960"/>
      <c r="AC165" s="2960"/>
      <c r="AD165" s="2960"/>
    </row>
    <row r="166" spans="3:30" ht="12.95" customHeight="1">
      <c r="C166" s="1793"/>
      <c r="E166" s="292"/>
      <c r="V166" s="2960"/>
      <c r="W166" s="2960"/>
      <c r="X166" s="2960"/>
      <c r="Y166" s="2960"/>
      <c r="Z166" s="2960"/>
      <c r="AA166" s="2960"/>
      <c r="AB166" s="2960"/>
      <c r="AC166" s="2960"/>
      <c r="AD166" s="2960"/>
    </row>
    <row r="167" spans="3:30" ht="12.95" customHeight="1">
      <c r="C167" s="1793"/>
      <c r="E167" s="292"/>
      <c r="V167" s="2960"/>
      <c r="W167" s="2960"/>
      <c r="X167" s="2960"/>
      <c r="Y167" s="2960"/>
      <c r="Z167" s="2960"/>
      <c r="AA167" s="2960"/>
      <c r="AB167" s="2960"/>
      <c r="AC167" s="2960"/>
      <c r="AD167" s="2960"/>
    </row>
    <row r="168" spans="3:30" ht="12.95" customHeight="1">
      <c r="C168" s="1793"/>
      <c r="E168" s="292"/>
      <c r="V168" s="3707" t="s">
        <v>6257</v>
      </c>
      <c r="W168" s="3707"/>
      <c r="X168" s="3707"/>
      <c r="Y168" s="3707"/>
      <c r="Z168" s="3707"/>
      <c r="AA168" s="3707"/>
      <c r="AB168" s="3707"/>
      <c r="AC168" s="3707"/>
      <c r="AD168" s="3707"/>
    </row>
    <row r="169" spans="3:30" ht="12.95" customHeight="1">
      <c r="V169" s="3708" t="s">
        <v>6263</v>
      </c>
      <c r="W169" s="3708"/>
      <c r="X169" s="3708"/>
      <c r="Y169" s="3708"/>
      <c r="Z169" s="3708"/>
      <c r="AA169" s="3708"/>
      <c r="AB169" s="3708"/>
      <c r="AC169" s="3708"/>
      <c r="AD169" s="3708"/>
    </row>
    <row r="170" spans="3:30" ht="12.95" customHeight="1">
      <c r="E170" s="2960" t="s">
        <v>6304</v>
      </c>
      <c r="F170" s="2960"/>
      <c r="J170" s="2960" t="s">
        <v>6305</v>
      </c>
      <c r="K170" s="2960"/>
      <c r="L170" s="2960"/>
      <c r="P170" s="2960" t="s">
        <v>6306</v>
      </c>
      <c r="Q170" s="2960"/>
      <c r="R170" s="2960"/>
      <c r="V170" s="2960" t="s">
        <v>6307</v>
      </c>
      <c r="W170" s="2960"/>
      <c r="X170" s="1798"/>
      <c r="Y170" s="1798"/>
      <c r="AA170" s="2960" t="s">
        <v>6308</v>
      </c>
      <c r="AB170" s="2960"/>
      <c r="AC170" s="2960"/>
      <c r="AD170" s="2960"/>
    </row>
    <row r="171" spans="3:30" ht="12.95" customHeight="1">
      <c r="E171" s="2960"/>
      <c r="F171" s="2960"/>
      <c r="J171" s="2960"/>
      <c r="K171" s="2960"/>
      <c r="L171" s="2960"/>
      <c r="P171" s="2960"/>
      <c r="Q171" s="2960"/>
      <c r="R171" s="2960"/>
      <c r="V171" s="2960"/>
      <c r="W171" s="2960"/>
      <c r="AA171" s="2960"/>
      <c r="AB171" s="2960"/>
      <c r="AC171" s="2960"/>
      <c r="AD171" s="2960"/>
    </row>
    <row r="172" spans="3:30" ht="12.95" customHeight="1">
      <c r="E172" s="2960"/>
      <c r="F172" s="2960"/>
      <c r="J172" s="2960"/>
      <c r="K172" s="2960"/>
      <c r="L172" s="2960"/>
      <c r="P172" s="2960"/>
      <c r="Q172" s="2960"/>
      <c r="R172" s="2960"/>
      <c r="V172" s="2960"/>
      <c r="W172" s="2960"/>
      <c r="AA172" s="2960"/>
      <c r="AB172" s="2960"/>
      <c r="AC172" s="2960"/>
      <c r="AD172" s="2960"/>
    </row>
    <row r="173" spans="3:30" ht="12.95" customHeight="1">
      <c r="E173" s="2960"/>
      <c r="F173" s="2960"/>
      <c r="J173" s="2960"/>
      <c r="K173" s="2960"/>
      <c r="L173" s="2960"/>
      <c r="P173" s="2960"/>
      <c r="Q173" s="2960"/>
      <c r="R173" s="2960"/>
      <c r="V173" s="2960"/>
      <c r="W173" s="2960"/>
      <c r="AA173" s="2960"/>
      <c r="AB173" s="2960"/>
      <c r="AC173" s="2960"/>
      <c r="AD173" s="2960"/>
    </row>
    <row r="174" spans="3:30" ht="12.95" customHeight="1">
      <c r="E174" s="2960"/>
      <c r="F174" s="2960"/>
      <c r="J174" s="2960"/>
      <c r="K174" s="2960"/>
      <c r="L174" s="2960"/>
      <c r="P174" s="2960"/>
      <c r="Q174" s="2960"/>
      <c r="R174" s="2960"/>
      <c r="V174" s="2960"/>
      <c r="W174" s="2960"/>
      <c r="AA174" s="2960"/>
      <c r="AB174" s="2960"/>
      <c r="AC174" s="2960"/>
      <c r="AD174" s="2960"/>
    </row>
    <row r="175" spans="3:30" ht="12.95" customHeight="1">
      <c r="E175" s="2960"/>
      <c r="F175" s="2960"/>
      <c r="J175" s="2960"/>
      <c r="K175" s="2960"/>
      <c r="L175" s="2960"/>
      <c r="P175" s="2960"/>
      <c r="Q175" s="2960"/>
      <c r="R175" s="2960"/>
      <c r="V175" s="2960"/>
      <c r="W175" s="2960"/>
      <c r="AA175" s="2960"/>
      <c r="AB175" s="2960"/>
      <c r="AC175" s="2960"/>
      <c r="AD175" s="2960"/>
    </row>
    <row r="176" spans="3:30" ht="12.95" customHeight="1">
      <c r="E176" s="2960"/>
      <c r="F176" s="2960"/>
      <c r="J176" s="2960"/>
      <c r="K176" s="2960"/>
      <c r="L176" s="2960"/>
      <c r="P176" s="2960"/>
      <c r="Q176" s="2960"/>
      <c r="R176" s="2960"/>
      <c r="V176" s="2960"/>
      <c r="W176" s="2960"/>
      <c r="AA176" s="2960"/>
      <c r="AB176" s="2960"/>
      <c r="AC176" s="2960"/>
      <c r="AD176" s="2960"/>
    </row>
    <row r="177" spans="2:30" ht="12.95" customHeight="1">
      <c r="B177" s="3102" t="s">
        <v>6309</v>
      </c>
      <c r="C177" s="3102"/>
      <c r="D177" s="3102"/>
      <c r="E177" s="3102"/>
      <c r="F177" s="3102"/>
      <c r="G177" s="3102"/>
      <c r="H177" s="3102"/>
      <c r="I177" s="3102"/>
      <c r="J177" s="3102"/>
      <c r="K177" s="3102"/>
      <c r="L177" s="3102"/>
      <c r="M177" s="3102"/>
      <c r="N177" s="3102"/>
      <c r="O177" s="3102"/>
      <c r="P177" s="3102"/>
      <c r="Q177" s="3102"/>
      <c r="R177" s="3102"/>
      <c r="S177" s="3102"/>
      <c r="T177" s="3102"/>
      <c r="U177" s="3102"/>
      <c r="V177" s="3102"/>
      <c r="W177" s="3102"/>
      <c r="X177" s="3102"/>
      <c r="Y177" s="3102"/>
      <c r="Z177" s="3102"/>
      <c r="AA177" s="3102"/>
      <c r="AB177" s="3102"/>
      <c r="AC177" s="3102"/>
      <c r="AD177" s="3102"/>
    </row>
    <row r="178" spans="2:30" ht="12.95" customHeight="1">
      <c r="E178" s="2960" t="s">
        <v>6310</v>
      </c>
      <c r="F178" s="2960"/>
      <c r="G178" s="2960"/>
      <c r="K178" s="2960" t="s">
        <v>6311</v>
      </c>
      <c r="L178" s="2960"/>
      <c r="M178" s="2960"/>
      <c r="N178" s="2960"/>
      <c r="R178" s="2960" t="s">
        <v>6312</v>
      </c>
      <c r="S178" s="2960"/>
      <c r="T178" s="2960"/>
      <c r="U178" s="2960"/>
      <c r="Y178" s="2960" t="s">
        <v>6313</v>
      </c>
      <c r="Z178" s="2960"/>
      <c r="AA178" s="2960"/>
    </row>
    <row r="179" spans="2:30" ht="12.95" customHeight="1">
      <c r="E179" s="2960"/>
      <c r="F179" s="2960"/>
      <c r="G179" s="2960"/>
      <c r="K179" s="2960"/>
      <c r="L179" s="2960"/>
      <c r="M179" s="2960"/>
      <c r="N179" s="2960"/>
      <c r="R179" s="2960"/>
      <c r="S179" s="2960"/>
      <c r="T179" s="2960"/>
      <c r="U179" s="2960"/>
      <c r="Y179" s="2960"/>
      <c r="Z179" s="2960"/>
      <c r="AA179" s="2960"/>
    </row>
    <row r="180" spans="2:30" ht="12.95" customHeight="1">
      <c r="E180" s="2960"/>
      <c r="F180" s="2960"/>
      <c r="G180" s="2960"/>
      <c r="K180" s="2960"/>
      <c r="L180" s="2960"/>
      <c r="M180" s="2960"/>
      <c r="N180" s="2960"/>
      <c r="R180" s="2960"/>
      <c r="S180" s="2960"/>
      <c r="T180" s="2960"/>
      <c r="U180" s="2960"/>
      <c r="Y180" s="2960"/>
      <c r="Z180" s="2960"/>
      <c r="AA180" s="2960"/>
    </row>
    <row r="181" spans="2:30" ht="12.95" customHeight="1">
      <c r="E181" s="2960"/>
      <c r="F181" s="2960"/>
      <c r="G181" s="2960"/>
      <c r="K181" s="3707" t="s">
        <v>6257</v>
      </c>
      <c r="L181" s="3707"/>
      <c r="M181" s="3707"/>
      <c r="N181" s="3707"/>
      <c r="R181" s="2960"/>
      <c r="S181" s="2960"/>
      <c r="T181" s="2960"/>
      <c r="U181" s="2960"/>
      <c r="Y181" s="2960"/>
      <c r="Z181" s="2960"/>
      <c r="AA181" s="2960"/>
    </row>
    <row r="182" spans="2:30" ht="12.95" customHeight="1">
      <c r="E182" s="2960"/>
      <c r="F182" s="2960"/>
      <c r="G182" s="2960"/>
      <c r="K182" s="3707"/>
      <c r="L182" s="3707"/>
      <c r="M182" s="3707"/>
      <c r="N182" s="3707"/>
      <c r="R182" s="2960"/>
      <c r="S182" s="2960"/>
      <c r="T182" s="2960"/>
      <c r="U182" s="2960"/>
      <c r="Y182" s="2960"/>
      <c r="Z182" s="2960"/>
      <c r="AA182" s="2960"/>
    </row>
    <row r="183" spans="2:30" ht="12.95" customHeight="1">
      <c r="B183" s="3102" t="s">
        <v>6314</v>
      </c>
      <c r="C183" s="3102"/>
      <c r="D183" s="3102"/>
      <c r="E183" s="3102"/>
      <c r="F183" s="3102"/>
      <c r="G183" s="3102"/>
      <c r="H183" s="3102"/>
      <c r="I183" s="3102"/>
      <c r="J183" s="3102"/>
      <c r="K183" s="3102"/>
      <c r="L183" s="3102"/>
      <c r="M183" s="3102"/>
      <c r="N183" s="3102"/>
      <c r="O183" s="3102"/>
      <c r="P183" s="3102"/>
      <c r="Q183" s="3102"/>
      <c r="R183" s="3102"/>
      <c r="S183" s="3102"/>
      <c r="T183" s="3102"/>
      <c r="U183" s="3102"/>
      <c r="V183" s="3102"/>
      <c r="W183" s="3102"/>
      <c r="X183" s="3102"/>
      <c r="Y183" s="3102"/>
      <c r="Z183" s="3102"/>
      <c r="AA183" s="3102"/>
      <c r="AB183" s="3102"/>
      <c r="AC183" s="3102"/>
      <c r="AD183" s="3102"/>
    </row>
    <row r="184" spans="2:30" ht="12.95" customHeight="1">
      <c r="E184" s="2960" t="s">
        <v>6315</v>
      </c>
      <c r="F184" s="2960"/>
      <c r="G184" s="2960"/>
      <c r="K184" s="2960" t="s">
        <v>6316</v>
      </c>
      <c r="L184" s="2960"/>
      <c r="M184" s="2960"/>
      <c r="Q184" s="2960" t="s">
        <v>6317</v>
      </c>
      <c r="R184" s="2960"/>
      <c r="S184" s="2960"/>
      <c r="W184" s="2960" t="s">
        <v>6318</v>
      </c>
      <c r="X184" s="2960"/>
      <c r="Y184" s="2960"/>
      <c r="AC184" s="2960" t="s">
        <v>6319</v>
      </c>
      <c r="AD184" s="2960"/>
    </row>
    <row r="185" spans="2:30" ht="12.95" customHeight="1">
      <c r="E185" s="2960"/>
      <c r="F185" s="2960"/>
      <c r="G185" s="2960"/>
      <c r="K185" s="2960"/>
      <c r="L185" s="2960"/>
      <c r="M185" s="2960"/>
      <c r="Q185" s="2960"/>
      <c r="R185" s="2960"/>
      <c r="S185" s="2960"/>
      <c r="W185" s="2960"/>
      <c r="X185" s="2960"/>
      <c r="Y185" s="2960"/>
      <c r="AC185" s="2960"/>
      <c r="AD185" s="2960"/>
    </row>
    <row r="186" spans="2:30" ht="12.95" customHeight="1">
      <c r="E186" s="2960"/>
      <c r="F186" s="2960"/>
      <c r="G186" s="2960"/>
      <c r="K186" s="2960"/>
      <c r="L186" s="2960"/>
      <c r="M186" s="2960"/>
      <c r="Q186" s="2960"/>
      <c r="R186" s="2960"/>
      <c r="S186" s="2960"/>
      <c r="W186" s="2960"/>
      <c r="X186" s="2960"/>
      <c r="Y186" s="2960"/>
      <c r="AC186" s="2960"/>
      <c r="AD186" s="2960"/>
    </row>
    <row r="187" spans="2:30" ht="12.95" customHeight="1">
      <c r="E187" s="2960"/>
      <c r="F187" s="2960"/>
      <c r="G187" s="2960"/>
      <c r="K187" s="2960"/>
      <c r="L187" s="2960"/>
      <c r="M187" s="2960"/>
      <c r="Q187" s="2960"/>
      <c r="R187" s="2960"/>
      <c r="S187" s="2960"/>
      <c r="W187" s="2960"/>
      <c r="X187" s="2960"/>
      <c r="Y187" s="2960"/>
      <c r="AC187" s="2960"/>
      <c r="AD187" s="2960"/>
    </row>
    <row r="188" spans="2:30" ht="12.95" customHeight="1">
      <c r="E188" s="2960"/>
      <c r="F188" s="2960"/>
      <c r="G188" s="2960"/>
      <c r="K188" s="2960"/>
      <c r="L188" s="2960"/>
      <c r="M188" s="2960"/>
      <c r="Q188" s="2960"/>
      <c r="R188" s="2960"/>
      <c r="S188" s="2960"/>
      <c r="W188" s="2960"/>
      <c r="X188" s="2960"/>
      <c r="Y188" s="2960"/>
      <c r="AC188" s="2960"/>
      <c r="AD188" s="2960"/>
    </row>
    <row r="189" spans="2:30" ht="12.95" customHeight="1">
      <c r="E189" s="3710" t="s">
        <v>6320</v>
      </c>
      <c r="F189" s="3710"/>
      <c r="G189" s="3710"/>
      <c r="W189" s="2960" t="s">
        <v>6321</v>
      </c>
      <c r="X189" s="2960"/>
      <c r="AB189" s="3706" t="s">
        <v>6322</v>
      </c>
      <c r="AC189" s="3706"/>
      <c r="AD189" s="3706"/>
    </row>
    <row r="190" spans="2:30" ht="12.95" customHeight="1">
      <c r="E190" s="3710"/>
      <c r="F190" s="3710"/>
      <c r="G190" s="3710"/>
      <c r="L190" s="3000" t="s">
        <v>6323</v>
      </c>
      <c r="M190" s="3000"/>
      <c r="N190" s="3000"/>
      <c r="O190" s="3000"/>
      <c r="P190" s="3000"/>
      <c r="Q190" s="3000"/>
      <c r="R190" s="3000"/>
      <c r="S190" s="3000"/>
      <c r="W190" s="2960"/>
      <c r="X190" s="2960"/>
      <c r="AB190" s="3706"/>
      <c r="AC190" s="3706"/>
      <c r="AD190" s="3706"/>
    </row>
    <row r="191" spans="2:30" ht="12.95" customHeight="1">
      <c r="E191" s="3710"/>
      <c r="F191" s="3710"/>
      <c r="G191" s="3710"/>
      <c r="L191" s="3705" t="s">
        <v>6324</v>
      </c>
      <c r="M191" s="3705"/>
      <c r="N191" s="3705"/>
      <c r="O191" s="3705"/>
      <c r="P191" s="3705"/>
      <c r="Q191" s="3705"/>
      <c r="R191" s="3705"/>
      <c r="S191" s="3705"/>
      <c r="W191" s="2960"/>
      <c r="X191" s="2960"/>
      <c r="AB191" s="3706"/>
      <c r="AC191" s="3706"/>
      <c r="AD191" s="3706"/>
    </row>
    <row r="192" spans="2:30" ht="12.95" customHeight="1">
      <c r="E192" s="3710"/>
      <c r="F192" s="3710"/>
      <c r="G192" s="3710"/>
      <c r="L192" s="3705" t="s">
        <v>6325</v>
      </c>
      <c r="M192" s="3705"/>
      <c r="N192" s="3705"/>
      <c r="O192" s="3705"/>
      <c r="P192" s="3705"/>
      <c r="Q192" s="3705"/>
      <c r="R192" s="3705"/>
      <c r="S192" s="3705"/>
      <c r="W192" s="2960"/>
      <c r="X192" s="2960"/>
      <c r="AB192" s="3706"/>
      <c r="AC192" s="3706"/>
      <c r="AD192" s="3706"/>
    </row>
    <row r="193" spans="2:36" ht="12.95" customHeight="1">
      <c r="E193" s="3710"/>
      <c r="F193" s="3710"/>
      <c r="G193" s="3710"/>
      <c r="L193" s="3705" t="s">
        <v>6326</v>
      </c>
      <c r="M193" s="3705"/>
      <c r="N193" s="3705"/>
      <c r="O193" s="3705"/>
      <c r="P193" s="3705"/>
      <c r="Q193" s="3705"/>
      <c r="R193" s="3705"/>
      <c r="S193" s="3705"/>
      <c r="W193" s="2960"/>
      <c r="X193" s="2960"/>
      <c r="AB193" s="3707" t="s">
        <v>6257</v>
      </c>
      <c r="AC193" s="3707"/>
      <c r="AD193" s="3707"/>
    </row>
    <row r="194" spans="2:36" ht="12.95" customHeight="1">
      <c r="E194" s="3710"/>
      <c r="F194" s="3710"/>
      <c r="G194" s="3710"/>
      <c r="L194" s="3705" t="s">
        <v>6327</v>
      </c>
      <c r="M194" s="3705"/>
      <c r="N194" s="3705"/>
      <c r="O194" s="3705"/>
      <c r="P194" s="3705"/>
      <c r="Q194" s="3705"/>
      <c r="R194" s="3705"/>
      <c r="S194" s="3705"/>
      <c r="W194" s="2960"/>
      <c r="X194" s="2960"/>
      <c r="AB194" s="3707"/>
      <c r="AC194" s="3707"/>
      <c r="AD194" s="3707"/>
    </row>
    <row r="195" spans="2:36" ht="12.95" customHeight="1">
      <c r="E195" s="3710"/>
      <c r="F195" s="3710"/>
      <c r="G195" s="3710"/>
      <c r="W195" s="2960"/>
      <c r="X195" s="2960"/>
      <c r="AB195" s="3707"/>
      <c r="AC195" s="3707"/>
      <c r="AD195" s="3707"/>
      <c r="AE195" s="1799"/>
      <c r="AF195" s="1799"/>
      <c r="AG195" s="1799"/>
      <c r="AH195" s="1799"/>
      <c r="AI195" s="1799"/>
      <c r="AJ195" s="1799"/>
    </row>
    <row r="196" spans="2:36" ht="12.95" customHeight="1">
      <c r="E196" s="2960" t="s">
        <v>6328</v>
      </c>
      <c r="F196" s="2960"/>
      <c r="M196" s="3000" t="s">
        <v>6329</v>
      </c>
      <c r="N196" s="3000"/>
      <c r="O196" s="3000"/>
      <c r="P196" s="3000"/>
      <c r="Q196" s="3000"/>
      <c r="R196" s="3000"/>
      <c r="S196" s="3000"/>
      <c r="T196" s="3000"/>
      <c r="X196" s="2960" t="s">
        <v>6330</v>
      </c>
      <c r="Y196" s="2960"/>
      <c r="Z196" s="2960"/>
      <c r="AA196" s="2960"/>
    </row>
    <row r="197" spans="2:36" ht="12.95" customHeight="1">
      <c r="E197" s="2960"/>
      <c r="F197" s="2960"/>
      <c r="M197" s="3705" t="s">
        <v>6331</v>
      </c>
      <c r="N197" s="3705"/>
      <c r="O197" s="3705"/>
      <c r="P197" s="3705"/>
      <c r="Q197" s="3705"/>
      <c r="R197" s="3705"/>
      <c r="S197" s="3705"/>
      <c r="T197" s="3705"/>
      <c r="X197" s="2960"/>
      <c r="Y197" s="2960"/>
      <c r="Z197" s="2960"/>
      <c r="AA197" s="2960"/>
    </row>
    <row r="198" spans="2:36" ht="12.95" customHeight="1">
      <c r="E198" s="2960"/>
      <c r="F198" s="2960"/>
      <c r="M198" s="3705" t="s">
        <v>6325</v>
      </c>
      <c r="N198" s="3705"/>
      <c r="O198" s="3705"/>
      <c r="P198" s="3705"/>
      <c r="Q198" s="3705"/>
      <c r="R198" s="3705"/>
      <c r="S198" s="3705"/>
      <c r="T198" s="3705"/>
      <c r="X198" s="2960"/>
      <c r="Y198" s="2960"/>
      <c r="Z198" s="2960"/>
      <c r="AA198" s="2960"/>
    </row>
    <row r="199" spans="2:36" ht="12.95" customHeight="1">
      <c r="E199" s="2960"/>
      <c r="F199" s="2960"/>
      <c r="M199" s="3705" t="s">
        <v>6326</v>
      </c>
      <c r="N199" s="3705"/>
      <c r="O199" s="3705"/>
      <c r="P199" s="3705"/>
      <c r="Q199" s="3705"/>
      <c r="R199" s="3705"/>
      <c r="S199" s="3705"/>
      <c r="T199" s="3705"/>
      <c r="X199" s="3707" t="s">
        <v>6257</v>
      </c>
      <c r="Y199" s="3707"/>
      <c r="Z199" s="3707"/>
      <c r="AA199" s="3707"/>
    </row>
    <row r="200" spans="2:36" ht="12.95" customHeight="1">
      <c r="E200" s="2960"/>
      <c r="F200" s="2960"/>
      <c r="M200" s="3705" t="s">
        <v>6327</v>
      </c>
      <c r="N200" s="3705"/>
      <c r="O200" s="3705"/>
      <c r="P200" s="3705"/>
      <c r="Q200" s="3705"/>
      <c r="R200" s="3705"/>
      <c r="S200" s="3705"/>
      <c r="T200" s="3705"/>
      <c r="X200" s="3707"/>
      <c r="Y200" s="3707"/>
      <c r="Z200" s="3707"/>
      <c r="AA200" s="3707"/>
    </row>
    <row r="201" spans="2:36" ht="12.95" customHeight="1">
      <c r="E201" s="2960" t="s">
        <v>6332</v>
      </c>
      <c r="F201" s="2960"/>
      <c r="G201" s="2960"/>
      <c r="L201" s="3706" t="s">
        <v>6333</v>
      </c>
      <c r="M201" s="3706"/>
      <c r="N201" s="3706"/>
      <c r="O201" s="3706"/>
      <c r="P201" s="3706"/>
      <c r="Q201" s="3706"/>
      <c r="R201" s="3706"/>
      <c r="S201" s="3706"/>
      <c r="X201" s="1799"/>
      <c r="Y201" s="1799"/>
      <c r="Z201" s="1799"/>
    </row>
    <row r="202" spans="2:36" ht="12.95" customHeight="1">
      <c r="E202" s="2960"/>
      <c r="F202" s="2960"/>
      <c r="G202" s="2960"/>
      <c r="L202" s="3706"/>
      <c r="M202" s="3706"/>
      <c r="N202" s="3706"/>
      <c r="O202" s="3706"/>
      <c r="P202" s="3706"/>
      <c r="Q202" s="3706"/>
      <c r="R202" s="3706"/>
      <c r="S202" s="3706"/>
      <c r="X202" s="1799"/>
      <c r="Y202" s="1799"/>
      <c r="Z202" s="1799"/>
    </row>
    <row r="203" spans="2:36" ht="12.95" customHeight="1">
      <c r="E203" s="2960"/>
      <c r="F203" s="2960"/>
      <c r="G203" s="2960"/>
      <c r="L203" s="3705" t="s">
        <v>6324</v>
      </c>
      <c r="M203" s="3705"/>
      <c r="N203" s="3705"/>
      <c r="O203" s="3705"/>
      <c r="P203" s="3705"/>
      <c r="Q203" s="3705"/>
      <c r="R203" s="3705"/>
      <c r="S203" s="3705"/>
    </row>
    <row r="204" spans="2:36" ht="12.95" customHeight="1">
      <c r="E204" s="2960"/>
      <c r="F204" s="2960"/>
      <c r="G204" s="2960"/>
      <c r="L204" s="3705" t="s">
        <v>6325</v>
      </c>
      <c r="M204" s="3705"/>
      <c r="N204" s="3705"/>
      <c r="O204" s="3705"/>
      <c r="P204" s="3705"/>
      <c r="Q204" s="3705"/>
      <c r="R204" s="3705"/>
      <c r="S204" s="3705"/>
    </row>
    <row r="205" spans="2:36" ht="12.95" customHeight="1">
      <c r="E205" s="2960"/>
      <c r="F205" s="2960"/>
      <c r="G205" s="2960"/>
      <c r="L205" s="3705" t="s">
        <v>6326</v>
      </c>
      <c r="M205" s="3705"/>
      <c r="N205" s="3705"/>
      <c r="O205" s="3705"/>
      <c r="P205" s="3705"/>
      <c r="Q205" s="3705"/>
      <c r="R205" s="3705"/>
      <c r="S205" s="3705"/>
    </row>
    <row r="206" spans="2:36" ht="12.95" customHeight="1">
      <c r="E206" s="2960"/>
      <c r="F206" s="2960"/>
      <c r="G206" s="2960"/>
      <c r="L206" s="3705" t="s">
        <v>6327</v>
      </c>
      <c r="M206" s="3705"/>
      <c r="N206" s="3705"/>
      <c r="O206" s="3705"/>
      <c r="P206" s="3705"/>
      <c r="Q206" s="3705"/>
      <c r="R206" s="3705"/>
      <c r="S206" s="3705"/>
    </row>
    <row r="207" spans="2:36" ht="12.95" customHeight="1">
      <c r="B207" s="3102" t="s">
        <v>6334</v>
      </c>
      <c r="C207" s="3102"/>
      <c r="D207" s="3102"/>
      <c r="E207" s="3102"/>
      <c r="F207" s="3102"/>
      <c r="G207" s="3102"/>
      <c r="H207" s="3102"/>
      <c r="I207" s="3102"/>
      <c r="J207" s="3102"/>
      <c r="K207" s="3102"/>
      <c r="L207" s="3102"/>
      <c r="M207" s="3102"/>
      <c r="N207" s="3102"/>
      <c r="O207" s="3102"/>
      <c r="P207" s="3102"/>
      <c r="Q207" s="3102"/>
      <c r="R207" s="3102"/>
      <c r="S207" s="3102"/>
      <c r="T207" s="3102"/>
      <c r="U207" s="3102"/>
      <c r="V207" s="3102"/>
      <c r="W207" s="3102"/>
      <c r="X207" s="3102"/>
      <c r="Y207" s="3102"/>
      <c r="Z207" s="3102"/>
      <c r="AA207" s="3102"/>
      <c r="AB207" s="3102"/>
      <c r="AC207" s="3102"/>
      <c r="AD207" s="3102"/>
    </row>
    <row r="208" spans="2:36" ht="12.95" customHeight="1">
      <c r="E208" s="2960" t="s">
        <v>6335</v>
      </c>
      <c r="F208" s="2960"/>
      <c r="G208" s="2960"/>
      <c r="K208" s="2960" t="s">
        <v>6336</v>
      </c>
      <c r="L208" s="2960"/>
      <c r="M208" s="2960"/>
      <c r="N208" s="2960"/>
      <c r="O208" s="2960"/>
      <c r="S208" s="2960" t="s">
        <v>6337</v>
      </c>
      <c r="T208" s="2960"/>
      <c r="X208" s="2960" t="s">
        <v>6338</v>
      </c>
      <c r="Y208" s="2960"/>
      <c r="Z208" s="2960"/>
      <c r="AA208" s="2960"/>
      <c r="AB208" s="2960"/>
      <c r="AC208" s="2960"/>
      <c r="AD208" s="2960"/>
    </row>
    <row r="209" spans="5:30" ht="12.95" customHeight="1">
      <c r="E209" s="2960"/>
      <c r="F209" s="2960"/>
      <c r="G209" s="2960"/>
      <c r="K209" s="2960"/>
      <c r="L209" s="2960"/>
      <c r="M209" s="2960"/>
      <c r="N209" s="2960"/>
      <c r="O209" s="2960"/>
      <c r="S209" s="2960"/>
      <c r="T209" s="2960"/>
      <c r="X209" s="2960"/>
      <c r="Y209" s="2960"/>
      <c r="Z209" s="2960"/>
      <c r="AA209" s="2960"/>
      <c r="AB209" s="2960"/>
      <c r="AC209" s="2960"/>
      <c r="AD209" s="2960"/>
    </row>
    <row r="210" spans="5:30" ht="12.95" customHeight="1">
      <c r="E210" s="2960"/>
      <c r="F210" s="2960"/>
      <c r="G210" s="2960"/>
      <c r="K210" s="2960"/>
      <c r="L210" s="2960"/>
      <c r="M210" s="2960"/>
      <c r="N210" s="2960"/>
      <c r="O210" s="2960"/>
      <c r="S210" s="2960"/>
      <c r="T210" s="2960"/>
      <c r="X210" s="2960"/>
      <c r="Y210" s="2960"/>
      <c r="Z210" s="2960"/>
      <c r="AA210" s="2960"/>
      <c r="AB210" s="2960"/>
      <c r="AC210" s="2960"/>
      <c r="AD210" s="2960"/>
    </row>
    <row r="211" spans="5:30" ht="12.95" customHeight="1">
      <c r="E211" s="2960"/>
      <c r="F211" s="2960"/>
      <c r="G211" s="2960"/>
      <c r="K211" s="2960"/>
      <c r="L211" s="2960"/>
      <c r="M211" s="2960"/>
      <c r="N211" s="2960"/>
      <c r="O211" s="2960"/>
      <c r="S211" s="2960"/>
      <c r="T211" s="2960"/>
      <c r="X211" s="3707" t="s">
        <v>6339</v>
      </c>
      <c r="Y211" s="3707"/>
      <c r="Z211" s="3707"/>
      <c r="AA211" s="3707"/>
      <c r="AB211" s="3707"/>
      <c r="AC211" s="3707"/>
      <c r="AD211" s="3707"/>
    </row>
    <row r="212" spans="5:30" ht="12.95" customHeight="1">
      <c r="E212" s="2960"/>
      <c r="F212" s="2960"/>
      <c r="G212" s="2960"/>
      <c r="K212" s="2960"/>
      <c r="L212" s="2960"/>
      <c r="M212" s="2960"/>
      <c r="N212" s="2960"/>
      <c r="O212" s="2960"/>
      <c r="S212" s="2960"/>
      <c r="T212" s="2960"/>
      <c r="X212" s="3707"/>
      <c r="Y212" s="3707"/>
      <c r="Z212" s="3707"/>
      <c r="AA212" s="3707"/>
      <c r="AB212" s="3707"/>
      <c r="AC212" s="3707"/>
      <c r="AD212" s="3707"/>
    </row>
    <row r="213" spans="5:30" ht="12.95" customHeight="1">
      <c r="E213" s="3710" t="s">
        <v>6340</v>
      </c>
      <c r="F213" s="3710"/>
      <c r="G213" s="3710"/>
      <c r="K213" s="2960" t="s">
        <v>6341</v>
      </c>
      <c r="L213" s="2960"/>
      <c r="M213" s="2960"/>
      <c r="Q213" s="2960" t="s">
        <v>6342</v>
      </c>
      <c r="R213" s="2960"/>
      <c r="S213" s="2960"/>
      <c r="Z213" s="2960" t="s">
        <v>6343</v>
      </c>
      <c r="AA213" s="2960"/>
      <c r="AB213" s="2960"/>
      <c r="AC213" s="2960"/>
      <c r="AD213" s="2960"/>
    </row>
    <row r="214" spans="5:30" ht="12.95" customHeight="1">
      <c r="E214" s="3710"/>
      <c r="F214" s="3710"/>
      <c r="G214" s="3710"/>
      <c r="K214" s="2960"/>
      <c r="L214" s="2960"/>
      <c r="M214" s="2960"/>
      <c r="Q214" s="2960"/>
      <c r="R214" s="2960"/>
      <c r="S214" s="2960"/>
      <c r="Z214" s="2960"/>
      <c r="AA214" s="2960"/>
      <c r="AB214" s="2960"/>
      <c r="AC214" s="2960"/>
      <c r="AD214" s="2960"/>
    </row>
    <row r="215" spans="5:30" ht="12.95" customHeight="1">
      <c r="E215" s="3710"/>
      <c r="F215" s="3710"/>
      <c r="G215" s="3710"/>
      <c r="K215" s="2960"/>
      <c r="L215" s="2960"/>
      <c r="M215" s="2960"/>
      <c r="Q215" s="2960"/>
      <c r="R215" s="2960"/>
      <c r="S215" s="2960"/>
      <c r="Z215" s="2960"/>
      <c r="AA215" s="2960"/>
      <c r="AB215" s="2960"/>
      <c r="AC215" s="2960"/>
      <c r="AD215" s="2960"/>
    </row>
    <row r="216" spans="5:30" ht="12.95" customHeight="1">
      <c r="E216" s="3710"/>
      <c r="F216" s="3710"/>
      <c r="G216" s="3710"/>
      <c r="K216" s="2960"/>
      <c r="L216" s="2960"/>
      <c r="M216" s="2960"/>
      <c r="Q216" s="2960"/>
      <c r="R216" s="2960"/>
      <c r="S216" s="2960"/>
      <c r="Z216" s="2960"/>
      <c r="AA216" s="2960"/>
      <c r="AB216" s="2960"/>
      <c r="AC216" s="2960"/>
      <c r="AD216" s="2960"/>
    </row>
    <row r="217" spans="5:30" ht="12.95" customHeight="1">
      <c r="E217" s="3710"/>
      <c r="F217" s="3710"/>
      <c r="G217" s="3710"/>
      <c r="K217" s="2960"/>
      <c r="L217" s="2960"/>
      <c r="M217" s="2960"/>
      <c r="Q217" s="2960"/>
      <c r="R217" s="2960"/>
      <c r="S217" s="2960"/>
      <c r="Z217" s="2960"/>
      <c r="AA217" s="2960"/>
      <c r="AB217" s="2960"/>
      <c r="AC217" s="2960"/>
      <c r="AD217" s="2960"/>
    </row>
    <row r="218" spans="5:30" ht="12.95" customHeight="1">
      <c r="E218" s="3710"/>
      <c r="F218" s="3710"/>
      <c r="G218" s="3710"/>
      <c r="K218" s="2960"/>
      <c r="L218" s="2960"/>
      <c r="M218" s="2960"/>
      <c r="Q218" s="2960"/>
      <c r="R218" s="2960"/>
      <c r="S218" s="2960"/>
      <c r="Z218" s="2960"/>
      <c r="AA218" s="2960"/>
      <c r="AB218" s="2960"/>
      <c r="AC218" s="2960"/>
      <c r="AD218" s="2960"/>
    </row>
    <row r="219" spans="5:30" ht="12.95" customHeight="1">
      <c r="E219" s="3710"/>
      <c r="F219" s="3710"/>
      <c r="G219" s="3710"/>
      <c r="K219" s="2960"/>
      <c r="L219" s="2960"/>
      <c r="M219" s="2960"/>
      <c r="Q219" s="2960"/>
      <c r="R219" s="2960"/>
      <c r="S219" s="2960"/>
      <c r="Z219" s="2960"/>
      <c r="AA219" s="2960"/>
      <c r="AB219" s="2960"/>
      <c r="AC219" s="2960"/>
      <c r="AD219" s="2960"/>
    </row>
    <row r="221" spans="5:30" ht="12.95" customHeight="1">
      <c r="H221" s="2960" t="s">
        <v>6344</v>
      </c>
      <c r="I221" s="2960"/>
      <c r="J221" s="2960"/>
      <c r="N221" s="2960" t="s">
        <v>6345</v>
      </c>
      <c r="O221" s="2960"/>
      <c r="P221" s="2960"/>
      <c r="T221" s="2960" t="s">
        <v>6346</v>
      </c>
      <c r="U221" s="2960"/>
      <c r="V221" s="2960"/>
      <c r="W221" s="2960"/>
      <c r="X221" s="2960"/>
      <c r="AB221" s="3706" t="s">
        <v>6347</v>
      </c>
      <c r="AC221" s="3706"/>
      <c r="AD221" s="3706"/>
    </row>
    <row r="222" spans="5:30" ht="12.95" customHeight="1">
      <c r="H222" s="2960"/>
      <c r="I222" s="2960"/>
      <c r="J222" s="2960"/>
      <c r="N222" s="2960"/>
      <c r="O222" s="2960"/>
      <c r="P222" s="2960"/>
      <c r="T222" s="2960"/>
      <c r="U222" s="2960"/>
      <c r="V222" s="2960"/>
      <c r="W222" s="2960"/>
      <c r="X222" s="2960"/>
      <c r="AB222" s="3706"/>
      <c r="AC222" s="3706"/>
      <c r="AD222" s="3706"/>
    </row>
    <row r="223" spans="5:30" ht="12.95" customHeight="1">
      <c r="H223" s="2960"/>
      <c r="I223" s="2960"/>
      <c r="J223" s="2960"/>
      <c r="N223" s="2960"/>
      <c r="O223" s="2960"/>
      <c r="P223" s="2960"/>
      <c r="T223" s="2960"/>
      <c r="U223" s="2960"/>
      <c r="V223" s="2960"/>
      <c r="W223" s="2960"/>
      <c r="X223" s="2960"/>
      <c r="AB223" s="3707" t="s">
        <v>7323</v>
      </c>
      <c r="AC223" s="3707"/>
      <c r="AD223" s="3707"/>
    </row>
    <row r="224" spans="5:30" ht="12.95" customHeight="1">
      <c r="H224" s="2960"/>
      <c r="I224" s="2960"/>
      <c r="J224" s="2960"/>
      <c r="N224" s="2960"/>
      <c r="O224" s="2960"/>
      <c r="P224" s="2960"/>
      <c r="T224" s="2960"/>
      <c r="U224" s="2960"/>
      <c r="V224" s="2960"/>
      <c r="W224" s="2960"/>
      <c r="X224" s="2960"/>
      <c r="AB224" s="3707"/>
      <c r="AC224" s="3707"/>
      <c r="AD224" s="3707"/>
    </row>
    <row r="225" spans="5:31" ht="12.95" customHeight="1">
      <c r="H225" s="2960"/>
      <c r="I225" s="2960"/>
      <c r="J225" s="2960"/>
      <c r="N225" s="2960"/>
      <c r="O225" s="2960"/>
      <c r="P225" s="2960"/>
      <c r="T225" s="3707" t="s">
        <v>6339</v>
      </c>
      <c r="U225" s="3707"/>
      <c r="V225" s="3707"/>
      <c r="W225" s="3707"/>
      <c r="X225" s="3707"/>
      <c r="AB225" s="3707"/>
      <c r="AC225" s="3707"/>
      <c r="AD225" s="3707"/>
    </row>
    <row r="226" spans="5:31" ht="12.95" customHeight="1">
      <c r="H226" s="2960"/>
      <c r="I226" s="2960"/>
      <c r="J226" s="2960"/>
      <c r="N226" s="2960"/>
      <c r="O226" s="2960"/>
      <c r="P226" s="2960"/>
      <c r="T226" s="3707"/>
      <c r="U226" s="3707"/>
      <c r="V226" s="3707"/>
      <c r="W226" s="3707"/>
      <c r="X226" s="3707"/>
      <c r="AB226" s="3707"/>
      <c r="AC226" s="3707"/>
      <c r="AD226" s="3707"/>
    </row>
    <row r="227" spans="5:31" ht="12.95" customHeight="1">
      <c r="H227" s="2960"/>
      <c r="I227" s="2960"/>
      <c r="J227" s="2960"/>
      <c r="N227" s="2960"/>
      <c r="O227" s="2960"/>
      <c r="P227" s="2960"/>
      <c r="T227" s="3707"/>
      <c r="U227" s="3707"/>
      <c r="V227" s="3707"/>
      <c r="W227" s="3707"/>
      <c r="X227" s="3707"/>
      <c r="AB227" s="3707"/>
      <c r="AC227" s="3707"/>
      <c r="AD227" s="3707"/>
    </row>
    <row r="228" spans="5:31" ht="12.95" customHeight="1">
      <c r="T228" s="3707"/>
      <c r="U228" s="3707"/>
      <c r="V228" s="3707"/>
      <c r="W228" s="3707"/>
      <c r="X228" s="3707"/>
      <c r="AB228" s="3707"/>
      <c r="AC228" s="3707"/>
      <c r="AD228" s="3707"/>
      <c r="AE228" s="1799"/>
    </row>
    <row r="229" spans="5:31" ht="12.95" customHeight="1">
      <c r="E229" s="2960" t="s">
        <v>6348</v>
      </c>
      <c r="F229" s="2960"/>
      <c r="G229" s="2960"/>
      <c r="H229" s="2960"/>
      <c r="I229" s="2960"/>
      <c r="J229" s="2960"/>
      <c r="N229" s="2960" t="s">
        <v>6349</v>
      </c>
      <c r="O229" s="2960"/>
      <c r="P229" s="2960"/>
      <c r="T229" s="2960" t="s">
        <v>6350</v>
      </c>
      <c r="U229" s="2960"/>
      <c r="V229" s="2960"/>
      <c r="W229" s="2960"/>
      <c r="AA229" s="3710" t="s">
        <v>6351</v>
      </c>
      <c r="AB229" s="3710"/>
      <c r="AC229" s="3710"/>
      <c r="AD229" s="3710"/>
    </row>
    <row r="230" spans="5:31" ht="12.95" customHeight="1">
      <c r="E230" s="2960"/>
      <c r="F230" s="2960"/>
      <c r="G230" s="2960"/>
      <c r="H230" s="2960"/>
      <c r="I230" s="2960"/>
      <c r="J230" s="2960"/>
      <c r="N230" s="2960"/>
      <c r="O230" s="2960"/>
      <c r="P230" s="2960"/>
      <c r="T230" s="2960"/>
      <c r="U230" s="2960"/>
      <c r="V230" s="2960"/>
      <c r="W230" s="2960"/>
      <c r="AA230" s="3710"/>
      <c r="AB230" s="3710"/>
      <c r="AC230" s="3710"/>
      <c r="AD230" s="3710"/>
    </row>
    <row r="231" spans="5:31" ht="12.95" customHeight="1">
      <c r="E231" s="3707" t="s">
        <v>6257</v>
      </c>
      <c r="F231" s="3707"/>
      <c r="G231" s="3707"/>
      <c r="H231" s="3707"/>
      <c r="I231" s="3707"/>
      <c r="J231" s="3707"/>
      <c r="N231" s="2960"/>
      <c r="O231" s="2960"/>
      <c r="P231" s="2960"/>
      <c r="T231" s="3707" t="s">
        <v>6257</v>
      </c>
      <c r="U231" s="3707"/>
      <c r="V231" s="3707"/>
      <c r="W231" s="3707"/>
      <c r="AA231" s="3710"/>
      <c r="AB231" s="3710"/>
      <c r="AC231" s="3710"/>
      <c r="AD231" s="3710"/>
    </row>
    <row r="232" spans="5:31" ht="12.95" customHeight="1">
      <c r="E232" s="3708" t="s">
        <v>7324</v>
      </c>
      <c r="F232" s="3708"/>
      <c r="G232" s="3708"/>
      <c r="H232" s="3708"/>
      <c r="I232" s="3708"/>
      <c r="J232" s="3708"/>
      <c r="N232" s="2960"/>
      <c r="O232" s="2960"/>
      <c r="P232" s="2960"/>
      <c r="T232" s="3707"/>
      <c r="U232" s="3707"/>
      <c r="V232" s="3707"/>
      <c r="W232" s="3707"/>
      <c r="AA232" s="3710"/>
      <c r="AB232" s="3710"/>
      <c r="AC232" s="3710"/>
      <c r="AD232" s="3710"/>
    </row>
    <row r="233" spans="5:31" ht="12.95" customHeight="1">
      <c r="E233" s="3708"/>
      <c r="F233" s="3708"/>
      <c r="G233" s="3708"/>
      <c r="H233" s="3708"/>
      <c r="I233" s="3708"/>
      <c r="J233" s="3708"/>
      <c r="N233" s="2960"/>
      <c r="O233" s="2960"/>
      <c r="P233" s="2960"/>
      <c r="T233" s="3709" t="s">
        <v>6352</v>
      </c>
      <c r="U233" s="3709"/>
      <c r="V233" s="3709"/>
      <c r="W233" s="3709"/>
      <c r="X233" s="1798"/>
      <c r="Y233" s="1798"/>
      <c r="AA233" s="3710"/>
      <c r="AB233" s="3710"/>
      <c r="AC233" s="3710"/>
      <c r="AD233" s="3710"/>
    </row>
    <row r="234" spans="5:31" ht="12.95" customHeight="1">
      <c r="E234" s="3708"/>
      <c r="F234" s="3708"/>
      <c r="G234" s="3708"/>
      <c r="H234" s="3708"/>
      <c r="I234" s="3708"/>
      <c r="J234" s="3708"/>
      <c r="N234" s="2960"/>
      <c r="O234" s="2960"/>
      <c r="P234" s="2960"/>
      <c r="T234" s="3709"/>
      <c r="U234" s="3709"/>
      <c r="V234" s="3709"/>
      <c r="W234" s="3709"/>
      <c r="X234" s="1798"/>
      <c r="Y234" s="1798"/>
      <c r="AA234" s="3710"/>
      <c r="AB234" s="3710"/>
      <c r="AC234" s="3710"/>
      <c r="AD234" s="3710"/>
    </row>
    <row r="235" spans="5:31" ht="7.5" customHeight="1">
      <c r="E235" s="1798"/>
      <c r="F235" s="1798"/>
      <c r="G235" s="1798"/>
      <c r="H235" s="1798"/>
      <c r="I235" s="1798"/>
      <c r="J235" s="1798"/>
      <c r="K235" s="1798"/>
      <c r="L235" s="1798"/>
      <c r="M235" s="1798"/>
      <c r="T235" s="3709"/>
      <c r="U235" s="3709"/>
      <c r="V235" s="3709"/>
      <c r="W235" s="3709"/>
      <c r="X235" s="1798"/>
      <c r="Y235" s="1798"/>
    </row>
    <row r="236" spans="5:31" ht="12.95" customHeight="1">
      <c r="E236" s="2960" t="s">
        <v>6353</v>
      </c>
      <c r="F236" s="2960"/>
      <c r="G236" s="2960"/>
      <c r="K236" s="2960" t="s">
        <v>6354</v>
      </c>
      <c r="L236" s="2960"/>
      <c r="M236" s="288"/>
      <c r="P236" s="2960" t="s">
        <v>6355</v>
      </c>
      <c r="Q236" s="2960"/>
      <c r="U236" s="2960" t="s">
        <v>6356</v>
      </c>
      <c r="V236" s="2960"/>
      <c r="W236" s="2960"/>
      <c r="X236" s="2960"/>
      <c r="AB236" s="2960" t="s">
        <v>6357</v>
      </c>
      <c r="AC236" s="2960"/>
      <c r="AD236" s="2960"/>
    </row>
    <row r="237" spans="5:31" ht="12.95" customHeight="1">
      <c r="E237" s="2960"/>
      <c r="F237" s="2960"/>
      <c r="G237" s="2960"/>
      <c r="K237" s="2960"/>
      <c r="L237" s="2960"/>
      <c r="M237" s="288"/>
      <c r="P237" s="2960"/>
      <c r="Q237" s="2960"/>
      <c r="U237" s="2960"/>
      <c r="V237" s="2960"/>
      <c r="W237" s="2960"/>
      <c r="X237" s="2960"/>
      <c r="AB237" s="2960"/>
      <c r="AC237" s="2960"/>
      <c r="AD237" s="2960"/>
    </row>
    <row r="238" spans="5:31" ht="12.95" customHeight="1">
      <c r="E238" s="2960"/>
      <c r="F238" s="2960"/>
      <c r="G238" s="2960"/>
      <c r="K238" s="2960"/>
      <c r="L238" s="2960"/>
      <c r="M238" s="288"/>
      <c r="P238" s="2960"/>
      <c r="Q238" s="2960"/>
      <c r="U238" s="3707" t="s">
        <v>6257</v>
      </c>
      <c r="V238" s="3707"/>
      <c r="W238" s="3707"/>
      <c r="X238" s="3707"/>
      <c r="AB238" s="2960"/>
      <c r="AC238" s="2960"/>
      <c r="AD238" s="2960"/>
    </row>
    <row r="239" spans="5:31" ht="12.95" customHeight="1">
      <c r="E239" s="2960"/>
      <c r="F239" s="2960"/>
      <c r="G239" s="2960"/>
      <c r="K239" s="2960"/>
      <c r="L239" s="2960"/>
      <c r="M239" s="288"/>
      <c r="P239" s="2960"/>
      <c r="Q239" s="2960"/>
      <c r="U239" s="3707"/>
      <c r="V239" s="3707"/>
      <c r="W239" s="3707"/>
      <c r="X239" s="3707"/>
      <c r="AB239" s="2960"/>
      <c r="AC239" s="2960"/>
      <c r="AD239" s="2960"/>
    </row>
    <row r="240" spans="5:31" ht="12.95" customHeight="1">
      <c r="E240" s="2960"/>
      <c r="F240" s="2960"/>
      <c r="G240" s="2960"/>
      <c r="K240" s="2960"/>
      <c r="L240" s="2960"/>
      <c r="M240" s="288"/>
      <c r="P240" s="2960"/>
      <c r="Q240" s="2960"/>
      <c r="U240" s="3708" t="s">
        <v>6263</v>
      </c>
      <c r="V240" s="3708"/>
      <c r="W240" s="3708"/>
      <c r="X240" s="3708"/>
      <c r="AB240" s="2960"/>
      <c r="AC240" s="2960"/>
      <c r="AD240" s="2960"/>
    </row>
    <row r="241" spans="2:30" ht="12.95" customHeight="1">
      <c r="E241" s="2960"/>
      <c r="F241" s="2960"/>
      <c r="G241" s="2960"/>
      <c r="K241" s="2960"/>
      <c r="L241" s="2960"/>
      <c r="M241" s="288"/>
      <c r="P241" s="2960"/>
      <c r="Q241" s="2960"/>
      <c r="U241" s="3708"/>
      <c r="V241" s="3708"/>
      <c r="W241" s="3708"/>
      <c r="X241" s="3708"/>
      <c r="AB241" s="2960"/>
      <c r="AC241" s="2960"/>
      <c r="AD241" s="2960"/>
    </row>
    <row r="242" spans="2:30" ht="12.95" customHeight="1">
      <c r="G242" s="2960" t="s">
        <v>6358</v>
      </c>
      <c r="H242" s="2960"/>
    </row>
    <row r="243" spans="2:30" ht="12.95" customHeight="1">
      <c r="G243" s="2960"/>
      <c r="H243" s="2960"/>
    </row>
    <row r="244" spans="2:30" ht="12.95" customHeight="1">
      <c r="G244" s="2960"/>
      <c r="H244" s="2960"/>
      <c r="N244" s="3706" t="s">
        <v>6359</v>
      </c>
      <c r="O244" s="3706"/>
      <c r="P244" s="3706"/>
      <c r="Q244" s="3706"/>
      <c r="R244" s="3706"/>
      <c r="S244" s="3706"/>
      <c r="T244" s="1800"/>
      <c r="U244" s="1800"/>
      <c r="AA244" s="2960" t="s">
        <v>6360</v>
      </c>
      <c r="AB244" s="2960"/>
      <c r="AC244" s="2960"/>
      <c r="AD244" s="2960"/>
    </row>
    <row r="245" spans="2:30" ht="12.95" customHeight="1">
      <c r="G245" s="2960"/>
      <c r="H245" s="2960"/>
      <c r="N245" s="3706"/>
      <c r="O245" s="3706"/>
      <c r="P245" s="3706"/>
      <c r="Q245" s="3706"/>
      <c r="R245" s="3706"/>
      <c r="S245" s="3706"/>
      <c r="T245" s="1800"/>
      <c r="U245" s="1800"/>
      <c r="AA245" s="2960"/>
      <c r="AB245" s="2960"/>
      <c r="AC245" s="2960"/>
      <c r="AD245" s="2960"/>
    </row>
    <row r="246" spans="2:30" ht="12.95" customHeight="1">
      <c r="G246" s="2960"/>
      <c r="H246" s="2960"/>
      <c r="N246" s="3705" t="s">
        <v>10097</v>
      </c>
      <c r="O246" s="3705"/>
      <c r="P246" s="3705"/>
      <c r="Q246" s="3705"/>
      <c r="R246" s="3705"/>
      <c r="S246" s="3705"/>
      <c r="T246" s="3705"/>
      <c r="U246" s="1801"/>
      <c r="AA246" s="2960"/>
      <c r="AB246" s="2960"/>
      <c r="AC246" s="2960"/>
      <c r="AD246" s="2960"/>
    </row>
    <row r="247" spans="2:30" ht="12.95" customHeight="1">
      <c r="G247" s="2960"/>
      <c r="H247" s="2960"/>
      <c r="N247" s="3705" t="s">
        <v>6325</v>
      </c>
      <c r="O247" s="3705"/>
      <c r="P247" s="3705"/>
      <c r="Q247" s="3705"/>
      <c r="R247" s="3705"/>
      <c r="S247" s="3705"/>
      <c r="T247" s="3705"/>
      <c r="U247" s="1801"/>
      <c r="AA247" s="2960"/>
      <c r="AB247" s="2960"/>
      <c r="AC247" s="2960"/>
      <c r="AD247" s="2960"/>
    </row>
    <row r="248" spans="2:30" ht="12.95" customHeight="1">
      <c r="G248" s="2960"/>
      <c r="H248" s="2960"/>
      <c r="N248" s="3705" t="s">
        <v>6326</v>
      </c>
      <c r="O248" s="3705"/>
      <c r="P248" s="3705"/>
      <c r="Q248" s="3705"/>
      <c r="R248" s="3705"/>
      <c r="S248" s="3705"/>
      <c r="T248" s="3705"/>
      <c r="U248" s="1801"/>
      <c r="AA248" s="3707" t="s">
        <v>6257</v>
      </c>
      <c r="AB248" s="3707"/>
      <c r="AC248" s="3707"/>
      <c r="AD248" s="3707"/>
    </row>
    <row r="249" spans="2:30" ht="12.95" customHeight="1">
      <c r="G249" s="2960"/>
      <c r="H249" s="2960"/>
      <c r="N249" s="3705" t="s">
        <v>6327</v>
      </c>
      <c r="O249" s="3705"/>
      <c r="P249" s="3705"/>
      <c r="Q249" s="3705"/>
      <c r="R249" s="3705"/>
      <c r="S249" s="3705"/>
      <c r="T249" s="3705"/>
      <c r="U249" s="1801"/>
      <c r="AA249" s="3707"/>
      <c r="AB249" s="3707"/>
      <c r="AC249" s="3707"/>
      <c r="AD249" s="3707"/>
    </row>
    <row r="250" spans="2:30" ht="12.95" customHeight="1">
      <c r="G250" s="2960"/>
      <c r="H250" s="2960"/>
    </row>
    <row r="251" spans="2:30" ht="12.95" customHeight="1">
      <c r="G251" s="2960"/>
      <c r="H251" s="2960"/>
    </row>
    <row r="253" spans="2:30" ht="12.95" customHeight="1">
      <c r="B253" s="3655" t="s">
        <v>6361</v>
      </c>
      <c r="C253" s="3655"/>
      <c r="D253" s="3655"/>
      <c r="E253" s="3655"/>
      <c r="F253" s="3655"/>
      <c r="L253" s="2960" t="s">
        <v>7325</v>
      </c>
      <c r="M253" s="2960"/>
      <c r="N253" s="2960"/>
      <c r="O253" s="2960"/>
      <c r="P253" s="2960"/>
      <c r="Q253" s="2960"/>
      <c r="R253" s="2960"/>
      <c r="S253" s="2960"/>
      <c r="T253" s="2960"/>
    </row>
    <row r="254" spans="2:30" ht="12.95" customHeight="1">
      <c r="L254" s="2960"/>
      <c r="M254" s="2960"/>
      <c r="N254" s="2960"/>
      <c r="O254" s="2960"/>
      <c r="P254" s="2960"/>
      <c r="Q254" s="2960"/>
      <c r="R254" s="2960"/>
      <c r="S254" s="2960"/>
      <c r="T254" s="2960"/>
    </row>
    <row r="255" spans="2:30" ht="12.95" customHeight="1">
      <c r="L255" s="2960"/>
      <c r="M255" s="2960"/>
      <c r="N255" s="2960"/>
      <c r="O255" s="2960"/>
      <c r="P255" s="2960"/>
      <c r="Q255" s="2960"/>
      <c r="R255" s="2960"/>
      <c r="S255" s="2960"/>
      <c r="T255" s="2960"/>
    </row>
    <row r="256" spans="2:30" ht="12.95" customHeight="1">
      <c r="L256" s="2960"/>
      <c r="M256" s="2960"/>
      <c r="N256" s="2960"/>
      <c r="O256" s="2960"/>
      <c r="P256" s="2960"/>
      <c r="Q256" s="2960"/>
      <c r="R256" s="2960"/>
      <c r="S256" s="2960"/>
      <c r="T256" s="2960"/>
    </row>
    <row r="257" spans="5:20" ht="12.95" customHeight="1">
      <c r="E257" s="292"/>
      <c r="L257" s="2960"/>
      <c r="M257" s="2960"/>
      <c r="N257" s="2960"/>
      <c r="O257" s="2960"/>
      <c r="P257" s="2960"/>
      <c r="Q257" s="2960"/>
      <c r="R257" s="2960"/>
      <c r="S257" s="2960"/>
      <c r="T257" s="2960"/>
    </row>
    <row r="258" spans="5:20" ht="12.95" customHeight="1">
      <c r="E258" s="292"/>
      <c r="L258" s="2960"/>
      <c r="M258" s="2960"/>
      <c r="N258" s="2960"/>
      <c r="O258" s="2960"/>
      <c r="P258" s="2960"/>
      <c r="Q258" s="2960"/>
      <c r="R258" s="2960"/>
      <c r="S258" s="2960"/>
      <c r="T258" s="2960"/>
    </row>
    <row r="259" spans="5:20" ht="12.95" customHeight="1">
      <c r="E259" s="292"/>
      <c r="L259" s="2960"/>
      <c r="M259" s="2960"/>
      <c r="N259" s="2960"/>
      <c r="O259" s="2960"/>
      <c r="P259" s="2960"/>
      <c r="Q259" s="2960"/>
      <c r="R259" s="2960"/>
      <c r="S259" s="2960"/>
      <c r="T259" s="2960"/>
    </row>
    <row r="260" spans="5:20" ht="12.95" customHeight="1">
      <c r="E260" s="292"/>
      <c r="L260" s="2960"/>
      <c r="M260" s="2960"/>
      <c r="N260" s="2960"/>
      <c r="O260" s="2960"/>
      <c r="P260" s="2960"/>
      <c r="Q260" s="2960"/>
      <c r="R260" s="2960"/>
      <c r="S260" s="2960"/>
      <c r="T260" s="2960"/>
    </row>
  </sheetData>
  <sheetProtection autoFilter="0"/>
  <mergeCells count="167">
    <mergeCell ref="X196:AA198"/>
    <mergeCell ref="E196:F200"/>
    <mergeCell ref="Y178:AA182"/>
    <mergeCell ref="M196:T196"/>
    <mergeCell ref="M197:T197"/>
    <mergeCell ref="M198:T198"/>
    <mergeCell ref="M199:T199"/>
    <mergeCell ref="M200:T200"/>
    <mergeCell ref="L191:S191"/>
    <mergeCell ref="L192:S192"/>
    <mergeCell ref="L193:S193"/>
    <mergeCell ref="L194:S194"/>
    <mergeCell ref="L190:S190"/>
    <mergeCell ref="B3:AD3"/>
    <mergeCell ref="B5:AD5"/>
    <mergeCell ref="C6:AD6"/>
    <mergeCell ref="C7:AD7"/>
    <mergeCell ref="C8:AD8"/>
    <mergeCell ref="B4:E4"/>
    <mergeCell ref="J21:N22"/>
    <mergeCell ref="B1:C1"/>
    <mergeCell ref="D1:AD1"/>
    <mergeCell ref="C9:AD9"/>
    <mergeCell ref="C10:AD10"/>
    <mergeCell ref="C11:AD11"/>
    <mergeCell ref="C12:AD12"/>
    <mergeCell ref="C13:AD13"/>
    <mergeCell ref="B15:AD15"/>
    <mergeCell ref="B17:AD17"/>
    <mergeCell ref="E18:F20"/>
    <mergeCell ref="Z20:AC20"/>
    <mergeCell ref="Z18:AC19"/>
    <mergeCell ref="Z22:AC23"/>
    <mergeCell ref="Z24:AC24"/>
    <mergeCell ref="Z25:AC25"/>
    <mergeCell ref="J18:N20"/>
    <mergeCell ref="B36:AD36"/>
    <mergeCell ref="F37:H41"/>
    <mergeCell ref="S37:T42"/>
    <mergeCell ref="X28:AB28"/>
    <mergeCell ref="X27:AB27"/>
    <mergeCell ref="X37:Y42"/>
    <mergeCell ref="L37:O38"/>
    <mergeCell ref="X26:AB26"/>
    <mergeCell ref="R24:S26"/>
    <mergeCell ref="B29:AD29"/>
    <mergeCell ref="E26:F28"/>
    <mergeCell ref="E22:F24"/>
    <mergeCell ref="O27:S27"/>
    <mergeCell ref="O28:S28"/>
    <mergeCell ref="K25:N26"/>
    <mergeCell ref="K27:N27"/>
    <mergeCell ref="U18:V23"/>
    <mergeCell ref="J23:N23"/>
    <mergeCell ref="B30:AD30"/>
    <mergeCell ref="F31:J35"/>
    <mergeCell ref="L39:O40"/>
    <mergeCell ref="L41:O42"/>
    <mergeCell ref="W128:Y133"/>
    <mergeCell ref="E128:G133"/>
    <mergeCell ref="K128:M133"/>
    <mergeCell ref="Q128:S133"/>
    <mergeCell ref="E48:F53"/>
    <mergeCell ref="P48:R53"/>
    <mergeCell ref="K48:L54"/>
    <mergeCell ref="P43:Q47"/>
    <mergeCell ref="E43:F47"/>
    <mergeCell ref="B70:E71"/>
    <mergeCell ref="J43:L47"/>
    <mergeCell ref="V48:W54"/>
    <mergeCell ref="Z121:AD125"/>
    <mergeCell ref="V164:AD167"/>
    <mergeCell ref="V168:AD168"/>
    <mergeCell ref="V169:AD169"/>
    <mergeCell ref="AA170:AD176"/>
    <mergeCell ref="W184:Y188"/>
    <mergeCell ref="Q184:S188"/>
    <mergeCell ref="AC184:AD188"/>
    <mergeCell ref="B177:AD177"/>
    <mergeCell ref="K181:N182"/>
    <mergeCell ref="K178:N180"/>
    <mergeCell ref="R178:U182"/>
    <mergeCell ref="E178:G182"/>
    <mergeCell ref="B183:AD183"/>
    <mergeCell ref="E170:F176"/>
    <mergeCell ref="J170:L176"/>
    <mergeCell ref="P170:R176"/>
    <mergeCell ref="V170:W176"/>
    <mergeCell ref="K184:M188"/>
    <mergeCell ref="E184:G188"/>
    <mergeCell ref="AA152:AD156"/>
    <mergeCell ref="AB46:AD52"/>
    <mergeCell ref="U43:V47"/>
    <mergeCell ref="B56:AD56"/>
    <mergeCell ref="B57:E58"/>
    <mergeCell ref="Z57:AD69"/>
    <mergeCell ref="X157:AA159"/>
    <mergeCell ref="X160:AA161"/>
    <mergeCell ref="X162:AA163"/>
    <mergeCell ref="P152:Q156"/>
    <mergeCell ref="B140:AD140"/>
    <mergeCell ref="U141:AD150"/>
    <mergeCell ref="E152:G156"/>
    <mergeCell ref="F157:G163"/>
    <mergeCell ref="K157:M163"/>
    <mergeCell ref="Q160:T161"/>
    <mergeCell ref="Q162:T163"/>
    <mergeCell ref="U152:W156"/>
    <mergeCell ref="Z70:AD109"/>
    <mergeCell ref="Q157:T159"/>
    <mergeCell ref="K152:L156"/>
    <mergeCell ref="E134:G139"/>
    <mergeCell ref="K134:M139"/>
    <mergeCell ref="Z110:AD120"/>
    <mergeCell ref="B121:E122"/>
    <mergeCell ref="X211:AD212"/>
    <mergeCell ref="T221:X224"/>
    <mergeCell ref="T225:X228"/>
    <mergeCell ref="Z213:AD219"/>
    <mergeCell ref="S208:T212"/>
    <mergeCell ref="H221:J227"/>
    <mergeCell ref="E189:G195"/>
    <mergeCell ref="W189:X195"/>
    <mergeCell ref="AB193:AD195"/>
    <mergeCell ref="AB189:AD192"/>
    <mergeCell ref="B207:AD207"/>
    <mergeCell ref="E201:G206"/>
    <mergeCell ref="L203:S203"/>
    <mergeCell ref="L204:S204"/>
    <mergeCell ref="L205:S205"/>
    <mergeCell ref="L206:S206"/>
    <mergeCell ref="L201:S202"/>
    <mergeCell ref="X208:AD210"/>
    <mergeCell ref="E208:G212"/>
    <mergeCell ref="E213:G219"/>
    <mergeCell ref="K213:M219"/>
    <mergeCell ref="K208:O212"/>
    <mergeCell ref="Q213:S219"/>
    <mergeCell ref="X199:AA200"/>
    <mergeCell ref="E231:J231"/>
    <mergeCell ref="E229:J230"/>
    <mergeCell ref="E232:J234"/>
    <mergeCell ref="T229:W230"/>
    <mergeCell ref="T231:W232"/>
    <mergeCell ref="T233:W235"/>
    <mergeCell ref="AA229:AD234"/>
    <mergeCell ref="N229:P234"/>
    <mergeCell ref="N221:P227"/>
    <mergeCell ref="AB221:AD222"/>
    <mergeCell ref="AB223:AD228"/>
    <mergeCell ref="B253:F253"/>
    <mergeCell ref="L253:T260"/>
    <mergeCell ref="AB236:AD241"/>
    <mergeCell ref="G242:H251"/>
    <mergeCell ref="N249:T249"/>
    <mergeCell ref="N248:T248"/>
    <mergeCell ref="N247:T247"/>
    <mergeCell ref="N246:T246"/>
    <mergeCell ref="N244:S245"/>
    <mergeCell ref="AA248:AD249"/>
    <mergeCell ref="AA244:AD247"/>
    <mergeCell ref="E236:G241"/>
    <mergeCell ref="K236:L241"/>
    <mergeCell ref="P236:Q241"/>
    <mergeCell ref="U240:X241"/>
    <mergeCell ref="U236:X237"/>
    <mergeCell ref="U238:X239"/>
  </mergeCells>
  <hyperlinks>
    <hyperlink ref="B1" location="Index!A1" display="Назад"/>
  </hyperlinks>
  <pageMargins left="0.23622047244094491" right="0.23622047244094491" top="0.74803149606299213" bottom="0.74803149606299213" header="0.31496062992125984" footer="0.31496062992125984"/>
  <pageSetup paperSize="9" scale="88" orientation="landscape" r:id="rId1"/>
  <headerFooter alignWithMargins="0"/>
  <rowBreaks count="6" manualBreakCount="6">
    <brk id="28" max="16383" man="1"/>
    <brk id="69" max="16383" man="1"/>
    <brk id="109" max="16383" man="1"/>
    <brk id="139" max="16383" man="1"/>
    <brk id="176" max="16383" man="1"/>
    <brk id="220" max="16383" man="1"/>
  </rowBreaks>
  <colBreaks count="1" manualBreakCount="1">
    <brk id="30" max="1048575" man="1"/>
  </colBreaks>
  <drawing r:id="rId2"/>
</worksheet>
</file>

<file path=xl/worksheets/sheet55.xml><?xml version="1.0" encoding="utf-8"?>
<worksheet xmlns="http://schemas.openxmlformats.org/spreadsheetml/2006/main" xmlns:r="http://schemas.openxmlformats.org/officeDocument/2006/relationships">
  <dimension ref="B1:I54"/>
  <sheetViews>
    <sheetView zoomScaleNormal="100" workbookViewId="0">
      <pane ySplit="4" topLeftCell="A5" activePane="bottomLeft" state="frozen"/>
      <selection pane="bottomLeft"/>
    </sheetView>
  </sheetViews>
  <sheetFormatPr defaultRowHeight="12.95" customHeight="1"/>
  <cols>
    <col min="1" max="1" width="3.7109375" style="288" customWidth="1"/>
    <col min="2" max="2" width="31.5703125" style="288" bestFit="1" customWidth="1"/>
    <col min="3" max="3" width="8.7109375" style="288" customWidth="1"/>
    <col min="4" max="6" width="28.7109375" style="288" customWidth="1"/>
    <col min="7" max="16384" width="9.140625" style="288"/>
  </cols>
  <sheetData>
    <row r="1" spans="2:6" ht="12.95" customHeight="1">
      <c r="B1" s="731" t="s">
        <v>2706</v>
      </c>
      <c r="C1" s="3265" t="s">
        <v>8269</v>
      </c>
      <c r="D1" s="3265"/>
      <c r="E1" s="3265"/>
      <c r="F1" s="3265"/>
    </row>
    <row r="2" spans="2:6" ht="5.0999999999999996" customHeight="1"/>
    <row r="3" spans="2:6" ht="12.95" customHeight="1">
      <c r="B3" s="3075" t="s">
        <v>4423</v>
      </c>
      <c r="C3" s="3075"/>
      <c r="D3" s="3075"/>
      <c r="E3" s="3075"/>
      <c r="F3" s="3075"/>
    </row>
    <row r="4" spans="2:6" ht="5.0999999999999996" customHeight="1"/>
    <row r="5" spans="2:6" ht="12.95" customHeight="1" thickBot="1">
      <c r="B5" s="3134" t="s">
        <v>9118</v>
      </c>
      <c r="C5" s="3134"/>
      <c r="D5" s="3134"/>
      <c r="E5" s="3134"/>
      <c r="F5" s="3134"/>
    </row>
    <row r="6" spans="2:6" ht="12.95" customHeight="1" thickBot="1">
      <c r="B6" s="3076" t="s">
        <v>1378</v>
      </c>
      <c r="C6" s="3570"/>
      <c r="D6" s="3077" t="s">
        <v>2043</v>
      </c>
      <c r="E6" s="3077"/>
      <c r="F6" s="3569"/>
    </row>
    <row r="7" spans="2:6" ht="51.95" customHeight="1">
      <c r="B7" s="2671" t="s">
        <v>1273</v>
      </c>
      <c r="C7" s="828"/>
      <c r="D7" s="3727" t="s">
        <v>6400</v>
      </c>
      <c r="E7" s="3727"/>
      <c r="F7" s="3728"/>
    </row>
    <row r="8" spans="2:6" ht="39.75" customHeight="1">
      <c r="B8" s="665" t="s">
        <v>488</v>
      </c>
      <c r="C8" s="712"/>
      <c r="D8" s="3725" t="s">
        <v>4400</v>
      </c>
      <c r="E8" s="3725"/>
      <c r="F8" s="3726"/>
    </row>
    <row r="9" spans="2:6" ht="39" customHeight="1">
      <c r="B9" s="623" t="s">
        <v>1102</v>
      </c>
      <c r="C9" s="737"/>
      <c r="D9" s="3723" t="s">
        <v>4401</v>
      </c>
      <c r="E9" s="3723"/>
      <c r="F9" s="3724"/>
    </row>
    <row r="10" spans="2:6" ht="39" customHeight="1">
      <c r="B10" s="665" t="s">
        <v>1104</v>
      </c>
      <c r="C10" s="712"/>
      <c r="D10" s="3725" t="s">
        <v>4402</v>
      </c>
      <c r="E10" s="3725"/>
      <c r="F10" s="3726"/>
    </row>
    <row r="11" spans="2:6" ht="39" customHeight="1">
      <c r="B11" s="623" t="s">
        <v>1106</v>
      </c>
      <c r="C11" s="737"/>
      <c r="D11" s="3723" t="s">
        <v>4403</v>
      </c>
      <c r="E11" s="3723"/>
      <c r="F11" s="3724"/>
    </row>
    <row r="12" spans="2:6" ht="39" customHeight="1">
      <c r="B12" s="665" t="s">
        <v>4399</v>
      </c>
      <c r="C12" s="712"/>
      <c r="D12" s="3725" t="s">
        <v>4404</v>
      </c>
      <c r="E12" s="3725"/>
      <c r="F12" s="3726"/>
    </row>
    <row r="13" spans="2:6" ht="51.95" customHeight="1">
      <c r="B13" s="623" t="s">
        <v>2599</v>
      </c>
      <c r="C13" s="737"/>
      <c r="D13" s="3723" t="s">
        <v>5845</v>
      </c>
      <c r="E13" s="3723"/>
      <c r="F13" s="3724"/>
    </row>
    <row r="14" spans="2:6" ht="39" customHeight="1">
      <c r="B14" s="665" t="s">
        <v>1111</v>
      </c>
      <c r="C14" s="712"/>
      <c r="D14" s="3725" t="s">
        <v>4405</v>
      </c>
      <c r="E14" s="3725"/>
      <c r="F14" s="3726"/>
    </row>
    <row r="15" spans="2:6" ht="39" customHeight="1">
      <c r="B15" s="623" t="s">
        <v>359</v>
      </c>
      <c r="C15" s="737"/>
      <c r="D15" s="3723" t="s">
        <v>4406</v>
      </c>
      <c r="E15" s="3723"/>
      <c r="F15" s="3724"/>
    </row>
    <row r="16" spans="2:6" ht="39" customHeight="1" thickBot="1">
      <c r="B16" s="842" t="s">
        <v>1603</v>
      </c>
      <c r="C16" s="711"/>
      <c r="D16" s="3729" t="s">
        <v>4407</v>
      </c>
      <c r="E16" s="3729"/>
      <c r="F16" s="3730"/>
    </row>
    <row r="17" spans="2:9" ht="5.0999999999999996" customHeight="1"/>
    <row r="18" spans="2:9" ht="51.95" customHeight="1">
      <c r="B18" s="3732" t="s">
        <v>10098</v>
      </c>
      <c r="C18" s="3732"/>
      <c r="D18" s="3732"/>
      <c r="E18" s="3732"/>
      <c r="F18" s="3732"/>
      <c r="G18" s="719"/>
      <c r="H18" s="719"/>
      <c r="I18" s="719"/>
    </row>
    <row r="19" spans="2:9" ht="143.1" customHeight="1">
      <c r="B19" s="3732" t="s">
        <v>9115</v>
      </c>
      <c r="C19" s="3732"/>
      <c r="D19" s="3732"/>
      <c r="E19" s="3732"/>
      <c r="F19" s="3732"/>
      <c r="G19" s="843"/>
      <c r="H19" s="843"/>
      <c r="I19" s="843"/>
    </row>
    <row r="20" spans="2:9" ht="5.0999999999999996" customHeight="1"/>
    <row r="21" spans="2:9" ht="12.95" customHeight="1">
      <c r="B21" s="3134" t="s">
        <v>9116</v>
      </c>
      <c r="C21" s="3134"/>
      <c r="D21" s="3134"/>
      <c r="E21" s="3134"/>
      <c r="F21" s="3134"/>
    </row>
    <row r="22" spans="2:9" ht="39" customHeight="1">
      <c r="B22" s="3134" t="s">
        <v>9117</v>
      </c>
      <c r="C22" s="3134"/>
      <c r="D22" s="3134"/>
      <c r="E22" s="3134"/>
      <c r="F22" s="3134"/>
      <c r="G22" s="719"/>
      <c r="H22" s="719"/>
      <c r="I22" s="719"/>
    </row>
    <row r="23" spans="2:9" ht="5.0999999999999996" customHeight="1" thickBot="1"/>
    <row r="24" spans="2:9" ht="12.95" customHeight="1" thickBot="1">
      <c r="B24" s="171" t="s">
        <v>310</v>
      </c>
      <c r="C24" s="3522" t="s">
        <v>4408</v>
      </c>
      <c r="D24" s="3524"/>
      <c r="E24" s="3570" t="s">
        <v>4419</v>
      </c>
      <c r="F24" s="3524"/>
    </row>
    <row r="25" spans="2:9" ht="12.95" customHeight="1">
      <c r="B25" s="1762" t="s">
        <v>2156</v>
      </c>
      <c r="C25" s="3656" t="s">
        <v>4409</v>
      </c>
      <c r="D25" s="3657"/>
      <c r="E25" s="3731" t="s">
        <v>393</v>
      </c>
      <c r="F25" s="3512"/>
    </row>
    <row r="26" spans="2:9" ht="12.95" customHeight="1">
      <c r="B26" s="1969" t="s">
        <v>893</v>
      </c>
      <c r="C26" s="3658" t="s">
        <v>4410</v>
      </c>
      <c r="D26" s="3661"/>
      <c r="E26" s="3716" t="s">
        <v>393</v>
      </c>
      <c r="F26" s="3515"/>
    </row>
    <row r="27" spans="2:9" ht="12.95" customHeight="1">
      <c r="B27" s="829" t="s">
        <v>2141</v>
      </c>
      <c r="C27" s="3662" t="s">
        <v>4411</v>
      </c>
      <c r="D27" s="3663"/>
      <c r="E27" s="3715" t="s">
        <v>1601</v>
      </c>
      <c r="F27" s="3518"/>
    </row>
    <row r="28" spans="2:9" ht="12.95" customHeight="1">
      <c r="B28" s="1969" t="s">
        <v>2557</v>
      </c>
      <c r="C28" s="3658" t="s">
        <v>4412</v>
      </c>
      <c r="D28" s="3661"/>
      <c r="E28" s="3716" t="s">
        <v>394</v>
      </c>
      <c r="F28" s="3515"/>
    </row>
    <row r="29" spans="2:9" ht="12.95" customHeight="1">
      <c r="B29" s="829" t="s">
        <v>625</v>
      </c>
      <c r="C29" s="3662" t="s">
        <v>4413</v>
      </c>
      <c r="D29" s="3663"/>
      <c r="E29" s="3715" t="s">
        <v>905</v>
      </c>
      <c r="F29" s="3518"/>
    </row>
    <row r="30" spans="2:9" ht="12.95" customHeight="1">
      <c r="B30" s="1969" t="s">
        <v>626</v>
      </c>
      <c r="C30" s="3658" t="s">
        <v>4414</v>
      </c>
      <c r="D30" s="3661"/>
      <c r="E30" s="3716" t="s">
        <v>4418</v>
      </c>
      <c r="F30" s="3515"/>
    </row>
    <row r="31" spans="2:9" ht="12.95" customHeight="1">
      <c r="B31" s="829" t="s">
        <v>627</v>
      </c>
      <c r="C31" s="3662" t="s">
        <v>4415</v>
      </c>
      <c r="D31" s="3663"/>
      <c r="E31" s="3715" t="s">
        <v>1599</v>
      </c>
      <c r="F31" s="3518"/>
    </row>
    <row r="32" spans="2:9" ht="12.95" customHeight="1">
      <c r="B32" s="1969" t="s">
        <v>628</v>
      </c>
      <c r="C32" s="3658" t="s">
        <v>4416</v>
      </c>
      <c r="D32" s="3661"/>
      <c r="E32" s="3716" t="s">
        <v>1602</v>
      </c>
      <c r="F32" s="3515"/>
    </row>
    <row r="33" spans="2:6" ht="12.95" customHeight="1" thickBot="1">
      <c r="B33" s="2104" t="s">
        <v>2259</v>
      </c>
      <c r="C33" s="3717" t="s">
        <v>4417</v>
      </c>
      <c r="D33" s="3718"/>
      <c r="E33" s="3719" t="s">
        <v>393</v>
      </c>
      <c r="F33" s="3506"/>
    </row>
    <row r="34" spans="2:6" ht="26.1" customHeight="1">
      <c r="B34" s="3134" t="s">
        <v>5846</v>
      </c>
      <c r="C34" s="3134"/>
      <c r="D34" s="3134"/>
      <c r="E34" s="3134"/>
      <c r="F34" s="3134"/>
    </row>
    <row r="35" spans="2:6" ht="5.0999999999999996" customHeight="1"/>
    <row r="36" spans="2:6" ht="26.1" customHeight="1">
      <c r="B36" s="2960" t="s">
        <v>5847</v>
      </c>
      <c r="C36" s="2960"/>
      <c r="D36" s="2960"/>
      <c r="E36" s="2960"/>
      <c r="F36" s="2960"/>
    </row>
    <row r="37" spans="2:6" ht="39" customHeight="1">
      <c r="B37" s="2960" t="s">
        <v>5481</v>
      </c>
      <c r="C37" s="2960"/>
      <c r="D37" s="2960"/>
      <c r="E37" s="2960"/>
      <c r="F37" s="2960"/>
    </row>
    <row r="38" spans="2:6" ht="26.1" customHeight="1">
      <c r="B38" s="2960" t="s">
        <v>5482</v>
      </c>
      <c r="C38" s="2960"/>
      <c r="D38" s="2960"/>
      <c r="E38" s="2960"/>
      <c r="F38" s="2960"/>
    </row>
    <row r="39" spans="2:6" ht="5.0999999999999996" customHeight="1">
      <c r="B39" s="703"/>
      <c r="C39" s="703"/>
      <c r="D39" s="703"/>
      <c r="E39" s="703"/>
      <c r="F39" s="703"/>
    </row>
    <row r="40" spans="2:6" ht="65.099999999999994" customHeight="1">
      <c r="B40" s="3134" t="s">
        <v>9119</v>
      </c>
      <c r="C40" s="3134"/>
      <c r="D40" s="3134"/>
      <c r="E40" s="3134"/>
      <c r="F40" s="3134"/>
    </row>
    <row r="41" spans="2:6" ht="5.0999999999999996" customHeight="1" thickBot="1"/>
    <row r="42" spans="2:6" ht="12.95" customHeight="1">
      <c r="B42" s="3713" t="s">
        <v>1378</v>
      </c>
      <c r="C42" s="3720" t="s">
        <v>4420</v>
      </c>
      <c r="D42" s="3721"/>
      <c r="E42" s="3721"/>
      <c r="F42" s="3722"/>
    </row>
    <row r="43" spans="2:6" ht="12.95" customHeight="1" thickBot="1">
      <c r="B43" s="3714"/>
      <c r="C43" s="846" t="s">
        <v>1463</v>
      </c>
      <c r="D43" s="652" t="s">
        <v>1460</v>
      </c>
      <c r="E43" s="652" t="s">
        <v>1461</v>
      </c>
      <c r="F43" s="653" t="s">
        <v>1462</v>
      </c>
    </row>
    <row r="44" spans="2:6" ht="39" customHeight="1">
      <c r="B44" s="853" t="s">
        <v>905</v>
      </c>
      <c r="C44" s="830">
        <v>1</v>
      </c>
      <c r="D44" s="831">
        <v>1</v>
      </c>
      <c r="E44" s="831">
        <v>1</v>
      </c>
      <c r="F44" s="832">
        <v>1</v>
      </c>
    </row>
    <row r="45" spans="2:6" ht="39" customHeight="1">
      <c r="B45" s="854" t="s">
        <v>393</v>
      </c>
      <c r="C45" s="847">
        <v>1</v>
      </c>
      <c r="D45" s="848">
        <v>1</v>
      </c>
      <c r="E45" s="848">
        <v>1</v>
      </c>
      <c r="F45" s="849">
        <v>1</v>
      </c>
    </row>
    <row r="46" spans="2:6" ht="39" customHeight="1">
      <c r="B46" s="855" t="s">
        <v>394</v>
      </c>
      <c r="C46" s="833">
        <v>1</v>
      </c>
      <c r="D46" s="834">
        <v>1</v>
      </c>
      <c r="E46" s="834">
        <v>1</v>
      </c>
      <c r="F46" s="835">
        <v>1</v>
      </c>
    </row>
    <row r="47" spans="2:6" ht="39" customHeight="1">
      <c r="B47" s="854" t="s">
        <v>4418</v>
      </c>
      <c r="C47" s="847">
        <v>1</v>
      </c>
      <c r="D47" s="848">
        <v>1</v>
      </c>
      <c r="E47" s="848">
        <v>1</v>
      </c>
      <c r="F47" s="849">
        <v>1</v>
      </c>
    </row>
    <row r="48" spans="2:6" ht="39" customHeight="1">
      <c r="B48" s="855" t="s">
        <v>1599</v>
      </c>
      <c r="C48" s="836">
        <v>1.25</v>
      </c>
      <c r="D48" s="837">
        <v>1</v>
      </c>
      <c r="E48" s="837">
        <v>1</v>
      </c>
      <c r="F48" s="838">
        <v>1</v>
      </c>
    </row>
    <row r="49" spans="2:6" ht="39" customHeight="1">
      <c r="B49" s="854" t="s">
        <v>1600</v>
      </c>
      <c r="C49" s="850">
        <v>1.5</v>
      </c>
      <c r="D49" s="851">
        <v>1.25</v>
      </c>
      <c r="E49" s="851">
        <v>1</v>
      </c>
      <c r="F49" s="852">
        <v>1</v>
      </c>
    </row>
    <row r="50" spans="2:6" ht="39" customHeight="1">
      <c r="B50" s="855" t="s">
        <v>1601</v>
      </c>
      <c r="C50" s="836">
        <v>1.5</v>
      </c>
      <c r="D50" s="837">
        <v>1.25</v>
      </c>
      <c r="E50" s="837">
        <v>1</v>
      </c>
      <c r="F50" s="838">
        <v>1</v>
      </c>
    </row>
    <row r="51" spans="2:6" ht="39" customHeight="1">
      <c r="B51" s="2105" t="s">
        <v>1602</v>
      </c>
      <c r="C51" s="2106">
        <v>1.75</v>
      </c>
      <c r="D51" s="2107">
        <v>1.5</v>
      </c>
      <c r="E51" s="2107">
        <v>1.25</v>
      </c>
      <c r="F51" s="2108">
        <v>1</v>
      </c>
    </row>
    <row r="52" spans="2:6" ht="39.75" customHeight="1">
      <c r="B52" s="2109" t="s">
        <v>4421</v>
      </c>
      <c r="C52" s="1956">
        <v>0.75</v>
      </c>
      <c r="D52" s="1957">
        <v>0.75</v>
      </c>
      <c r="E52" s="1957">
        <v>0.75</v>
      </c>
      <c r="F52" s="1968">
        <v>0.75</v>
      </c>
    </row>
    <row r="53" spans="2:6" ht="39" customHeight="1">
      <c r="B53" s="854" t="s">
        <v>4422</v>
      </c>
      <c r="C53" s="704">
        <v>0.65</v>
      </c>
      <c r="D53" s="705">
        <v>0.65</v>
      </c>
      <c r="E53" s="705">
        <v>0.65</v>
      </c>
      <c r="F53" s="706">
        <v>0.65</v>
      </c>
    </row>
    <row r="54" spans="2:6" ht="39" customHeight="1" thickBot="1">
      <c r="B54" s="856" t="s">
        <v>396</v>
      </c>
      <c r="C54" s="839">
        <v>0.5</v>
      </c>
      <c r="D54" s="840">
        <v>0.5</v>
      </c>
      <c r="E54" s="840">
        <v>0.5</v>
      </c>
      <c r="F54" s="598">
        <v>0.5</v>
      </c>
    </row>
  </sheetData>
  <sheetProtection autoFilter="0"/>
  <mergeCells count="46">
    <mergeCell ref="C1:F1"/>
    <mergeCell ref="D16:F16"/>
    <mergeCell ref="C28:D28"/>
    <mergeCell ref="E24:F24"/>
    <mergeCell ref="E25:F25"/>
    <mergeCell ref="B21:F21"/>
    <mergeCell ref="C24:D24"/>
    <mergeCell ref="C25:D25"/>
    <mergeCell ref="C26:D26"/>
    <mergeCell ref="E26:F26"/>
    <mergeCell ref="C27:D27"/>
    <mergeCell ref="B18:F18"/>
    <mergeCell ref="B19:F19"/>
    <mergeCell ref="B22:F22"/>
    <mergeCell ref="B38:F38"/>
    <mergeCell ref="C42:F42"/>
    <mergeCell ref="B40:F40"/>
    <mergeCell ref="B3:F3"/>
    <mergeCell ref="D13:F13"/>
    <mergeCell ref="D14:F14"/>
    <mergeCell ref="D8:F8"/>
    <mergeCell ref="D9:F9"/>
    <mergeCell ref="D10:F10"/>
    <mergeCell ref="D11:F11"/>
    <mergeCell ref="B6:C6"/>
    <mergeCell ref="D6:F6"/>
    <mergeCell ref="D7:F7"/>
    <mergeCell ref="D12:F12"/>
    <mergeCell ref="B5:F5"/>
    <mergeCell ref="D15:F15"/>
    <mergeCell ref="B36:F36"/>
    <mergeCell ref="C30:D30"/>
    <mergeCell ref="C31:D31"/>
    <mergeCell ref="B42:B43"/>
    <mergeCell ref="E27:F27"/>
    <mergeCell ref="E28:F28"/>
    <mergeCell ref="E29:F29"/>
    <mergeCell ref="E30:F30"/>
    <mergeCell ref="E31:F31"/>
    <mergeCell ref="C32:D32"/>
    <mergeCell ref="C29:D29"/>
    <mergeCell ref="E32:F32"/>
    <mergeCell ref="C33:D33"/>
    <mergeCell ref="E33:F33"/>
    <mergeCell ref="B34:F34"/>
    <mergeCell ref="B37:F37"/>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7" orientation="landscape" r:id="rId1"/>
  <headerFooter alignWithMargins="0"/>
  <rowBreaks count="2" manualBreakCount="2">
    <brk id="16" max="5" man="1"/>
    <brk id="34" max="5" man="1"/>
  </rowBreaks>
  <drawing r:id="rId2"/>
</worksheet>
</file>

<file path=xl/worksheets/sheet56.xml><?xml version="1.0" encoding="utf-8"?>
<worksheet xmlns="http://schemas.openxmlformats.org/spreadsheetml/2006/main" xmlns:r="http://schemas.openxmlformats.org/officeDocument/2006/relationships">
  <sheetPr>
    <outlinePr summaryBelow="0"/>
  </sheetPr>
  <dimension ref="B1:H250"/>
  <sheetViews>
    <sheetView zoomScaleNormal="100" workbookViewId="0">
      <pane ySplit="4" topLeftCell="A5" activePane="bottomLeft" state="frozen"/>
      <selection pane="bottomLeft"/>
    </sheetView>
  </sheetViews>
  <sheetFormatPr defaultRowHeight="12.75" outlineLevelRow="1"/>
  <cols>
    <col min="1" max="1" width="3.7109375" style="318" customWidth="1"/>
    <col min="2" max="2" width="8.140625" style="318" customWidth="1"/>
    <col min="3" max="3" width="34.85546875" style="318" customWidth="1"/>
    <col min="4" max="4" width="7.85546875" style="715" bestFit="1" customWidth="1"/>
    <col min="5" max="5" width="11.42578125" style="715" customWidth="1"/>
    <col min="6" max="6" width="15.140625" style="715" bestFit="1" customWidth="1"/>
    <col min="7" max="7" width="42" style="318" customWidth="1"/>
    <col min="8" max="8" width="37.85546875" style="318" customWidth="1"/>
    <col min="9" max="16384" width="9.140625" style="318"/>
  </cols>
  <sheetData>
    <row r="1" spans="2:7" ht="12.95" customHeight="1">
      <c r="B1" s="313" t="s">
        <v>2706</v>
      </c>
      <c r="C1" s="2973" t="s">
        <v>8269</v>
      </c>
      <c r="D1" s="2973"/>
      <c r="E1" s="2973"/>
      <c r="F1" s="2973"/>
      <c r="G1" s="2973"/>
    </row>
    <row r="2" spans="2:7" ht="5.0999999999999996" customHeight="1">
      <c r="C2" s="857"/>
      <c r="D2" s="917"/>
      <c r="E2" s="917"/>
      <c r="F2" s="917"/>
      <c r="G2" s="857"/>
    </row>
    <row r="3" spans="2:7" ht="12.95" customHeight="1">
      <c r="B3" s="3754" t="s">
        <v>3997</v>
      </c>
      <c r="C3" s="3754"/>
      <c r="D3" s="3754"/>
      <c r="E3" s="3754"/>
      <c r="F3" s="3754"/>
      <c r="G3" s="3754"/>
    </row>
    <row r="4" spans="2:7" ht="5.0999999999999996" customHeight="1">
      <c r="B4" s="908"/>
      <c r="C4" s="908"/>
      <c r="D4" s="908"/>
      <c r="E4" s="908"/>
      <c r="F4" s="908"/>
      <c r="G4" s="908"/>
    </row>
    <row r="5" spans="2:7" ht="26.1" customHeight="1">
      <c r="B5" s="3134" t="s">
        <v>9120</v>
      </c>
      <c r="C5" s="3134"/>
      <c r="D5" s="3134"/>
      <c r="E5" s="3134"/>
      <c r="F5" s="3134"/>
      <c r="G5" s="3134"/>
    </row>
    <row r="6" spans="2:7" ht="12.95" customHeight="1">
      <c r="B6" s="918"/>
      <c r="C6" s="918" t="s">
        <v>3998</v>
      </c>
      <c r="D6" s="3134" t="s">
        <v>3999</v>
      </c>
      <c r="E6" s="3134"/>
      <c r="F6" s="3134"/>
      <c r="G6" s="3134"/>
    </row>
    <row r="7" spans="2:7" ht="12.95" customHeight="1">
      <c r="B7" s="918"/>
      <c r="C7" s="918" t="s">
        <v>4000</v>
      </c>
      <c r="D7" s="3134" t="s">
        <v>4004</v>
      </c>
      <c r="E7" s="3134"/>
      <c r="F7" s="3134"/>
      <c r="G7" s="3134"/>
    </row>
    <row r="8" spans="2:7" ht="12.95" customHeight="1">
      <c r="B8" s="918"/>
      <c r="C8" s="918" t="s">
        <v>4001</v>
      </c>
      <c r="D8" s="3134" t="s">
        <v>4005</v>
      </c>
      <c r="E8" s="3134"/>
      <c r="F8" s="3134"/>
      <c r="G8" s="3134"/>
    </row>
    <row r="9" spans="2:7" ht="12.95" customHeight="1">
      <c r="B9" s="918"/>
      <c r="C9" s="918" t="s">
        <v>5185</v>
      </c>
      <c r="D9" s="3134" t="s">
        <v>4006</v>
      </c>
      <c r="E9" s="3134"/>
      <c r="F9" s="3134"/>
      <c r="G9" s="3134"/>
    </row>
    <row r="10" spans="2:7" ht="12.95" customHeight="1">
      <c r="B10" s="918"/>
      <c r="C10" s="918" t="s">
        <v>4002</v>
      </c>
      <c r="D10" s="3134" t="s">
        <v>4007</v>
      </c>
      <c r="E10" s="3134"/>
      <c r="F10" s="3134"/>
      <c r="G10" s="3134"/>
    </row>
    <row r="11" spans="2:7" ht="12.95" customHeight="1">
      <c r="B11" s="918"/>
      <c r="C11" s="918" t="s">
        <v>4003</v>
      </c>
      <c r="D11" s="3134" t="s">
        <v>4008</v>
      </c>
      <c r="E11" s="3134"/>
      <c r="F11" s="3134"/>
      <c r="G11" s="3134"/>
    </row>
    <row r="12" spans="2:7" ht="5.0999999999999996" customHeight="1">
      <c r="B12" s="918"/>
      <c r="C12" s="918"/>
      <c r="D12" s="716"/>
      <c r="E12" s="845"/>
      <c r="F12" s="845"/>
      <c r="G12" s="716"/>
    </row>
    <row r="13" spans="2:7" ht="51.95" customHeight="1">
      <c r="B13" s="3134" t="s">
        <v>9121</v>
      </c>
      <c r="C13" s="3134"/>
      <c r="D13" s="3134"/>
      <c r="E13" s="3134"/>
      <c r="F13" s="3134"/>
      <c r="G13" s="3134"/>
    </row>
    <row r="14" spans="2:7" ht="39" customHeight="1">
      <c r="B14" s="3732" t="s">
        <v>9122</v>
      </c>
      <c r="C14" s="3732"/>
      <c r="D14" s="3732"/>
      <c r="E14" s="3732"/>
      <c r="F14" s="3732"/>
      <c r="G14" s="3732"/>
    </row>
    <row r="15" spans="2:7" ht="12.95" customHeight="1">
      <c r="B15" s="3134" t="s">
        <v>9123</v>
      </c>
      <c r="C15" s="3732"/>
      <c r="D15" s="3732"/>
      <c r="E15" s="3732"/>
      <c r="F15" s="3732"/>
      <c r="G15" s="3732"/>
    </row>
    <row r="16" spans="2:7" ht="5.0999999999999996" customHeight="1">
      <c r="B16" s="716"/>
      <c r="C16" s="718"/>
      <c r="D16" s="718"/>
      <c r="E16" s="844"/>
      <c r="F16" s="844"/>
      <c r="G16" s="718"/>
    </row>
    <row r="17" spans="2:7" ht="12.95" customHeight="1" thickBot="1">
      <c r="B17" s="3733" t="s">
        <v>448</v>
      </c>
      <c r="C17" s="3733"/>
      <c r="D17" s="3733"/>
      <c r="E17" s="3733"/>
      <c r="F17" s="3733"/>
      <c r="G17" s="3733"/>
    </row>
    <row r="18" spans="2:7" ht="13.5" thickBot="1">
      <c r="B18" s="3076" t="s">
        <v>2105</v>
      </c>
      <c r="C18" s="3077"/>
      <c r="D18" s="172" t="s">
        <v>4009</v>
      </c>
      <c r="E18" s="930" t="s">
        <v>4010</v>
      </c>
      <c r="F18" s="172" t="s">
        <v>4011</v>
      </c>
      <c r="G18" s="227" t="s">
        <v>4012</v>
      </c>
    </row>
    <row r="19" spans="2:7" ht="48.75" customHeight="1" outlineLevel="1">
      <c r="B19" s="897"/>
      <c r="C19" s="920" t="s">
        <v>4013</v>
      </c>
      <c r="D19" s="592">
        <v>500</v>
      </c>
      <c r="E19" s="921" t="s">
        <v>4013</v>
      </c>
      <c r="F19" s="592" t="s">
        <v>4014</v>
      </c>
      <c r="G19" s="913" t="s">
        <v>4015</v>
      </c>
    </row>
    <row r="20" spans="2:7" ht="48" customHeight="1" outlineLevel="1">
      <c r="B20" s="827"/>
      <c r="C20" s="707" t="s">
        <v>4016</v>
      </c>
      <c r="D20" s="113">
        <v>2500</v>
      </c>
      <c r="E20" s="114" t="s">
        <v>938</v>
      </c>
      <c r="F20" s="113" t="s">
        <v>4014</v>
      </c>
      <c r="G20" s="709" t="s">
        <v>4017</v>
      </c>
    </row>
    <row r="21" spans="2:7" ht="48" customHeight="1" outlineLevel="1">
      <c r="B21" s="829"/>
      <c r="C21" s="2782" t="s">
        <v>927</v>
      </c>
      <c r="D21" s="592">
        <v>0</v>
      </c>
      <c r="E21" s="921" t="s">
        <v>4018</v>
      </c>
      <c r="F21" s="592" t="s">
        <v>4014</v>
      </c>
      <c r="G21" s="913" t="s">
        <v>4019</v>
      </c>
    </row>
    <row r="22" spans="2:7" ht="48.75" customHeight="1" outlineLevel="1">
      <c r="B22" s="827"/>
      <c r="C22" s="2783" t="s">
        <v>2019</v>
      </c>
      <c r="D22" s="113">
        <v>1000</v>
      </c>
      <c r="E22" s="114" t="s">
        <v>4020</v>
      </c>
      <c r="F22" s="113" t="s">
        <v>4014</v>
      </c>
      <c r="G22" s="1747" t="s">
        <v>4021</v>
      </c>
    </row>
    <row r="23" spans="2:7" ht="47.25" customHeight="1" outlineLevel="1">
      <c r="B23" s="827"/>
      <c r="C23" s="2784" t="s">
        <v>386</v>
      </c>
      <c r="D23" s="592">
        <v>2500</v>
      </c>
      <c r="E23" s="921" t="s">
        <v>4022</v>
      </c>
      <c r="F23" s="592" t="s">
        <v>4014</v>
      </c>
      <c r="G23" s="913" t="s">
        <v>4023</v>
      </c>
    </row>
    <row r="24" spans="2:7" ht="48" customHeight="1" outlineLevel="1">
      <c r="B24" s="827"/>
      <c r="C24" s="2785" t="s">
        <v>1744</v>
      </c>
      <c r="D24" s="113">
        <v>1000</v>
      </c>
      <c r="E24" s="114" t="s">
        <v>4024</v>
      </c>
      <c r="F24" s="113" t="s">
        <v>4014</v>
      </c>
      <c r="G24" s="709" t="s">
        <v>4025</v>
      </c>
    </row>
    <row r="25" spans="2:7" ht="48" customHeight="1" outlineLevel="1" thickBot="1">
      <c r="B25" s="922"/>
      <c r="C25" s="2786" t="s">
        <v>2018</v>
      </c>
      <c r="D25" s="594">
        <v>750</v>
      </c>
      <c r="E25" s="924" t="s">
        <v>4026</v>
      </c>
      <c r="F25" s="594" t="s">
        <v>4014</v>
      </c>
      <c r="G25" s="916" t="s">
        <v>4027</v>
      </c>
    </row>
    <row r="26" spans="2:7" ht="5.0999999999999996" customHeight="1"/>
    <row r="27" spans="2:7" ht="13.5" thickBot="1">
      <c r="B27" s="3733" t="s">
        <v>4028</v>
      </c>
      <c r="C27" s="3733"/>
      <c r="D27" s="3733"/>
      <c r="E27" s="3733"/>
      <c r="F27" s="3733"/>
      <c r="G27" s="3733"/>
    </row>
    <row r="28" spans="2:7" ht="13.5" thickBot="1">
      <c r="B28" s="3076" t="s">
        <v>2105</v>
      </c>
      <c r="C28" s="3077"/>
      <c r="D28" s="172" t="s">
        <v>4009</v>
      </c>
      <c r="E28" s="930" t="s">
        <v>4010</v>
      </c>
      <c r="F28" s="172" t="s">
        <v>4011</v>
      </c>
      <c r="G28" s="227" t="s">
        <v>4012</v>
      </c>
    </row>
    <row r="29" spans="2:7" ht="48" customHeight="1" outlineLevel="1">
      <c r="B29" s="897"/>
      <c r="C29" s="920" t="s">
        <v>4029</v>
      </c>
      <c r="D29" s="592">
        <v>2000</v>
      </c>
      <c r="E29" s="921" t="s">
        <v>4030</v>
      </c>
      <c r="F29" s="592" t="s">
        <v>77</v>
      </c>
      <c r="G29" s="913" t="s">
        <v>4031</v>
      </c>
    </row>
    <row r="30" spans="2:7" ht="48" customHeight="1" outlineLevel="1">
      <c r="B30" s="827"/>
      <c r="C30" s="182" t="s">
        <v>4032</v>
      </c>
      <c r="D30" s="113">
        <v>3000</v>
      </c>
      <c r="E30" s="114" t="s">
        <v>4030</v>
      </c>
      <c r="F30" s="113" t="s">
        <v>79</v>
      </c>
      <c r="G30" s="709" t="s">
        <v>4033</v>
      </c>
    </row>
    <row r="31" spans="2:7" ht="48" customHeight="1" outlineLevel="1">
      <c r="B31" s="827"/>
      <c r="C31" s="920" t="s">
        <v>5142</v>
      </c>
      <c r="D31" s="592">
        <v>4000</v>
      </c>
      <c r="E31" s="921" t="s">
        <v>4030</v>
      </c>
      <c r="F31" s="592" t="s">
        <v>79</v>
      </c>
      <c r="G31" s="913" t="s">
        <v>4034</v>
      </c>
    </row>
    <row r="32" spans="2:7" ht="48" customHeight="1" outlineLevel="1">
      <c r="B32" s="827"/>
      <c r="C32" s="185" t="s">
        <v>937</v>
      </c>
      <c r="D32" s="113">
        <v>5000</v>
      </c>
      <c r="E32" s="114" t="s">
        <v>4030</v>
      </c>
      <c r="F32" s="113" t="s">
        <v>81</v>
      </c>
      <c r="G32" s="1747" t="s">
        <v>4035</v>
      </c>
    </row>
    <row r="33" spans="2:7" ht="48" customHeight="1" outlineLevel="1">
      <c r="B33" s="827"/>
      <c r="C33" s="1758" t="s">
        <v>4036</v>
      </c>
      <c r="D33" s="592">
        <v>6000</v>
      </c>
      <c r="E33" s="921" t="s">
        <v>4030</v>
      </c>
      <c r="F33" s="592" t="s">
        <v>81</v>
      </c>
      <c r="G33" s="913" t="s">
        <v>4037</v>
      </c>
    </row>
    <row r="34" spans="2:7" ht="48" customHeight="1" outlineLevel="1" thickBot="1">
      <c r="B34" s="922"/>
      <c r="C34" s="183" t="s">
        <v>1803</v>
      </c>
      <c r="D34" s="109">
        <v>10000</v>
      </c>
      <c r="E34" s="110" t="s">
        <v>4030</v>
      </c>
      <c r="F34" s="109" t="s">
        <v>83</v>
      </c>
      <c r="G34" s="184" t="s">
        <v>4038</v>
      </c>
    </row>
    <row r="35" spans="2:7" ht="5.0999999999999996" customHeight="1"/>
    <row r="36" spans="2:7" ht="13.5" thickBot="1">
      <c r="B36" s="3733" t="s">
        <v>2640</v>
      </c>
      <c r="C36" s="3733"/>
      <c r="D36" s="3733"/>
      <c r="E36" s="3733"/>
      <c r="F36" s="3733"/>
      <c r="G36" s="3733"/>
    </row>
    <row r="37" spans="2:7" ht="13.5" thickBot="1">
      <c r="B37" s="3076" t="s">
        <v>2105</v>
      </c>
      <c r="C37" s="3077"/>
      <c r="D37" s="172" t="s">
        <v>4009</v>
      </c>
      <c r="E37" s="930" t="s">
        <v>4010</v>
      </c>
      <c r="F37" s="172" t="s">
        <v>4011</v>
      </c>
      <c r="G37" s="227" t="s">
        <v>4012</v>
      </c>
    </row>
    <row r="38" spans="2:7" ht="48" customHeight="1" outlineLevel="1">
      <c r="B38" s="897"/>
      <c r="C38" s="920" t="s">
        <v>4039</v>
      </c>
      <c r="D38" s="592">
        <v>2000</v>
      </c>
      <c r="E38" s="921" t="s">
        <v>4040</v>
      </c>
      <c r="F38" s="592" t="s">
        <v>77</v>
      </c>
      <c r="G38" s="913" t="s">
        <v>4041</v>
      </c>
    </row>
    <row r="39" spans="2:7" ht="48" customHeight="1" outlineLevel="1">
      <c r="B39" s="827"/>
      <c r="C39" s="182" t="s">
        <v>929</v>
      </c>
      <c r="D39" s="113">
        <v>3000</v>
      </c>
      <c r="E39" s="114" t="s">
        <v>4040</v>
      </c>
      <c r="F39" s="113" t="s">
        <v>79</v>
      </c>
      <c r="G39" s="709" t="s">
        <v>4042</v>
      </c>
    </row>
    <row r="40" spans="2:7" ht="48" customHeight="1" outlineLevel="1">
      <c r="B40" s="827"/>
      <c r="C40" s="920" t="s">
        <v>4043</v>
      </c>
      <c r="D40" s="592">
        <v>4000</v>
      </c>
      <c r="E40" s="921" t="s">
        <v>4040</v>
      </c>
      <c r="F40" s="592" t="s">
        <v>79</v>
      </c>
      <c r="G40" s="913" t="s">
        <v>4044</v>
      </c>
    </row>
    <row r="41" spans="2:7" ht="48" customHeight="1" outlineLevel="1">
      <c r="B41" s="827"/>
      <c r="C41" s="182" t="s">
        <v>1196</v>
      </c>
      <c r="D41" s="113">
        <v>5000</v>
      </c>
      <c r="E41" s="114" t="s">
        <v>4040</v>
      </c>
      <c r="F41" s="113" t="s">
        <v>81</v>
      </c>
      <c r="G41" s="709" t="s">
        <v>4045</v>
      </c>
    </row>
    <row r="42" spans="2:7" ht="48" customHeight="1" outlineLevel="1">
      <c r="B42" s="827"/>
      <c r="C42" s="920" t="s">
        <v>1198</v>
      </c>
      <c r="D42" s="592">
        <v>6000</v>
      </c>
      <c r="E42" s="921" t="s">
        <v>4040</v>
      </c>
      <c r="F42" s="592" t="s">
        <v>81</v>
      </c>
      <c r="G42" s="913" t="s">
        <v>4046</v>
      </c>
    </row>
    <row r="43" spans="2:7" ht="48" customHeight="1" outlineLevel="1" thickBot="1">
      <c r="B43" s="922"/>
      <c r="C43" s="183" t="s">
        <v>1212</v>
      </c>
      <c r="D43" s="109">
        <v>10000</v>
      </c>
      <c r="E43" s="110" t="s">
        <v>4040</v>
      </c>
      <c r="F43" s="109" t="s">
        <v>83</v>
      </c>
      <c r="G43" s="184" t="s">
        <v>5507</v>
      </c>
    </row>
    <row r="44" spans="2:7" ht="5.0999999999999996" customHeight="1"/>
    <row r="45" spans="2:7" ht="13.5" thickBot="1">
      <c r="B45" s="3733" t="s">
        <v>4047</v>
      </c>
      <c r="C45" s="3733"/>
      <c r="D45" s="3733"/>
      <c r="E45" s="3733"/>
      <c r="F45" s="3733"/>
      <c r="G45" s="3733"/>
    </row>
    <row r="46" spans="2:7" ht="13.5" thickBot="1">
      <c r="B46" s="3076" t="s">
        <v>2105</v>
      </c>
      <c r="C46" s="3077"/>
      <c r="D46" s="172" t="s">
        <v>4009</v>
      </c>
      <c r="E46" s="930" t="s">
        <v>4010</v>
      </c>
      <c r="F46" s="172" t="s">
        <v>4011</v>
      </c>
      <c r="G46" s="227" t="s">
        <v>4012</v>
      </c>
    </row>
    <row r="47" spans="2:7" ht="46.5" customHeight="1" outlineLevel="1">
      <c r="B47" s="897"/>
      <c r="C47" s="1759" t="s">
        <v>1328</v>
      </c>
      <c r="D47" s="925">
        <v>1000</v>
      </c>
      <c r="E47" s="1760" t="s">
        <v>4048</v>
      </c>
      <c r="F47" s="925" t="s">
        <v>77</v>
      </c>
      <c r="G47" s="1936" t="s">
        <v>4049</v>
      </c>
    </row>
    <row r="48" spans="2:7" ht="48" customHeight="1" outlineLevel="1">
      <c r="B48" s="931"/>
      <c r="C48" s="182" t="s">
        <v>1752</v>
      </c>
      <c r="D48" s="113">
        <v>3000</v>
      </c>
      <c r="E48" s="114" t="s">
        <v>4048</v>
      </c>
      <c r="F48" s="113" t="s">
        <v>77</v>
      </c>
      <c r="G48" s="709" t="s">
        <v>4050</v>
      </c>
    </row>
    <row r="49" spans="2:7" ht="48" customHeight="1" outlineLevel="1">
      <c r="B49" s="931"/>
      <c r="C49" s="920" t="s">
        <v>1893</v>
      </c>
      <c r="D49" s="592">
        <v>4000</v>
      </c>
      <c r="E49" s="921" t="s">
        <v>4048</v>
      </c>
      <c r="F49" s="592" t="s">
        <v>79</v>
      </c>
      <c r="G49" s="913" t="s">
        <v>4051</v>
      </c>
    </row>
    <row r="50" spans="2:7" ht="48" customHeight="1" outlineLevel="1">
      <c r="B50" s="931"/>
      <c r="C50" s="182" t="s">
        <v>1085</v>
      </c>
      <c r="D50" s="113">
        <v>5000</v>
      </c>
      <c r="E50" s="114" t="s">
        <v>4048</v>
      </c>
      <c r="F50" s="113" t="s">
        <v>79</v>
      </c>
      <c r="G50" s="709" t="s">
        <v>4052</v>
      </c>
    </row>
    <row r="51" spans="2:7" ht="48" customHeight="1" outlineLevel="1">
      <c r="B51" s="931"/>
      <c r="C51" s="920" t="s">
        <v>936</v>
      </c>
      <c r="D51" s="592">
        <v>6000</v>
      </c>
      <c r="E51" s="921" t="s">
        <v>4048</v>
      </c>
      <c r="F51" s="592" t="s">
        <v>81</v>
      </c>
      <c r="G51" s="913" t="s">
        <v>4053</v>
      </c>
    </row>
    <row r="52" spans="2:7" ht="48" customHeight="1" outlineLevel="1" thickBot="1">
      <c r="B52" s="922"/>
      <c r="C52" s="183" t="s">
        <v>930</v>
      </c>
      <c r="D52" s="109">
        <v>10000</v>
      </c>
      <c r="E52" s="110" t="s">
        <v>4048</v>
      </c>
      <c r="F52" s="109" t="s">
        <v>83</v>
      </c>
      <c r="G52" s="184" t="s">
        <v>4054</v>
      </c>
    </row>
    <row r="53" spans="2:7" ht="5.0999999999999996" customHeight="1"/>
    <row r="54" spans="2:7" ht="13.5" thickBot="1">
      <c r="B54" s="3733" t="s">
        <v>5</v>
      </c>
      <c r="C54" s="3733"/>
      <c r="D54" s="3733"/>
      <c r="E54" s="3733"/>
      <c r="F54" s="3733"/>
      <c r="G54" s="3733"/>
    </row>
    <row r="55" spans="2:7" ht="13.5" thickBot="1">
      <c r="B55" s="3076" t="s">
        <v>2105</v>
      </c>
      <c r="C55" s="3077"/>
      <c r="D55" s="172" t="s">
        <v>4009</v>
      </c>
      <c r="E55" s="930" t="s">
        <v>4010</v>
      </c>
      <c r="F55" s="172" t="s">
        <v>4011</v>
      </c>
      <c r="G55" s="227" t="s">
        <v>4012</v>
      </c>
    </row>
    <row r="56" spans="2:7" ht="48" customHeight="1" outlineLevel="1">
      <c r="B56" s="897"/>
      <c r="C56" s="920" t="s">
        <v>4055</v>
      </c>
      <c r="D56" s="592">
        <v>1000</v>
      </c>
      <c r="E56" s="921" t="s">
        <v>4056</v>
      </c>
      <c r="F56" s="592" t="s">
        <v>77</v>
      </c>
      <c r="G56" s="913" t="s">
        <v>4057</v>
      </c>
    </row>
    <row r="57" spans="2:7" ht="48" customHeight="1" outlineLevel="1">
      <c r="B57" s="931"/>
      <c r="C57" s="185" t="s">
        <v>4058</v>
      </c>
      <c r="D57" s="113">
        <v>3000</v>
      </c>
      <c r="E57" s="114" t="s">
        <v>4056</v>
      </c>
      <c r="F57" s="113" t="s">
        <v>79</v>
      </c>
      <c r="G57" s="1747" t="s">
        <v>4059</v>
      </c>
    </row>
    <row r="58" spans="2:7" ht="48" customHeight="1" outlineLevel="1">
      <c r="B58" s="931"/>
      <c r="C58" s="920" t="s">
        <v>4060</v>
      </c>
      <c r="D58" s="592">
        <v>4000</v>
      </c>
      <c r="E58" s="921" t="s">
        <v>4056</v>
      </c>
      <c r="F58" s="592" t="s">
        <v>79</v>
      </c>
      <c r="G58" s="913" t="s">
        <v>4061</v>
      </c>
    </row>
    <row r="59" spans="2:7" ht="48" customHeight="1" outlineLevel="1">
      <c r="B59" s="931"/>
      <c r="C59" s="185" t="s">
        <v>1020</v>
      </c>
      <c r="D59" s="113">
        <v>5000</v>
      </c>
      <c r="E59" s="114" t="s">
        <v>4056</v>
      </c>
      <c r="F59" s="113" t="s">
        <v>81</v>
      </c>
      <c r="G59" s="1937" t="s">
        <v>4062</v>
      </c>
    </row>
    <row r="60" spans="2:7" ht="48" customHeight="1" outlineLevel="1">
      <c r="B60" s="931"/>
      <c r="C60" s="920" t="s">
        <v>4063</v>
      </c>
      <c r="D60" s="592">
        <v>6000</v>
      </c>
      <c r="E60" s="921" t="s">
        <v>4056</v>
      </c>
      <c r="F60" s="592" t="s">
        <v>81</v>
      </c>
      <c r="G60" s="913" t="s">
        <v>4064</v>
      </c>
    </row>
    <row r="61" spans="2:7" ht="48" customHeight="1" outlineLevel="1" thickBot="1">
      <c r="B61" s="922"/>
      <c r="C61" s="183" t="s">
        <v>4065</v>
      </c>
      <c r="D61" s="109">
        <v>10000</v>
      </c>
      <c r="E61" s="110" t="s">
        <v>4056</v>
      </c>
      <c r="F61" s="109" t="s">
        <v>83</v>
      </c>
      <c r="G61" s="184" t="s">
        <v>4066</v>
      </c>
    </row>
    <row r="62" spans="2:7" ht="5.0999999999999996" customHeight="1"/>
    <row r="63" spans="2:7" ht="13.5" thickBot="1">
      <c r="B63" s="3733" t="s">
        <v>4067</v>
      </c>
      <c r="C63" s="3733"/>
      <c r="D63" s="3733"/>
      <c r="E63" s="3733"/>
      <c r="F63" s="3733"/>
      <c r="G63" s="3733"/>
    </row>
    <row r="64" spans="2:7" ht="13.5" thickBot="1">
      <c r="B64" s="3076" t="s">
        <v>2105</v>
      </c>
      <c r="C64" s="3077"/>
      <c r="D64" s="172" t="s">
        <v>4009</v>
      </c>
      <c r="E64" s="930" t="s">
        <v>4010</v>
      </c>
      <c r="F64" s="172" t="s">
        <v>4011</v>
      </c>
      <c r="G64" s="227" t="s">
        <v>4012</v>
      </c>
    </row>
    <row r="65" spans="2:8" ht="48" customHeight="1" outlineLevel="1">
      <c r="B65" s="897"/>
      <c r="C65" s="920" t="s">
        <v>2791</v>
      </c>
      <c r="D65" s="592">
        <v>4000</v>
      </c>
      <c r="E65" s="921" t="s">
        <v>4056</v>
      </c>
      <c r="F65" s="592" t="s">
        <v>79</v>
      </c>
      <c r="G65" s="913" t="s">
        <v>4068</v>
      </c>
    </row>
    <row r="66" spans="2:8" ht="48" customHeight="1" outlineLevel="1">
      <c r="B66" s="931"/>
      <c r="C66" s="182" t="s">
        <v>4069</v>
      </c>
      <c r="D66" s="113">
        <v>8000</v>
      </c>
      <c r="E66" s="114" t="s">
        <v>4070</v>
      </c>
      <c r="F66" s="113" t="s">
        <v>83</v>
      </c>
      <c r="G66" s="709" t="s">
        <v>4071</v>
      </c>
    </row>
    <row r="67" spans="2:8" ht="48" customHeight="1" outlineLevel="1">
      <c r="B67" s="931"/>
      <c r="C67" s="920" t="s">
        <v>1844</v>
      </c>
      <c r="D67" s="592">
        <v>12000</v>
      </c>
      <c r="E67" s="921" t="s">
        <v>4072</v>
      </c>
      <c r="F67" s="592" t="s">
        <v>83</v>
      </c>
      <c r="G67" s="913" t="s">
        <v>4073</v>
      </c>
    </row>
    <row r="68" spans="2:8" ht="48" customHeight="1" outlineLevel="1">
      <c r="B68" s="931"/>
      <c r="C68" s="182" t="s">
        <v>1330</v>
      </c>
      <c r="D68" s="113">
        <v>16000</v>
      </c>
      <c r="E68" s="114" t="s">
        <v>4040</v>
      </c>
      <c r="F68" s="113" t="s">
        <v>83</v>
      </c>
      <c r="G68" s="709" t="s">
        <v>4074</v>
      </c>
    </row>
    <row r="69" spans="2:8" ht="48" customHeight="1" outlineLevel="1">
      <c r="B69" s="931"/>
      <c r="C69" s="1758" t="s">
        <v>1128</v>
      </c>
      <c r="D69" s="592">
        <v>20000</v>
      </c>
      <c r="E69" s="921" t="s">
        <v>4030</v>
      </c>
      <c r="F69" s="592" t="s">
        <v>83</v>
      </c>
      <c r="G69" s="913" t="s">
        <v>4075</v>
      </c>
    </row>
    <row r="70" spans="2:8" ht="48" customHeight="1" outlineLevel="1" thickBot="1">
      <c r="B70" s="922"/>
      <c r="C70" s="183" t="s">
        <v>4076</v>
      </c>
      <c r="D70" s="109">
        <v>24000</v>
      </c>
      <c r="E70" s="110" t="s">
        <v>4048</v>
      </c>
      <c r="F70" s="109" t="s">
        <v>83</v>
      </c>
      <c r="G70" s="184" t="s">
        <v>4077</v>
      </c>
    </row>
    <row r="71" spans="2:8" ht="5.0999999999999996" customHeight="1"/>
    <row r="72" spans="2:8" ht="13.5" thickBot="1">
      <c r="B72" s="3733" t="s">
        <v>4093</v>
      </c>
      <c r="C72" s="3733"/>
      <c r="D72" s="3733"/>
      <c r="E72" s="3733"/>
      <c r="F72" s="3733"/>
      <c r="G72" s="3733"/>
    </row>
    <row r="73" spans="2:8" ht="13.5" thickBot="1">
      <c r="B73" s="3076" t="s">
        <v>2105</v>
      </c>
      <c r="C73" s="3077"/>
      <c r="D73" s="172" t="s">
        <v>4009</v>
      </c>
      <c r="E73" s="930" t="s">
        <v>4010</v>
      </c>
      <c r="F73" s="172" t="s">
        <v>4011</v>
      </c>
      <c r="G73" s="227" t="s">
        <v>4012</v>
      </c>
    </row>
    <row r="74" spans="2:8" ht="48" customHeight="1" outlineLevel="1">
      <c r="B74" s="897"/>
      <c r="C74" s="920" t="s">
        <v>432</v>
      </c>
      <c r="D74" s="592">
        <v>2000</v>
      </c>
      <c r="E74" s="921" t="s">
        <v>4078</v>
      </c>
      <c r="F74" s="592" t="s">
        <v>77</v>
      </c>
      <c r="G74" s="913" t="s">
        <v>4079</v>
      </c>
      <c r="H74" s="732"/>
    </row>
    <row r="75" spans="2:8" ht="48" customHeight="1" outlineLevel="1">
      <c r="B75" s="931"/>
      <c r="C75" s="182" t="s">
        <v>4080</v>
      </c>
      <c r="D75" s="113">
        <v>4000</v>
      </c>
      <c r="E75" s="114" t="s">
        <v>4030</v>
      </c>
      <c r="F75" s="113" t="s">
        <v>79</v>
      </c>
      <c r="G75" s="709" t="s">
        <v>4081</v>
      </c>
      <c r="H75" s="732"/>
    </row>
    <row r="76" spans="2:8" ht="48" customHeight="1" outlineLevel="1">
      <c r="B76" s="931"/>
      <c r="C76" s="920" t="s">
        <v>1133</v>
      </c>
      <c r="D76" s="592">
        <v>6000</v>
      </c>
      <c r="E76" s="921" t="s">
        <v>4040</v>
      </c>
      <c r="F76" s="592" t="s">
        <v>81</v>
      </c>
      <c r="G76" s="913" t="s">
        <v>4082</v>
      </c>
      <c r="H76" s="732"/>
    </row>
    <row r="77" spans="2:8" ht="48" customHeight="1" outlineLevel="1">
      <c r="B77" s="931"/>
      <c r="C77" s="182" t="s">
        <v>795</v>
      </c>
      <c r="D77" s="113">
        <v>8000</v>
      </c>
      <c r="E77" s="114" t="s">
        <v>4056</v>
      </c>
      <c r="F77" s="113" t="s">
        <v>83</v>
      </c>
      <c r="G77" s="709" t="s">
        <v>4083</v>
      </c>
      <c r="H77" s="732"/>
    </row>
    <row r="78" spans="2:8" ht="48" customHeight="1" outlineLevel="1">
      <c r="B78" s="931"/>
      <c r="C78" s="920" t="s">
        <v>4084</v>
      </c>
      <c r="D78" s="592">
        <v>2000</v>
      </c>
      <c r="E78" s="921" t="s">
        <v>4070</v>
      </c>
      <c r="F78" s="592" t="s">
        <v>77</v>
      </c>
      <c r="G78" s="913" t="s">
        <v>4085</v>
      </c>
      <c r="H78" s="732"/>
    </row>
    <row r="79" spans="2:8" ht="48" customHeight="1" outlineLevel="1">
      <c r="B79" s="931"/>
      <c r="C79" s="182" t="s">
        <v>4086</v>
      </c>
      <c r="D79" s="113">
        <v>4000</v>
      </c>
      <c r="E79" s="114" t="s">
        <v>4087</v>
      </c>
      <c r="F79" s="113" t="s">
        <v>79</v>
      </c>
      <c r="G79" s="709" t="s">
        <v>4088</v>
      </c>
      <c r="H79" s="732"/>
    </row>
    <row r="80" spans="2:8" ht="48" customHeight="1" outlineLevel="1">
      <c r="B80" s="931"/>
      <c r="C80" s="920" t="s">
        <v>800</v>
      </c>
      <c r="D80" s="592">
        <v>6000</v>
      </c>
      <c r="E80" s="921" t="s">
        <v>4072</v>
      </c>
      <c r="F80" s="592" t="s">
        <v>81</v>
      </c>
      <c r="G80" s="913" t="s">
        <v>4089</v>
      </c>
      <c r="H80" s="732"/>
    </row>
    <row r="81" spans="2:8" ht="48" customHeight="1" outlineLevel="1">
      <c r="B81" s="931"/>
      <c r="C81" s="185" t="s">
        <v>4090</v>
      </c>
      <c r="D81" s="113">
        <v>8000</v>
      </c>
      <c r="E81" s="114" t="s">
        <v>4048</v>
      </c>
      <c r="F81" s="113" t="s">
        <v>83</v>
      </c>
      <c r="G81" s="1747" t="s">
        <v>4091</v>
      </c>
      <c r="H81" s="732"/>
    </row>
    <row r="82" spans="2:8" ht="48" customHeight="1" outlineLevel="1" thickBot="1">
      <c r="B82" s="922"/>
      <c r="C82" s="923" t="s">
        <v>2204</v>
      </c>
      <c r="D82" s="594">
        <v>2000</v>
      </c>
      <c r="E82" s="924" t="s">
        <v>4078</v>
      </c>
      <c r="F82" s="594" t="s">
        <v>77</v>
      </c>
      <c r="G82" s="916" t="s">
        <v>4092</v>
      </c>
      <c r="H82" s="732"/>
    </row>
    <row r="83" spans="2:8" ht="5.0999999999999996" customHeight="1"/>
    <row r="84" spans="2:8" ht="13.5" thickBot="1">
      <c r="B84" s="3733" t="s">
        <v>4094</v>
      </c>
      <c r="C84" s="3733"/>
      <c r="D84" s="3733"/>
      <c r="E84" s="3733"/>
      <c r="F84" s="3733"/>
      <c r="G84" s="3733"/>
    </row>
    <row r="85" spans="2:8" ht="13.5" thickBot="1">
      <c r="B85" s="3076" t="s">
        <v>2105</v>
      </c>
      <c r="C85" s="3077"/>
      <c r="D85" s="172" t="s">
        <v>4009</v>
      </c>
      <c r="E85" s="930" t="s">
        <v>4010</v>
      </c>
      <c r="F85" s="172" t="s">
        <v>4011</v>
      </c>
      <c r="G85" s="227" t="s">
        <v>4012</v>
      </c>
    </row>
    <row r="86" spans="2:8" ht="48" customHeight="1" outlineLevel="1">
      <c r="B86" s="919"/>
      <c r="C86" s="920" t="s">
        <v>2203</v>
      </c>
      <c r="D86" s="592">
        <v>1000</v>
      </c>
      <c r="E86" s="921" t="s">
        <v>938</v>
      </c>
      <c r="F86" s="592" t="s">
        <v>77</v>
      </c>
      <c r="G86" s="913" t="s">
        <v>3968</v>
      </c>
    </row>
    <row r="87" spans="2:8" ht="48" customHeight="1" outlineLevel="1">
      <c r="B87" s="919"/>
      <c r="C87" s="182" t="s">
        <v>2201</v>
      </c>
      <c r="D87" s="113">
        <v>1000</v>
      </c>
      <c r="E87" s="114" t="s">
        <v>938</v>
      </c>
      <c r="F87" s="113" t="s">
        <v>77</v>
      </c>
      <c r="G87" s="709" t="s">
        <v>3968</v>
      </c>
    </row>
    <row r="88" spans="2:8" ht="48" customHeight="1" outlineLevel="1">
      <c r="B88" s="919"/>
      <c r="C88" s="920" t="s">
        <v>2202</v>
      </c>
      <c r="D88" s="592">
        <v>1000</v>
      </c>
      <c r="E88" s="921" t="s">
        <v>938</v>
      </c>
      <c r="F88" s="592" t="s">
        <v>77</v>
      </c>
      <c r="G88" s="913" t="s">
        <v>3968</v>
      </c>
    </row>
    <row r="89" spans="2:8" ht="48" customHeight="1" outlineLevel="1">
      <c r="B89" s="919"/>
      <c r="C89" s="182" t="s">
        <v>3966</v>
      </c>
      <c r="D89" s="113">
        <v>1000</v>
      </c>
      <c r="E89" s="114" t="s">
        <v>938</v>
      </c>
      <c r="F89" s="113" t="s">
        <v>77</v>
      </c>
      <c r="G89" s="2130" t="s">
        <v>6237</v>
      </c>
    </row>
    <row r="90" spans="2:8" ht="48" customHeight="1" outlineLevel="1">
      <c r="B90" s="919"/>
      <c r="C90" s="920" t="s">
        <v>2106</v>
      </c>
      <c r="D90" s="592">
        <v>1000</v>
      </c>
      <c r="E90" s="921" t="s">
        <v>938</v>
      </c>
      <c r="F90" s="592" t="s">
        <v>77</v>
      </c>
      <c r="G90" s="913" t="s">
        <v>3967</v>
      </c>
    </row>
    <row r="91" spans="2:8" ht="48" customHeight="1" outlineLevel="1">
      <c r="B91" s="919"/>
      <c r="C91" s="182" t="s">
        <v>409</v>
      </c>
      <c r="D91" s="113">
        <v>1000</v>
      </c>
      <c r="E91" s="114" t="s">
        <v>938</v>
      </c>
      <c r="F91" s="113" t="s">
        <v>77</v>
      </c>
      <c r="G91" s="709" t="s">
        <v>3967</v>
      </c>
    </row>
    <row r="92" spans="2:8" ht="48" customHeight="1" outlineLevel="1">
      <c r="B92" s="919"/>
      <c r="C92" s="920" t="s">
        <v>2508</v>
      </c>
      <c r="D92" s="592">
        <v>7000</v>
      </c>
      <c r="E92" s="921" t="s">
        <v>4072</v>
      </c>
      <c r="F92" s="592" t="s">
        <v>81</v>
      </c>
      <c r="G92" s="913" t="s">
        <v>4095</v>
      </c>
    </row>
    <row r="93" spans="2:8" ht="48" customHeight="1" outlineLevel="1">
      <c r="B93" s="1842"/>
      <c r="C93" s="185" t="s">
        <v>1675</v>
      </c>
      <c r="D93" s="113">
        <v>2000</v>
      </c>
      <c r="E93" s="114" t="s">
        <v>938</v>
      </c>
      <c r="F93" s="113" t="s">
        <v>77</v>
      </c>
      <c r="G93" s="1747" t="s">
        <v>3972</v>
      </c>
    </row>
    <row r="94" spans="2:8" ht="48" customHeight="1" outlineLevel="1" thickBot="1">
      <c r="B94" s="922"/>
      <c r="C94" s="923" t="s">
        <v>1674</v>
      </c>
      <c r="D94" s="594">
        <v>2000</v>
      </c>
      <c r="E94" s="924" t="s">
        <v>938</v>
      </c>
      <c r="F94" s="594" t="s">
        <v>77</v>
      </c>
      <c r="G94" s="916" t="s">
        <v>3971</v>
      </c>
    </row>
    <row r="95" spans="2:8" ht="5.0999999999999996" customHeight="1"/>
    <row r="96" spans="2:8" ht="13.5" thickBot="1">
      <c r="B96" s="3733" t="s">
        <v>4117</v>
      </c>
      <c r="C96" s="3733"/>
      <c r="D96" s="3733"/>
      <c r="E96" s="3733"/>
      <c r="F96" s="3733"/>
      <c r="G96" s="3733"/>
    </row>
    <row r="97" spans="2:8" ht="13.5" thickBot="1">
      <c r="B97" s="3076" t="s">
        <v>2105</v>
      </c>
      <c r="C97" s="3077"/>
      <c r="D97" s="172" t="s">
        <v>4009</v>
      </c>
      <c r="E97" s="930" t="s">
        <v>4010</v>
      </c>
      <c r="F97" s="172" t="s">
        <v>4011</v>
      </c>
      <c r="G97" s="227" t="s">
        <v>4012</v>
      </c>
    </row>
    <row r="98" spans="2:8" ht="51.95" customHeight="1" outlineLevel="1">
      <c r="B98" s="919"/>
      <c r="C98" s="920" t="s">
        <v>1192</v>
      </c>
      <c r="D98" s="592">
        <v>1000</v>
      </c>
      <c r="E98" s="921" t="s">
        <v>938</v>
      </c>
      <c r="F98" s="592" t="s">
        <v>77</v>
      </c>
      <c r="G98" s="913" t="s">
        <v>6127</v>
      </c>
      <c r="H98" s="732"/>
    </row>
    <row r="99" spans="2:8" ht="51.95" customHeight="1" outlineLevel="1">
      <c r="B99" s="919"/>
      <c r="C99" s="182" t="s">
        <v>2513</v>
      </c>
      <c r="D99" s="113">
        <v>1000</v>
      </c>
      <c r="E99" s="114" t="s">
        <v>938</v>
      </c>
      <c r="F99" s="113" t="s">
        <v>77</v>
      </c>
      <c r="G99" s="1688" t="s">
        <v>6127</v>
      </c>
      <c r="H99" s="732"/>
    </row>
    <row r="100" spans="2:8" ht="48" customHeight="1" outlineLevel="1">
      <c r="B100" s="919"/>
      <c r="C100" s="920" t="s">
        <v>2515</v>
      </c>
      <c r="D100" s="592">
        <v>2000</v>
      </c>
      <c r="E100" s="921" t="s">
        <v>4072</v>
      </c>
      <c r="F100" s="592" t="s">
        <v>77</v>
      </c>
      <c r="G100" s="913" t="s">
        <v>4096</v>
      </c>
      <c r="H100" s="732"/>
    </row>
    <row r="101" spans="2:8" ht="48" customHeight="1" outlineLevel="1">
      <c r="B101" s="919"/>
      <c r="C101" s="182" t="s">
        <v>4097</v>
      </c>
      <c r="D101" s="113">
        <v>4000</v>
      </c>
      <c r="E101" s="114" t="s">
        <v>4087</v>
      </c>
      <c r="F101" s="113" t="s">
        <v>79</v>
      </c>
      <c r="G101" s="709" t="s">
        <v>4098</v>
      </c>
      <c r="H101" s="732"/>
    </row>
    <row r="102" spans="2:8" ht="48" customHeight="1" outlineLevel="1">
      <c r="B102" s="919"/>
      <c r="C102" s="920" t="s">
        <v>2518</v>
      </c>
      <c r="D102" s="592">
        <v>6000</v>
      </c>
      <c r="E102" s="921" t="s">
        <v>4070</v>
      </c>
      <c r="F102" s="592" t="s">
        <v>81</v>
      </c>
      <c r="G102" s="913" t="s">
        <v>4099</v>
      </c>
      <c r="H102" s="732"/>
    </row>
    <row r="103" spans="2:8" ht="48" customHeight="1" outlineLevel="1">
      <c r="B103" s="919"/>
      <c r="C103" s="182" t="s">
        <v>4100</v>
      </c>
      <c r="D103" s="113">
        <v>2000</v>
      </c>
      <c r="E103" s="114" t="s">
        <v>4072</v>
      </c>
      <c r="F103" s="113" t="s">
        <v>81</v>
      </c>
      <c r="G103" s="709" t="s">
        <v>4101</v>
      </c>
      <c r="H103" s="732"/>
    </row>
    <row r="104" spans="2:8" ht="48" customHeight="1" outlineLevel="1">
      <c r="B104" s="919"/>
      <c r="C104" s="920" t="s">
        <v>725</v>
      </c>
      <c r="D104" s="592">
        <v>4000</v>
      </c>
      <c r="E104" s="921" t="s">
        <v>4087</v>
      </c>
      <c r="F104" s="592" t="s">
        <v>81</v>
      </c>
      <c r="G104" s="913" t="s">
        <v>4102</v>
      </c>
      <c r="H104" s="732"/>
    </row>
    <row r="105" spans="2:8" ht="48" customHeight="1" outlineLevel="1">
      <c r="B105" s="919"/>
      <c r="C105" s="185" t="s">
        <v>1894</v>
      </c>
      <c r="D105" s="113">
        <v>6000</v>
      </c>
      <c r="E105" s="114" t="s">
        <v>4070</v>
      </c>
      <c r="F105" s="113" t="s">
        <v>83</v>
      </c>
      <c r="G105" s="1937" t="s">
        <v>4103</v>
      </c>
      <c r="H105" s="732"/>
    </row>
    <row r="106" spans="2:8" ht="48" customHeight="1" outlineLevel="1">
      <c r="B106" s="1842"/>
      <c r="C106" s="920" t="s">
        <v>4104</v>
      </c>
      <c r="D106" s="592">
        <v>2000</v>
      </c>
      <c r="E106" s="921" t="s">
        <v>938</v>
      </c>
      <c r="F106" s="592" t="s">
        <v>77</v>
      </c>
      <c r="G106" s="913" t="s">
        <v>4105</v>
      </c>
      <c r="H106" s="732"/>
    </row>
    <row r="107" spans="2:8" ht="48" customHeight="1" outlineLevel="1">
      <c r="B107" s="1841"/>
      <c r="C107" s="182" t="s">
        <v>4106</v>
      </c>
      <c r="D107" s="113">
        <v>4000</v>
      </c>
      <c r="E107" s="114" t="s">
        <v>938</v>
      </c>
      <c r="F107" s="113" t="s">
        <v>79</v>
      </c>
      <c r="G107" s="709" t="s">
        <v>4107</v>
      </c>
      <c r="H107" s="732"/>
    </row>
    <row r="108" spans="2:8" ht="48" customHeight="1" outlineLevel="1">
      <c r="B108" s="919"/>
      <c r="C108" s="920" t="s">
        <v>426</v>
      </c>
      <c r="D108" s="592">
        <v>6000</v>
      </c>
      <c r="E108" s="921" t="s">
        <v>938</v>
      </c>
      <c r="F108" s="592" t="s">
        <v>81</v>
      </c>
      <c r="G108" s="913" t="s">
        <v>4108</v>
      </c>
      <c r="H108" s="732"/>
    </row>
    <row r="109" spans="2:8" ht="48" customHeight="1" outlineLevel="1">
      <c r="B109" s="1842"/>
      <c r="C109" s="182" t="s">
        <v>1895</v>
      </c>
      <c r="D109" s="113">
        <v>1000</v>
      </c>
      <c r="E109" s="114" t="s">
        <v>938</v>
      </c>
      <c r="F109" s="113" t="s">
        <v>77</v>
      </c>
      <c r="G109" s="709" t="s">
        <v>4109</v>
      </c>
      <c r="H109" s="732"/>
    </row>
    <row r="110" spans="2:8" ht="48" customHeight="1" outlineLevel="1">
      <c r="B110" s="919"/>
      <c r="C110" s="920" t="s">
        <v>1896</v>
      </c>
      <c r="D110" s="592">
        <v>2000</v>
      </c>
      <c r="E110" s="921" t="s">
        <v>938</v>
      </c>
      <c r="F110" s="592" t="s">
        <v>77</v>
      </c>
      <c r="G110" s="913" t="s">
        <v>4110</v>
      </c>
      <c r="H110" s="732"/>
    </row>
    <row r="111" spans="2:8" ht="48" customHeight="1" outlineLevel="1">
      <c r="B111" s="919"/>
      <c r="C111" s="182" t="s">
        <v>1897</v>
      </c>
      <c r="D111" s="113">
        <v>3000</v>
      </c>
      <c r="E111" s="114" t="s">
        <v>938</v>
      </c>
      <c r="F111" s="113" t="s">
        <v>79</v>
      </c>
      <c r="G111" s="709" t="s">
        <v>4111</v>
      </c>
      <c r="H111" s="732"/>
    </row>
    <row r="112" spans="2:8" ht="48" customHeight="1" outlineLevel="1">
      <c r="B112" s="919"/>
      <c r="C112" s="920" t="s">
        <v>757</v>
      </c>
      <c r="D112" s="592">
        <v>5000</v>
      </c>
      <c r="E112" s="921" t="s">
        <v>4072</v>
      </c>
      <c r="F112" s="592" t="s">
        <v>81</v>
      </c>
      <c r="G112" s="913" t="s">
        <v>4112</v>
      </c>
      <c r="H112" s="732"/>
    </row>
    <row r="113" spans="2:8" ht="48" customHeight="1" outlineLevel="1">
      <c r="B113" s="919"/>
      <c r="C113" s="182" t="s">
        <v>181</v>
      </c>
      <c r="D113" s="113">
        <v>5000</v>
      </c>
      <c r="E113" s="114" t="s">
        <v>4078</v>
      </c>
      <c r="F113" s="113" t="s">
        <v>81</v>
      </c>
      <c r="G113" s="709" t="s">
        <v>4112</v>
      </c>
      <c r="H113" s="732"/>
    </row>
    <row r="114" spans="2:8" ht="48" customHeight="1" outlineLevel="1">
      <c r="B114" s="919"/>
      <c r="C114" s="1758" t="s">
        <v>2395</v>
      </c>
      <c r="D114" s="592">
        <v>5000</v>
      </c>
      <c r="E114" s="921" t="s">
        <v>4087</v>
      </c>
      <c r="F114" s="592" t="s">
        <v>81</v>
      </c>
      <c r="G114" s="913" t="s">
        <v>4112</v>
      </c>
      <c r="H114" s="732"/>
    </row>
    <row r="115" spans="2:8" ht="46.5" customHeight="1" outlineLevel="1">
      <c r="B115" s="919"/>
      <c r="C115" s="185" t="s">
        <v>996</v>
      </c>
      <c r="D115" s="113">
        <v>500</v>
      </c>
      <c r="E115" s="114" t="s">
        <v>938</v>
      </c>
      <c r="F115" s="113" t="s">
        <v>77</v>
      </c>
      <c r="G115" s="1747" t="s">
        <v>4113</v>
      </c>
      <c r="H115" s="299"/>
    </row>
    <row r="116" spans="2:8" ht="48" customHeight="1" outlineLevel="1">
      <c r="B116" s="919"/>
      <c r="C116" s="920" t="s">
        <v>998</v>
      </c>
      <c r="D116" s="592">
        <v>1000</v>
      </c>
      <c r="E116" s="921" t="s">
        <v>938</v>
      </c>
      <c r="F116" s="592" t="s">
        <v>77</v>
      </c>
      <c r="G116" s="913" t="s">
        <v>4114</v>
      </c>
      <c r="H116" s="299"/>
    </row>
    <row r="117" spans="2:8" ht="48" customHeight="1" outlineLevel="1">
      <c r="B117" s="919"/>
      <c r="C117" s="182" t="s">
        <v>171</v>
      </c>
      <c r="D117" s="113">
        <v>1500</v>
      </c>
      <c r="E117" s="114" t="s">
        <v>938</v>
      </c>
      <c r="F117" s="113" t="s">
        <v>77</v>
      </c>
      <c r="G117" s="709" t="s">
        <v>4115</v>
      </c>
      <c r="H117" s="299"/>
    </row>
    <row r="118" spans="2:8" ht="48" customHeight="1" outlineLevel="1">
      <c r="B118" s="919"/>
      <c r="C118" s="920" t="s">
        <v>2334</v>
      </c>
      <c r="D118" s="592">
        <v>500</v>
      </c>
      <c r="E118" s="921" t="s">
        <v>4072</v>
      </c>
      <c r="F118" s="592" t="s">
        <v>77</v>
      </c>
      <c r="G118" s="913" t="s">
        <v>7522</v>
      </c>
      <c r="H118" s="299"/>
    </row>
    <row r="119" spans="2:8" ht="48" customHeight="1" outlineLevel="1">
      <c r="B119" s="919"/>
      <c r="C119" s="182" t="s">
        <v>2335</v>
      </c>
      <c r="D119" s="113">
        <v>1000</v>
      </c>
      <c r="E119" s="114" t="s">
        <v>4078</v>
      </c>
      <c r="F119" s="113" t="s">
        <v>77</v>
      </c>
      <c r="G119" s="2397" t="s">
        <v>7523</v>
      </c>
      <c r="H119" s="299"/>
    </row>
    <row r="120" spans="2:8" ht="48" customHeight="1" outlineLevel="1" thickBot="1">
      <c r="B120" s="922"/>
      <c r="C120" s="923" t="s">
        <v>4116</v>
      </c>
      <c r="D120" s="594">
        <v>1500</v>
      </c>
      <c r="E120" s="924" t="s">
        <v>4087</v>
      </c>
      <c r="F120" s="594" t="s">
        <v>77</v>
      </c>
      <c r="G120" s="916" t="s">
        <v>7524</v>
      </c>
      <c r="H120" s="299"/>
    </row>
    <row r="121" spans="2:8" ht="5.0999999999999996" customHeight="1"/>
    <row r="122" spans="2:8" ht="13.5" thickBot="1">
      <c r="B122" s="3733" t="s">
        <v>4118</v>
      </c>
      <c r="C122" s="3733"/>
      <c r="D122" s="3733"/>
      <c r="E122" s="3733"/>
      <c r="F122" s="3733"/>
      <c r="G122" s="3733"/>
    </row>
    <row r="123" spans="2:8" ht="13.5" thickBot="1">
      <c r="B123" s="3076" t="s">
        <v>2105</v>
      </c>
      <c r="C123" s="3077"/>
      <c r="D123" s="172" t="s">
        <v>4009</v>
      </c>
      <c r="E123" s="930" t="s">
        <v>4010</v>
      </c>
      <c r="F123" s="172" t="s">
        <v>4011</v>
      </c>
      <c r="G123" s="227" t="s">
        <v>4012</v>
      </c>
    </row>
    <row r="124" spans="2:8" ht="47.25" customHeight="1" outlineLevel="1">
      <c r="B124" s="919"/>
      <c r="C124" s="920" t="s">
        <v>356</v>
      </c>
      <c r="D124" s="592">
        <v>3000</v>
      </c>
      <c r="E124" s="921" t="s">
        <v>4078</v>
      </c>
      <c r="F124" s="592" t="s">
        <v>79</v>
      </c>
      <c r="G124" s="913" t="s">
        <v>4121</v>
      </c>
    </row>
    <row r="125" spans="2:8" ht="48" customHeight="1" outlineLevel="1">
      <c r="B125" s="919"/>
      <c r="C125" s="182" t="s">
        <v>1636</v>
      </c>
      <c r="D125" s="113">
        <v>6000</v>
      </c>
      <c r="E125" s="114" t="s">
        <v>4070</v>
      </c>
      <c r="F125" s="113" t="s">
        <v>79</v>
      </c>
      <c r="G125" s="709" t="s">
        <v>4122</v>
      </c>
    </row>
    <row r="126" spans="2:8" ht="48" customHeight="1" outlineLevel="1">
      <c r="B126" s="919"/>
      <c r="C126" s="1758" t="s">
        <v>1313</v>
      </c>
      <c r="D126" s="592">
        <v>5000</v>
      </c>
      <c r="E126" s="921" t="s">
        <v>4072</v>
      </c>
      <c r="F126" s="592" t="s">
        <v>77</v>
      </c>
      <c r="G126" s="913" t="s">
        <v>4119</v>
      </c>
    </row>
    <row r="127" spans="2:8" ht="48" customHeight="1" outlineLevel="1">
      <c r="B127" s="919"/>
      <c r="C127" s="185" t="s">
        <v>1315</v>
      </c>
      <c r="D127" s="113">
        <v>5000</v>
      </c>
      <c r="E127" s="114" t="s">
        <v>4078</v>
      </c>
      <c r="F127" s="113" t="s">
        <v>81</v>
      </c>
      <c r="G127" s="1747" t="s">
        <v>4119</v>
      </c>
    </row>
    <row r="128" spans="2:8" ht="48" customHeight="1" outlineLevel="1">
      <c r="B128" s="1842"/>
      <c r="C128" s="920" t="s">
        <v>1317</v>
      </c>
      <c r="D128" s="592">
        <v>10000</v>
      </c>
      <c r="E128" s="921" t="s">
        <v>4087</v>
      </c>
      <c r="F128" s="592" t="s">
        <v>81</v>
      </c>
      <c r="G128" s="913" t="s">
        <v>4120</v>
      </c>
    </row>
    <row r="129" spans="2:7" ht="51" customHeight="1" outlineLevel="1">
      <c r="B129" s="1841"/>
      <c r="C129" s="182" t="s">
        <v>1637</v>
      </c>
      <c r="D129" s="113">
        <v>10000</v>
      </c>
      <c r="E129" s="114" t="s">
        <v>4072</v>
      </c>
      <c r="F129" s="113" t="s">
        <v>81</v>
      </c>
      <c r="G129" s="709" t="s">
        <v>4123</v>
      </c>
    </row>
    <row r="130" spans="2:7" ht="51" outlineLevel="1">
      <c r="B130" s="1841"/>
      <c r="C130" s="920" t="s">
        <v>1327</v>
      </c>
      <c r="D130" s="592" t="s">
        <v>939</v>
      </c>
      <c r="E130" s="921" t="s">
        <v>4048</v>
      </c>
      <c r="F130" s="592" t="s">
        <v>83</v>
      </c>
      <c r="G130" s="913" t="s">
        <v>4124</v>
      </c>
    </row>
    <row r="131" spans="2:7" ht="63.75" outlineLevel="1">
      <c r="B131" s="919"/>
      <c r="C131" s="182" t="s">
        <v>4126</v>
      </c>
      <c r="D131" s="113">
        <v>20000</v>
      </c>
      <c r="E131" s="114" t="s">
        <v>4087</v>
      </c>
      <c r="F131" s="113" t="s">
        <v>83</v>
      </c>
      <c r="G131" s="709" t="s">
        <v>4127</v>
      </c>
    </row>
    <row r="132" spans="2:7" ht="51.75" outlineLevel="1" thickBot="1">
      <c r="B132" s="922"/>
      <c r="C132" s="923" t="s">
        <v>758</v>
      </c>
      <c r="D132" s="594">
        <v>10000</v>
      </c>
      <c r="E132" s="924" t="s">
        <v>4070</v>
      </c>
      <c r="F132" s="594" t="s">
        <v>83</v>
      </c>
      <c r="G132" s="916" t="s">
        <v>4128</v>
      </c>
    </row>
    <row r="133" spans="2:7" ht="5.0999999999999996" customHeight="1"/>
    <row r="134" spans="2:7" ht="13.5" thickBot="1">
      <c r="B134" s="3733" t="s">
        <v>4129</v>
      </c>
      <c r="C134" s="3733"/>
      <c r="D134" s="3733"/>
      <c r="E134" s="3733"/>
      <c r="F134" s="3733"/>
      <c r="G134" s="3733"/>
    </row>
    <row r="135" spans="2:7" ht="13.5" thickBot="1">
      <c r="B135" s="3076" t="s">
        <v>2105</v>
      </c>
      <c r="C135" s="3077"/>
      <c r="D135" s="172" t="s">
        <v>4009</v>
      </c>
      <c r="E135" s="930" t="s">
        <v>4010</v>
      </c>
      <c r="F135" s="172" t="s">
        <v>4011</v>
      </c>
      <c r="G135" s="227" t="s">
        <v>4012</v>
      </c>
    </row>
    <row r="136" spans="2:7" ht="48" customHeight="1" outlineLevel="1">
      <c r="B136" s="919"/>
      <c r="C136" s="920" t="s">
        <v>4130</v>
      </c>
      <c r="D136" s="592">
        <v>6000</v>
      </c>
      <c r="E136" s="921" t="s">
        <v>938</v>
      </c>
      <c r="F136" s="592" t="s">
        <v>81</v>
      </c>
      <c r="G136" s="913" t="s">
        <v>4131</v>
      </c>
    </row>
    <row r="137" spans="2:7" ht="48" customHeight="1" outlineLevel="1">
      <c r="B137" s="919"/>
      <c r="C137" s="185" t="s">
        <v>759</v>
      </c>
      <c r="D137" s="113">
        <v>6000</v>
      </c>
      <c r="E137" s="114" t="s">
        <v>938</v>
      </c>
      <c r="F137" s="113" t="s">
        <v>81</v>
      </c>
      <c r="G137" s="1937" t="s">
        <v>4132</v>
      </c>
    </row>
    <row r="138" spans="2:7" ht="47.25" customHeight="1" outlineLevel="1">
      <c r="B138" s="919"/>
      <c r="C138" s="1758" t="s">
        <v>4133</v>
      </c>
      <c r="D138" s="592">
        <v>6000</v>
      </c>
      <c r="E138" s="921" t="s">
        <v>938</v>
      </c>
      <c r="F138" s="592" t="s">
        <v>81</v>
      </c>
      <c r="G138" s="913" t="s">
        <v>4134</v>
      </c>
    </row>
    <row r="139" spans="2:7" ht="48" customHeight="1" outlineLevel="1">
      <c r="B139" s="919"/>
      <c r="C139" s="182" t="s">
        <v>2127</v>
      </c>
      <c r="D139" s="113">
        <v>6000</v>
      </c>
      <c r="E139" s="114" t="s">
        <v>938</v>
      </c>
      <c r="F139" s="113" t="s">
        <v>81</v>
      </c>
      <c r="G139" s="709" t="s">
        <v>4135</v>
      </c>
    </row>
    <row r="140" spans="2:7" ht="48" customHeight="1" outlineLevel="1">
      <c r="B140" s="919"/>
      <c r="C140" s="920" t="s">
        <v>1899</v>
      </c>
      <c r="D140" s="592">
        <v>8000</v>
      </c>
      <c r="E140" s="921" t="s">
        <v>4087</v>
      </c>
      <c r="F140" s="592" t="s">
        <v>81</v>
      </c>
      <c r="G140" s="913" t="s">
        <v>7326</v>
      </c>
    </row>
    <row r="141" spans="2:7" ht="48" customHeight="1" outlineLevel="1">
      <c r="B141" s="919"/>
      <c r="C141" s="182" t="s">
        <v>4136</v>
      </c>
      <c r="D141" s="113">
        <v>20000</v>
      </c>
      <c r="E141" s="114" t="s">
        <v>938</v>
      </c>
      <c r="F141" s="113" t="s">
        <v>83</v>
      </c>
      <c r="G141" s="709" t="s">
        <v>4137</v>
      </c>
    </row>
    <row r="142" spans="2:7" ht="48" customHeight="1" outlineLevel="1">
      <c r="B142" s="919"/>
      <c r="C142" s="920" t="s">
        <v>4138</v>
      </c>
      <c r="D142" s="592">
        <v>20000</v>
      </c>
      <c r="E142" s="921" t="s">
        <v>938</v>
      </c>
      <c r="F142" s="592" t="s">
        <v>83</v>
      </c>
      <c r="G142" s="913" t="s">
        <v>4139</v>
      </c>
    </row>
    <row r="143" spans="2:7" ht="48" customHeight="1" outlineLevel="1">
      <c r="B143" s="919"/>
      <c r="C143" s="182" t="s">
        <v>4140</v>
      </c>
      <c r="D143" s="113">
        <v>20000</v>
      </c>
      <c r="E143" s="114" t="s">
        <v>938</v>
      </c>
      <c r="F143" s="113" t="s">
        <v>83</v>
      </c>
      <c r="G143" s="709" t="s">
        <v>4141</v>
      </c>
    </row>
    <row r="144" spans="2:7" ht="48" customHeight="1" outlineLevel="1">
      <c r="B144" s="919"/>
      <c r="C144" s="920" t="s">
        <v>4142</v>
      </c>
      <c r="D144" s="592">
        <v>20000</v>
      </c>
      <c r="E144" s="921" t="s">
        <v>938</v>
      </c>
      <c r="F144" s="592" t="s">
        <v>83</v>
      </c>
      <c r="G144" s="913" t="s">
        <v>4143</v>
      </c>
    </row>
    <row r="145" spans="2:7" ht="48" customHeight="1" outlineLevel="1">
      <c r="B145" s="919"/>
      <c r="C145" s="185" t="s">
        <v>4144</v>
      </c>
      <c r="D145" s="113">
        <v>7500</v>
      </c>
      <c r="E145" s="114" t="s">
        <v>938</v>
      </c>
      <c r="F145" s="113" t="s">
        <v>81</v>
      </c>
      <c r="G145" s="709" t="s">
        <v>4145</v>
      </c>
    </row>
    <row r="146" spans="2:7" ht="63.75" outlineLevel="1">
      <c r="B146" s="1762"/>
      <c r="C146" s="2782" t="s">
        <v>4146</v>
      </c>
      <c r="D146" s="592">
        <v>25000</v>
      </c>
      <c r="E146" s="921" t="s">
        <v>938</v>
      </c>
      <c r="F146" s="592" t="s">
        <v>83</v>
      </c>
      <c r="G146" s="913" t="s">
        <v>5398</v>
      </c>
    </row>
    <row r="147" spans="2:7" ht="47.25" customHeight="1" outlineLevel="1">
      <c r="B147" s="919"/>
      <c r="C147" s="185" t="s">
        <v>2630</v>
      </c>
      <c r="D147" s="113">
        <v>30000</v>
      </c>
      <c r="E147" s="114" t="s">
        <v>4048</v>
      </c>
      <c r="F147" s="113" t="s">
        <v>83</v>
      </c>
      <c r="G147" s="1747" t="s">
        <v>4147</v>
      </c>
    </row>
    <row r="148" spans="2:7" ht="48" customHeight="1" outlineLevel="1" thickBot="1">
      <c r="B148" s="922"/>
      <c r="C148" s="923" t="s">
        <v>2590</v>
      </c>
      <c r="D148" s="594">
        <v>20000</v>
      </c>
      <c r="E148" s="924" t="s">
        <v>938</v>
      </c>
      <c r="F148" s="594" t="s">
        <v>83</v>
      </c>
      <c r="G148" s="916" t="s">
        <v>4148</v>
      </c>
    </row>
    <row r="149" spans="2:7" ht="5.0999999999999996" customHeight="1"/>
    <row r="150" spans="2:7" ht="13.5" thickBot="1">
      <c r="B150" s="3733" t="s">
        <v>4149</v>
      </c>
      <c r="C150" s="3733"/>
      <c r="D150" s="3733"/>
      <c r="E150" s="3733"/>
      <c r="F150" s="3733"/>
      <c r="G150" s="3733"/>
    </row>
    <row r="151" spans="2:7" ht="13.5" thickBot="1">
      <c r="B151" s="3076" t="s">
        <v>2105</v>
      </c>
      <c r="C151" s="3077"/>
      <c r="D151" s="172" t="s">
        <v>4009</v>
      </c>
      <c r="E151" s="930" t="s">
        <v>4010</v>
      </c>
      <c r="F151" s="172" t="s">
        <v>4011</v>
      </c>
      <c r="G151" s="227" t="s">
        <v>4012</v>
      </c>
    </row>
    <row r="152" spans="2:7" ht="48" customHeight="1" outlineLevel="1">
      <c r="B152" s="919"/>
      <c r="C152" s="920" t="s">
        <v>4151</v>
      </c>
      <c r="D152" s="592">
        <v>5000</v>
      </c>
      <c r="E152" s="921" t="s">
        <v>4078</v>
      </c>
      <c r="F152" s="592" t="s">
        <v>77</v>
      </c>
      <c r="G152" s="913" t="s">
        <v>4150</v>
      </c>
    </row>
    <row r="153" spans="2:7" ht="48" customHeight="1" outlineLevel="1">
      <c r="B153" s="919"/>
      <c r="C153" s="182" t="s">
        <v>1626</v>
      </c>
      <c r="D153" s="113">
        <v>5000</v>
      </c>
      <c r="E153" s="114" t="s">
        <v>4078</v>
      </c>
      <c r="F153" s="113" t="s">
        <v>79</v>
      </c>
      <c r="G153" s="709" t="s">
        <v>4150</v>
      </c>
    </row>
    <row r="154" spans="2:7" ht="48" customHeight="1" outlineLevel="1" thickBot="1">
      <c r="B154" s="922"/>
      <c r="C154" s="923" t="s">
        <v>2541</v>
      </c>
      <c r="D154" s="594">
        <v>10000</v>
      </c>
      <c r="E154" s="924" t="s">
        <v>938</v>
      </c>
      <c r="F154" s="594" t="s">
        <v>81</v>
      </c>
      <c r="G154" s="916" t="s">
        <v>4152</v>
      </c>
    </row>
    <row r="155" spans="2:7" ht="5.0999999999999996" customHeight="1"/>
    <row r="156" spans="2:7" ht="13.5" thickBot="1">
      <c r="B156" s="3733" t="s">
        <v>4153</v>
      </c>
      <c r="C156" s="3733"/>
      <c r="D156" s="3733"/>
      <c r="E156" s="3733"/>
      <c r="F156" s="3733"/>
      <c r="G156" s="3733"/>
    </row>
    <row r="157" spans="2:7" ht="13.5" thickBot="1">
      <c r="B157" s="3076" t="s">
        <v>2105</v>
      </c>
      <c r="C157" s="3077"/>
      <c r="D157" s="172" t="s">
        <v>4009</v>
      </c>
      <c r="E157" s="930" t="s">
        <v>4010</v>
      </c>
      <c r="F157" s="172" t="s">
        <v>4011</v>
      </c>
      <c r="G157" s="227" t="s">
        <v>4012</v>
      </c>
    </row>
    <row r="158" spans="2:7" ht="48.75" customHeight="1" outlineLevel="1">
      <c r="B158" s="919"/>
      <c r="C158" s="920" t="s">
        <v>4154</v>
      </c>
      <c r="D158" s="592">
        <v>1000</v>
      </c>
      <c r="E158" s="921" t="s">
        <v>4072</v>
      </c>
      <c r="F158" s="592" t="s">
        <v>77</v>
      </c>
      <c r="G158" s="913" t="s">
        <v>4155</v>
      </c>
    </row>
    <row r="159" spans="2:7" ht="48" customHeight="1" outlineLevel="1">
      <c r="B159" s="919"/>
      <c r="C159" s="182" t="s">
        <v>4156</v>
      </c>
      <c r="D159" s="113">
        <v>5000</v>
      </c>
      <c r="E159" s="114" t="s">
        <v>4072</v>
      </c>
      <c r="F159" s="113" t="s">
        <v>81</v>
      </c>
      <c r="G159" s="2397" t="s">
        <v>7525</v>
      </c>
    </row>
    <row r="160" spans="2:7" ht="48" customHeight="1" outlineLevel="1">
      <c r="B160" s="919"/>
      <c r="C160" s="1758" t="s">
        <v>4157</v>
      </c>
      <c r="D160" s="592">
        <v>1000</v>
      </c>
      <c r="E160" s="921" t="s">
        <v>4072</v>
      </c>
      <c r="F160" s="592" t="s">
        <v>77</v>
      </c>
      <c r="G160" s="913" t="s">
        <v>7526</v>
      </c>
    </row>
    <row r="161" spans="2:7" ht="48" customHeight="1" outlineLevel="1">
      <c r="B161" s="919"/>
      <c r="C161" s="185" t="s">
        <v>2314</v>
      </c>
      <c r="D161" s="113">
        <v>2500</v>
      </c>
      <c r="E161" s="114" t="s">
        <v>4072</v>
      </c>
      <c r="F161" s="113" t="s">
        <v>77</v>
      </c>
      <c r="G161" s="1747" t="s">
        <v>4158</v>
      </c>
    </row>
    <row r="162" spans="2:7" ht="48" customHeight="1" outlineLevel="1">
      <c r="B162" s="919"/>
      <c r="C162" s="920" t="s">
        <v>2316</v>
      </c>
      <c r="D162" s="592">
        <v>2500</v>
      </c>
      <c r="E162" s="921" t="s">
        <v>4072</v>
      </c>
      <c r="F162" s="592" t="s">
        <v>77</v>
      </c>
      <c r="G162" s="913" t="s">
        <v>4159</v>
      </c>
    </row>
    <row r="163" spans="2:7" ht="48" customHeight="1" outlineLevel="1">
      <c r="B163" s="919"/>
      <c r="C163" s="182" t="s">
        <v>4366</v>
      </c>
      <c r="D163" s="113">
        <v>1000</v>
      </c>
      <c r="E163" s="114" t="s">
        <v>4072</v>
      </c>
      <c r="F163" s="113" t="s">
        <v>77</v>
      </c>
      <c r="G163" s="709" t="s">
        <v>4160</v>
      </c>
    </row>
    <row r="164" spans="2:7" ht="51.95" customHeight="1" outlineLevel="1">
      <c r="B164" s="919"/>
      <c r="C164" s="920" t="s">
        <v>4161</v>
      </c>
      <c r="D164" s="592">
        <v>5000</v>
      </c>
      <c r="E164" s="921" t="s">
        <v>4072</v>
      </c>
      <c r="F164" s="592" t="s">
        <v>81</v>
      </c>
      <c r="G164" s="913" t="s">
        <v>7527</v>
      </c>
    </row>
    <row r="165" spans="2:7" ht="48" customHeight="1" outlineLevel="1" thickBot="1">
      <c r="B165" s="922"/>
      <c r="C165" s="183" t="s">
        <v>4162</v>
      </c>
      <c r="D165" s="109">
        <v>3000</v>
      </c>
      <c r="E165" s="110" t="s">
        <v>4072</v>
      </c>
      <c r="F165" s="109" t="s">
        <v>77</v>
      </c>
      <c r="G165" s="184" t="s">
        <v>4163</v>
      </c>
    </row>
    <row r="166" spans="2:7" ht="5.0999999999999996" customHeight="1"/>
    <row r="167" spans="2:7" ht="13.5" thickBot="1">
      <c r="B167" s="3733" t="s">
        <v>4164</v>
      </c>
      <c r="C167" s="3733"/>
      <c r="D167" s="3733"/>
      <c r="E167" s="3733"/>
      <c r="F167" s="3733"/>
      <c r="G167" s="3733"/>
    </row>
    <row r="168" spans="2:7" ht="13.5" thickBot="1">
      <c r="B168" s="3076" t="s">
        <v>2105</v>
      </c>
      <c r="C168" s="3077"/>
      <c r="D168" s="172" t="s">
        <v>4009</v>
      </c>
      <c r="E168" s="930" t="s">
        <v>4010</v>
      </c>
      <c r="F168" s="172" t="s">
        <v>4011</v>
      </c>
      <c r="G168" s="227" t="s">
        <v>4012</v>
      </c>
    </row>
    <row r="169" spans="2:7" ht="48.75" customHeight="1" outlineLevel="1">
      <c r="B169" s="919"/>
      <c r="C169" s="920" t="s">
        <v>2543</v>
      </c>
      <c r="D169" s="592">
        <v>5000</v>
      </c>
      <c r="E169" s="921" t="s">
        <v>4087</v>
      </c>
      <c r="F169" s="592" t="s">
        <v>81</v>
      </c>
      <c r="G169" s="913" t="s">
        <v>4165</v>
      </c>
    </row>
    <row r="170" spans="2:7" ht="48" customHeight="1" outlineLevel="1">
      <c r="B170" s="919"/>
      <c r="C170" s="182" t="s">
        <v>2544</v>
      </c>
      <c r="D170" s="113" t="s">
        <v>383</v>
      </c>
      <c r="E170" s="114" t="s">
        <v>4078</v>
      </c>
      <c r="F170" s="113" t="s">
        <v>81</v>
      </c>
      <c r="G170" s="709" t="s">
        <v>4166</v>
      </c>
    </row>
    <row r="171" spans="2:7" ht="48" customHeight="1" outlineLevel="1">
      <c r="B171" s="919"/>
      <c r="C171" s="1758" t="s">
        <v>4364</v>
      </c>
      <c r="D171" s="592" t="s">
        <v>383</v>
      </c>
      <c r="E171" s="921" t="s">
        <v>938</v>
      </c>
      <c r="F171" s="592" t="s">
        <v>81</v>
      </c>
      <c r="G171" s="913" t="s">
        <v>4167</v>
      </c>
    </row>
    <row r="172" spans="2:7" ht="48" customHeight="1" outlineLevel="1">
      <c r="B172" s="919"/>
      <c r="C172" s="182" t="s">
        <v>2125</v>
      </c>
      <c r="D172" s="113">
        <v>5000</v>
      </c>
      <c r="E172" s="114" t="s">
        <v>4078</v>
      </c>
      <c r="F172" s="113" t="s">
        <v>81</v>
      </c>
      <c r="G172" s="709" t="s">
        <v>4168</v>
      </c>
    </row>
    <row r="173" spans="2:7" ht="47.25" customHeight="1" outlineLevel="1">
      <c r="B173" s="919"/>
      <c r="C173" s="1758" t="s">
        <v>2124</v>
      </c>
      <c r="D173" s="592" t="s">
        <v>383</v>
      </c>
      <c r="E173" s="921" t="s">
        <v>938</v>
      </c>
      <c r="F173" s="592" t="s">
        <v>79</v>
      </c>
      <c r="G173" s="913" t="s">
        <v>4169</v>
      </c>
    </row>
    <row r="174" spans="2:7" ht="48" customHeight="1" outlineLevel="1">
      <c r="B174" s="919"/>
      <c r="C174" s="182" t="s">
        <v>4170</v>
      </c>
      <c r="D174" s="113" t="s">
        <v>383</v>
      </c>
      <c r="E174" s="114" t="s">
        <v>938</v>
      </c>
      <c r="F174" s="113" t="s">
        <v>79</v>
      </c>
      <c r="G174" s="709" t="s">
        <v>4171</v>
      </c>
    </row>
    <row r="175" spans="2:7" ht="48" customHeight="1" outlineLevel="1">
      <c r="B175" s="919"/>
      <c r="C175" s="920" t="s">
        <v>4172</v>
      </c>
      <c r="D175" s="592" t="s">
        <v>1638</v>
      </c>
      <c r="E175" s="921" t="s">
        <v>938</v>
      </c>
      <c r="F175" s="592" t="s">
        <v>83</v>
      </c>
      <c r="G175" s="913" t="s">
        <v>4173</v>
      </c>
    </row>
    <row r="176" spans="2:7" ht="48" customHeight="1" outlineLevel="1">
      <c r="B176" s="919"/>
      <c r="C176" s="182" t="s">
        <v>4174</v>
      </c>
      <c r="D176" s="113" t="s">
        <v>2549</v>
      </c>
      <c r="E176" s="114" t="s">
        <v>938</v>
      </c>
      <c r="F176" s="113" t="s">
        <v>81</v>
      </c>
      <c r="G176" s="709" t="s">
        <v>4175</v>
      </c>
    </row>
    <row r="177" spans="2:7" ht="48" customHeight="1" outlineLevel="1" thickBot="1">
      <c r="B177" s="922"/>
      <c r="C177" s="923" t="s">
        <v>4176</v>
      </c>
      <c r="D177" s="594" t="s">
        <v>383</v>
      </c>
      <c r="E177" s="924" t="s">
        <v>938</v>
      </c>
      <c r="F177" s="594" t="s">
        <v>81</v>
      </c>
      <c r="G177" s="916" t="s">
        <v>4177</v>
      </c>
    </row>
    <row r="178" spans="2:7" ht="5.0999999999999996" customHeight="1"/>
    <row r="179" spans="2:7" ht="13.5" thickBot="1">
      <c r="B179" s="3733" t="s">
        <v>4178</v>
      </c>
      <c r="C179" s="3733"/>
      <c r="D179" s="3733"/>
      <c r="E179" s="3733"/>
      <c r="F179" s="3733"/>
      <c r="G179" s="3733"/>
    </row>
    <row r="180" spans="2:7" ht="13.5" thickBot="1">
      <c r="B180" s="3076" t="s">
        <v>2105</v>
      </c>
      <c r="C180" s="3077"/>
      <c r="D180" s="172" t="s">
        <v>4009</v>
      </c>
      <c r="E180" s="930" t="s">
        <v>4010</v>
      </c>
      <c r="F180" s="172" t="s">
        <v>4011</v>
      </c>
      <c r="G180" s="227" t="s">
        <v>4012</v>
      </c>
    </row>
    <row r="181" spans="2:7" ht="46.5" customHeight="1" outlineLevel="1">
      <c r="B181" s="919"/>
      <c r="C181" s="920" t="s">
        <v>4179</v>
      </c>
      <c r="D181" s="592" t="s">
        <v>383</v>
      </c>
      <c r="E181" s="921" t="s">
        <v>938</v>
      </c>
      <c r="F181" s="592" t="s">
        <v>77</v>
      </c>
      <c r="G181" s="913" t="s">
        <v>4180</v>
      </c>
    </row>
    <row r="182" spans="2:7" ht="45.75" customHeight="1" outlineLevel="1">
      <c r="B182" s="919"/>
      <c r="C182" s="182" t="s">
        <v>4181</v>
      </c>
      <c r="D182" s="113" t="s">
        <v>383</v>
      </c>
      <c r="E182" s="114" t="s">
        <v>938</v>
      </c>
      <c r="F182" s="113" t="s">
        <v>79</v>
      </c>
      <c r="G182" s="709" t="s">
        <v>4182</v>
      </c>
    </row>
    <row r="183" spans="2:7" ht="45.75" customHeight="1" outlineLevel="1">
      <c r="B183" s="919"/>
      <c r="C183" s="1758" t="s">
        <v>4183</v>
      </c>
      <c r="D183" s="592" t="s">
        <v>383</v>
      </c>
      <c r="E183" s="921" t="s">
        <v>938</v>
      </c>
      <c r="F183" s="592" t="s">
        <v>79</v>
      </c>
      <c r="G183" s="913" t="s">
        <v>4184</v>
      </c>
    </row>
    <row r="184" spans="2:7" ht="48" customHeight="1" outlineLevel="1">
      <c r="B184" s="1842"/>
      <c r="C184" s="182" t="s">
        <v>4185</v>
      </c>
      <c r="D184" s="113" t="s">
        <v>383</v>
      </c>
      <c r="E184" s="114" t="s">
        <v>938</v>
      </c>
      <c r="F184" s="113" t="s">
        <v>81</v>
      </c>
      <c r="G184" s="709" t="s">
        <v>4186</v>
      </c>
    </row>
    <row r="185" spans="2:7" ht="48" customHeight="1" outlineLevel="1" thickBot="1">
      <c r="B185" s="922"/>
      <c r="C185" s="923" t="s">
        <v>4187</v>
      </c>
      <c r="D185" s="594" t="s">
        <v>383</v>
      </c>
      <c r="E185" s="924" t="s">
        <v>938</v>
      </c>
      <c r="F185" s="594" t="s">
        <v>81</v>
      </c>
      <c r="G185" s="916" t="s">
        <v>4188</v>
      </c>
    </row>
    <row r="186" spans="2:7" ht="5.0999999999999996" customHeight="1"/>
    <row r="187" spans="2:7" ht="13.5" thickBot="1">
      <c r="B187" s="3733" t="s">
        <v>4189</v>
      </c>
      <c r="C187" s="3733"/>
      <c r="D187" s="3733"/>
      <c r="E187" s="3733"/>
      <c r="F187" s="3733"/>
      <c r="G187" s="3733"/>
    </row>
    <row r="188" spans="2:7" ht="13.5" thickBot="1">
      <c r="B188" s="3076" t="s">
        <v>2105</v>
      </c>
      <c r="C188" s="3077"/>
      <c r="D188" s="172" t="s">
        <v>4009</v>
      </c>
      <c r="E188" s="930" t="s">
        <v>4010</v>
      </c>
      <c r="F188" s="172" t="s">
        <v>4011</v>
      </c>
      <c r="G188" s="227" t="s">
        <v>4012</v>
      </c>
    </row>
    <row r="189" spans="2:7" ht="48" customHeight="1" outlineLevel="1">
      <c r="B189" s="919"/>
      <c r="C189" s="920" t="s">
        <v>2002</v>
      </c>
      <c r="D189" s="925" t="s">
        <v>940</v>
      </c>
      <c r="E189" s="921" t="s">
        <v>938</v>
      </c>
      <c r="F189" s="925" t="s">
        <v>81</v>
      </c>
      <c r="G189" s="913" t="s">
        <v>4190</v>
      </c>
    </row>
    <row r="190" spans="2:7" ht="48" customHeight="1" outlineLevel="1">
      <c r="B190" s="919"/>
      <c r="C190" s="182" t="s">
        <v>2004</v>
      </c>
      <c r="D190" s="113" t="s">
        <v>383</v>
      </c>
      <c r="E190" s="114" t="s">
        <v>938</v>
      </c>
      <c r="F190" s="113" t="s">
        <v>81</v>
      </c>
      <c r="G190" s="709" t="s">
        <v>4191</v>
      </c>
    </row>
    <row r="191" spans="2:7" ht="48" customHeight="1" outlineLevel="1">
      <c r="B191" s="919"/>
      <c r="C191" s="920" t="s">
        <v>4192</v>
      </c>
      <c r="D191" s="592" t="s">
        <v>456</v>
      </c>
      <c r="E191" s="921" t="s">
        <v>938</v>
      </c>
      <c r="F191" s="592" t="s">
        <v>83</v>
      </c>
      <c r="G191" s="913" t="s">
        <v>4193</v>
      </c>
    </row>
    <row r="192" spans="2:7" ht="48" customHeight="1" outlineLevel="1" thickBot="1">
      <c r="B192" s="932"/>
      <c r="C192" s="183" t="s">
        <v>2007</v>
      </c>
      <c r="D192" s="109" t="s">
        <v>457</v>
      </c>
      <c r="E192" s="110" t="s">
        <v>4030</v>
      </c>
      <c r="F192" s="109" t="s">
        <v>83</v>
      </c>
      <c r="G192" s="708" t="s">
        <v>4194</v>
      </c>
    </row>
    <row r="193" spans="2:8" ht="5.0999999999999996" customHeight="1"/>
    <row r="194" spans="2:8" ht="13.5" thickBot="1">
      <c r="B194" s="3733" t="s">
        <v>4195</v>
      </c>
      <c r="C194" s="3733"/>
      <c r="D194" s="3733"/>
      <c r="E194" s="3733"/>
      <c r="F194" s="3733"/>
      <c r="G194" s="3733"/>
    </row>
    <row r="195" spans="2:8" ht="13.5" thickBot="1">
      <c r="B195" s="3076" t="s">
        <v>2105</v>
      </c>
      <c r="C195" s="3077"/>
      <c r="D195" s="172" t="s">
        <v>4009</v>
      </c>
      <c r="E195" s="930" t="s">
        <v>4010</v>
      </c>
      <c r="F195" s="172" t="s">
        <v>4011</v>
      </c>
      <c r="G195" s="227" t="s">
        <v>4012</v>
      </c>
    </row>
    <row r="196" spans="2:8" ht="168.95" customHeight="1" outlineLevel="1">
      <c r="B196" s="1745"/>
      <c r="C196" s="1759" t="s">
        <v>405</v>
      </c>
      <c r="D196" s="925">
        <v>84000</v>
      </c>
      <c r="E196" s="1760" t="s">
        <v>5853</v>
      </c>
      <c r="F196" s="925" t="s">
        <v>4196</v>
      </c>
      <c r="G196" s="1746" t="s">
        <v>5851</v>
      </c>
      <c r="H196" s="732"/>
    </row>
    <row r="197" spans="2:8" ht="143.1" customHeight="1" outlineLevel="1">
      <c r="B197" s="1767"/>
      <c r="C197" s="2785" t="s">
        <v>408</v>
      </c>
      <c r="D197" s="113">
        <v>12000</v>
      </c>
      <c r="E197" s="114" t="s">
        <v>5854</v>
      </c>
      <c r="F197" s="113" t="s">
        <v>4196</v>
      </c>
      <c r="G197" s="1765" t="s">
        <v>5852</v>
      </c>
      <c r="H197" s="732"/>
    </row>
    <row r="198" spans="2:8" ht="117" customHeight="1" outlineLevel="1">
      <c r="B198" s="919"/>
      <c r="C198" s="1758" t="s">
        <v>2728</v>
      </c>
      <c r="D198" s="592">
        <v>20000</v>
      </c>
      <c r="E198" s="921" t="s">
        <v>5856</v>
      </c>
      <c r="F198" s="592" t="s">
        <v>4196</v>
      </c>
      <c r="G198" s="913" t="s">
        <v>5855</v>
      </c>
      <c r="H198" s="732"/>
    </row>
    <row r="199" spans="2:8" ht="129.94999999999999" customHeight="1" outlineLevel="1">
      <c r="B199" s="1761"/>
      <c r="C199" s="185" t="s">
        <v>2730</v>
      </c>
      <c r="D199" s="113">
        <v>12000</v>
      </c>
      <c r="E199" s="114" t="s">
        <v>5857</v>
      </c>
      <c r="F199" s="113" t="s">
        <v>4196</v>
      </c>
      <c r="G199" s="2938" t="s">
        <v>10099</v>
      </c>
      <c r="H199" s="732"/>
    </row>
    <row r="200" spans="2:8" ht="143.1" customHeight="1" outlineLevel="1">
      <c r="B200" s="1768"/>
      <c r="C200" s="920" t="s">
        <v>407</v>
      </c>
      <c r="D200" s="592">
        <v>25000</v>
      </c>
      <c r="E200" s="921" t="s">
        <v>5858</v>
      </c>
      <c r="F200" s="592" t="s">
        <v>4196</v>
      </c>
      <c r="G200" s="913" t="s">
        <v>5859</v>
      </c>
      <c r="H200" s="732"/>
    </row>
    <row r="201" spans="2:8" ht="156" customHeight="1" outlineLevel="1">
      <c r="B201" s="933"/>
      <c r="C201" s="185" t="s">
        <v>404</v>
      </c>
      <c r="D201" s="113">
        <v>42000</v>
      </c>
      <c r="E201" s="114" t="s">
        <v>5860</v>
      </c>
      <c r="F201" s="113" t="s">
        <v>4196</v>
      </c>
      <c r="G201" s="1937" t="s">
        <v>5861</v>
      </c>
      <c r="H201" s="732"/>
    </row>
    <row r="202" spans="2:8" ht="90.95" customHeight="1" outlineLevel="1">
      <c r="B202" s="1762"/>
      <c r="C202" s="1758" t="s">
        <v>2129</v>
      </c>
      <c r="D202" s="592">
        <v>40000</v>
      </c>
      <c r="E202" s="921" t="s">
        <v>5862</v>
      </c>
      <c r="F202" s="592" t="s">
        <v>4196</v>
      </c>
      <c r="G202" s="913" t="s">
        <v>5863</v>
      </c>
      <c r="H202" s="732"/>
    </row>
    <row r="203" spans="2:8" ht="104.1" customHeight="1" outlineLevel="1">
      <c r="B203" s="1767"/>
      <c r="C203" s="2785" t="s">
        <v>2617</v>
      </c>
      <c r="D203" s="113">
        <v>25000</v>
      </c>
      <c r="E203" s="114" t="s">
        <v>5864</v>
      </c>
      <c r="F203" s="113" t="s">
        <v>4196</v>
      </c>
      <c r="G203" s="1765" t="s">
        <v>5865</v>
      </c>
      <c r="H203" s="732"/>
    </row>
    <row r="204" spans="2:8" ht="117" customHeight="1" outlineLevel="1">
      <c r="B204" s="919"/>
      <c r="C204" s="920" t="s">
        <v>2504</v>
      </c>
      <c r="D204" s="592">
        <v>12000</v>
      </c>
      <c r="E204" s="921" t="s">
        <v>5866</v>
      </c>
      <c r="F204" s="592" t="s">
        <v>4196</v>
      </c>
      <c r="G204" s="913" t="s">
        <v>10100</v>
      </c>
      <c r="H204" s="732"/>
    </row>
    <row r="205" spans="2:8" ht="78" customHeight="1" outlineLevel="1">
      <c r="B205" s="933"/>
      <c r="C205" s="185" t="s">
        <v>2130</v>
      </c>
      <c r="D205" s="113">
        <v>3000</v>
      </c>
      <c r="E205" s="114" t="s">
        <v>5867</v>
      </c>
      <c r="F205" s="113" t="s">
        <v>4196</v>
      </c>
      <c r="G205" s="1937" t="s">
        <v>5868</v>
      </c>
      <c r="H205" s="732"/>
    </row>
    <row r="206" spans="2:8" ht="78" customHeight="1" outlineLevel="1">
      <c r="B206" s="919"/>
      <c r="C206" s="920" t="s">
        <v>362</v>
      </c>
      <c r="D206" s="592">
        <v>3000</v>
      </c>
      <c r="E206" s="921" t="s">
        <v>5869</v>
      </c>
      <c r="F206" s="592" t="s">
        <v>4196</v>
      </c>
      <c r="G206" s="913" t="s">
        <v>5870</v>
      </c>
      <c r="H206" s="732"/>
    </row>
    <row r="207" spans="2:8" ht="90.95" customHeight="1" outlineLevel="1" thickBot="1">
      <c r="B207" s="932"/>
      <c r="C207" s="183" t="s">
        <v>2066</v>
      </c>
      <c r="D207" s="109">
        <v>20000</v>
      </c>
      <c r="E207" s="110" t="s">
        <v>5871</v>
      </c>
      <c r="F207" s="109" t="s">
        <v>4196</v>
      </c>
      <c r="G207" s="184" t="s">
        <v>5872</v>
      </c>
      <c r="H207" s="732"/>
    </row>
    <row r="208" spans="2:8" ht="5.0999999999999996" customHeight="1"/>
    <row r="209" spans="2:8" ht="13.5" thickBot="1">
      <c r="B209" s="3733" t="s">
        <v>5873</v>
      </c>
      <c r="C209" s="3733"/>
      <c r="D209" s="3733"/>
      <c r="E209" s="3733"/>
      <c r="F209" s="3733"/>
      <c r="G209" s="3733"/>
    </row>
    <row r="210" spans="2:8" ht="13.5" thickBot="1">
      <c r="B210" s="3076" t="s">
        <v>2105</v>
      </c>
      <c r="C210" s="3077"/>
      <c r="D210" s="172" t="s">
        <v>4009</v>
      </c>
      <c r="E210" s="930" t="s">
        <v>4010</v>
      </c>
      <c r="F210" s="172" t="s">
        <v>4011</v>
      </c>
      <c r="G210" s="227" t="s">
        <v>4012</v>
      </c>
    </row>
    <row r="211" spans="2:8" ht="78" customHeight="1" outlineLevel="1">
      <c r="B211" s="3745" t="s">
        <v>2238</v>
      </c>
      <c r="C211" s="3746"/>
      <c r="D211" s="592">
        <v>15000</v>
      </c>
      <c r="E211" s="921" t="s">
        <v>5874</v>
      </c>
      <c r="F211" s="592" t="s">
        <v>4196</v>
      </c>
      <c r="G211" s="913" t="s">
        <v>5875</v>
      </c>
      <c r="H211" s="732"/>
    </row>
    <row r="212" spans="2:8" ht="65.099999999999994" customHeight="1" outlineLevel="1">
      <c r="B212" s="3747" t="s">
        <v>4197</v>
      </c>
      <c r="C212" s="3748"/>
      <c r="D212" s="113">
        <v>12000</v>
      </c>
      <c r="E212" s="114" t="s">
        <v>5876</v>
      </c>
      <c r="F212" s="113" t="s">
        <v>4196</v>
      </c>
      <c r="G212" s="709" t="s">
        <v>5877</v>
      </c>
      <c r="H212" s="732"/>
    </row>
    <row r="213" spans="2:8" ht="90.95" customHeight="1" outlineLevel="1" thickBot="1">
      <c r="B213" s="3749" t="s">
        <v>2239</v>
      </c>
      <c r="C213" s="3750"/>
      <c r="D213" s="594">
        <v>20000</v>
      </c>
      <c r="E213" s="924" t="s">
        <v>5878</v>
      </c>
      <c r="F213" s="594" t="s">
        <v>4196</v>
      </c>
      <c r="G213" s="916" t="s">
        <v>5879</v>
      </c>
      <c r="H213" s="732"/>
    </row>
    <row r="214" spans="2:8" ht="5.0999999999999996" customHeight="1"/>
    <row r="215" spans="2:8" ht="51.95" customHeight="1">
      <c r="B215" s="3751" t="s">
        <v>5186</v>
      </c>
      <c r="C215" s="3710"/>
      <c r="D215" s="3710"/>
      <c r="E215" s="3710"/>
      <c r="F215" s="3710"/>
      <c r="G215" s="3710"/>
    </row>
    <row r="216" spans="2:8" ht="78" customHeight="1">
      <c r="B216" s="3710" t="s">
        <v>10101</v>
      </c>
      <c r="C216" s="3710"/>
      <c r="D216" s="3710"/>
      <c r="E216" s="3710"/>
      <c r="F216" s="3710"/>
      <c r="G216" s="3710"/>
    </row>
    <row r="217" spans="2:8" ht="78" customHeight="1">
      <c r="B217" s="3710" t="s">
        <v>8756</v>
      </c>
      <c r="C217" s="3710"/>
      <c r="D217" s="3710"/>
      <c r="E217" s="3710"/>
      <c r="F217" s="3710"/>
      <c r="G217" s="3710"/>
    </row>
    <row r="218" spans="2:8" ht="26.1" customHeight="1">
      <c r="B218" s="3710" t="s">
        <v>4198</v>
      </c>
      <c r="C218" s="3710"/>
      <c r="D218" s="3710"/>
      <c r="E218" s="3710"/>
      <c r="F218" s="3710"/>
      <c r="G218" s="3710"/>
    </row>
    <row r="219" spans="2:8" ht="5.0999999999999996" customHeight="1"/>
    <row r="220" spans="2:8" s="732" customFormat="1" ht="78" customHeight="1">
      <c r="B220" s="3752" t="s">
        <v>9124</v>
      </c>
      <c r="C220" s="3752"/>
      <c r="D220" s="3752"/>
      <c r="E220" s="3752"/>
      <c r="F220" s="3752"/>
      <c r="G220" s="3752"/>
    </row>
    <row r="221" spans="2:8" s="732" customFormat="1" ht="51.95" customHeight="1" thickBot="1">
      <c r="B221" s="3753" t="s">
        <v>9125</v>
      </c>
      <c r="C221" s="3753"/>
      <c r="D221" s="3753"/>
      <c r="E221" s="3753"/>
      <c r="F221" s="3753"/>
      <c r="G221" s="3753"/>
    </row>
    <row r="222" spans="2:8" s="732" customFormat="1" ht="13.5" thickBot="1">
      <c r="B222" s="600"/>
      <c r="C222" s="172" t="s">
        <v>4199</v>
      </c>
      <c r="D222" s="3570" t="s">
        <v>4200</v>
      </c>
      <c r="E222" s="3523"/>
      <c r="F222" s="3523"/>
      <c r="G222" s="3524"/>
    </row>
    <row r="223" spans="2:8" s="732" customFormat="1">
      <c r="B223" s="600"/>
      <c r="C223" s="910" t="s">
        <v>2692</v>
      </c>
      <c r="D223" s="3731" t="s">
        <v>2007</v>
      </c>
      <c r="E223" s="3511"/>
      <c r="F223" s="3511"/>
      <c r="G223" s="3512"/>
    </row>
    <row r="224" spans="2:8" s="732" customFormat="1">
      <c r="B224" s="600"/>
      <c r="C224" s="186" t="s">
        <v>2007</v>
      </c>
      <c r="D224" s="3716" t="s">
        <v>405</v>
      </c>
      <c r="E224" s="3514"/>
      <c r="F224" s="3514"/>
      <c r="G224" s="3515"/>
    </row>
    <row r="225" spans="2:7" s="732" customFormat="1">
      <c r="B225" s="600"/>
      <c r="C225" s="912" t="s">
        <v>405</v>
      </c>
      <c r="D225" s="3715" t="s">
        <v>408</v>
      </c>
      <c r="E225" s="3517"/>
      <c r="F225" s="3517"/>
      <c r="G225" s="3518"/>
    </row>
    <row r="226" spans="2:7" s="732" customFormat="1">
      <c r="B226" s="600"/>
      <c r="C226" s="186" t="s">
        <v>408</v>
      </c>
      <c r="D226" s="3716" t="s">
        <v>2728</v>
      </c>
      <c r="E226" s="3514"/>
      <c r="F226" s="3514"/>
      <c r="G226" s="3515"/>
    </row>
    <row r="227" spans="2:7" s="732" customFormat="1">
      <c r="B227" s="600"/>
      <c r="C227" s="912" t="s">
        <v>2728</v>
      </c>
      <c r="D227" s="3715" t="s">
        <v>2730</v>
      </c>
      <c r="E227" s="3517"/>
      <c r="F227" s="3517"/>
      <c r="G227" s="3518"/>
    </row>
    <row r="228" spans="2:7" s="732" customFormat="1">
      <c r="B228" s="600"/>
      <c r="C228" s="186" t="s">
        <v>2730</v>
      </c>
      <c r="D228" s="3716" t="s">
        <v>407</v>
      </c>
      <c r="E228" s="3514"/>
      <c r="F228" s="3514"/>
      <c r="G228" s="3515"/>
    </row>
    <row r="229" spans="2:7" s="732" customFormat="1">
      <c r="B229" s="600"/>
      <c r="C229" s="912" t="s">
        <v>407</v>
      </c>
      <c r="D229" s="3715" t="s">
        <v>404</v>
      </c>
      <c r="E229" s="3517"/>
      <c r="F229" s="3517"/>
      <c r="G229" s="3518"/>
    </row>
    <row r="230" spans="2:7" s="732" customFormat="1">
      <c r="B230" s="600"/>
      <c r="C230" s="186" t="s">
        <v>404</v>
      </c>
      <c r="D230" s="3716" t="s">
        <v>2129</v>
      </c>
      <c r="E230" s="3514"/>
      <c r="F230" s="3514"/>
      <c r="G230" s="3515"/>
    </row>
    <row r="231" spans="2:7" s="732" customFormat="1">
      <c r="B231" s="600"/>
      <c r="C231" s="912" t="s">
        <v>2129</v>
      </c>
      <c r="D231" s="3715" t="s">
        <v>2617</v>
      </c>
      <c r="E231" s="3517"/>
      <c r="F231" s="3517"/>
      <c r="G231" s="3518"/>
    </row>
    <row r="232" spans="2:7" s="732" customFormat="1">
      <c r="B232" s="600"/>
      <c r="C232" s="186" t="s">
        <v>2617</v>
      </c>
      <c r="D232" s="3716" t="s">
        <v>2504</v>
      </c>
      <c r="E232" s="3514"/>
      <c r="F232" s="3514"/>
      <c r="G232" s="3515"/>
    </row>
    <row r="233" spans="2:7" s="732" customFormat="1">
      <c r="B233" s="600"/>
      <c r="C233" s="912" t="s">
        <v>2504</v>
      </c>
      <c r="D233" s="3715" t="s">
        <v>406</v>
      </c>
      <c r="E233" s="3517"/>
      <c r="F233" s="3517"/>
      <c r="G233" s="3518"/>
    </row>
    <row r="234" spans="2:7" s="732" customFormat="1">
      <c r="B234" s="600"/>
      <c r="C234" s="186" t="s">
        <v>406</v>
      </c>
      <c r="D234" s="3716" t="s">
        <v>362</v>
      </c>
      <c r="E234" s="3514"/>
      <c r="F234" s="3514"/>
      <c r="G234" s="3515"/>
    </row>
    <row r="235" spans="2:7" s="732" customFormat="1" ht="13.5" thickBot="1">
      <c r="B235" s="600"/>
      <c r="C235" s="915" t="s">
        <v>362</v>
      </c>
      <c r="D235" s="3719" t="s">
        <v>2066</v>
      </c>
      <c r="E235" s="3505"/>
      <c r="F235" s="3505"/>
      <c r="G235" s="3506"/>
    </row>
    <row r="236" spans="2:7" ht="5.0999999999999996" customHeight="1"/>
    <row r="237" spans="2:7" ht="26.1" customHeight="1" thickBot="1">
      <c r="B237" s="3567" t="s">
        <v>9126</v>
      </c>
      <c r="C237" s="3567"/>
      <c r="D237" s="3567"/>
      <c r="E237" s="3567"/>
      <c r="F237" s="3567"/>
      <c r="G237" s="3567"/>
    </row>
    <row r="238" spans="2:7" ht="13.5" customHeight="1" thickBot="1">
      <c r="B238" s="3744" t="s">
        <v>4201</v>
      </c>
      <c r="C238" s="3742"/>
      <c r="D238" s="3742"/>
      <c r="E238" s="934" t="s">
        <v>2849</v>
      </c>
      <c r="F238" s="3742" t="s">
        <v>4202</v>
      </c>
      <c r="G238" s="3743"/>
    </row>
    <row r="239" spans="2:7" ht="24.95" customHeight="1">
      <c r="B239" s="926"/>
      <c r="C239" s="927"/>
      <c r="D239" s="432"/>
      <c r="E239" s="755">
        <v>1</v>
      </c>
      <c r="F239" s="3734" t="s">
        <v>4203</v>
      </c>
      <c r="G239" s="3735"/>
    </row>
    <row r="240" spans="2:7" ht="24.95" customHeight="1">
      <c r="B240" s="926"/>
      <c r="C240" s="927"/>
      <c r="D240" s="432"/>
      <c r="E240" s="28">
        <v>2</v>
      </c>
      <c r="F240" s="3736" t="s">
        <v>4211</v>
      </c>
      <c r="G240" s="3737"/>
    </row>
    <row r="241" spans="2:7" ht="24.95" customHeight="1">
      <c r="B241" s="926"/>
      <c r="C241" s="927"/>
      <c r="D241" s="432"/>
      <c r="E241" s="511">
        <v>3</v>
      </c>
      <c r="F241" s="3738" t="s">
        <v>4209</v>
      </c>
      <c r="G241" s="3739"/>
    </row>
    <row r="242" spans="2:7" ht="24.95" customHeight="1">
      <c r="B242" s="926"/>
      <c r="C242" s="927"/>
      <c r="D242" s="432"/>
      <c r="E242" s="28">
        <v>4</v>
      </c>
      <c r="F242" s="3736" t="s">
        <v>4212</v>
      </c>
      <c r="G242" s="3737"/>
    </row>
    <row r="243" spans="2:7" ht="24.95" customHeight="1">
      <c r="B243" s="926"/>
      <c r="C243" s="927"/>
      <c r="D243" s="432"/>
      <c r="E243" s="511">
        <v>5</v>
      </c>
      <c r="F243" s="3738" t="s">
        <v>4204</v>
      </c>
      <c r="G243" s="3739"/>
    </row>
    <row r="244" spans="2:7" ht="24.95" customHeight="1">
      <c r="B244" s="926"/>
      <c r="C244" s="927"/>
      <c r="D244" s="432"/>
      <c r="E244" s="28">
        <v>6</v>
      </c>
      <c r="F244" s="3736" t="s">
        <v>4205</v>
      </c>
      <c r="G244" s="3737"/>
    </row>
    <row r="245" spans="2:7" ht="24.95" customHeight="1">
      <c r="B245" s="926"/>
      <c r="C245" s="927"/>
      <c r="D245" s="432"/>
      <c r="E245" s="511">
        <v>7</v>
      </c>
      <c r="F245" s="3738" t="s">
        <v>4206</v>
      </c>
      <c r="G245" s="3739"/>
    </row>
    <row r="246" spans="2:7" ht="24.95" customHeight="1">
      <c r="B246" s="926"/>
      <c r="C246" s="927"/>
      <c r="D246" s="432"/>
      <c r="E246" s="28">
        <v>8</v>
      </c>
      <c r="F246" s="3736" t="s">
        <v>4206</v>
      </c>
      <c r="G246" s="3737"/>
    </row>
    <row r="247" spans="2:7" ht="24.95" customHeight="1">
      <c r="B247" s="926"/>
      <c r="C247" s="927"/>
      <c r="D247" s="432"/>
      <c r="E247" s="511">
        <v>9</v>
      </c>
      <c r="F247" s="3738" t="s">
        <v>4210</v>
      </c>
      <c r="G247" s="3739"/>
    </row>
    <row r="248" spans="2:7" ht="24.95" customHeight="1">
      <c r="B248" s="926"/>
      <c r="C248" s="927"/>
      <c r="D248" s="432"/>
      <c r="E248" s="28">
        <v>10</v>
      </c>
      <c r="F248" s="3736" t="s">
        <v>4213</v>
      </c>
      <c r="G248" s="3737"/>
    </row>
    <row r="249" spans="2:7" ht="24.95" customHeight="1">
      <c r="B249" s="926"/>
      <c r="C249" s="927"/>
      <c r="D249" s="432"/>
      <c r="E249" s="511">
        <v>11</v>
      </c>
      <c r="F249" s="3738" t="s">
        <v>4207</v>
      </c>
      <c r="G249" s="3739"/>
    </row>
    <row r="250" spans="2:7" ht="24.95" customHeight="1" thickBot="1">
      <c r="B250" s="928"/>
      <c r="C250" s="929"/>
      <c r="D250" s="901"/>
      <c r="E250" s="180">
        <v>12</v>
      </c>
      <c r="F250" s="3740" t="s">
        <v>4208</v>
      </c>
      <c r="G250" s="3741"/>
    </row>
  </sheetData>
  <sheetProtection autoFilter="0"/>
  <mergeCells count="86">
    <mergeCell ref="C1:G1"/>
    <mergeCell ref="D235:G235"/>
    <mergeCell ref="D231:G231"/>
    <mergeCell ref="D232:G232"/>
    <mergeCell ref="B135:C135"/>
    <mergeCell ref="B168:C168"/>
    <mergeCell ref="B157:C157"/>
    <mergeCell ref="D229:G229"/>
    <mergeCell ref="D230:G230"/>
    <mergeCell ref="D224:G224"/>
    <mergeCell ref="D225:G225"/>
    <mergeCell ref="B188:C188"/>
    <mergeCell ref="B195:C195"/>
    <mergeCell ref="D233:G233"/>
    <mergeCell ref="B210:C210"/>
    <mergeCell ref="B3:G3"/>
    <mergeCell ref="B237:G237"/>
    <mergeCell ref="B238:D238"/>
    <mergeCell ref="B211:C211"/>
    <mergeCell ref="B212:C212"/>
    <mergeCell ref="B213:C213"/>
    <mergeCell ref="D226:G226"/>
    <mergeCell ref="B218:G218"/>
    <mergeCell ref="D222:G222"/>
    <mergeCell ref="B215:G215"/>
    <mergeCell ref="B216:G216"/>
    <mergeCell ref="B217:G217"/>
    <mergeCell ref="B220:G220"/>
    <mergeCell ref="B221:G221"/>
    <mergeCell ref="D234:G234"/>
    <mergeCell ref="D227:G227"/>
    <mergeCell ref="D228:G228"/>
    <mergeCell ref="B5:G5"/>
    <mergeCell ref="F238:G238"/>
    <mergeCell ref="B37:C37"/>
    <mergeCell ref="B46:C46"/>
    <mergeCell ref="B55:C55"/>
    <mergeCell ref="D6:G6"/>
    <mergeCell ref="D7:G7"/>
    <mergeCell ref="D8:G8"/>
    <mergeCell ref="D9:G9"/>
    <mergeCell ref="D10:G10"/>
    <mergeCell ref="D11:G11"/>
    <mergeCell ref="B15:G15"/>
    <mergeCell ref="B18:C18"/>
    <mergeCell ref="B28:C28"/>
    <mergeCell ref="B14:G14"/>
    <mergeCell ref="B13:G13"/>
    <mergeCell ref="F249:G249"/>
    <mergeCell ref="F250:G250"/>
    <mergeCell ref="F241:G241"/>
    <mergeCell ref="F242:G242"/>
    <mergeCell ref="F243:G243"/>
    <mergeCell ref="F244:G244"/>
    <mergeCell ref="F248:G248"/>
    <mergeCell ref="F239:G239"/>
    <mergeCell ref="F240:G240"/>
    <mergeCell ref="F245:G245"/>
    <mergeCell ref="F246:G246"/>
    <mergeCell ref="F247:G247"/>
    <mergeCell ref="B180:C180"/>
    <mergeCell ref="B151:C151"/>
    <mergeCell ref="D223:G223"/>
    <mergeCell ref="B54:G54"/>
    <mergeCell ref="B45:G45"/>
    <mergeCell ref="B73:C73"/>
    <mergeCell ref="B85:C85"/>
    <mergeCell ref="B97:C97"/>
    <mergeCell ref="B122:G122"/>
    <mergeCell ref="B96:G96"/>
    <mergeCell ref="B84:G84"/>
    <mergeCell ref="B209:G209"/>
    <mergeCell ref="B194:G194"/>
    <mergeCell ref="B187:G187"/>
    <mergeCell ref="B179:G179"/>
    <mergeCell ref="B167:G167"/>
    <mergeCell ref="B27:G27"/>
    <mergeCell ref="B17:G17"/>
    <mergeCell ref="B63:G63"/>
    <mergeCell ref="B72:G72"/>
    <mergeCell ref="B64:C64"/>
    <mergeCell ref="B156:G156"/>
    <mergeCell ref="B150:G150"/>
    <mergeCell ref="B134:G134"/>
    <mergeCell ref="B123:C123"/>
    <mergeCell ref="B36:G36"/>
  </mergeCells>
  <phoneticPr fontId="9" type="noConversion"/>
  <hyperlinks>
    <hyperlink ref="B1" location="Index!A1" display="Назад"/>
    <hyperlink ref="C197" location="'5.11'!A1" display="Плащ короля нечисти"/>
    <hyperlink ref="C203" location="'5.10'!A1" display="Шляпа адмирала"/>
    <hyperlink ref="C146" location="'5.9'!A1" display="Медаль уязвимости"/>
    <hyperlink ref="C21" location="'5.6'!A1" display="Грааль"/>
    <hyperlink ref="C22" location="'5.7'!A1" display="Катапульта"/>
    <hyperlink ref="C23" location="'5.7'!A1" display="Баллиста"/>
    <hyperlink ref="C24" location="'5.7'!A1" display="Тележка с боеприпасами"/>
    <hyperlink ref="C25" location="'5.7'!A1" display="Палатка первой помощи"/>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6" manualBreakCount="6">
    <brk id="21" max="6" man="1"/>
    <brk id="70" max="6" man="1"/>
    <brk id="192" max="6" man="1"/>
    <brk id="213" max="6" man="1"/>
    <brk id="221" max="6" man="1"/>
    <brk id="235" max="6" man="1"/>
  </rowBreaks>
  <ignoredErrors>
    <ignoredError sqref="D168:D177 D181:D185 D189:D192 D130" numberStoredAsText="1"/>
  </ignoredErrors>
  <drawing r:id="rId2"/>
</worksheet>
</file>

<file path=xl/worksheets/sheet57.xml><?xml version="1.0" encoding="utf-8"?>
<worksheet xmlns="http://schemas.openxmlformats.org/spreadsheetml/2006/main" xmlns:r="http://schemas.openxmlformats.org/officeDocument/2006/relationships">
  <dimension ref="B1:C141"/>
  <sheetViews>
    <sheetView zoomScaleNormal="100" workbookViewId="0">
      <pane ySplit="7" topLeftCell="A8" activePane="bottomLeft" state="frozen"/>
      <selection pane="bottomLeft" activeCell="B1" sqref="B1"/>
    </sheetView>
  </sheetViews>
  <sheetFormatPr defaultRowHeight="12.95" customHeight="1"/>
  <cols>
    <col min="1" max="1" width="3.7109375" style="318" customWidth="1"/>
    <col min="2" max="2" width="34" style="318" bestFit="1" customWidth="1"/>
    <col min="3" max="3" width="85.5703125" style="318" customWidth="1"/>
    <col min="4" max="16384" width="9.140625" style="318"/>
  </cols>
  <sheetData>
    <row r="1" spans="2:3" ht="12.95" customHeight="1">
      <c r="B1" s="313" t="s">
        <v>2706</v>
      </c>
      <c r="C1" s="2585" t="s">
        <v>8269</v>
      </c>
    </row>
    <row r="2" spans="2:3" ht="5.0999999999999996" customHeight="1">
      <c r="B2" s="857"/>
      <c r="C2" s="857"/>
    </row>
    <row r="3" spans="2:3" ht="12.95" customHeight="1">
      <c r="B3" s="3754" t="s">
        <v>4214</v>
      </c>
      <c r="C3" s="3754"/>
    </row>
    <row r="4" spans="2:3" ht="5.0999999999999996" customHeight="1">
      <c r="B4" s="908"/>
      <c r="C4" s="908"/>
    </row>
    <row r="5" spans="2:3" ht="12.95" customHeight="1" thickBot="1">
      <c r="B5" s="3134" t="s">
        <v>4246</v>
      </c>
      <c r="C5" s="3134"/>
    </row>
    <row r="6" spans="2:3" ht="12.95" customHeight="1" thickBot="1">
      <c r="B6" s="172" t="s">
        <v>2105</v>
      </c>
      <c r="C6" s="227" t="s">
        <v>4247</v>
      </c>
    </row>
    <row r="7" spans="2:3" s="909" customFormat="1" ht="12" thickBot="1">
      <c r="B7" s="267"/>
      <c r="C7" s="268"/>
    </row>
    <row r="8" spans="2:3" ht="39" customHeight="1">
      <c r="B8" s="910" t="s">
        <v>4029</v>
      </c>
      <c r="C8" s="911" t="s">
        <v>4248</v>
      </c>
    </row>
    <row r="9" spans="2:3" ht="26.1" customHeight="1">
      <c r="B9" s="186" t="s">
        <v>4032</v>
      </c>
      <c r="C9" s="709" t="s">
        <v>4249</v>
      </c>
    </row>
    <row r="10" spans="2:3" ht="26.1" customHeight="1">
      <c r="B10" s="912" t="s">
        <v>5142</v>
      </c>
      <c r="C10" s="913" t="s">
        <v>4250</v>
      </c>
    </row>
    <row r="11" spans="2:3" ht="26.1" customHeight="1">
      <c r="B11" s="186" t="s">
        <v>937</v>
      </c>
      <c r="C11" s="709" t="s">
        <v>4251</v>
      </c>
    </row>
    <row r="12" spans="2:3" ht="26.1" customHeight="1">
      <c r="B12" s="912" t="s">
        <v>4036</v>
      </c>
      <c r="C12" s="913" t="s">
        <v>4252</v>
      </c>
    </row>
    <row r="13" spans="2:3" ht="39" customHeight="1">
      <c r="B13" s="186" t="s">
        <v>1803</v>
      </c>
      <c r="C13" s="709" t="s">
        <v>5187</v>
      </c>
    </row>
    <row r="14" spans="2:3" ht="39" customHeight="1">
      <c r="B14" s="912" t="s">
        <v>4039</v>
      </c>
      <c r="C14" s="913" t="s">
        <v>4253</v>
      </c>
    </row>
    <row r="15" spans="2:3" ht="39" customHeight="1">
      <c r="B15" s="186" t="s">
        <v>929</v>
      </c>
      <c r="C15" s="709" t="s">
        <v>4254</v>
      </c>
    </row>
    <row r="16" spans="2:3" ht="26.1" customHeight="1">
      <c r="B16" s="912" t="s">
        <v>4043</v>
      </c>
      <c r="C16" s="913" t="s">
        <v>4255</v>
      </c>
    </row>
    <row r="17" spans="2:3" ht="39" customHeight="1">
      <c r="B17" s="186" t="s">
        <v>1196</v>
      </c>
      <c r="C17" s="709" t="s">
        <v>4256</v>
      </c>
    </row>
    <row r="18" spans="2:3" ht="39" customHeight="1">
      <c r="B18" s="912" t="s">
        <v>1198</v>
      </c>
      <c r="C18" s="913" t="s">
        <v>4257</v>
      </c>
    </row>
    <row r="19" spans="2:3" ht="26.1" customHeight="1">
      <c r="B19" s="186" t="s">
        <v>1212</v>
      </c>
      <c r="C19" s="709" t="s">
        <v>4258</v>
      </c>
    </row>
    <row r="20" spans="2:3" ht="39" customHeight="1">
      <c r="B20" s="912" t="s">
        <v>1328</v>
      </c>
      <c r="C20" s="913" t="s">
        <v>4259</v>
      </c>
    </row>
    <row r="21" spans="2:3" ht="26.1" customHeight="1">
      <c r="B21" s="186" t="s">
        <v>1752</v>
      </c>
      <c r="C21" s="1712" t="s">
        <v>4260</v>
      </c>
    </row>
    <row r="22" spans="2:3" ht="39" customHeight="1">
      <c r="B22" s="912" t="s">
        <v>1893</v>
      </c>
      <c r="C22" s="913" t="s">
        <v>4261</v>
      </c>
    </row>
    <row r="23" spans="2:3" ht="51.95" customHeight="1">
      <c r="B23" s="186" t="s">
        <v>1085</v>
      </c>
      <c r="C23" s="709" t="s">
        <v>4262</v>
      </c>
    </row>
    <row r="24" spans="2:3" ht="39" customHeight="1">
      <c r="B24" s="912" t="s">
        <v>936</v>
      </c>
      <c r="C24" s="913" t="s">
        <v>4261</v>
      </c>
    </row>
    <row r="25" spans="2:3" ht="26.1" customHeight="1">
      <c r="B25" s="186" t="s">
        <v>930</v>
      </c>
      <c r="C25" s="709" t="s">
        <v>4263</v>
      </c>
    </row>
    <row r="26" spans="2:3" ht="26.1" customHeight="1">
      <c r="B26" s="912" t="s">
        <v>4055</v>
      </c>
      <c r="C26" s="913" t="s">
        <v>4362</v>
      </c>
    </row>
    <row r="27" spans="2:3" ht="26.1" customHeight="1">
      <c r="B27" s="186" t="s">
        <v>4058</v>
      </c>
      <c r="C27" s="709" t="s">
        <v>4361</v>
      </c>
    </row>
    <row r="28" spans="2:3" ht="39" customHeight="1">
      <c r="B28" s="912" t="s">
        <v>4060</v>
      </c>
      <c r="C28" s="913" t="s">
        <v>5188</v>
      </c>
    </row>
    <row r="29" spans="2:3" ht="26.1" customHeight="1">
      <c r="B29" s="186" t="s">
        <v>1020</v>
      </c>
      <c r="C29" s="709" t="s">
        <v>4264</v>
      </c>
    </row>
    <row r="30" spans="2:3" ht="39" customHeight="1">
      <c r="B30" s="912" t="s">
        <v>4063</v>
      </c>
      <c r="C30" s="913" t="s">
        <v>4265</v>
      </c>
    </row>
    <row r="31" spans="2:3" ht="39" customHeight="1">
      <c r="B31" s="186" t="s">
        <v>4065</v>
      </c>
      <c r="C31" s="709" t="s">
        <v>5189</v>
      </c>
    </row>
    <row r="32" spans="2:3" ht="26.1" customHeight="1">
      <c r="B32" s="912" t="s">
        <v>2791</v>
      </c>
      <c r="C32" s="913" t="s">
        <v>4266</v>
      </c>
    </row>
    <row r="33" spans="2:3" ht="39" customHeight="1">
      <c r="B33" s="186" t="s">
        <v>4069</v>
      </c>
      <c r="C33" s="709" t="s">
        <v>4267</v>
      </c>
    </row>
    <row r="34" spans="2:3" ht="26.1" customHeight="1">
      <c r="B34" s="912" t="s">
        <v>1844</v>
      </c>
      <c r="C34" s="913" t="s">
        <v>4268</v>
      </c>
    </row>
    <row r="35" spans="2:3" ht="39" customHeight="1">
      <c r="B35" s="186" t="s">
        <v>1330</v>
      </c>
      <c r="C35" s="709" t="s">
        <v>4269</v>
      </c>
    </row>
    <row r="36" spans="2:3" ht="51.95" customHeight="1">
      <c r="B36" s="912" t="s">
        <v>1128</v>
      </c>
      <c r="C36" s="913" t="s">
        <v>4270</v>
      </c>
    </row>
    <row r="37" spans="2:3" ht="39" customHeight="1">
      <c r="B37" s="186" t="s">
        <v>4076</v>
      </c>
      <c r="C37" s="709" t="s">
        <v>4271</v>
      </c>
    </row>
    <row r="38" spans="2:3" ht="26.1" customHeight="1">
      <c r="B38" s="912" t="s">
        <v>432</v>
      </c>
      <c r="C38" s="913" t="s">
        <v>4272</v>
      </c>
    </row>
    <row r="39" spans="2:3" ht="26.1" customHeight="1">
      <c r="B39" s="186" t="s">
        <v>4080</v>
      </c>
      <c r="C39" s="709" t="s">
        <v>4273</v>
      </c>
    </row>
    <row r="40" spans="2:3" ht="26.1" customHeight="1">
      <c r="B40" s="912" t="s">
        <v>1133</v>
      </c>
      <c r="C40" s="913" t="s">
        <v>4274</v>
      </c>
    </row>
    <row r="41" spans="2:3" ht="39" customHeight="1">
      <c r="B41" s="186" t="s">
        <v>795</v>
      </c>
      <c r="C41" s="709" t="s">
        <v>4275</v>
      </c>
    </row>
    <row r="42" spans="2:3" ht="26.1" customHeight="1">
      <c r="B42" s="912" t="s">
        <v>4084</v>
      </c>
      <c r="C42" s="913" t="s">
        <v>4276</v>
      </c>
    </row>
    <row r="43" spans="2:3" ht="26.1" customHeight="1">
      <c r="B43" s="186" t="s">
        <v>4086</v>
      </c>
      <c r="C43" s="709" t="s">
        <v>4277</v>
      </c>
    </row>
    <row r="44" spans="2:3" ht="39" customHeight="1">
      <c r="B44" s="912" t="s">
        <v>800</v>
      </c>
      <c r="C44" s="913" t="s">
        <v>4278</v>
      </c>
    </row>
    <row r="45" spans="2:3" ht="26.1" customHeight="1">
      <c r="B45" s="186" t="s">
        <v>4090</v>
      </c>
      <c r="C45" s="1712" t="s">
        <v>4279</v>
      </c>
    </row>
    <row r="46" spans="2:3" ht="26.1" customHeight="1">
      <c r="B46" s="912" t="s">
        <v>2204</v>
      </c>
      <c r="C46" s="913" t="s">
        <v>4272</v>
      </c>
    </row>
    <row r="47" spans="2:3" ht="26.1" customHeight="1">
      <c r="B47" s="186" t="s">
        <v>2203</v>
      </c>
      <c r="C47" s="709" t="s">
        <v>4280</v>
      </c>
    </row>
    <row r="48" spans="2:3" ht="39" customHeight="1">
      <c r="B48" s="912" t="s">
        <v>2201</v>
      </c>
      <c r="C48" s="913" t="s">
        <v>4281</v>
      </c>
    </row>
    <row r="49" spans="2:3" ht="26.1" customHeight="1">
      <c r="B49" s="186" t="s">
        <v>2202</v>
      </c>
      <c r="C49" s="709" t="s">
        <v>4282</v>
      </c>
    </row>
    <row r="50" spans="2:3" ht="26.1" customHeight="1">
      <c r="B50" s="912" t="s">
        <v>3966</v>
      </c>
      <c r="C50" s="913" t="s">
        <v>4283</v>
      </c>
    </row>
    <row r="51" spans="2:3" ht="26.1" customHeight="1">
      <c r="B51" s="186" t="s">
        <v>2106</v>
      </c>
      <c r="C51" s="709" t="s">
        <v>4284</v>
      </c>
    </row>
    <row r="52" spans="2:3" ht="26.1" customHeight="1">
      <c r="B52" s="912" t="s">
        <v>409</v>
      </c>
      <c r="C52" s="913" t="s">
        <v>4285</v>
      </c>
    </row>
    <row r="53" spans="2:3" ht="39" customHeight="1">
      <c r="B53" s="186" t="s">
        <v>2508</v>
      </c>
      <c r="C53" s="709" t="s">
        <v>4332</v>
      </c>
    </row>
    <row r="54" spans="2:3" ht="26.1" customHeight="1">
      <c r="B54" s="912" t="s">
        <v>1675</v>
      </c>
      <c r="C54" s="913" t="s">
        <v>4310</v>
      </c>
    </row>
    <row r="55" spans="2:3" ht="26.1" customHeight="1">
      <c r="B55" s="186" t="s">
        <v>1674</v>
      </c>
      <c r="C55" s="1712" t="s">
        <v>4311</v>
      </c>
    </row>
    <row r="56" spans="2:3" ht="39" customHeight="1">
      <c r="B56" s="912" t="s">
        <v>1192</v>
      </c>
      <c r="C56" s="913" t="s">
        <v>4286</v>
      </c>
    </row>
    <row r="57" spans="2:3" ht="26.1" customHeight="1">
      <c r="B57" s="186" t="s">
        <v>2513</v>
      </c>
      <c r="C57" s="709" t="s">
        <v>4287</v>
      </c>
    </row>
    <row r="58" spans="2:3" ht="39" customHeight="1">
      <c r="B58" s="912" t="s">
        <v>2515</v>
      </c>
      <c r="C58" s="913" t="s">
        <v>4288</v>
      </c>
    </row>
    <row r="59" spans="2:3" ht="26.1" customHeight="1">
      <c r="B59" s="186" t="s">
        <v>4097</v>
      </c>
      <c r="C59" s="709" t="s">
        <v>4289</v>
      </c>
    </row>
    <row r="60" spans="2:3" ht="26.1" customHeight="1">
      <c r="B60" s="912" t="s">
        <v>2518</v>
      </c>
      <c r="C60" s="913" t="s">
        <v>4290</v>
      </c>
    </row>
    <row r="61" spans="2:3" ht="39" customHeight="1">
      <c r="B61" s="186" t="s">
        <v>4100</v>
      </c>
      <c r="C61" s="709" t="s">
        <v>4313</v>
      </c>
    </row>
    <row r="62" spans="2:3" ht="39" customHeight="1">
      <c r="B62" s="912" t="s">
        <v>725</v>
      </c>
      <c r="C62" s="913" t="s">
        <v>4314</v>
      </c>
    </row>
    <row r="63" spans="2:3" ht="39" customHeight="1">
      <c r="B63" s="186" t="s">
        <v>1894</v>
      </c>
      <c r="C63" s="709" t="s">
        <v>4315</v>
      </c>
    </row>
    <row r="64" spans="2:3" ht="26.1" customHeight="1">
      <c r="B64" s="912" t="s">
        <v>4104</v>
      </c>
      <c r="C64" s="913" t="s">
        <v>4291</v>
      </c>
    </row>
    <row r="65" spans="2:3" ht="39" customHeight="1">
      <c r="B65" s="186" t="s">
        <v>4106</v>
      </c>
      <c r="C65" s="709" t="s">
        <v>4292</v>
      </c>
    </row>
    <row r="66" spans="2:3" ht="26.1" customHeight="1">
      <c r="B66" s="912" t="s">
        <v>426</v>
      </c>
      <c r="C66" s="913" t="s">
        <v>4293</v>
      </c>
    </row>
    <row r="67" spans="2:3" ht="26.1" customHeight="1">
      <c r="B67" s="186" t="s">
        <v>1895</v>
      </c>
      <c r="C67" s="709" t="s">
        <v>4282</v>
      </c>
    </row>
    <row r="68" spans="2:3" ht="26.1" customHeight="1">
      <c r="B68" s="912" t="s">
        <v>1896</v>
      </c>
      <c r="C68" s="913" t="s">
        <v>4282</v>
      </c>
    </row>
    <row r="69" spans="2:3" ht="26.1" customHeight="1">
      <c r="B69" s="186" t="s">
        <v>1897</v>
      </c>
      <c r="C69" s="709" t="s">
        <v>4294</v>
      </c>
    </row>
    <row r="70" spans="2:3" ht="39" customHeight="1">
      <c r="B70" s="912" t="s">
        <v>757</v>
      </c>
      <c r="C70" s="913" t="s">
        <v>4295</v>
      </c>
    </row>
    <row r="71" spans="2:3" ht="39" customHeight="1">
      <c r="B71" s="186" t="s">
        <v>181</v>
      </c>
      <c r="C71" s="709" t="s">
        <v>4296</v>
      </c>
    </row>
    <row r="72" spans="2:3" ht="39" customHeight="1">
      <c r="B72" s="912" t="s">
        <v>2395</v>
      </c>
      <c r="C72" s="913" t="s">
        <v>4297</v>
      </c>
    </row>
    <row r="73" spans="2:3" ht="51.95" customHeight="1">
      <c r="B73" s="186" t="s">
        <v>996</v>
      </c>
      <c r="C73" s="709" t="s">
        <v>4302</v>
      </c>
    </row>
    <row r="74" spans="2:3" ht="51.95" customHeight="1">
      <c r="B74" s="912" t="s">
        <v>998</v>
      </c>
      <c r="C74" s="913" t="s">
        <v>4303</v>
      </c>
    </row>
    <row r="75" spans="2:3" ht="51.95" customHeight="1">
      <c r="B75" s="186" t="s">
        <v>171</v>
      </c>
      <c r="C75" s="709" t="s">
        <v>4304</v>
      </c>
    </row>
    <row r="76" spans="2:3" ht="26.1" customHeight="1">
      <c r="B76" s="912" t="s">
        <v>2334</v>
      </c>
      <c r="C76" s="913" t="s">
        <v>4305</v>
      </c>
    </row>
    <row r="77" spans="2:3" ht="39" customHeight="1">
      <c r="B77" s="186" t="s">
        <v>2335</v>
      </c>
      <c r="C77" s="709" t="s">
        <v>4306</v>
      </c>
    </row>
    <row r="78" spans="2:3" ht="26.1" customHeight="1">
      <c r="B78" s="912" t="s">
        <v>4116</v>
      </c>
      <c r="C78" s="913" t="s">
        <v>4307</v>
      </c>
    </row>
    <row r="79" spans="2:3" ht="39" customHeight="1">
      <c r="B79" s="186" t="s">
        <v>356</v>
      </c>
      <c r="C79" s="709" t="s">
        <v>4299</v>
      </c>
    </row>
    <row r="80" spans="2:3" ht="39" customHeight="1">
      <c r="B80" s="912" t="s">
        <v>1636</v>
      </c>
      <c r="C80" s="913" t="s">
        <v>4316</v>
      </c>
    </row>
    <row r="81" spans="2:3" ht="26.1" customHeight="1">
      <c r="B81" s="186" t="s">
        <v>1313</v>
      </c>
      <c r="C81" s="709" t="s">
        <v>4322</v>
      </c>
    </row>
    <row r="82" spans="2:3" ht="26.1" customHeight="1">
      <c r="B82" s="912" t="s">
        <v>1315</v>
      </c>
      <c r="C82" s="913" t="s">
        <v>4298</v>
      </c>
    </row>
    <row r="83" spans="2:3" ht="39" customHeight="1">
      <c r="B83" s="186" t="s">
        <v>1317</v>
      </c>
      <c r="C83" s="709" t="s">
        <v>4323</v>
      </c>
    </row>
    <row r="84" spans="2:3" ht="26.1" customHeight="1">
      <c r="B84" s="912" t="s">
        <v>1637</v>
      </c>
      <c r="C84" s="913" t="s">
        <v>4300</v>
      </c>
    </row>
    <row r="85" spans="2:3" ht="39" customHeight="1">
      <c r="B85" s="186" t="s">
        <v>1327</v>
      </c>
      <c r="C85" s="709" t="s">
        <v>4343</v>
      </c>
    </row>
    <row r="86" spans="2:3" ht="26.1" customHeight="1">
      <c r="B86" s="912" t="s">
        <v>4126</v>
      </c>
      <c r="C86" s="913" t="s">
        <v>4301</v>
      </c>
    </row>
    <row r="87" spans="2:3" ht="39" customHeight="1">
      <c r="B87" s="186" t="s">
        <v>758</v>
      </c>
      <c r="C87" s="709" t="s">
        <v>4316</v>
      </c>
    </row>
    <row r="88" spans="2:3" ht="26.1" customHeight="1">
      <c r="B88" s="912" t="s">
        <v>4130</v>
      </c>
      <c r="C88" s="913" t="s">
        <v>4308</v>
      </c>
    </row>
    <row r="89" spans="2:3" ht="26.1" customHeight="1">
      <c r="B89" s="186" t="s">
        <v>759</v>
      </c>
      <c r="C89" s="709" t="s">
        <v>4308</v>
      </c>
    </row>
    <row r="90" spans="2:3" ht="26.1" customHeight="1">
      <c r="B90" s="912" t="s">
        <v>4133</v>
      </c>
      <c r="C90" s="913" t="s">
        <v>4308</v>
      </c>
    </row>
    <row r="91" spans="2:3" ht="26.1" customHeight="1">
      <c r="B91" s="186" t="s">
        <v>2127</v>
      </c>
      <c r="C91" s="709" t="s">
        <v>4308</v>
      </c>
    </row>
    <row r="92" spans="2:3" ht="39" customHeight="1">
      <c r="B92" s="912" t="s">
        <v>1899</v>
      </c>
      <c r="C92" s="913" t="s">
        <v>4309</v>
      </c>
    </row>
    <row r="93" spans="2:3" ht="26.1" customHeight="1">
      <c r="B93" s="186" t="s">
        <v>4136</v>
      </c>
      <c r="C93" s="709" t="s">
        <v>4312</v>
      </c>
    </row>
    <row r="94" spans="2:3" ht="26.1" customHeight="1">
      <c r="B94" s="912" t="s">
        <v>4138</v>
      </c>
      <c r="C94" s="913" t="s">
        <v>4312</v>
      </c>
    </row>
    <row r="95" spans="2:3" ht="26.1" customHeight="1">
      <c r="B95" s="186" t="s">
        <v>4140</v>
      </c>
      <c r="C95" s="709" t="s">
        <v>4312</v>
      </c>
    </row>
    <row r="96" spans="2:3" ht="26.1" customHeight="1">
      <c r="B96" s="912" t="s">
        <v>4142</v>
      </c>
      <c r="C96" s="913" t="s">
        <v>4312</v>
      </c>
    </row>
    <row r="97" spans="2:3" ht="26.1" customHeight="1">
      <c r="B97" s="186" t="s">
        <v>4144</v>
      </c>
      <c r="C97" s="709" t="s">
        <v>4318</v>
      </c>
    </row>
    <row r="98" spans="2:3" ht="26.1" customHeight="1">
      <c r="B98" s="914" t="s">
        <v>4146</v>
      </c>
      <c r="C98" s="913" t="s">
        <v>4319</v>
      </c>
    </row>
    <row r="99" spans="2:3" ht="39" customHeight="1">
      <c r="B99" s="186" t="s">
        <v>2630</v>
      </c>
      <c r="C99" s="709" t="s">
        <v>4344</v>
      </c>
    </row>
    <row r="100" spans="2:3" ht="39" customHeight="1">
      <c r="B100" s="912" t="s">
        <v>2590</v>
      </c>
      <c r="C100" s="913" t="s">
        <v>4346</v>
      </c>
    </row>
    <row r="101" spans="2:3" ht="39" customHeight="1">
      <c r="B101" s="186" t="s">
        <v>4151</v>
      </c>
      <c r="C101" s="709" t="s">
        <v>4320</v>
      </c>
    </row>
    <row r="102" spans="2:3" ht="39" customHeight="1">
      <c r="B102" s="912" t="s">
        <v>1626</v>
      </c>
      <c r="C102" s="913" t="s">
        <v>4320</v>
      </c>
    </row>
    <row r="103" spans="2:3" ht="39" customHeight="1">
      <c r="B103" s="186" t="s">
        <v>2541</v>
      </c>
      <c r="C103" s="709" t="s">
        <v>4321</v>
      </c>
    </row>
    <row r="104" spans="2:3" ht="39" customHeight="1">
      <c r="B104" s="912" t="s">
        <v>4154</v>
      </c>
      <c r="C104" s="913" t="s">
        <v>4324</v>
      </c>
    </row>
    <row r="105" spans="2:3" ht="39" customHeight="1">
      <c r="B105" s="186" t="s">
        <v>4156</v>
      </c>
      <c r="C105" s="709" t="s">
        <v>4325</v>
      </c>
    </row>
    <row r="106" spans="2:3" ht="26.1" customHeight="1">
      <c r="B106" s="912" t="s">
        <v>4157</v>
      </c>
      <c r="C106" s="913" t="s">
        <v>4326</v>
      </c>
    </row>
    <row r="107" spans="2:3" ht="26.1" customHeight="1">
      <c r="B107" s="186" t="s">
        <v>2314</v>
      </c>
      <c r="C107" s="709" t="s">
        <v>4327</v>
      </c>
    </row>
    <row r="108" spans="2:3" ht="39" customHeight="1">
      <c r="B108" s="912" t="s">
        <v>2316</v>
      </c>
      <c r="C108" s="913" t="s">
        <v>4328</v>
      </c>
    </row>
    <row r="109" spans="2:3" ht="39" customHeight="1">
      <c r="B109" s="186" t="s">
        <v>4366</v>
      </c>
      <c r="C109" s="709" t="s">
        <v>4329</v>
      </c>
    </row>
    <row r="110" spans="2:3" ht="26.1" customHeight="1">
      <c r="B110" s="912" t="s">
        <v>4161</v>
      </c>
      <c r="C110" s="913" t="s">
        <v>4330</v>
      </c>
    </row>
    <row r="111" spans="2:3" ht="26.1" customHeight="1">
      <c r="B111" s="186" t="s">
        <v>4162</v>
      </c>
      <c r="C111" s="709" t="s">
        <v>4331</v>
      </c>
    </row>
    <row r="112" spans="2:3" ht="39" customHeight="1">
      <c r="B112" s="912" t="s">
        <v>2543</v>
      </c>
      <c r="C112" s="913" t="s">
        <v>4333</v>
      </c>
    </row>
    <row r="113" spans="2:3" ht="39" customHeight="1">
      <c r="B113" s="186" t="s">
        <v>2544</v>
      </c>
      <c r="C113" s="709" t="s">
        <v>4334</v>
      </c>
    </row>
    <row r="114" spans="2:3" ht="39" customHeight="1">
      <c r="B114" s="912" t="s">
        <v>4364</v>
      </c>
      <c r="C114" s="913" t="s">
        <v>4335</v>
      </c>
    </row>
    <row r="115" spans="2:3" ht="26.1" customHeight="1">
      <c r="B115" s="186" t="s">
        <v>2125</v>
      </c>
      <c r="C115" s="709" t="s">
        <v>4337</v>
      </c>
    </row>
    <row r="116" spans="2:3" ht="39" customHeight="1">
      <c r="B116" s="912" t="s">
        <v>2124</v>
      </c>
      <c r="C116" s="913" t="s">
        <v>4336</v>
      </c>
    </row>
    <row r="117" spans="2:3" ht="39" customHeight="1">
      <c r="B117" s="186" t="s">
        <v>4170</v>
      </c>
      <c r="C117" s="709" t="s">
        <v>4338</v>
      </c>
    </row>
    <row r="118" spans="2:3" ht="26.1" customHeight="1">
      <c r="B118" s="912" t="s">
        <v>4172</v>
      </c>
      <c r="C118" s="913" t="s">
        <v>4339</v>
      </c>
    </row>
    <row r="119" spans="2:3" ht="26.1" customHeight="1">
      <c r="B119" s="186" t="s">
        <v>4174</v>
      </c>
      <c r="C119" s="709" t="s">
        <v>4340</v>
      </c>
    </row>
    <row r="120" spans="2:3" ht="26.1" customHeight="1">
      <c r="B120" s="912" t="s">
        <v>4176</v>
      </c>
      <c r="C120" s="913" t="s">
        <v>4341</v>
      </c>
    </row>
    <row r="121" spans="2:3" ht="26.1" customHeight="1">
      <c r="B121" s="186" t="s">
        <v>4179</v>
      </c>
      <c r="C121" s="709" t="s">
        <v>4342</v>
      </c>
    </row>
    <row r="122" spans="2:3" ht="26.1" customHeight="1">
      <c r="B122" s="912" t="s">
        <v>4181</v>
      </c>
      <c r="C122" s="913" t="s">
        <v>4342</v>
      </c>
    </row>
    <row r="123" spans="2:3" ht="26.1" customHeight="1">
      <c r="B123" s="186" t="s">
        <v>4183</v>
      </c>
      <c r="C123" s="709" t="s">
        <v>4342</v>
      </c>
    </row>
    <row r="124" spans="2:3" ht="26.1" customHeight="1">
      <c r="B124" s="912" t="s">
        <v>4185</v>
      </c>
      <c r="C124" s="913" t="s">
        <v>4342</v>
      </c>
    </row>
    <row r="125" spans="2:3" ht="26.1" customHeight="1">
      <c r="B125" s="186" t="s">
        <v>4187</v>
      </c>
      <c r="C125" s="709" t="s">
        <v>4342</v>
      </c>
    </row>
    <row r="126" spans="2:3" ht="26.1" customHeight="1">
      <c r="B126" s="912" t="s">
        <v>2002</v>
      </c>
      <c r="C126" s="913" t="s">
        <v>4317</v>
      </c>
    </row>
    <row r="127" spans="2:3" ht="26.1" customHeight="1">
      <c r="B127" s="186" t="s">
        <v>2004</v>
      </c>
      <c r="C127" s="709" t="s">
        <v>4345</v>
      </c>
    </row>
    <row r="128" spans="2:3" ht="39" customHeight="1">
      <c r="B128" s="912" t="s">
        <v>4192</v>
      </c>
      <c r="C128" s="913" t="s">
        <v>4347</v>
      </c>
    </row>
    <row r="129" spans="2:3" ht="39" customHeight="1">
      <c r="B129" s="186" t="s">
        <v>2007</v>
      </c>
      <c r="C129" s="709" t="s">
        <v>4348</v>
      </c>
    </row>
    <row r="130" spans="2:3" ht="12.95" customHeight="1">
      <c r="B130" s="912" t="s">
        <v>405</v>
      </c>
      <c r="C130" s="913" t="s">
        <v>4349</v>
      </c>
    </row>
    <row r="131" spans="2:3" ht="12.95" customHeight="1">
      <c r="B131" s="186" t="s">
        <v>408</v>
      </c>
      <c r="C131" s="709" t="s">
        <v>4350</v>
      </c>
    </row>
    <row r="132" spans="2:3" ht="12.95" customHeight="1">
      <c r="B132" s="912" t="s">
        <v>2728</v>
      </c>
      <c r="C132" s="913" t="s">
        <v>4351</v>
      </c>
    </row>
    <row r="133" spans="2:3" ht="12.95" customHeight="1">
      <c r="B133" s="186" t="s">
        <v>2730</v>
      </c>
      <c r="C133" s="709" t="s">
        <v>4352</v>
      </c>
    </row>
    <row r="134" spans="2:3" ht="12.95" customHeight="1">
      <c r="B134" s="912" t="s">
        <v>407</v>
      </c>
      <c r="C134" s="913" t="s">
        <v>4353</v>
      </c>
    </row>
    <row r="135" spans="2:3" ht="12.95" customHeight="1">
      <c r="B135" s="186" t="s">
        <v>404</v>
      </c>
      <c r="C135" s="709" t="s">
        <v>4354</v>
      </c>
    </row>
    <row r="136" spans="2:3" ht="12.95" customHeight="1">
      <c r="B136" s="912" t="s">
        <v>2129</v>
      </c>
      <c r="C136" s="913" t="s">
        <v>4355</v>
      </c>
    </row>
    <row r="137" spans="2:3" ht="12.95" customHeight="1">
      <c r="B137" s="186" t="s">
        <v>2617</v>
      </c>
      <c r="C137" s="709" t="s">
        <v>4356</v>
      </c>
    </row>
    <row r="138" spans="2:3" ht="12.95" customHeight="1">
      <c r="B138" s="912" t="s">
        <v>2504</v>
      </c>
      <c r="C138" s="913" t="s">
        <v>4357</v>
      </c>
    </row>
    <row r="139" spans="2:3" ht="12.95" customHeight="1">
      <c r="B139" s="186" t="s">
        <v>2130</v>
      </c>
      <c r="C139" s="709" t="s">
        <v>4358</v>
      </c>
    </row>
    <row r="140" spans="2:3" ht="12.95" customHeight="1">
      <c r="B140" s="912" t="s">
        <v>362</v>
      </c>
      <c r="C140" s="913" t="s">
        <v>4359</v>
      </c>
    </row>
    <row r="141" spans="2:3" ht="12.95" customHeight="1" thickBot="1">
      <c r="B141" s="190" t="s">
        <v>2066</v>
      </c>
      <c r="C141" s="184" t="s">
        <v>4360</v>
      </c>
    </row>
  </sheetData>
  <sheetProtection autoFilter="0"/>
  <autoFilter ref="B7:C7"/>
  <mergeCells count="2">
    <mergeCell ref="B3:C3"/>
    <mergeCell ref="B5:C5"/>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3" manualBreakCount="3">
    <brk id="86" max="2" man="1"/>
    <brk id="129" max="2" man="1"/>
    <brk id="153" max="18" man="1"/>
  </rowBreaks>
  <drawing r:id="rId2"/>
</worksheet>
</file>

<file path=xl/worksheets/sheet58.xml><?xml version="1.0" encoding="utf-8"?>
<worksheet xmlns="http://schemas.openxmlformats.org/spreadsheetml/2006/main" xmlns:r="http://schemas.openxmlformats.org/officeDocument/2006/relationships">
  <dimension ref="B1:H112"/>
  <sheetViews>
    <sheetView zoomScaleNormal="100" workbookViewId="0">
      <pane ySplit="10" topLeftCell="A11" activePane="bottomLeft" state="frozen"/>
      <selection pane="bottomLeft" activeCell="B1" sqref="B1"/>
    </sheetView>
  </sheetViews>
  <sheetFormatPr defaultRowHeight="12.95" customHeight="1"/>
  <cols>
    <col min="1" max="1" width="3.7109375" style="292" customWidth="1"/>
    <col min="2" max="2" width="50.7109375" style="292" customWidth="1"/>
    <col min="3" max="3" width="11.7109375" style="715" customWidth="1"/>
    <col min="4" max="4" width="15.7109375" style="715" customWidth="1"/>
    <col min="5" max="8" width="11.7109375" style="292" customWidth="1"/>
    <col min="9" max="16384" width="9.140625" style="292"/>
  </cols>
  <sheetData>
    <row r="1" spans="2:8" ht="12.95" customHeight="1">
      <c r="B1" s="313" t="s">
        <v>2706</v>
      </c>
      <c r="C1" s="2973" t="s">
        <v>8269</v>
      </c>
      <c r="D1" s="2973"/>
      <c r="E1" s="2973"/>
      <c r="F1" s="2973"/>
      <c r="G1" s="2973"/>
      <c r="H1" s="2973"/>
    </row>
    <row r="2" spans="2:8" ht="5.0999999999999996" customHeight="1"/>
    <row r="3" spans="2:8" ht="12.95" customHeight="1">
      <c r="B3" s="2978" t="s">
        <v>4363</v>
      </c>
      <c r="C3" s="2978"/>
      <c r="D3" s="2978"/>
      <c r="E3" s="2978"/>
      <c r="F3" s="2978"/>
      <c r="G3" s="2978"/>
      <c r="H3" s="2978"/>
    </row>
    <row r="4" spans="2:8" s="387" customFormat="1" ht="11.25">
      <c r="B4" s="2979" t="s">
        <v>5850</v>
      </c>
      <c r="C4" s="3766"/>
      <c r="D4" s="3766"/>
      <c r="E4" s="3766"/>
      <c r="F4" s="3766"/>
      <c r="G4" s="3766"/>
      <c r="H4" s="3766"/>
    </row>
    <row r="5" spans="2:8" ht="5.0999999999999996" customHeight="1" thickBot="1"/>
    <row r="6" spans="2:8" ht="12.95" customHeight="1">
      <c r="B6" s="3757" t="s">
        <v>2105</v>
      </c>
      <c r="C6" s="3122" t="s">
        <v>1570</v>
      </c>
      <c r="D6" s="3121"/>
      <c r="E6" s="3121"/>
      <c r="F6" s="3121"/>
      <c r="G6" s="3121"/>
      <c r="H6" s="3117"/>
    </row>
    <row r="7" spans="2:8" ht="12.95" customHeight="1">
      <c r="B7" s="3758"/>
      <c r="C7" s="3762" t="s">
        <v>3715</v>
      </c>
      <c r="D7" s="3763" t="s">
        <v>4369</v>
      </c>
      <c r="E7" s="3760" t="s">
        <v>1641</v>
      </c>
      <c r="F7" s="3760"/>
      <c r="G7" s="3760"/>
      <c r="H7" s="3761"/>
    </row>
    <row r="8" spans="2:8" ht="12.95" customHeight="1">
      <c r="B8" s="3758"/>
      <c r="C8" s="3762"/>
      <c r="D8" s="3764"/>
      <c r="E8" s="3760" t="s">
        <v>4367</v>
      </c>
      <c r="F8" s="3760"/>
      <c r="G8" s="3760" t="s">
        <v>4368</v>
      </c>
      <c r="H8" s="3761"/>
    </row>
    <row r="9" spans="2:8" ht="12.95" customHeight="1" thickBot="1">
      <c r="B9" s="3759"/>
      <c r="C9" s="3123"/>
      <c r="D9" s="3765"/>
      <c r="E9" s="729" t="s">
        <v>3392</v>
      </c>
      <c r="F9" s="729" t="s">
        <v>3391</v>
      </c>
      <c r="G9" s="729" t="s">
        <v>3392</v>
      </c>
      <c r="H9" s="730" t="s">
        <v>3391</v>
      </c>
    </row>
    <row r="10" spans="2:8" s="387" customFormat="1" ht="11.25">
      <c r="B10" s="907"/>
      <c r="C10" s="1677"/>
      <c r="D10" s="3755"/>
      <c r="E10" s="3755"/>
      <c r="F10" s="3755"/>
      <c r="G10" s="3755"/>
      <c r="H10" s="3756"/>
    </row>
    <row r="11" spans="2:8" ht="12.95" customHeight="1">
      <c r="B11" s="902" t="s">
        <v>357</v>
      </c>
      <c r="C11" s="1671">
        <f t="shared" ref="C11:C75" si="0">D11/2.5</f>
        <v>10000</v>
      </c>
      <c r="D11" s="903">
        <v>25000</v>
      </c>
      <c r="E11" s="423">
        <f>5*C11</f>
        <v>50000</v>
      </c>
      <c r="F11" s="1667">
        <f>C11/5</f>
        <v>2000</v>
      </c>
      <c r="G11" s="906">
        <f>5*C11/3</f>
        <v>16666.666666666668</v>
      </c>
      <c r="H11" s="1668">
        <f>C11*3/5</f>
        <v>6000</v>
      </c>
    </row>
    <row r="12" spans="2:8" ht="12.95" customHeight="1">
      <c r="B12" s="1683" t="s">
        <v>2086</v>
      </c>
      <c r="C12" s="1672">
        <f t="shared" si="0"/>
        <v>10000</v>
      </c>
      <c r="D12" s="46">
        <v>25000</v>
      </c>
      <c r="E12" s="1680">
        <f t="shared" ref="E12:E75" si="1">5*C12</f>
        <v>50000</v>
      </c>
      <c r="F12" s="1679">
        <f t="shared" ref="F12:F75" si="2">C12/5</f>
        <v>2000</v>
      </c>
      <c r="G12" s="1684">
        <f t="shared" ref="G12:G75" si="3">5*C12/3</f>
        <v>16666.666666666668</v>
      </c>
      <c r="H12" s="1673">
        <f t="shared" ref="H12:H75" si="4">C12*3/5</f>
        <v>6000</v>
      </c>
    </row>
    <row r="13" spans="2:8" ht="12.95" customHeight="1">
      <c r="B13" s="904" t="s">
        <v>4172</v>
      </c>
      <c r="C13" s="1674">
        <f>D13/2.5</f>
        <v>10000</v>
      </c>
      <c r="D13" s="905">
        <v>25000</v>
      </c>
      <c r="E13" s="752">
        <f t="shared" si="1"/>
        <v>50000</v>
      </c>
      <c r="F13" s="1678">
        <f t="shared" si="2"/>
        <v>2000</v>
      </c>
      <c r="G13" s="899">
        <f t="shared" si="3"/>
        <v>16666.666666666668</v>
      </c>
      <c r="H13" s="1675">
        <f t="shared" si="4"/>
        <v>6000</v>
      </c>
    </row>
    <row r="14" spans="2:8" ht="12.95" customHeight="1">
      <c r="B14" s="1683" t="s">
        <v>2547</v>
      </c>
      <c r="C14" s="1672">
        <f t="shared" si="0"/>
        <v>10000</v>
      </c>
      <c r="D14" s="46">
        <v>25000</v>
      </c>
      <c r="E14" s="1680">
        <f t="shared" si="1"/>
        <v>50000</v>
      </c>
      <c r="F14" s="1679">
        <f t="shared" si="2"/>
        <v>2000</v>
      </c>
      <c r="G14" s="1684">
        <f t="shared" si="3"/>
        <v>16666.666666666668</v>
      </c>
      <c r="H14" s="1673">
        <f t="shared" si="4"/>
        <v>6000</v>
      </c>
    </row>
    <row r="15" spans="2:8" ht="12.95" customHeight="1">
      <c r="B15" s="904" t="s">
        <v>2170</v>
      </c>
      <c r="C15" s="1674">
        <f t="shared" si="0"/>
        <v>8000</v>
      </c>
      <c r="D15" s="905">
        <v>20000</v>
      </c>
      <c r="E15" s="752">
        <f t="shared" si="1"/>
        <v>40000</v>
      </c>
      <c r="F15" s="1678">
        <f t="shared" si="2"/>
        <v>1600</v>
      </c>
      <c r="G15" s="899">
        <f t="shared" si="3"/>
        <v>13333.333333333334</v>
      </c>
      <c r="H15" s="1675">
        <f t="shared" si="4"/>
        <v>4800</v>
      </c>
    </row>
    <row r="16" spans="2:8" ht="12.95" customHeight="1">
      <c r="B16" s="1683" t="s">
        <v>2401</v>
      </c>
      <c r="C16" s="1672">
        <f t="shared" si="0"/>
        <v>8000</v>
      </c>
      <c r="D16" s="46">
        <v>20000</v>
      </c>
      <c r="E16" s="1680">
        <f t="shared" si="1"/>
        <v>40000</v>
      </c>
      <c r="F16" s="1679">
        <f t="shared" si="2"/>
        <v>1600</v>
      </c>
      <c r="G16" s="1684">
        <f t="shared" si="3"/>
        <v>13333.333333333334</v>
      </c>
      <c r="H16" s="1673">
        <f t="shared" si="4"/>
        <v>4800</v>
      </c>
    </row>
    <row r="17" spans="2:8" ht="12.95" customHeight="1">
      <c r="B17" s="904" t="s">
        <v>2087</v>
      </c>
      <c r="C17" s="1674">
        <f t="shared" si="0"/>
        <v>7500</v>
      </c>
      <c r="D17" s="905">
        <v>18750</v>
      </c>
      <c r="E17" s="752">
        <f t="shared" si="1"/>
        <v>37500</v>
      </c>
      <c r="F17" s="1678">
        <f t="shared" si="2"/>
        <v>1500</v>
      </c>
      <c r="G17" s="899">
        <f t="shared" si="3"/>
        <v>12500</v>
      </c>
      <c r="H17" s="1675">
        <f t="shared" si="4"/>
        <v>4500</v>
      </c>
    </row>
    <row r="18" spans="2:8" ht="12.95" customHeight="1">
      <c r="B18" s="1683" t="s">
        <v>4174</v>
      </c>
      <c r="C18" s="1672">
        <f t="shared" si="0"/>
        <v>7500</v>
      </c>
      <c r="D18" s="46">
        <v>18750</v>
      </c>
      <c r="E18" s="1680">
        <f t="shared" si="1"/>
        <v>37500</v>
      </c>
      <c r="F18" s="1679">
        <f t="shared" si="2"/>
        <v>1500</v>
      </c>
      <c r="G18" s="1684">
        <f t="shared" si="3"/>
        <v>12500</v>
      </c>
      <c r="H18" s="1673">
        <f t="shared" si="4"/>
        <v>4500</v>
      </c>
    </row>
    <row r="19" spans="2:8" ht="12.95" customHeight="1">
      <c r="B19" s="904" t="s">
        <v>2508</v>
      </c>
      <c r="C19" s="1674">
        <f t="shared" si="0"/>
        <v>7000</v>
      </c>
      <c r="D19" s="905">
        <v>17500</v>
      </c>
      <c r="E19" s="752">
        <f t="shared" si="1"/>
        <v>35000</v>
      </c>
      <c r="F19" s="1678">
        <f t="shared" si="2"/>
        <v>1400</v>
      </c>
      <c r="G19" s="899">
        <f t="shared" si="3"/>
        <v>11666.666666666666</v>
      </c>
      <c r="H19" s="1675">
        <f t="shared" si="4"/>
        <v>4200</v>
      </c>
    </row>
    <row r="20" spans="2:8" ht="12.95" customHeight="1">
      <c r="B20" s="1683" t="s">
        <v>833</v>
      </c>
      <c r="C20" s="1672">
        <f t="shared" si="0"/>
        <v>6000</v>
      </c>
      <c r="D20" s="46">
        <v>15000</v>
      </c>
      <c r="E20" s="1680">
        <f t="shared" si="1"/>
        <v>30000</v>
      </c>
      <c r="F20" s="1679">
        <f t="shared" si="2"/>
        <v>1200</v>
      </c>
      <c r="G20" s="1684">
        <f t="shared" si="3"/>
        <v>10000</v>
      </c>
      <c r="H20" s="1673">
        <f t="shared" si="4"/>
        <v>3600</v>
      </c>
    </row>
    <row r="21" spans="2:8" ht="12.95" customHeight="1">
      <c r="B21" s="904" t="s">
        <v>1113</v>
      </c>
      <c r="C21" s="1674">
        <f t="shared" si="0"/>
        <v>6000</v>
      </c>
      <c r="D21" s="905">
        <v>15000</v>
      </c>
      <c r="E21" s="752">
        <f t="shared" si="1"/>
        <v>30000</v>
      </c>
      <c r="F21" s="1678">
        <f t="shared" si="2"/>
        <v>1200</v>
      </c>
      <c r="G21" s="899">
        <f t="shared" si="3"/>
        <v>10000</v>
      </c>
      <c r="H21" s="1675">
        <f t="shared" si="4"/>
        <v>3600</v>
      </c>
    </row>
    <row r="22" spans="2:8" ht="12.95" customHeight="1">
      <c r="B22" s="1683" t="s">
        <v>752</v>
      </c>
      <c r="C22" s="1672">
        <f t="shared" si="0"/>
        <v>6000</v>
      </c>
      <c r="D22" s="46">
        <v>15000</v>
      </c>
      <c r="E22" s="1680">
        <f t="shared" si="1"/>
        <v>30000</v>
      </c>
      <c r="F22" s="1679">
        <f t="shared" si="2"/>
        <v>1200</v>
      </c>
      <c r="G22" s="1684">
        <f t="shared" si="3"/>
        <v>10000</v>
      </c>
      <c r="H22" s="1673">
        <f t="shared" si="4"/>
        <v>3600</v>
      </c>
    </row>
    <row r="23" spans="2:8" ht="12.95" customHeight="1">
      <c r="B23" s="904" t="s">
        <v>4063</v>
      </c>
      <c r="C23" s="1674">
        <f t="shared" si="0"/>
        <v>6000</v>
      </c>
      <c r="D23" s="905">
        <v>15000</v>
      </c>
      <c r="E23" s="752">
        <f t="shared" si="1"/>
        <v>30000</v>
      </c>
      <c r="F23" s="1678">
        <f t="shared" si="2"/>
        <v>1200</v>
      </c>
      <c r="G23" s="899">
        <f t="shared" si="3"/>
        <v>10000</v>
      </c>
      <c r="H23" s="1675">
        <f t="shared" si="4"/>
        <v>3600</v>
      </c>
    </row>
    <row r="24" spans="2:8" ht="12.95" customHeight="1">
      <c r="B24" s="1683" t="s">
        <v>831</v>
      </c>
      <c r="C24" s="1672">
        <f t="shared" si="0"/>
        <v>6000</v>
      </c>
      <c r="D24" s="46">
        <v>15000</v>
      </c>
      <c r="E24" s="1680">
        <f t="shared" si="1"/>
        <v>30000</v>
      </c>
      <c r="F24" s="1679">
        <f t="shared" si="2"/>
        <v>1200</v>
      </c>
      <c r="G24" s="1684">
        <f t="shared" si="3"/>
        <v>10000</v>
      </c>
      <c r="H24" s="1673">
        <f t="shared" si="4"/>
        <v>3600</v>
      </c>
    </row>
    <row r="25" spans="2:8" ht="12.95" customHeight="1">
      <c r="B25" s="904" t="s">
        <v>986</v>
      </c>
      <c r="C25" s="1674">
        <f t="shared" si="0"/>
        <v>6000</v>
      </c>
      <c r="D25" s="905">
        <v>15000</v>
      </c>
      <c r="E25" s="752">
        <f t="shared" si="1"/>
        <v>30000</v>
      </c>
      <c r="F25" s="1678">
        <f t="shared" si="2"/>
        <v>1200</v>
      </c>
      <c r="G25" s="899">
        <f t="shared" si="3"/>
        <v>10000</v>
      </c>
      <c r="H25" s="1675">
        <f t="shared" si="4"/>
        <v>3600</v>
      </c>
    </row>
    <row r="26" spans="2:8" ht="12.95" customHeight="1">
      <c r="B26" s="1683" t="s">
        <v>1860</v>
      </c>
      <c r="C26" s="1672">
        <f t="shared" si="0"/>
        <v>6000</v>
      </c>
      <c r="D26" s="46">
        <v>15000</v>
      </c>
      <c r="E26" s="1680">
        <f t="shared" si="1"/>
        <v>30000</v>
      </c>
      <c r="F26" s="1679">
        <f t="shared" si="2"/>
        <v>1200</v>
      </c>
      <c r="G26" s="1684">
        <f t="shared" si="3"/>
        <v>10000</v>
      </c>
      <c r="H26" s="1673">
        <f t="shared" si="4"/>
        <v>3600</v>
      </c>
    </row>
    <row r="27" spans="2:8" ht="12.95" customHeight="1">
      <c r="B27" s="904" t="s">
        <v>2634</v>
      </c>
      <c r="C27" s="1674">
        <f t="shared" si="0"/>
        <v>6000</v>
      </c>
      <c r="D27" s="905">
        <v>15000</v>
      </c>
      <c r="E27" s="752">
        <f t="shared" si="1"/>
        <v>30000</v>
      </c>
      <c r="F27" s="1678">
        <f t="shared" si="2"/>
        <v>1200</v>
      </c>
      <c r="G27" s="899">
        <f t="shared" si="3"/>
        <v>10000</v>
      </c>
      <c r="H27" s="1675">
        <f t="shared" si="4"/>
        <v>3600</v>
      </c>
    </row>
    <row r="28" spans="2:8" ht="12.95" customHeight="1">
      <c r="B28" s="1683" t="s">
        <v>1037</v>
      </c>
      <c r="C28" s="1672">
        <f t="shared" si="0"/>
        <v>6000</v>
      </c>
      <c r="D28" s="46">
        <v>15000</v>
      </c>
      <c r="E28" s="1680">
        <f t="shared" si="1"/>
        <v>30000</v>
      </c>
      <c r="F28" s="1679">
        <f t="shared" si="2"/>
        <v>1200</v>
      </c>
      <c r="G28" s="1684">
        <f t="shared" si="3"/>
        <v>10000</v>
      </c>
      <c r="H28" s="1673">
        <f t="shared" si="4"/>
        <v>3600</v>
      </c>
    </row>
    <row r="29" spans="2:8" ht="12.95" customHeight="1">
      <c r="B29" s="904" t="s">
        <v>1242</v>
      </c>
      <c r="C29" s="1674">
        <f t="shared" si="0"/>
        <v>6000</v>
      </c>
      <c r="D29" s="905">
        <v>15000</v>
      </c>
      <c r="E29" s="752">
        <f t="shared" si="1"/>
        <v>30000</v>
      </c>
      <c r="F29" s="1678">
        <f t="shared" si="2"/>
        <v>1200</v>
      </c>
      <c r="G29" s="899">
        <f t="shared" si="3"/>
        <v>10000</v>
      </c>
      <c r="H29" s="1675">
        <f t="shared" si="4"/>
        <v>3600</v>
      </c>
    </row>
    <row r="30" spans="2:8" ht="12.95" customHeight="1">
      <c r="B30" s="1683" t="s">
        <v>1243</v>
      </c>
      <c r="C30" s="1672">
        <f t="shared" si="0"/>
        <v>6000</v>
      </c>
      <c r="D30" s="46">
        <v>15000</v>
      </c>
      <c r="E30" s="1680">
        <f t="shared" si="1"/>
        <v>30000</v>
      </c>
      <c r="F30" s="1679">
        <f t="shared" si="2"/>
        <v>1200</v>
      </c>
      <c r="G30" s="1684">
        <f t="shared" si="3"/>
        <v>10000</v>
      </c>
      <c r="H30" s="1673">
        <f t="shared" si="4"/>
        <v>3600</v>
      </c>
    </row>
    <row r="31" spans="2:8" ht="12.95" customHeight="1">
      <c r="B31" s="904" t="s">
        <v>1954</v>
      </c>
      <c r="C31" s="1674">
        <f t="shared" si="0"/>
        <v>6000</v>
      </c>
      <c r="D31" s="905">
        <v>15000</v>
      </c>
      <c r="E31" s="752">
        <f t="shared" si="1"/>
        <v>30000</v>
      </c>
      <c r="F31" s="1678">
        <f t="shared" si="2"/>
        <v>1200</v>
      </c>
      <c r="G31" s="899">
        <f t="shared" si="3"/>
        <v>10000</v>
      </c>
      <c r="H31" s="1675">
        <f t="shared" si="4"/>
        <v>3600</v>
      </c>
    </row>
    <row r="32" spans="2:8" ht="12.95" customHeight="1">
      <c r="B32" s="1683" t="s">
        <v>1636</v>
      </c>
      <c r="C32" s="1672">
        <f t="shared" si="0"/>
        <v>6000</v>
      </c>
      <c r="D32" s="46">
        <v>15000</v>
      </c>
      <c r="E32" s="1680">
        <f t="shared" si="1"/>
        <v>30000</v>
      </c>
      <c r="F32" s="1679">
        <f t="shared" si="2"/>
        <v>1200</v>
      </c>
      <c r="G32" s="1684">
        <f t="shared" si="3"/>
        <v>10000</v>
      </c>
      <c r="H32" s="1673">
        <f t="shared" si="4"/>
        <v>3600</v>
      </c>
    </row>
    <row r="33" spans="2:8" ht="12.95" customHeight="1">
      <c r="B33" s="904" t="s">
        <v>5192</v>
      </c>
      <c r="C33" s="1674">
        <f t="shared" si="0"/>
        <v>5000</v>
      </c>
      <c r="D33" s="905">
        <v>12500</v>
      </c>
      <c r="E33" s="752">
        <f t="shared" si="1"/>
        <v>25000</v>
      </c>
      <c r="F33" s="1678">
        <f t="shared" si="2"/>
        <v>1000</v>
      </c>
      <c r="G33" s="899">
        <f t="shared" si="3"/>
        <v>8333.3333333333339</v>
      </c>
      <c r="H33" s="1675">
        <f t="shared" si="4"/>
        <v>3000</v>
      </c>
    </row>
    <row r="34" spans="2:8" ht="12.95" customHeight="1">
      <c r="B34" s="1683" t="s">
        <v>5193</v>
      </c>
      <c r="C34" s="1672">
        <f t="shared" si="0"/>
        <v>5000</v>
      </c>
      <c r="D34" s="46">
        <v>12500</v>
      </c>
      <c r="E34" s="1680">
        <f t="shared" si="1"/>
        <v>25000</v>
      </c>
      <c r="F34" s="1679">
        <f t="shared" si="2"/>
        <v>1000</v>
      </c>
      <c r="G34" s="1684">
        <f t="shared" si="3"/>
        <v>8333.3333333333339</v>
      </c>
      <c r="H34" s="1673">
        <f t="shared" si="4"/>
        <v>3000</v>
      </c>
    </row>
    <row r="35" spans="2:8" ht="12.95" customHeight="1">
      <c r="B35" s="904" t="s">
        <v>1085</v>
      </c>
      <c r="C35" s="1674">
        <f t="shared" si="0"/>
        <v>5000</v>
      </c>
      <c r="D35" s="905">
        <v>12500</v>
      </c>
      <c r="E35" s="752">
        <f t="shared" si="1"/>
        <v>25000</v>
      </c>
      <c r="F35" s="1678">
        <f t="shared" si="2"/>
        <v>1000</v>
      </c>
      <c r="G35" s="899">
        <f t="shared" si="3"/>
        <v>8333.3333333333339</v>
      </c>
      <c r="H35" s="1675">
        <f t="shared" si="4"/>
        <v>3000</v>
      </c>
    </row>
    <row r="36" spans="2:8" ht="12.95" customHeight="1">
      <c r="B36" s="1683" t="s">
        <v>2792</v>
      </c>
      <c r="C36" s="1672">
        <f t="shared" si="0"/>
        <v>5000</v>
      </c>
      <c r="D36" s="46">
        <v>12500</v>
      </c>
      <c r="E36" s="1680">
        <f t="shared" si="1"/>
        <v>25000</v>
      </c>
      <c r="F36" s="1679">
        <f t="shared" si="2"/>
        <v>1000</v>
      </c>
      <c r="G36" s="1684">
        <f t="shared" si="3"/>
        <v>8333.3333333333339</v>
      </c>
      <c r="H36" s="1673">
        <f t="shared" si="4"/>
        <v>3000</v>
      </c>
    </row>
    <row r="37" spans="2:8" ht="12.95" customHeight="1">
      <c r="B37" s="904" t="s">
        <v>176</v>
      </c>
      <c r="C37" s="1674">
        <f t="shared" si="0"/>
        <v>5000</v>
      </c>
      <c r="D37" s="905">
        <v>12500</v>
      </c>
      <c r="E37" s="752">
        <f t="shared" si="1"/>
        <v>25000</v>
      </c>
      <c r="F37" s="1678">
        <f t="shared" si="2"/>
        <v>1000</v>
      </c>
      <c r="G37" s="899">
        <f t="shared" si="3"/>
        <v>8333.3333333333339</v>
      </c>
      <c r="H37" s="1675">
        <f t="shared" si="4"/>
        <v>3000</v>
      </c>
    </row>
    <row r="38" spans="2:8" ht="12.95" customHeight="1">
      <c r="B38" s="1683" t="s">
        <v>1654</v>
      </c>
      <c r="C38" s="1672">
        <f t="shared" si="0"/>
        <v>5000</v>
      </c>
      <c r="D38" s="46">
        <v>12500</v>
      </c>
      <c r="E38" s="1680">
        <f t="shared" si="1"/>
        <v>25000</v>
      </c>
      <c r="F38" s="1679">
        <f t="shared" si="2"/>
        <v>1000</v>
      </c>
      <c r="G38" s="1684">
        <f t="shared" si="3"/>
        <v>8333.3333333333339</v>
      </c>
      <c r="H38" s="1673">
        <f t="shared" si="4"/>
        <v>3000</v>
      </c>
    </row>
    <row r="39" spans="2:8" ht="12.95" customHeight="1">
      <c r="B39" s="904" t="s">
        <v>62</v>
      </c>
      <c r="C39" s="1674">
        <f t="shared" si="0"/>
        <v>5000</v>
      </c>
      <c r="D39" s="905">
        <v>12500</v>
      </c>
      <c r="E39" s="752">
        <f t="shared" si="1"/>
        <v>25000</v>
      </c>
      <c r="F39" s="1678">
        <f t="shared" si="2"/>
        <v>1000</v>
      </c>
      <c r="G39" s="899">
        <f t="shared" si="3"/>
        <v>8333.3333333333339</v>
      </c>
      <c r="H39" s="1675">
        <f t="shared" si="4"/>
        <v>3000</v>
      </c>
    </row>
    <row r="40" spans="2:8" ht="12.95" customHeight="1">
      <c r="B40" s="1683" t="s">
        <v>2548</v>
      </c>
      <c r="C40" s="1672">
        <f t="shared" si="0"/>
        <v>5000</v>
      </c>
      <c r="D40" s="46">
        <v>12500</v>
      </c>
      <c r="E40" s="1680">
        <f t="shared" si="1"/>
        <v>25000</v>
      </c>
      <c r="F40" s="1679">
        <f t="shared" si="2"/>
        <v>1000</v>
      </c>
      <c r="G40" s="1684">
        <f t="shared" si="3"/>
        <v>8333.3333333333339</v>
      </c>
      <c r="H40" s="1673">
        <f t="shared" si="4"/>
        <v>3000</v>
      </c>
    </row>
    <row r="41" spans="2:8" ht="12.95" customHeight="1">
      <c r="B41" s="904" t="s">
        <v>175</v>
      </c>
      <c r="C41" s="1674">
        <f t="shared" si="0"/>
        <v>5000</v>
      </c>
      <c r="D41" s="905">
        <v>12500</v>
      </c>
      <c r="E41" s="752">
        <f t="shared" si="1"/>
        <v>25000</v>
      </c>
      <c r="F41" s="1678">
        <f t="shared" si="2"/>
        <v>1000</v>
      </c>
      <c r="G41" s="899">
        <f t="shared" si="3"/>
        <v>8333.3333333333339</v>
      </c>
      <c r="H41" s="1675">
        <f t="shared" si="4"/>
        <v>3000</v>
      </c>
    </row>
    <row r="42" spans="2:8" ht="12.95" customHeight="1">
      <c r="B42" s="1683" t="s">
        <v>177</v>
      </c>
      <c r="C42" s="1672">
        <f t="shared" si="0"/>
        <v>5000</v>
      </c>
      <c r="D42" s="46">
        <v>12500</v>
      </c>
      <c r="E42" s="1680">
        <f t="shared" si="1"/>
        <v>25000</v>
      </c>
      <c r="F42" s="1679">
        <f t="shared" si="2"/>
        <v>1000</v>
      </c>
      <c r="G42" s="1684">
        <f t="shared" si="3"/>
        <v>8333.3333333333339</v>
      </c>
      <c r="H42" s="1673">
        <f t="shared" si="4"/>
        <v>3000</v>
      </c>
    </row>
    <row r="43" spans="2:8" ht="12.95" customHeight="1">
      <c r="B43" s="904" t="s">
        <v>2619</v>
      </c>
      <c r="C43" s="1674">
        <f t="shared" si="0"/>
        <v>5000</v>
      </c>
      <c r="D43" s="905">
        <v>12500</v>
      </c>
      <c r="E43" s="752">
        <f t="shared" si="1"/>
        <v>25000</v>
      </c>
      <c r="F43" s="1678">
        <f t="shared" si="2"/>
        <v>1000</v>
      </c>
      <c r="G43" s="899">
        <f t="shared" si="3"/>
        <v>8333.3333333333339</v>
      </c>
      <c r="H43" s="1675">
        <f t="shared" si="4"/>
        <v>3000</v>
      </c>
    </row>
    <row r="44" spans="2:8" ht="12.95" customHeight="1">
      <c r="B44" s="1683" t="s">
        <v>2608</v>
      </c>
      <c r="C44" s="1672">
        <f t="shared" si="0"/>
        <v>5000</v>
      </c>
      <c r="D44" s="46">
        <v>12500</v>
      </c>
      <c r="E44" s="1680">
        <f t="shared" si="1"/>
        <v>25000</v>
      </c>
      <c r="F44" s="1679">
        <f t="shared" si="2"/>
        <v>1000</v>
      </c>
      <c r="G44" s="1684">
        <f t="shared" si="3"/>
        <v>8333.3333333333339</v>
      </c>
      <c r="H44" s="1673">
        <f t="shared" si="4"/>
        <v>3000</v>
      </c>
    </row>
    <row r="45" spans="2:8" ht="12.95" customHeight="1">
      <c r="B45" s="904" t="s">
        <v>2532</v>
      </c>
      <c r="C45" s="1674">
        <f t="shared" si="0"/>
        <v>5000</v>
      </c>
      <c r="D45" s="905">
        <v>12500</v>
      </c>
      <c r="E45" s="752">
        <f t="shared" si="1"/>
        <v>25000</v>
      </c>
      <c r="F45" s="1678">
        <f t="shared" si="2"/>
        <v>1000</v>
      </c>
      <c r="G45" s="899">
        <f t="shared" si="3"/>
        <v>8333.3333333333339</v>
      </c>
      <c r="H45" s="1675">
        <f t="shared" si="4"/>
        <v>3000</v>
      </c>
    </row>
    <row r="46" spans="2:8" ht="12.95" customHeight="1">
      <c r="B46" s="1683" t="s">
        <v>1542</v>
      </c>
      <c r="C46" s="1672">
        <f t="shared" si="0"/>
        <v>5000</v>
      </c>
      <c r="D46" s="46">
        <v>12500</v>
      </c>
      <c r="E46" s="1680">
        <f t="shared" si="1"/>
        <v>25000</v>
      </c>
      <c r="F46" s="1679">
        <f t="shared" si="2"/>
        <v>1000</v>
      </c>
      <c r="G46" s="1684">
        <f t="shared" si="3"/>
        <v>8333.3333333333339</v>
      </c>
      <c r="H46" s="1673">
        <f t="shared" si="4"/>
        <v>3000</v>
      </c>
    </row>
    <row r="47" spans="2:8" ht="12.95" customHeight="1">
      <c r="B47" s="904" t="s">
        <v>494</v>
      </c>
      <c r="C47" s="1674">
        <f t="shared" si="0"/>
        <v>5000</v>
      </c>
      <c r="D47" s="905">
        <v>12500</v>
      </c>
      <c r="E47" s="752">
        <f t="shared" si="1"/>
        <v>25000</v>
      </c>
      <c r="F47" s="1678">
        <f t="shared" si="2"/>
        <v>1000</v>
      </c>
      <c r="G47" s="899">
        <f t="shared" si="3"/>
        <v>8333.3333333333339</v>
      </c>
      <c r="H47" s="1675">
        <f t="shared" si="4"/>
        <v>3000</v>
      </c>
    </row>
    <row r="48" spans="2:8" ht="12.95" customHeight="1">
      <c r="B48" s="1683" t="s">
        <v>1210</v>
      </c>
      <c r="C48" s="1672">
        <f t="shared" si="0"/>
        <v>5000</v>
      </c>
      <c r="D48" s="46">
        <v>12500</v>
      </c>
      <c r="E48" s="1680">
        <f t="shared" si="1"/>
        <v>25000</v>
      </c>
      <c r="F48" s="1679">
        <f t="shared" si="2"/>
        <v>1000</v>
      </c>
      <c r="G48" s="1684">
        <f t="shared" si="3"/>
        <v>8333.3333333333339</v>
      </c>
      <c r="H48" s="1673">
        <f t="shared" si="4"/>
        <v>3000</v>
      </c>
    </row>
    <row r="49" spans="2:8" ht="12.95" customHeight="1">
      <c r="B49" s="904" t="s">
        <v>1207</v>
      </c>
      <c r="C49" s="1674">
        <f t="shared" si="0"/>
        <v>5000</v>
      </c>
      <c r="D49" s="905">
        <v>12500</v>
      </c>
      <c r="E49" s="752">
        <f t="shared" si="1"/>
        <v>25000</v>
      </c>
      <c r="F49" s="1678">
        <f t="shared" si="2"/>
        <v>1000</v>
      </c>
      <c r="G49" s="899">
        <f t="shared" si="3"/>
        <v>8333.3333333333339</v>
      </c>
      <c r="H49" s="1675">
        <f t="shared" si="4"/>
        <v>3000</v>
      </c>
    </row>
    <row r="50" spans="2:8" ht="12.95" customHeight="1">
      <c r="B50" s="1683" t="s">
        <v>1543</v>
      </c>
      <c r="C50" s="1672">
        <f t="shared" si="0"/>
        <v>5000</v>
      </c>
      <c r="D50" s="46">
        <v>12500</v>
      </c>
      <c r="E50" s="1680">
        <f t="shared" si="1"/>
        <v>25000</v>
      </c>
      <c r="F50" s="1679">
        <f t="shared" si="2"/>
        <v>1000</v>
      </c>
      <c r="G50" s="1684">
        <f t="shared" si="3"/>
        <v>8333.3333333333339</v>
      </c>
      <c r="H50" s="1673">
        <f t="shared" si="4"/>
        <v>3000</v>
      </c>
    </row>
    <row r="51" spans="2:8" ht="12.95" customHeight="1">
      <c r="B51" s="904" t="s">
        <v>1613</v>
      </c>
      <c r="C51" s="1674">
        <f t="shared" si="0"/>
        <v>5000</v>
      </c>
      <c r="D51" s="905">
        <v>12500</v>
      </c>
      <c r="E51" s="752">
        <f t="shared" si="1"/>
        <v>25000</v>
      </c>
      <c r="F51" s="1678">
        <f t="shared" si="2"/>
        <v>1000</v>
      </c>
      <c r="G51" s="899">
        <f t="shared" si="3"/>
        <v>8333.3333333333339</v>
      </c>
      <c r="H51" s="1675">
        <f t="shared" si="4"/>
        <v>3000</v>
      </c>
    </row>
    <row r="52" spans="2:8" ht="12.95" customHeight="1">
      <c r="B52" s="1683" t="s">
        <v>4176</v>
      </c>
      <c r="C52" s="1672">
        <f t="shared" si="0"/>
        <v>5000</v>
      </c>
      <c r="D52" s="46">
        <v>12500</v>
      </c>
      <c r="E52" s="1680">
        <f t="shared" si="1"/>
        <v>25000</v>
      </c>
      <c r="F52" s="1679">
        <f t="shared" si="2"/>
        <v>1000</v>
      </c>
      <c r="G52" s="1684">
        <f t="shared" si="3"/>
        <v>8333.3333333333339</v>
      </c>
      <c r="H52" s="1673">
        <f t="shared" si="4"/>
        <v>3000</v>
      </c>
    </row>
    <row r="53" spans="2:8" ht="12.95" customHeight="1">
      <c r="B53" s="904" t="s">
        <v>2246</v>
      </c>
      <c r="C53" s="1674">
        <f t="shared" si="0"/>
        <v>5000</v>
      </c>
      <c r="D53" s="905">
        <v>12500</v>
      </c>
      <c r="E53" s="752">
        <f t="shared" si="1"/>
        <v>25000</v>
      </c>
      <c r="F53" s="1678">
        <f t="shared" si="2"/>
        <v>1000</v>
      </c>
      <c r="G53" s="899">
        <f t="shared" si="3"/>
        <v>8333.3333333333339</v>
      </c>
      <c r="H53" s="1675">
        <f t="shared" si="4"/>
        <v>3000</v>
      </c>
    </row>
    <row r="54" spans="2:8" ht="12.95" customHeight="1">
      <c r="B54" s="1683" t="s">
        <v>2236</v>
      </c>
      <c r="C54" s="1672">
        <f t="shared" si="0"/>
        <v>5000</v>
      </c>
      <c r="D54" s="46">
        <v>12500</v>
      </c>
      <c r="E54" s="1680">
        <f t="shared" si="1"/>
        <v>25000</v>
      </c>
      <c r="F54" s="1679">
        <f t="shared" si="2"/>
        <v>1000</v>
      </c>
      <c r="G54" s="1684">
        <f t="shared" si="3"/>
        <v>8333.3333333333339</v>
      </c>
      <c r="H54" s="1673">
        <f t="shared" si="4"/>
        <v>3000</v>
      </c>
    </row>
    <row r="55" spans="2:8" ht="12.95" customHeight="1">
      <c r="B55" s="904" t="s">
        <v>565</v>
      </c>
      <c r="C55" s="1674">
        <f t="shared" si="0"/>
        <v>5000</v>
      </c>
      <c r="D55" s="905">
        <v>12500</v>
      </c>
      <c r="E55" s="752">
        <f t="shared" si="1"/>
        <v>25000</v>
      </c>
      <c r="F55" s="1678">
        <f t="shared" si="2"/>
        <v>1000</v>
      </c>
      <c r="G55" s="899">
        <f t="shared" si="3"/>
        <v>8333.3333333333339</v>
      </c>
      <c r="H55" s="1675">
        <f t="shared" si="4"/>
        <v>3000</v>
      </c>
    </row>
    <row r="56" spans="2:8" ht="12.95" customHeight="1">
      <c r="B56" s="1683" t="s">
        <v>196</v>
      </c>
      <c r="C56" s="1672">
        <f t="shared" si="0"/>
        <v>5000</v>
      </c>
      <c r="D56" s="46">
        <v>12500</v>
      </c>
      <c r="E56" s="1680">
        <f t="shared" si="1"/>
        <v>25000</v>
      </c>
      <c r="F56" s="1679">
        <f t="shared" si="2"/>
        <v>1000</v>
      </c>
      <c r="G56" s="1684">
        <f t="shared" si="3"/>
        <v>8333.3333333333339</v>
      </c>
      <c r="H56" s="1673">
        <f t="shared" si="4"/>
        <v>3000</v>
      </c>
    </row>
    <row r="57" spans="2:8" ht="12.95" customHeight="1">
      <c r="B57" s="904" t="s">
        <v>1435</v>
      </c>
      <c r="C57" s="1674">
        <f t="shared" si="0"/>
        <v>5000</v>
      </c>
      <c r="D57" s="905">
        <v>12500</v>
      </c>
      <c r="E57" s="752">
        <f t="shared" si="1"/>
        <v>25000</v>
      </c>
      <c r="F57" s="1678">
        <f t="shared" si="2"/>
        <v>1000</v>
      </c>
      <c r="G57" s="899">
        <f t="shared" si="3"/>
        <v>8333.3333333333339</v>
      </c>
      <c r="H57" s="1675">
        <f t="shared" si="4"/>
        <v>3000</v>
      </c>
    </row>
    <row r="58" spans="2:8" ht="12.95" customHeight="1">
      <c r="B58" s="1683" t="s">
        <v>1592</v>
      </c>
      <c r="C58" s="1672">
        <f t="shared" si="0"/>
        <v>5000</v>
      </c>
      <c r="D58" s="46">
        <v>12500</v>
      </c>
      <c r="E58" s="1680">
        <f t="shared" si="1"/>
        <v>25000</v>
      </c>
      <c r="F58" s="1679">
        <f t="shared" si="2"/>
        <v>1000</v>
      </c>
      <c r="G58" s="1684">
        <f t="shared" si="3"/>
        <v>8333.3333333333339</v>
      </c>
      <c r="H58" s="1673">
        <f t="shared" si="4"/>
        <v>3000</v>
      </c>
    </row>
    <row r="59" spans="2:8" ht="12.95" customHeight="1">
      <c r="B59" s="904" t="s">
        <v>4365</v>
      </c>
      <c r="C59" s="1674">
        <f t="shared" si="0"/>
        <v>4000</v>
      </c>
      <c r="D59" s="905">
        <v>10000</v>
      </c>
      <c r="E59" s="752">
        <f t="shared" si="1"/>
        <v>20000</v>
      </c>
      <c r="F59" s="1678">
        <f t="shared" si="2"/>
        <v>800</v>
      </c>
      <c r="G59" s="899">
        <f t="shared" si="3"/>
        <v>6666.666666666667</v>
      </c>
      <c r="H59" s="1675">
        <f t="shared" si="4"/>
        <v>2400</v>
      </c>
    </row>
    <row r="60" spans="2:8" ht="12.95" customHeight="1">
      <c r="B60" s="1683" t="s">
        <v>1646</v>
      </c>
      <c r="C60" s="1672">
        <f t="shared" si="0"/>
        <v>4000</v>
      </c>
      <c r="D60" s="46">
        <v>10000</v>
      </c>
      <c r="E60" s="1680">
        <f t="shared" si="1"/>
        <v>20000</v>
      </c>
      <c r="F60" s="1679">
        <f t="shared" si="2"/>
        <v>800</v>
      </c>
      <c r="G60" s="1684">
        <f t="shared" si="3"/>
        <v>6666.666666666667</v>
      </c>
      <c r="H60" s="1673">
        <f t="shared" si="4"/>
        <v>2400</v>
      </c>
    </row>
    <row r="61" spans="2:8" ht="12.95" customHeight="1">
      <c r="B61" s="904" t="s">
        <v>1647</v>
      </c>
      <c r="C61" s="1674">
        <f t="shared" si="0"/>
        <v>4000</v>
      </c>
      <c r="D61" s="905">
        <v>10000</v>
      </c>
      <c r="E61" s="752">
        <f t="shared" si="1"/>
        <v>20000</v>
      </c>
      <c r="F61" s="1678">
        <f t="shared" si="2"/>
        <v>800</v>
      </c>
      <c r="G61" s="899">
        <f t="shared" si="3"/>
        <v>6666.666666666667</v>
      </c>
      <c r="H61" s="1675">
        <f t="shared" si="4"/>
        <v>2400</v>
      </c>
    </row>
    <row r="62" spans="2:8" ht="12.95" customHeight="1">
      <c r="B62" s="1683" t="s">
        <v>1751</v>
      </c>
      <c r="C62" s="1672">
        <f t="shared" si="0"/>
        <v>4000</v>
      </c>
      <c r="D62" s="46">
        <v>10000</v>
      </c>
      <c r="E62" s="1680">
        <f t="shared" si="1"/>
        <v>20000</v>
      </c>
      <c r="F62" s="1679">
        <f t="shared" si="2"/>
        <v>800</v>
      </c>
      <c r="G62" s="1684">
        <f t="shared" si="3"/>
        <v>6666.666666666667</v>
      </c>
      <c r="H62" s="1673">
        <f t="shared" si="4"/>
        <v>2400</v>
      </c>
    </row>
    <row r="63" spans="2:8" ht="12.95" customHeight="1">
      <c r="B63" s="904" t="s">
        <v>1324</v>
      </c>
      <c r="C63" s="1674">
        <f t="shared" si="0"/>
        <v>4000</v>
      </c>
      <c r="D63" s="905">
        <v>10000</v>
      </c>
      <c r="E63" s="752">
        <f t="shared" si="1"/>
        <v>20000</v>
      </c>
      <c r="F63" s="1678">
        <f t="shared" si="2"/>
        <v>800</v>
      </c>
      <c r="G63" s="899">
        <f t="shared" si="3"/>
        <v>6666.666666666667</v>
      </c>
      <c r="H63" s="1675">
        <f t="shared" si="4"/>
        <v>2400</v>
      </c>
    </row>
    <row r="64" spans="2:8" ht="12.95" customHeight="1">
      <c r="B64" s="1683" t="s">
        <v>295</v>
      </c>
      <c r="C64" s="1672">
        <f t="shared" si="0"/>
        <v>4000</v>
      </c>
      <c r="D64" s="46">
        <v>10000</v>
      </c>
      <c r="E64" s="1680">
        <f t="shared" si="1"/>
        <v>20000</v>
      </c>
      <c r="F64" s="1679">
        <f t="shared" si="2"/>
        <v>800</v>
      </c>
      <c r="G64" s="1684">
        <f t="shared" si="3"/>
        <v>6666.666666666667</v>
      </c>
      <c r="H64" s="1673">
        <f t="shared" si="4"/>
        <v>2400</v>
      </c>
    </row>
    <row r="65" spans="2:8" ht="12.95" customHeight="1">
      <c r="B65" s="904" t="s">
        <v>993</v>
      </c>
      <c r="C65" s="1674">
        <f t="shared" si="0"/>
        <v>4000</v>
      </c>
      <c r="D65" s="905">
        <v>10000</v>
      </c>
      <c r="E65" s="752">
        <f t="shared" si="1"/>
        <v>20000</v>
      </c>
      <c r="F65" s="1678">
        <f t="shared" si="2"/>
        <v>800</v>
      </c>
      <c r="G65" s="899">
        <f t="shared" si="3"/>
        <v>6666.666666666667</v>
      </c>
      <c r="H65" s="1675">
        <f t="shared" si="4"/>
        <v>2400</v>
      </c>
    </row>
    <row r="66" spans="2:8" ht="12.95" customHeight="1">
      <c r="B66" s="1683" t="s">
        <v>1858</v>
      </c>
      <c r="C66" s="1672">
        <f t="shared" si="0"/>
        <v>4000</v>
      </c>
      <c r="D66" s="46">
        <v>10000</v>
      </c>
      <c r="E66" s="1680">
        <f t="shared" si="1"/>
        <v>20000</v>
      </c>
      <c r="F66" s="1679">
        <f t="shared" si="2"/>
        <v>800</v>
      </c>
      <c r="G66" s="1684">
        <f t="shared" si="3"/>
        <v>6666.666666666667</v>
      </c>
      <c r="H66" s="1673">
        <f t="shared" si="4"/>
        <v>2400</v>
      </c>
    </row>
    <row r="67" spans="2:8" ht="12.95" customHeight="1">
      <c r="B67" s="904" t="s">
        <v>1083</v>
      </c>
      <c r="C67" s="1674">
        <f t="shared" si="0"/>
        <v>4000</v>
      </c>
      <c r="D67" s="905">
        <v>10000</v>
      </c>
      <c r="E67" s="752">
        <f t="shared" si="1"/>
        <v>20000</v>
      </c>
      <c r="F67" s="1678">
        <f t="shared" si="2"/>
        <v>800</v>
      </c>
      <c r="G67" s="899">
        <f t="shared" si="3"/>
        <v>6666.666666666667</v>
      </c>
      <c r="H67" s="1675">
        <f t="shared" si="4"/>
        <v>2400</v>
      </c>
    </row>
    <row r="68" spans="2:8" ht="12.95" customHeight="1">
      <c r="B68" s="1683" t="s">
        <v>1554</v>
      </c>
      <c r="C68" s="1672">
        <f t="shared" si="0"/>
        <v>4000</v>
      </c>
      <c r="D68" s="46">
        <v>10000</v>
      </c>
      <c r="E68" s="1680">
        <f t="shared" si="1"/>
        <v>20000</v>
      </c>
      <c r="F68" s="1679">
        <f t="shared" si="2"/>
        <v>800</v>
      </c>
      <c r="G68" s="1684">
        <f t="shared" si="3"/>
        <v>6666.666666666667</v>
      </c>
      <c r="H68" s="1673">
        <f t="shared" si="4"/>
        <v>2400</v>
      </c>
    </row>
    <row r="69" spans="2:8" ht="12.95" customHeight="1">
      <c r="B69" s="904" t="s">
        <v>58</v>
      </c>
      <c r="C69" s="1674">
        <f t="shared" si="0"/>
        <v>3000</v>
      </c>
      <c r="D69" s="905">
        <v>7500</v>
      </c>
      <c r="E69" s="752">
        <f t="shared" si="1"/>
        <v>15000</v>
      </c>
      <c r="F69" s="1678">
        <f t="shared" si="2"/>
        <v>600</v>
      </c>
      <c r="G69" s="899">
        <f t="shared" si="3"/>
        <v>5000</v>
      </c>
      <c r="H69" s="1675">
        <f t="shared" si="4"/>
        <v>1800</v>
      </c>
    </row>
    <row r="70" spans="2:8" ht="12.95" customHeight="1">
      <c r="B70" s="1683" t="s">
        <v>2120</v>
      </c>
      <c r="C70" s="1672">
        <f t="shared" si="0"/>
        <v>3000</v>
      </c>
      <c r="D70" s="46">
        <v>7500</v>
      </c>
      <c r="E70" s="1680">
        <f t="shared" si="1"/>
        <v>15000</v>
      </c>
      <c r="F70" s="1679">
        <f t="shared" si="2"/>
        <v>600</v>
      </c>
      <c r="G70" s="1684">
        <f t="shared" si="3"/>
        <v>5000</v>
      </c>
      <c r="H70" s="1673">
        <f t="shared" si="4"/>
        <v>1800</v>
      </c>
    </row>
    <row r="71" spans="2:8" ht="12.95" customHeight="1">
      <c r="B71" s="904" t="s">
        <v>296</v>
      </c>
      <c r="C71" s="1674">
        <f t="shared" si="0"/>
        <v>3000</v>
      </c>
      <c r="D71" s="905">
        <v>7500</v>
      </c>
      <c r="E71" s="752">
        <f t="shared" si="1"/>
        <v>15000</v>
      </c>
      <c r="F71" s="1678">
        <f t="shared" si="2"/>
        <v>600</v>
      </c>
      <c r="G71" s="899">
        <f t="shared" si="3"/>
        <v>5000</v>
      </c>
      <c r="H71" s="1675">
        <f t="shared" si="4"/>
        <v>1800</v>
      </c>
    </row>
    <row r="72" spans="2:8" ht="12.95" customHeight="1">
      <c r="B72" s="1683" t="s">
        <v>4058</v>
      </c>
      <c r="C72" s="1672">
        <f t="shared" si="0"/>
        <v>3000</v>
      </c>
      <c r="D72" s="46">
        <v>7500</v>
      </c>
      <c r="E72" s="1680">
        <f t="shared" si="1"/>
        <v>15000</v>
      </c>
      <c r="F72" s="1679">
        <f t="shared" si="2"/>
        <v>600</v>
      </c>
      <c r="G72" s="1684">
        <f t="shared" si="3"/>
        <v>5000</v>
      </c>
      <c r="H72" s="1673">
        <f t="shared" si="4"/>
        <v>1800</v>
      </c>
    </row>
    <row r="73" spans="2:8" ht="12.95" customHeight="1">
      <c r="B73" s="904" t="s">
        <v>1969</v>
      </c>
      <c r="C73" s="1674">
        <f t="shared" si="0"/>
        <v>3000</v>
      </c>
      <c r="D73" s="905">
        <v>7500</v>
      </c>
      <c r="E73" s="752">
        <f t="shared" si="1"/>
        <v>15000</v>
      </c>
      <c r="F73" s="1678">
        <f t="shared" si="2"/>
        <v>600</v>
      </c>
      <c r="G73" s="899">
        <f t="shared" si="3"/>
        <v>5000</v>
      </c>
      <c r="H73" s="1675">
        <f t="shared" si="4"/>
        <v>1800</v>
      </c>
    </row>
    <row r="74" spans="2:8" ht="12.95" customHeight="1">
      <c r="B74" s="1683" t="s">
        <v>2546</v>
      </c>
      <c r="C74" s="1672">
        <f t="shared" si="0"/>
        <v>3000</v>
      </c>
      <c r="D74" s="46">
        <v>7500</v>
      </c>
      <c r="E74" s="1680">
        <f t="shared" si="1"/>
        <v>15000</v>
      </c>
      <c r="F74" s="1679">
        <f t="shared" si="2"/>
        <v>600</v>
      </c>
      <c r="G74" s="1684">
        <f t="shared" si="3"/>
        <v>5000</v>
      </c>
      <c r="H74" s="1673">
        <f t="shared" si="4"/>
        <v>1800</v>
      </c>
    </row>
    <row r="75" spans="2:8" ht="12.95" customHeight="1">
      <c r="B75" s="904" t="s">
        <v>2609</v>
      </c>
      <c r="C75" s="1674">
        <f t="shared" si="0"/>
        <v>3000</v>
      </c>
      <c r="D75" s="905">
        <v>7500</v>
      </c>
      <c r="E75" s="752">
        <f t="shared" si="1"/>
        <v>15000</v>
      </c>
      <c r="F75" s="1678">
        <f t="shared" si="2"/>
        <v>600</v>
      </c>
      <c r="G75" s="899">
        <f t="shared" si="3"/>
        <v>5000</v>
      </c>
      <c r="H75" s="1675">
        <f t="shared" si="4"/>
        <v>1800</v>
      </c>
    </row>
    <row r="76" spans="2:8" ht="12.95" customHeight="1">
      <c r="B76" s="1683" t="s">
        <v>63</v>
      </c>
      <c r="C76" s="1672">
        <f t="shared" ref="C76:C107" si="5">D76/2.5</f>
        <v>2500</v>
      </c>
      <c r="D76" s="46">
        <v>6250</v>
      </c>
      <c r="E76" s="1680">
        <f t="shared" ref="E76:E108" si="6">5*C76</f>
        <v>12500</v>
      </c>
      <c r="F76" s="1679">
        <f t="shared" ref="F76:F108" si="7">C76/5</f>
        <v>500</v>
      </c>
      <c r="G76" s="1684">
        <f t="shared" ref="G76:G108" si="8">5*C76/3</f>
        <v>4166.666666666667</v>
      </c>
      <c r="H76" s="1673">
        <f t="shared" ref="H76:H108" si="9">C76*3/5</f>
        <v>1500</v>
      </c>
    </row>
    <row r="77" spans="2:8" ht="12.95" customHeight="1">
      <c r="B77" s="904" t="s">
        <v>64</v>
      </c>
      <c r="C77" s="1674">
        <f t="shared" si="5"/>
        <v>2500</v>
      </c>
      <c r="D77" s="905">
        <v>6250</v>
      </c>
      <c r="E77" s="752">
        <f t="shared" si="6"/>
        <v>12500</v>
      </c>
      <c r="F77" s="1678">
        <f t="shared" si="7"/>
        <v>500</v>
      </c>
      <c r="G77" s="899">
        <f t="shared" si="8"/>
        <v>4166.666666666667</v>
      </c>
      <c r="H77" s="1675">
        <f t="shared" si="9"/>
        <v>1500</v>
      </c>
    </row>
    <row r="78" spans="2:8" ht="12.95" customHeight="1">
      <c r="B78" s="1683" t="s">
        <v>832</v>
      </c>
      <c r="C78" s="1672">
        <f t="shared" si="5"/>
        <v>2000</v>
      </c>
      <c r="D78" s="46">
        <v>5000</v>
      </c>
      <c r="E78" s="1680">
        <f t="shared" si="6"/>
        <v>10000</v>
      </c>
      <c r="F78" s="1679">
        <f t="shared" si="7"/>
        <v>400</v>
      </c>
      <c r="G78" s="1684">
        <f t="shared" si="8"/>
        <v>3333.3333333333335</v>
      </c>
      <c r="H78" s="1673">
        <f t="shared" si="9"/>
        <v>1200</v>
      </c>
    </row>
    <row r="79" spans="2:8" ht="12.95" customHeight="1">
      <c r="B79" s="904" t="s">
        <v>403</v>
      </c>
      <c r="C79" s="1674">
        <f t="shared" si="5"/>
        <v>2000</v>
      </c>
      <c r="D79" s="905">
        <v>5000</v>
      </c>
      <c r="E79" s="752">
        <f t="shared" si="6"/>
        <v>10000</v>
      </c>
      <c r="F79" s="1678">
        <f t="shared" si="7"/>
        <v>400</v>
      </c>
      <c r="G79" s="899">
        <f t="shared" si="8"/>
        <v>3333.3333333333335</v>
      </c>
      <c r="H79" s="1675">
        <f t="shared" si="9"/>
        <v>1200</v>
      </c>
    </row>
    <row r="80" spans="2:8" ht="12.95" customHeight="1">
      <c r="B80" s="1683" t="s">
        <v>994</v>
      </c>
      <c r="C80" s="1672">
        <f t="shared" si="5"/>
        <v>2000</v>
      </c>
      <c r="D80" s="46">
        <v>5000</v>
      </c>
      <c r="E80" s="1680">
        <f t="shared" si="6"/>
        <v>10000</v>
      </c>
      <c r="F80" s="1679">
        <f t="shared" si="7"/>
        <v>400</v>
      </c>
      <c r="G80" s="1684">
        <f t="shared" si="8"/>
        <v>3333.3333333333335</v>
      </c>
      <c r="H80" s="1673">
        <f t="shared" si="9"/>
        <v>1200</v>
      </c>
    </row>
    <row r="81" spans="2:8" ht="12.95" customHeight="1">
      <c r="B81" s="904" t="s">
        <v>1555</v>
      </c>
      <c r="C81" s="1674">
        <f t="shared" si="5"/>
        <v>2000</v>
      </c>
      <c r="D81" s="905">
        <v>5000</v>
      </c>
      <c r="E81" s="752">
        <f t="shared" si="6"/>
        <v>10000</v>
      </c>
      <c r="F81" s="1678">
        <f t="shared" si="7"/>
        <v>400</v>
      </c>
      <c r="G81" s="899">
        <f t="shared" si="8"/>
        <v>3333.3333333333335</v>
      </c>
      <c r="H81" s="1675">
        <f t="shared" si="9"/>
        <v>1200</v>
      </c>
    </row>
    <row r="82" spans="2:8" ht="12.95" customHeight="1">
      <c r="B82" s="1683" t="s">
        <v>297</v>
      </c>
      <c r="C82" s="1672">
        <f t="shared" si="5"/>
        <v>2000</v>
      </c>
      <c r="D82" s="46">
        <v>5000</v>
      </c>
      <c r="E82" s="1680">
        <f t="shared" si="6"/>
        <v>10000</v>
      </c>
      <c r="F82" s="1679">
        <f t="shared" si="7"/>
        <v>400</v>
      </c>
      <c r="G82" s="1684">
        <f t="shared" si="8"/>
        <v>3333.3333333333335</v>
      </c>
      <c r="H82" s="1673">
        <f t="shared" si="9"/>
        <v>1200</v>
      </c>
    </row>
    <row r="83" spans="2:8" ht="12.95" customHeight="1">
      <c r="B83" s="904" t="s">
        <v>1244</v>
      </c>
      <c r="C83" s="1674">
        <f t="shared" si="5"/>
        <v>2000</v>
      </c>
      <c r="D83" s="905">
        <v>5000</v>
      </c>
      <c r="E83" s="752">
        <f t="shared" si="6"/>
        <v>10000</v>
      </c>
      <c r="F83" s="1678">
        <f t="shared" si="7"/>
        <v>400</v>
      </c>
      <c r="G83" s="899">
        <f t="shared" si="8"/>
        <v>3333.3333333333335</v>
      </c>
      <c r="H83" s="1675">
        <f t="shared" si="9"/>
        <v>1200</v>
      </c>
    </row>
    <row r="84" spans="2:8" ht="12.95" customHeight="1">
      <c r="B84" s="1683" t="s">
        <v>4100</v>
      </c>
      <c r="C84" s="1672">
        <f t="shared" si="5"/>
        <v>2000</v>
      </c>
      <c r="D84" s="46">
        <v>5000</v>
      </c>
      <c r="E84" s="1680">
        <f t="shared" si="6"/>
        <v>10000</v>
      </c>
      <c r="F84" s="1679">
        <f t="shared" si="7"/>
        <v>400</v>
      </c>
      <c r="G84" s="1684">
        <f t="shared" si="8"/>
        <v>3333.3333333333335</v>
      </c>
      <c r="H84" s="1673">
        <f t="shared" si="9"/>
        <v>1200</v>
      </c>
    </row>
    <row r="85" spans="2:8" ht="12.95" customHeight="1">
      <c r="B85" s="904" t="s">
        <v>1439</v>
      </c>
      <c r="C85" s="1674">
        <f t="shared" si="5"/>
        <v>2000</v>
      </c>
      <c r="D85" s="905">
        <v>5000</v>
      </c>
      <c r="E85" s="752">
        <f t="shared" si="6"/>
        <v>10000</v>
      </c>
      <c r="F85" s="1678">
        <f t="shared" si="7"/>
        <v>400</v>
      </c>
      <c r="G85" s="899">
        <f t="shared" si="8"/>
        <v>3333.3333333333335</v>
      </c>
      <c r="H85" s="1675">
        <f t="shared" si="9"/>
        <v>1200</v>
      </c>
    </row>
    <row r="86" spans="2:8" ht="12.95" customHeight="1">
      <c r="B86" s="1683" t="s">
        <v>1967</v>
      </c>
      <c r="C86" s="1672">
        <f t="shared" si="5"/>
        <v>2000</v>
      </c>
      <c r="D86" s="46">
        <v>5000</v>
      </c>
      <c r="E86" s="1680">
        <f t="shared" si="6"/>
        <v>10000</v>
      </c>
      <c r="F86" s="1679">
        <f t="shared" si="7"/>
        <v>400</v>
      </c>
      <c r="G86" s="1684">
        <f t="shared" si="8"/>
        <v>3333.3333333333335</v>
      </c>
      <c r="H86" s="1673">
        <f t="shared" si="9"/>
        <v>1200</v>
      </c>
    </row>
    <row r="87" spans="2:8" ht="12.95" customHeight="1">
      <c r="B87" s="904" t="s">
        <v>649</v>
      </c>
      <c r="C87" s="1674">
        <f t="shared" si="5"/>
        <v>2000</v>
      </c>
      <c r="D87" s="905">
        <v>5000</v>
      </c>
      <c r="E87" s="752">
        <f t="shared" si="6"/>
        <v>10000</v>
      </c>
      <c r="F87" s="1678">
        <f t="shared" si="7"/>
        <v>400</v>
      </c>
      <c r="G87" s="899">
        <f t="shared" si="8"/>
        <v>3333.3333333333335</v>
      </c>
      <c r="H87" s="1675">
        <f t="shared" si="9"/>
        <v>1200</v>
      </c>
    </row>
    <row r="88" spans="2:8" ht="12.95" customHeight="1">
      <c r="B88" s="1683" t="s">
        <v>2755</v>
      </c>
      <c r="C88" s="1672">
        <f t="shared" si="5"/>
        <v>2000</v>
      </c>
      <c r="D88" s="46">
        <v>5000</v>
      </c>
      <c r="E88" s="1680">
        <f t="shared" si="6"/>
        <v>10000</v>
      </c>
      <c r="F88" s="1679">
        <f t="shared" si="7"/>
        <v>400</v>
      </c>
      <c r="G88" s="1684">
        <f t="shared" si="8"/>
        <v>3333.3333333333335</v>
      </c>
      <c r="H88" s="1673">
        <f t="shared" si="9"/>
        <v>1200</v>
      </c>
    </row>
    <row r="89" spans="2:8" ht="12.95" customHeight="1">
      <c r="B89" s="904" t="s">
        <v>2296</v>
      </c>
      <c r="C89" s="1674">
        <f t="shared" si="5"/>
        <v>1500</v>
      </c>
      <c r="D89" s="905">
        <v>3750</v>
      </c>
      <c r="E89" s="752">
        <f t="shared" si="6"/>
        <v>7500</v>
      </c>
      <c r="F89" s="1678">
        <f t="shared" si="7"/>
        <v>300</v>
      </c>
      <c r="G89" s="899">
        <f t="shared" si="8"/>
        <v>2500</v>
      </c>
      <c r="H89" s="1675">
        <f t="shared" si="9"/>
        <v>900</v>
      </c>
    </row>
    <row r="90" spans="2:8" ht="12.95" customHeight="1">
      <c r="B90" s="1683" t="s">
        <v>298</v>
      </c>
      <c r="C90" s="1672">
        <f t="shared" si="5"/>
        <v>1500</v>
      </c>
      <c r="D90" s="46">
        <v>3750</v>
      </c>
      <c r="E90" s="1680">
        <f t="shared" si="6"/>
        <v>7500</v>
      </c>
      <c r="F90" s="1679">
        <f t="shared" si="7"/>
        <v>300</v>
      </c>
      <c r="G90" s="1684">
        <f t="shared" si="8"/>
        <v>2500</v>
      </c>
      <c r="H90" s="1673">
        <f t="shared" si="9"/>
        <v>900</v>
      </c>
    </row>
    <row r="91" spans="2:8" ht="12.95" customHeight="1">
      <c r="B91" s="904" t="s">
        <v>2793</v>
      </c>
      <c r="C91" s="1674">
        <f t="shared" si="5"/>
        <v>1000</v>
      </c>
      <c r="D91" s="905">
        <v>2500</v>
      </c>
      <c r="E91" s="752">
        <f t="shared" si="6"/>
        <v>5000</v>
      </c>
      <c r="F91" s="1678">
        <f t="shared" si="7"/>
        <v>200</v>
      </c>
      <c r="G91" s="899">
        <f t="shared" si="8"/>
        <v>1666.6666666666667</v>
      </c>
      <c r="H91" s="1675">
        <f t="shared" si="9"/>
        <v>600</v>
      </c>
    </row>
    <row r="92" spans="2:8" ht="12.95" customHeight="1">
      <c r="B92" s="1683" t="s">
        <v>4055</v>
      </c>
      <c r="C92" s="1672">
        <f t="shared" si="5"/>
        <v>1000</v>
      </c>
      <c r="D92" s="46">
        <v>2500</v>
      </c>
      <c r="E92" s="1680">
        <f t="shared" si="6"/>
        <v>5000</v>
      </c>
      <c r="F92" s="1679">
        <f t="shared" si="7"/>
        <v>200</v>
      </c>
      <c r="G92" s="1684">
        <f t="shared" si="8"/>
        <v>1666.6666666666667</v>
      </c>
      <c r="H92" s="1673">
        <f t="shared" si="9"/>
        <v>600</v>
      </c>
    </row>
    <row r="93" spans="2:8" ht="12.95" customHeight="1">
      <c r="B93" s="904" t="s">
        <v>2406</v>
      </c>
      <c r="C93" s="1674">
        <f t="shared" si="5"/>
        <v>1000</v>
      </c>
      <c r="D93" s="905">
        <v>2500</v>
      </c>
      <c r="E93" s="752">
        <f t="shared" si="6"/>
        <v>5000</v>
      </c>
      <c r="F93" s="1678">
        <f t="shared" si="7"/>
        <v>200</v>
      </c>
      <c r="G93" s="899">
        <f t="shared" si="8"/>
        <v>1666.6666666666667</v>
      </c>
      <c r="H93" s="1675">
        <f t="shared" si="9"/>
        <v>600</v>
      </c>
    </row>
    <row r="94" spans="2:8" ht="12.95" customHeight="1">
      <c r="B94" s="1683" t="s">
        <v>1946</v>
      </c>
      <c r="C94" s="1672">
        <f t="shared" si="5"/>
        <v>1000</v>
      </c>
      <c r="D94" s="46">
        <v>2500</v>
      </c>
      <c r="E94" s="1680">
        <f t="shared" si="6"/>
        <v>5000</v>
      </c>
      <c r="F94" s="1679">
        <f t="shared" si="7"/>
        <v>200</v>
      </c>
      <c r="G94" s="1684">
        <f t="shared" si="8"/>
        <v>1666.6666666666667</v>
      </c>
      <c r="H94" s="1673">
        <f t="shared" si="9"/>
        <v>600</v>
      </c>
    </row>
    <row r="95" spans="2:8" ht="12.95" customHeight="1">
      <c r="B95" s="904" t="s">
        <v>523</v>
      </c>
      <c r="C95" s="1674">
        <f t="shared" si="5"/>
        <v>1000</v>
      </c>
      <c r="D95" s="905">
        <v>2500</v>
      </c>
      <c r="E95" s="752">
        <f t="shared" si="6"/>
        <v>5000</v>
      </c>
      <c r="F95" s="1678">
        <f t="shared" si="7"/>
        <v>200</v>
      </c>
      <c r="G95" s="899">
        <f t="shared" si="8"/>
        <v>1666.6666666666667</v>
      </c>
      <c r="H95" s="1675">
        <f t="shared" si="9"/>
        <v>600</v>
      </c>
    </row>
    <row r="96" spans="2:8" ht="12.95" customHeight="1">
      <c r="B96" s="1683" t="s">
        <v>299</v>
      </c>
      <c r="C96" s="1672">
        <f t="shared" si="5"/>
        <v>1000</v>
      </c>
      <c r="D96" s="46">
        <v>2500</v>
      </c>
      <c r="E96" s="1680">
        <f t="shared" si="6"/>
        <v>5000</v>
      </c>
      <c r="F96" s="1679">
        <f t="shared" si="7"/>
        <v>200</v>
      </c>
      <c r="G96" s="1684">
        <f t="shared" si="8"/>
        <v>1666.6666666666667</v>
      </c>
      <c r="H96" s="1673">
        <f t="shared" si="9"/>
        <v>600</v>
      </c>
    </row>
    <row r="97" spans="2:8" ht="12.95" customHeight="1">
      <c r="B97" s="904" t="s">
        <v>351</v>
      </c>
      <c r="C97" s="1674">
        <f t="shared" si="5"/>
        <v>1000</v>
      </c>
      <c r="D97" s="905">
        <v>2500</v>
      </c>
      <c r="E97" s="752">
        <f t="shared" si="6"/>
        <v>5000</v>
      </c>
      <c r="F97" s="1678">
        <f t="shared" si="7"/>
        <v>200</v>
      </c>
      <c r="G97" s="899">
        <f t="shared" si="8"/>
        <v>1666.6666666666667</v>
      </c>
      <c r="H97" s="1675">
        <f t="shared" si="9"/>
        <v>600</v>
      </c>
    </row>
    <row r="98" spans="2:8" ht="12.95" customHeight="1">
      <c r="B98" s="1683" t="s">
        <v>409</v>
      </c>
      <c r="C98" s="1672">
        <f t="shared" si="5"/>
        <v>1000</v>
      </c>
      <c r="D98" s="46">
        <v>2500</v>
      </c>
      <c r="E98" s="1680">
        <f t="shared" si="6"/>
        <v>5000</v>
      </c>
      <c r="F98" s="1679">
        <f t="shared" si="7"/>
        <v>200</v>
      </c>
      <c r="G98" s="1684">
        <f t="shared" si="8"/>
        <v>1666.6666666666667</v>
      </c>
      <c r="H98" s="1673">
        <f t="shared" si="9"/>
        <v>600</v>
      </c>
    </row>
    <row r="99" spans="2:8" ht="12.95" customHeight="1">
      <c r="B99" s="904" t="s">
        <v>1192</v>
      </c>
      <c r="C99" s="1674">
        <f t="shared" si="5"/>
        <v>1000</v>
      </c>
      <c r="D99" s="905">
        <v>2500</v>
      </c>
      <c r="E99" s="752">
        <f t="shared" si="6"/>
        <v>5000</v>
      </c>
      <c r="F99" s="1678">
        <f t="shared" si="7"/>
        <v>200</v>
      </c>
      <c r="G99" s="899">
        <f t="shared" si="8"/>
        <v>1666.6666666666667</v>
      </c>
      <c r="H99" s="1675">
        <f t="shared" si="9"/>
        <v>600</v>
      </c>
    </row>
    <row r="100" spans="2:8" ht="12.95" customHeight="1">
      <c r="B100" s="1683" t="s">
        <v>1968</v>
      </c>
      <c r="C100" s="1672">
        <f t="shared" si="5"/>
        <v>1000</v>
      </c>
      <c r="D100" s="46">
        <v>2500</v>
      </c>
      <c r="E100" s="1680">
        <f t="shared" si="6"/>
        <v>5000</v>
      </c>
      <c r="F100" s="1679">
        <f t="shared" si="7"/>
        <v>200</v>
      </c>
      <c r="G100" s="1684">
        <f t="shared" si="8"/>
        <v>1666.6666666666667</v>
      </c>
      <c r="H100" s="1673">
        <f t="shared" si="9"/>
        <v>600</v>
      </c>
    </row>
    <row r="101" spans="2:8" ht="12.95" customHeight="1">
      <c r="B101" s="904" t="s">
        <v>1655</v>
      </c>
      <c r="C101" s="1674">
        <f t="shared" si="5"/>
        <v>1000</v>
      </c>
      <c r="D101" s="905">
        <v>2500</v>
      </c>
      <c r="E101" s="752">
        <f t="shared" si="6"/>
        <v>5000</v>
      </c>
      <c r="F101" s="1678">
        <f t="shared" si="7"/>
        <v>200</v>
      </c>
      <c r="G101" s="899">
        <f t="shared" si="8"/>
        <v>1666.6666666666667</v>
      </c>
      <c r="H101" s="1675">
        <f t="shared" si="9"/>
        <v>600</v>
      </c>
    </row>
    <row r="102" spans="2:8" ht="12.95" customHeight="1">
      <c r="B102" s="1683" t="s">
        <v>1209</v>
      </c>
      <c r="C102" s="1672">
        <f t="shared" si="5"/>
        <v>1000</v>
      </c>
      <c r="D102" s="46">
        <v>2500</v>
      </c>
      <c r="E102" s="1680">
        <f t="shared" si="6"/>
        <v>5000</v>
      </c>
      <c r="F102" s="1679">
        <f t="shared" si="7"/>
        <v>200</v>
      </c>
      <c r="G102" s="1684">
        <f t="shared" si="8"/>
        <v>1666.6666666666667</v>
      </c>
      <c r="H102" s="1673">
        <f t="shared" si="9"/>
        <v>600</v>
      </c>
    </row>
    <row r="103" spans="2:8" ht="12.95" customHeight="1">
      <c r="B103" s="904" t="s">
        <v>1245</v>
      </c>
      <c r="C103" s="1674">
        <f t="shared" si="5"/>
        <v>1000</v>
      </c>
      <c r="D103" s="905">
        <v>2500</v>
      </c>
      <c r="E103" s="752">
        <f t="shared" si="6"/>
        <v>5000</v>
      </c>
      <c r="F103" s="1678">
        <f t="shared" si="7"/>
        <v>200</v>
      </c>
      <c r="G103" s="899">
        <f t="shared" si="8"/>
        <v>1666.6666666666667</v>
      </c>
      <c r="H103" s="1675">
        <f t="shared" si="9"/>
        <v>600</v>
      </c>
    </row>
    <row r="104" spans="2:8" ht="12.95" customHeight="1">
      <c r="B104" s="1683" t="s">
        <v>4154</v>
      </c>
      <c r="C104" s="1672">
        <f t="shared" si="5"/>
        <v>1000</v>
      </c>
      <c r="D104" s="46">
        <v>2500</v>
      </c>
      <c r="E104" s="1680">
        <f t="shared" si="6"/>
        <v>5000</v>
      </c>
      <c r="F104" s="1679">
        <f t="shared" si="7"/>
        <v>200</v>
      </c>
      <c r="G104" s="1684">
        <f t="shared" si="8"/>
        <v>1666.6666666666667</v>
      </c>
      <c r="H104" s="1673">
        <f t="shared" si="9"/>
        <v>600</v>
      </c>
    </row>
    <row r="105" spans="2:8" ht="12.95" customHeight="1">
      <c r="B105" s="904" t="s">
        <v>4157</v>
      </c>
      <c r="C105" s="1674">
        <f t="shared" si="5"/>
        <v>1000</v>
      </c>
      <c r="D105" s="905">
        <v>2500</v>
      </c>
      <c r="E105" s="752">
        <f t="shared" si="6"/>
        <v>5000</v>
      </c>
      <c r="F105" s="1678">
        <f t="shared" si="7"/>
        <v>200</v>
      </c>
      <c r="G105" s="899">
        <f t="shared" si="8"/>
        <v>1666.6666666666667</v>
      </c>
      <c r="H105" s="1675">
        <f t="shared" si="9"/>
        <v>600</v>
      </c>
    </row>
    <row r="106" spans="2:8" ht="12.95" customHeight="1">
      <c r="B106" s="1683" t="s">
        <v>4366</v>
      </c>
      <c r="C106" s="1672">
        <f t="shared" si="5"/>
        <v>1000</v>
      </c>
      <c r="D106" s="46">
        <v>2500</v>
      </c>
      <c r="E106" s="1680">
        <f t="shared" si="6"/>
        <v>5000</v>
      </c>
      <c r="F106" s="1679">
        <f t="shared" si="7"/>
        <v>200</v>
      </c>
      <c r="G106" s="1684">
        <f t="shared" si="8"/>
        <v>1666.6666666666667</v>
      </c>
      <c r="H106" s="1673">
        <f t="shared" si="9"/>
        <v>600</v>
      </c>
    </row>
    <row r="107" spans="2:8" ht="12.95" customHeight="1">
      <c r="B107" s="904" t="s">
        <v>1208</v>
      </c>
      <c r="C107" s="1674">
        <f t="shared" si="5"/>
        <v>500</v>
      </c>
      <c r="D107" s="905">
        <v>1250</v>
      </c>
      <c r="E107" s="752">
        <f t="shared" si="6"/>
        <v>2500</v>
      </c>
      <c r="F107" s="1678">
        <f t="shared" si="7"/>
        <v>100</v>
      </c>
      <c r="G107" s="899">
        <f t="shared" si="8"/>
        <v>833.33333333333337</v>
      </c>
      <c r="H107" s="1675">
        <f t="shared" si="9"/>
        <v>300</v>
      </c>
    </row>
    <row r="108" spans="2:8" ht="12.95" customHeight="1">
      <c r="B108" s="1683" t="s">
        <v>1859</v>
      </c>
      <c r="C108" s="1672">
        <f>D108/2.5</f>
        <v>500</v>
      </c>
      <c r="D108" s="46">
        <v>1250</v>
      </c>
      <c r="E108" s="1680">
        <f t="shared" si="6"/>
        <v>2500</v>
      </c>
      <c r="F108" s="1679">
        <f t="shared" si="7"/>
        <v>100</v>
      </c>
      <c r="G108" s="1684">
        <f t="shared" si="8"/>
        <v>833.33333333333337</v>
      </c>
      <c r="H108" s="1673">
        <f t="shared" si="9"/>
        <v>300</v>
      </c>
    </row>
    <row r="109" spans="2:8" ht="12.95" customHeight="1">
      <c r="B109" s="904" t="s">
        <v>4016</v>
      </c>
      <c r="C109" s="1674">
        <v>2500</v>
      </c>
      <c r="D109" s="905" t="s">
        <v>137</v>
      </c>
      <c r="E109" s="752" t="s">
        <v>137</v>
      </c>
      <c r="F109" s="1678" t="s">
        <v>137</v>
      </c>
      <c r="G109" s="1678" t="s">
        <v>137</v>
      </c>
      <c r="H109" s="1675" t="s">
        <v>137</v>
      </c>
    </row>
    <row r="110" spans="2:8" ht="12.95" customHeight="1" thickBot="1">
      <c r="B110" s="1685" t="s">
        <v>7271</v>
      </c>
      <c r="C110" s="1676">
        <v>1</v>
      </c>
      <c r="D110" s="47" t="s">
        <v>137</v>
      </c>
      <c r="E110" s="1681" t="s">
        <v>137</v>
      </c>
      <c r="F110" s="1669" t="s">
        <v>137</v>
      </c>
      <c r="G110" s="1669" t="s">
        <v>137</v>
      </c>
      <c r="H110" s="1670" t="s">
        <v>137</v>
      </c>
    </row>
    <row r="111" spans="2:8" ht="5.0999999999999996" customHeight="1"/>
    <row r="112" spans="2:8" ht="12.95" customHeight="1">
      <c r="B112" s="3000" t="s">
        <v>7272</v>
      </c>
      <c r="C112" s="3000"/>
      <c r="D112" s="3000"/>
      <c r="E112" s="3000"/>
      <c r="F112" s="3000"/>
      <c r="G112" s="3000"/>
      <c r="H112" s="3000"/>
    </row>
  </sheetData>
  <sheetProtection autoFilter="0"/>
  <autoFilter ref="B10:C10"/>
  <mergeCells count="12">
    <mergeCell ref="B112:H112"/>
    <mergeCell ref="C1:H1"/>
    <mergeCell ref="D10:H10"/>
    <mergeCell ref="B6:B9"/>
    <mergeCell ref="B3:H3"/>
    <mergeCell ref="E7:H7"/>
    <mergeCell ref="C6:H6"/>
    <mergeCell ref="E8:F8"/>
    <mergeCell ref="G8:H8"/>
    <mergeCell ref="C7:C9"/>
    <mergeCell ref="D7:D9"/>
    <mergeCell ref="B4:H4"/>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9" orientation="landscape" r:id="rId1"/>
  <headerFooter alignWithMargins="0"/>
  <rowBreaks count="1" manualBreakCount="1">
    <brk id="38" max="7" man="1"/>
  </rowBreaks>
</worksheet>
</file>

<file path=xl/worksheets/sheet59.xml><?xml version="1.0" encoding="utf-8"?>
<worksheet xmlns="http://schemas.openxmlformats.org/spreadsheetml/2006/main" xmlns:r="http://schemas.openxmlformats.org/officeDocument/2006/relationships">
  <dimension ref="B1:H37"/>
  <sheetViews>
    <sheetView zoomScaleNormal="100" workbookViewId="0">
      <pane ySplit="4" topLeftCell="A5" activePane="bottomLeft" state="frozen"/>
      <selection pane="bottomLeft"/>
    </sheetView>
  </sheetViews>
  <sheetFormatPr defaultRowHeight="12.75"/>
  <cols>
    <col min="1" max="1" width="3.7109375" style="318" customWidth="1"/>
    <col min="2" max="2" width="8.140625" style="318" customWidth="1"/>
    <col min="3" max="3" width="34.85546875" style="318" customWidth="1"/>
    <col min="4" max="4" width="7.85546875" style="1891" bestFit="1" customWidth="1"/>
    <col min="5" max="5" width="11.42578125" style="1891" customWidth="1"/>
    <col min="6" max="6" width="15.140625" style="1891" bestFit="1" customWidth="1"/>
    <col min="7" max="7" width="42" style="318" customWidth="1"/>
    <col min="8" max="8" width="8.28515625" style="1888" customWidth="1"/>
    <col min="9" max="16384" width="9.140625" style="318"/>
  </cols>
  <sheetData>
    <row r="1" spans="2:8">
      <c r="B1" s="1889" t="s">
        <v>2706</v>
      </c>
      <c r="C1" s="2973" t="s">
        <v>8269</v>
      </c>
      <c r="D1" s="2973"/>
      <c r="E1" s="2973"/>
      <c r="F1" s="2973"/>
      <c r="G1" s="2973"/>
      <c r="H1" s="2973"/>
    </row>
    <row r="2" spans="2:8" ht="5.0999999999999996" customHeight="1">
      <c r="C2" s="857"/>
      <c r="D2" s="917"/>
      <c r="E2" s="917"/>
      <c r="F2" s="917"/>
      <c r="G2" s="857"/>
    </row>
    <row r="3" spans="2:8">
      <c r="B3" s="3754" t="s">
        <v>8270</v>
      </c>
      <c r="C3" s="3754"/>
      <c r="D3" s="3754"/>
      <c r="E3" s="3754"/>
      <c r="F3" s="3754"/>
      <c r="G3" s="3754"/>
      <c r="H3" s="3754"/>
    </row>
    <row r="4" spans="2:8" ht="5.0999999999999996" customHeight="1">
      <c r="B4" s="1890"/>
      <c r="C4" s="1892"/>
      <c r="D4" s="1892"/>
      <c r="E4" s="844"/>
      <c r="F4" s="844"/>
      <c r="G4" s="1892"/>
    </row>
    <row r="5" spans="2:8" ht="12.95" customHeight="1">
      <c r="B5" s="3134" t="s">
        <v>9127</v>
      </c>
      <c r="C5" s="3134"/>
      <c r="D5" s="3134"/>
      <c r="E5" s="3134"/>
      <c r="F5" s="3134"/>
      <c r="G5" s="3134"/>
    </row>
    <row r="6" spans="2:8" ht="26.1" customHeight="1">
      <c r="B6" s="3134" t="s">
        <v>9128</v>
      </c>
      <c r="C6" s="3134"/>
      <c r="D6" s="3134"/>
      <c r="E6" s="3134"/>
      <c r="F6" s="3134"/>
      <c r="G6" s="3134"/>
    </row>
    <row r="7" spans="2:8" ht="26.1" customHeight="1">
      <c r="B7" s="3134" t="s">
        <v>9129</v>
      </c>
      <c r="C7" s="3134"/>
      <c r="D7" s="3134"/>
      <c r="E7" s="3134"/>
      <c r="F7" s="3134"/>
      <c r="G7" s="3134"/>
    </row>
    <row r="8" spans="2:8" ht="12.95" customHeight="1">
      <c r="B8" s="1910" t="s">
        <v>3628</v>
      </c>
      <c r="C8" s="3732" t="s">
        <v>7213</v>
      </c>
      <c r="D8" s="3732"/>
      <c r="E8" s="3732"/>
      <c r="F8" s="3732"/>
      <c r="G8" s="3732"/>
    </row>
    <row r="9" spans="2:8" ht="12.95" customHeight="1">
      <c r="B9" s="1910" t="s">
        <v>3631</v>
      </c>
      <c r="C9" s="3767" t="s">
        <v>7214</v>
      </c>
      <c r="D9" s="3767"/>
      <c r="E9" s="3767"/>
      <c r="F9" s="3767"/>
      <c r="G9" s="3767"/>
    </row>
    <row r="10" spans="2:8" ht="12.95" customHeight="1">
      <c r="B10" s="1910" t="s">
        <v>3635</v>
      </c>
      <c r="C10" s="3732" t="s">
        <v>8716</v>
      </c>
      <c r="D10" s="3732"/>
      <c r="E10" s="3732"/>
      <c r="F10" s="3732"/>
      <c r="G10" s="3732"/>
    </row>
    <row r="11" spans="2:8" ht="5.0999999999999996" customHeight="1">
      <c r="B11" s="1890"/>
      <c r="C11" s="1892"/>
      <c r="D11" s="1892"/>
      <c r="E11" s="844"/>
      <c r="F11" s="844"/>
      <c r="G11" s="1892"/>
    </row>
    <row r="12" spans="2:8" ht="12.95" customHeight="1">
      <c r="B12" s="3732" t="s">
        <v>9130</v>
      </c>
      <c r="C12" s="3732"/>
      <c r="D12" s="3732"/>
      <c r="E12" s="3732"/>
      <c r="F12" s="3732"/>
      <c r="G12" s="3732"/>
    </row>
    <row r="13" spans="2:8" ht="26.1" customHeight="1">
      <c r="B13" s="3134" t="s">
        <v>10102</v>
      </c>
      <c r="C13" s="3134"/>
      <c r="D13" s="3134"/>
      <c r="E13" s="3134"/>
      <c r="F13" s="3134"/>
      <c r="G13" s="3134"/>
    </row>
    <row r="14" spans="2:8" ht="12.95" customHeight="1">
      <c r="B14" s="3134" t="s">
        <v>9131</v>
      </c>
      <c r="C14" s="3134"/>
      <c r="D14" s="3134"/>
      <c r="E14" s="3134"/>
      <c r="F14" s="3134"/>
      <c r="G14" s="3134"/>
    </row>
    <row r="15" spans="2:8" ht="12.95" customHeight="1">
      <c r="B15" s="1947" t="s">
        <v>137</v>
      </c>
      <c r="C15" s="3732" t="s">
        <v>7215</v>
      </c>
      <c r="D15" s="3732"/>
      <c r="E15" s="3732"/>
      <c r="F15" s="3732"/>
      <c r="G15" s="3732"/>
    </row>
    <row r="16" spans="2:8" ht="26.1" customHeight="1">
      <c r="B16" s="1947" t="s">
        <v>137</v>
      </c>
      <c r="C16" s="3732" t="s">
        <v>7315</v>
      </c>
      <c r="D16" s="3732"/>
      <c r="E16" s="3732"/>
      <c r="F16" s="3732"/>
      <c r="G16" s="3732"/>
    </row>
    <row r="17" spans="2:8" ht="26.1" customHeight="1">
      <c r="B17" s="1947" t="s">
        <v>137</v>
      </c>
      <c r="C17" s="3732" t="s">
        <v>7216</v>
      </c>
      <c r="D17" s="3732"/>
      <c r="E17" s="3732"/>
      <c r="F17" s="3732"/>
      <c r="G17" s="3732"/>
      <c r="H17" s="1907"/>
    </row>
    <row r="18" spans="2:8" ht="26.1" customHeight="1">
      <c r="B18" s="1947" t="s">
        <v>137</v>
      </c>
      <c r="C18" s="3732" t="s">
        <v>7217</v>
      </c>
      <c r="D18" s="3732"/>
      <c r="E18" s="3732"/>
      <c r="F18" s="3732"/>
      <c r="G18" s="3732"/>
      <c r="H18" s="1907"/>
    </row>
    <row r="19" spans="2:8" ht="39" customHeight="1">
      <c r="B19" s="1947" t="s">
        <v>137</v>
      </c>
      <c r="C19" s="3732" t="s">
        <v>7218</v>
      </c>
      <c r="D19" s="3732"/>
      <c r="E19" s="3732"/>
      <c r="F19" s="3732"/>
      <c r="G19" s="3732"/>
      <c r="H19" s="1907"/>
    </row>
    <row r="20" spans="2:8" ht="26.1" customHeight="1">
      <c r="B20" s="1947" t="s">
        <v>137</v>
      </c>
      <c r="C20" s="3732" t="s">
        <v>7320</v>
      </c>
      <c r="D20" s="3732"/>
      <c r="E20" s="3732"/>
      <c r="F20" s="3732"/>
      <c r="G20" s="3732"/>
      <c r="H20" s="1907"/>
    </row>
    <row r="21" spans="2:8" ht="39" customHeight="1">
      <c r="B21" s="1947" t="s">
        <v>137</v>
      </c>
      <c r="C21" s="3732" t="s">
        <v>7219</v>
      </c>
      <c r="D21" s="3732"/>
      <c r="E21" s="3732"/>
      <c r="F21" s="3732"/>
      <c r="G21" s="3732"/>
      <c r="H21" s="1907"/>
    </row>
    <row r="22" spans="2:8" ht="26.1" customHeight="1">
      <c r="B22" s="1947" t="s">
        <v>137</v>
      </c>
      <c r="C22" s="3732" t="s">
        <v>10103</v>
      </c>
      <c r="D22" s="3732"/>
      <c r="E22" s="3732"/>
      <c r="F22" s="3732"/>
      <c r="G22" s="3732"/>
      <c r="H22" s="1907"/>
    </row>
    <row r="23" spans="2:8" ht="12.95" customHeight="1">
      <c r="B23" s="1947" t="s">
        <v>137</v>
      </c>
      <c r="C23" s="3732" t="s">
        <v>7220</v>
      </c>
      <c r="D23" s="3732"/>
      <c r="E23" s="3732"/>
      <c r="F23" s="3732"/>
      <c r="G23" s="3732"/>
      <c r="H23" s="1907"/>
    </row>
    <row r="24" spans="2:8" ht="5.0999999999999996" customHeight="1">
      <c r="B24" s="1908"/>
      <c r="C24" s="1909"/>
      <c r="D24" s="1909"/>
      <c r="E24" s="844"/>
      <c r="F24" s="844"/>
      <c r="G24" s="1909"/>
      <c r="H24" s="1907"/>
    </row>
    <row r="25" spans="2:8" ht="12.95" customHeight="1">
      <c r="B25" s="3732" t="s">
        <v>9132</v>
      </c>
      <c r="C25" s="3732"/>
      <c r="D25" s="3732"/>
      <c r="E25" s="3732"/>
      <c r="F25" s="3732"/>
      <c r="G25" s="3732"/>
      <c r="H25" s="1907"/>
    </row>
    <row r="26" spans="2:8" ht="39" customHeight="1">
      <c r="B26" s="3134" t="s">
        <v>9133</v>
      </c>
      <c r="C26" s="3134"/>
      <c r="D26" s="3134"/>
      <c r="E26" s="3134"/>
      <c r="F26" s="3134"/>
      <c r="G26" s="3134"/>
      <c r="H26" s="1907"/>
    </row>
    <row r="27" spans="2:8" ht="26.1" customHeight="1">
      <c r="B27" s="1946" t="s">
        <v>137</v>
      </c>
      <c r="C27" s="3732" t="s">
        <v>7221</v>
      </c>
      <c r="D27" s="3732"/>
      <c r="E27" s="3732"/>
      <c r="F27" s="3732"/>
      <c r="G27" s="3732"/>
      <c r="H27" s="1907"/>
    </row>
    <row r="28" spans="2:8" ht="26.1" customHeight="1">
      <c r="B28" s="1946" t="s">
        <v>137</v>
      </c>
      <c r="C28" s="3732" t="s">
        <v>7223</v>
      </c>
      <c r="D28" s="3732"/>
      <c r="E28" s="3732"/>
      <c r="F28" s="3732"/>
      <c r="G28" s="3732"/>
      <c r="H28" s="1907"/>
    </row>
    <row r="29" spans="2:8" ht="39" customHeight="1">
      <c r="B29" s="1946" t="s">
        <v>137</v>
      </c>
      <c r="C29" s="3732" t="s">
        <v>7222</v>
      </c>
      <c r="D29" s="3732"/>
      <c r="E29" s="3732"/>
      <c r="F29" s="3732"/>
      <c r="G29" s="3732"/>
      <c r="H29" s="1907"/>
    </row>
    <row r="30" spans="2:8" ht="65.099999999999994" customHeight="1">
      <c r="B30" s="1946" t="s">
        <v>137</v>
      </c>
      <c r="C30" s="3732" t="s">
        <v>10104</v>
      </c>
      <c r="D30" s="3732"/>
      <c r="E30" s="3732"/>
      <c r="F30" s="3732"/>
      <c r="G30" s="3732"/>
      <c r="H30" s="1907"/>
    </row>
    <row r="31" spans="2:8" ht="5.0999999999999996" customHeight="1">
      <c r="B31" s="1908"/>
      <c r="C31" s="1909"/>
      <c r="D31" s="1909"/>
      <c r="E31" s="844"/>
      <c r="F31" s="844"/>
      <c r="G31" s="1909"/>
      <c r="H31" s="1907"/>
    </row>
    <row r="32" spans="2:8" ht="12.95" customHeight="1">
      <c r="B32" s="3732" t="s">
        <v>9135</v>
      </c>
      <c r="C32" s="3732"/>
      <c r="D32" s="3732"/>
      <c r="E32" s="3732"/>
      <c r="F32" s="3732"/>
      <c r="G32" s="3732"/>
      <c r="H32" s="1907"/>
    </row>
    <row r="33" spans="2:8" ht="26.1" customHeight="1">
      <c r="B33" s="3134" t="s">
        <v>9134</v>
      </c>
      <c r="C33" s="3134"/>
      <c r="D33" s="3134"/>
      <c r="E33" s="3134"/>
      <c r="F33" s="3134"/>
      <c r="G33" s="3134"/>
      <c r="H33" s="1907"/>
    </row>
    <row r="34" spans="2:8" ht="12.95" customHeight="1">
      <c r="B34" s="1946" t="s">
        <v>137</v>
      </c>
      <c r="C34" s="3732" t="s">
        <v>7314</v>
      </c>
      <c r="D34" s="3732"/>
      <c r="E34" s="3732"/>
      <c r="F34" s="3732"/>
      <c r="G34" s="3732"/>
      <c r="H34" s="1907"/>
    </row>
    <row r="35" spans="2:8" ht="39" customHeight="1">
      <c r="B35" s="1946" t="s">
        <v>137</v>
      </c>
      <c r="C35" s="3732" t="s">
        <v>7321</v>
      </c>
      <c r="D35" s="3732"/>
      <c r="E35" s="3732"/>
      <c r="F35" s="3732"/>
      <c r="G35" s="3732"/>
      <c r="H35" s="1907"/>
    </row>
    <row r="36" spans="2:8" ht="26.1" customHeight="1">
      <c r="B36" s="1946" t="s">
        <v>137</v>
      </c>
      <c r="C36" s="3732" t="s">
        <v>7224</v>
      </c>
      <c r="D36" s="3732"/>
      <c r="E36" s="3732"/>
      <c r="F36" s="3732"/>
      <c r="G36" s="3732"/>
      <c r="H36" s="1907"/>
    </row>
    <row r="37" spans="2:8" ht="26.1" customHeight="1">
      <c r="B37" s="1946" t="s">
        <v>137</v>
      </c>
      <c r="C37" s="3732" t="s">
        <v>7322</v>
      </c>
      <c r="D37" s="3732"/>
      <c r="E37" s="3732"/>
      <c r="F37" s="3732"/>
      <c r="G37" s="3732"/>
      <c r="H37" s="1907"/>
    </row>
  </sheetData>
  <sheetProtection autoFilter="0"/>
  <mergeCells count="32">
    <mergeCell ref="B33:G33"/>
    <mergeCell ref="C34:G34"/>
    <mergeCell ref="C35:G35"/>
    <mergeCell ref="C36:G36"/>
    <mergeCell ref="C37:G37"/>
    <mergeCell ref="C30:G30"/>
    <mergeCell ref="B32:G32"/>
    <mergeCell ref="C23:G23"/>
    <mergeCell ref="B25:G25"/>
    <mergeCell ref="B26:G26"/>
    <mergeCell ref="C27:G27"/>
    <mergeCell ref="C28:G28"/>
    <mergeCell ref="C29:G29"/>
    <mergeCell ref="C21:G21"/>
    <mergeCell ref="C22:G22"/>
    <mergeCell ref="B12:G12"/>
    <mergeCell ref="C19:G19"/>
    <mergeCell ref="C20:G20"/>
    <mergeCell ref="B3:H3"/>
    <mergeCell ref="C1:H1"/>
    <mergeCell ref="C16:G16"/>
    <mergeCell ref="C17:G17"/>
    <mergeCell ref="C18:G18"/>
    <mergeCell ref="B5:G5"/>
    <mergeCell ref="C10:G10"/>
    <mergeCell ref="C15:G15"/>
    <mergeCell ref="B13:G13"/>
    <mergeCell ref="B14:G14"/>
    <mergeCell ref="B6:G6"/>
    <mergeCell ref="B7:G7"/>
    <mergeCell ref="C8:G8"/>
    <mergeCell ref="C9:G9"/>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1" manualBreakCount="1">
    <brk id="24" max="16383" man="1"/>
  </rowBreaks>
  <drawing r:id="rId2"/>
</worksheet>
</file>

<file path=xl/worksheets/sheet60.xml><?xml version="1.0" encoding="utf-8"?>
<worksheet xmlns="http://schemas.openxmlformats.org/spreadsheetml/2006/main" xmlns:r="http://schemas.openxmlformats.org/officeDocument/2006/relationships">
  <dimension ref="B1:E200"/>
  <sheetViews>
    <sheetView zoomScaleNormal="100" workbookViewId="0">
      <pane ySplit="14" topLeftCell="A15" activePane="bottomLeft" state="frozen"/>
      <selection pane="bottomLeft" activeCell="B1" sqref="B1"/>
    </sheetView>
  </sheetViews>
  <sheetFormatPr defaultRowHeight="12.75"/>
  <cols>
    <col min="1" max="1" width="3.7109375" style="318" customWidth="1"/>
    <col min="2" max="2" width="18.7109375" style="318" customWidth="1"/>
    <col min="3" max="3" width="40.7109375" style="318" customWidth="1"/>
    <col min="4" max="4" width="10" style="2248" bestFit="1" customWidth="1"/>
    <col min="5" max="5" width="60.7109375" style="2248" customWidth="1"/>
    <col min="6" max="16384" width="9.140625" style="318"/>
  </cols>
  <sheetData>
    <row r="1" spans="2:5">
      <c r="B1" s="2234" t="s">
        <v>2706</v>
      </c>
      <c r="C1" s="2973" t="s">
        <v>8269</v>
      </c>
      <c r="D1" s="2973"/>
      <c r="E1" s="2973"/>
    </row>
    <row r="2" spans="2:5" ht="5.0999999999999996" customHeight="1">
      <c r="C2" s="857"/>
      <c r="D2" s="917"/>
      <c r="E2" s="917"/>
    </row>
    <row r="3" spans="2:5">
      <c r="B3" s="3754" t="s">
        <v>8757</v>
      </c>
      <c r="C3" s="3754"/>
      <c r="D3" s="3754"/>
      <c r="E3" s="3754"/>
    </row>
    <row r="4" spans="2:5" ht="5.0999999999999996" customHeight="1">
      <c r="B4" s="2235"/>
      <c r="C4" s="2255"/>
      <c r="D4" s="2255"/>
      <c r="E4" s="844"/>
    </row>
    <row r="5" spans="2:5" ht="26.1" customHeight="1">
      <c r="B5" s="2960" t="s">
        <v>9136</v>
      </c>
      <c r="C5" s="2960"/>
      <c r="D5" s="2960"/>
      <c r="E5" s="2960"/>
    </row>
    <row r="6" spans="2:5">
      <c r="B6" s="3000" t="s">
        <v>9137</v>
      </c>
      <c r="C6" s="3000"/>
      <c r="D6" s="3000"/>
      <c r="E6" s="3000"/>
    </row>
    <row r="7" spans="2:5">
      <c r="B7" s="3769" t="s">
        <v>9138</v>
      </c>
      <c r="C7" s="3769"/>
      <c r="D7" s="3769"/>
      <c r="E7" s="3769"/>
    </row>
    <row r="8" spans="2:5">
      <c r="B8" s="3769" t="s">
        <v>9139</v>
      </c>
      <c r="C8" s="3769"/>
      <c r="D8" s="3769"/>
      <c r="E8" s="3769"/>
    </row>
    <row r="9" spans="2:5" ht="26.1" customHeight="1">
      <c r="B9" s="3710" t="s">
        <v>9140</v>
      </c>
      <c r="C9" s="3710"/>
      <c r="D9" s="3710"/>
      <c r="E9" s="3710"/>
    </row>
    <row r="10" spans="2:5">
      <c r="B10" s="3710" t="s">
        <v>9141</v>
      </c>
      <c r="C10" s="3710"/>
      <c r="D10" s="3710"/>
      <c r="E10" s="3710"/>
    </row>
    <row r="11" spans="2:5">
      <c r="B11" s="3710" t="s">
        <v>9142</v>
      </c>
      <c r="C11" s="3710"/>
      <c r="D11" s="3710"/>
      <c r="E11" s="3710"/>
    </row>
    <row r="12" spans="2:5" ht="5.0999999999999996" customHeight="1" thickBot="1"/>
    <row r="13" spans="2:5" ht="13.5" thickBot="1">
      <c r="B13" s="2240" t="s">
        <v>2708</v>
      </c>
      <c r="C13" s="2241" t="s">
        <v>2105</v>
      </c>
      <c r="D13" s="2241" t="s">
        <v>7177</v>
      </c>
      <c r="E13" s="2242" t="s">
        <v>7309</v>
      </c>
    </row>
    <row r="14" spans="2:5" s="909" customFormat="1" ht="12" thickBot="1">
      <c r="B14" s="2678"/>
      <c r="C14" s="2679"/>
      <c r="D14" s="2679"/>
      <c r="E14" s="2680"/>
    </row>
    <row r="15" spans="2:5">
      <c r="B15" s="423" t="s">
        <v>4048</v>
      </c>
      <c r="C15" s="2252" t="s">
        <v>1328</v>
      </c>
      <c r="D15" s="2249">
        <v>1</v>
      </c>
      <c r="E15" s="2262"/>
    </row>
    <row r="16" spans="2:5">
      <c r="B16" s="2265" t="s">
        <v>4048</v>
      </c>
      <c r="C16" s="2251" t="s">
        <v>1752</v>
      </c>
      <c r="D16" s="2259">
        <v>1</v>
      </c>
      <c r="E16" s="290"/>
    </row>
    <row r="17" spans="2:5">
      <c r="B17" s="2243" t="s">
        <v>4048</v>
      </c>
      <c r="C17" s="2250" t="s">
        <v>1893</v>
      </c>
      <c r="D17" s="2236">
        <v>1</v>
      </c>
      <c r="E17" s="2263"/>
    </row>
    <row r="18" spans="2:5">
      <c r="B18" s="2265" t="s">
        <v>4048</v>
      </c>
      <c r="C18" s="2251" t="s">
        <v>1085</v>
      </c>
      <c r="D18" s="2259">
        <v>1</v>
      </c>
      <c r="E18" s="290"/>
    </row>
    <row r="19" spans="2:5">
      <c r="B19" s="2243" t="s">
        <v>4048</v>
      </c>
      <c r="C19" s="2250" t="s">
        <v>936</v>
      </c>
      <c r="D19" s="2236">
        <v>1</v>
      </c>
      <c r="E19" s="2263"/>
    </row>
    <row r="20" spans="2:5">
      <c r="B20" s="2265" t="s">
        <v>4048</v>
      </c>
      <c r="C20" s="2251" t="s">
        <v>930</v>
      </c>
      <c r="D20" s="2259">
        <v>1</v>
      </c>
      <c r="E20" s="290"/>
    </row>
    <row r="21" spans="2:5">
      <c r="B21" s="2243" t="s">
        <v>4048</v>
      </c>
      <c r="C21" s="2250" t="s">
        <v>4090</v>
      </c>
      <c r="D21" s="2236">
        <v>1</v>
      </c>
      <c r="E21" s="2263"/>
    </row>
    <row r="22" spans="2:5">
      <c r="B22" s="2265" t="s">
        <v>4048</v>
      </c>
      <c r="C22" s="2251" t="s">
        <v>1327</v>
      </c>
      <c r="D22" s="2259">
        <v>2</v>
      </c>
      <c r="E22" s="290"/>
    </row>
    <row r="23" spans="2:5">
      <c r="B23" s="2243" t="s">
        <v>4048</v>
      </c>
      <c r="C23" s="2250" t="s">
        <v>2630</v>
      </c>
      <c r="D23" s="2236">
        <v>3</v>
      </c>
      <c r="E23" s="2263"/>
    </row>
    <row r="24" spans="2:5" ht="13.5" thickBot="1">
      <c r="B24" s="794" t="s">
        <v>4048</v>
      </c>
      <c r="C24" s="2305" t="s">
        <v>4076</v>
      </c>
      <c r="D24" s="88">
        <v>4</v>
      </c>
      <c r="E24" s="1754"/>
    </row>
    <row r="25" spans="2:5">
      <c r="B25" s="761" t="s">
        <v>4056</v>
      </c>
      <c r="C25" s="2301" t="s">
        <v>4055</v>
      </c>
      <c r="D25" s="2258">
        <v>1</v>
      </c>
      <c r="E25" s="322"/>
    </row>
    <row r="26" spans="2:5">
      <c r="B26" s="2265" t="s">
        <v>4056</v>
      </c>
      <c r="C26" s="2251" t="s">
        <v>4058</v>
      </c>
      <c r="D26" s="2259">
        <v>1</v>
      </c>
      <c r="E26" s="290"/>
    </row>
    <row r="27" spans="2:5">
      <c r="B27" s="2243" t="s">
        <v>4056</v>
      </c>
      <c r="C27" s="2250" t="s">
        <v>4060</v>
      </c>
      <c r="D27" s="2236">
        <v>1</v>
      </c>
      <c r="E27" s="2263"/>
    </row>
    <row r="28" spans="2:5">
      <c r="B28" s="2265" t="s">
        <v>4056</v>
      </c>
      <c r="C28" s="2251" t="s">
        <v>1020</v>
      </c>
      <c r="D28" s="2259">
        <v>1</v>
      </c>
      <c r="E28" s="290"/>
    </row>
    <row r="29" spans="2:5">
      <c r="B29" s="2243" t="s">
        <v>4056</v>
      </c>
      <c r="C29" s="2250" t="s">
        <v>4063</v>
      </c>
      <c r="D29" s="2236">
        <v>1</v>
      </c>
      <c r="E29" s="2263"/>
    </row>
    <row r="30" spans="2:5">
      <c r="B30" s="2265" t="s">
        <v>4056</v>
      </c>
      <c r="C30" s="2251" t="s">
        <v>4065</v>
      </c>
      <c r="D30" s="2259">
        <v>1</v>
      </c>
      <c r="E30" s="290"/>
    </row>
    <row r="31" spans="2:5">
      <c r="B31" s="2243" t="s">
        <v>4056</v>
      </c>
      <c r="C31" s="2250" t="s">
        <v>2791</v>
      </c>
      <c r="D31" s="2236">
        <v>2</v>
      </c>
      <c r="E31" s="2263"/>
    </row>
    <row r="32" spans="2:5" ht="13.5" thickBot="1">
      <c r="B32" s="2244" t="s">
        <v>4056</v>
      </c>
      <c r="C32" s="2253" t="s">
        <v>795</v>
      </c>
      <c r="D32" s="2237">
        <v>2</v>
      </c>
      <c r="E32" s="320"/>
    </row>
    <row r="33" spans="2:5">
      <c r="B33" s="761" t="s">
        <v>4030</v>
      </c>
      <c r="C33" s="2301" t="s">
        <v>4029</v>
      </c>
      <c r="D33" s="2258">
        <v>1</v>
      </c>
      <c r="E33" s="322"/>
    </row>
    <row r="34" spans="2:5">
      <c r="B34" s="2265" t="s">
        <v>4030</v>
      </c>
      <c r="C34" s="2251" t="s">
        <v>4032</v>
      </c>
      <c r="D34" s="2259">
        <v>2</v>
      </c>
      <c r="E34" s="290"/>
    </row>
    <row r="35" spans="2:5">
      <c r="B35" s="2243" t="s">
        <v>4030</v>
      </c>
      <c r="C35" s="2250" t="s">
        <v>5142</v>
      </c>
      <c r="D35" s="2236">
        <v>3</v>
      </c>
      <c r="E35" s="2263"/>
    </row>
    <row r="36" spans="2:5">
      <c r="B36" s="2265" t="s">
        <v>4030</v>
      </c>
      <c r="C36" s="2251" t="s">
        <v>4080</v>
      </c>
      <c r="D36" s="2259">
        <v>4</v>
      </c>
      <c r="E36" s="290"/>
    </row>
    <row r="37" spans="2:5">
      <c r="B37" s="2243" t="s">
        <v>4030</v>
      </c>
      <c r="C37" s="2250" t="s">
        <v>937</v>
      </c>
      <c r="D37" s="2236">
        <v>5</v>
      </c>
      <c r="E37" s="2263"/>
    </row>
    <row r="38" spans="2:5">
      <c r="B38" s="2265" t="s">
        <v>4030</v>
      </c>
      <c r="C38" s="2251" t="s">
        <v>4036</v>
      </c>
      <c r="D38" s="2259">
        <v>6</v>
      </c>
      <c r="E38" s="290"/>
    </row>
    <row r="39" spans="2:5">
      <c r="B39" s="2243" t="s">
        <v>4030</v>
      </c>
      <c r="C39" s="2250" t="s">
        <v>2007</v>
      </c>
      <c r="D39" s="2236">
        <v>7</v>
      </c>
      <c r="E39" s="2263"/>
    </row>
    <row r="40" spans="2:5" s="2298" customFormat="1">
      <c r="B40" s="794" t="s">
        <v>4030</v>
      </c>
      <c r="C40" s="2305" t="s">
        <v>1803</v>
      </c>
      <c r="D40" s="88">
        <v>8</v>
      </c>
      <c r="E40" s="290"/>
    </row>
    <row r="41" spans="2:5" ht="13.5" thickBot="1">
      <c r="B41" s="2282" t="s">
        <v>4030</v>
      </c>
      <c r="C41" s="2290" t="s">
        <v>1128</v>
      </c>
      <c r="D41" s="2283">
        <v>9</v>
      </c>
      <c r="E41" s="2284"/>
    </row>
    <row r="42" spans="2:5">
      <c r="B42" s="2306" t="s">
        <v>4040</v>
      </c>
      <c r="C42" s="2307" t="s">
        <v>4039</v>
      </c>
      <c r="D42" s="2308">
        <v>1</v>
      </c>
      <c r="E42" s="2309"/>
    </row>
    <row r="43" spans="2:5">
      <c r="B43" s="2243" t="s">
        <v>4040</v>
      </c>
      <c r="C43" s="2250" t="s">
        <v>929</v>
      </c>
      <c r="D43" s="2236">
        <v>2</v>
      </c>
      <c r="E43" s="2238"/>
    </row>
    <row r="44" spans="2:5">
      <c r="B44" s="2265" t="s">
        <v>4040</v>
      </c>
      <c r="C44" s="2251" t="s">
        <v>4043</v>
      </c>
      <c r="D44" s="2259">
        <v>3</v>
      </c>
      <c r="E44" s="2254"/>
    </row>
    <row r="45" spans="2:5">
      <c r="B45" s="2243" t="s">
        <v>4040</v>
      </c>
      <c r="C45" s="2250" t="s">
        <v>1196</v>
      </c>
      <c r="D45" s="2236">
        <v>4</v>
      </c>
      <c r="E45" s="2238"/>
    </row>
    <row r="46" spans="2:5">
      <c r="B46" s="2265" t="s">
        <v>4040</v>
      </c>
      <c r="C46" s="2251" t="s">
        <v>1198</v>
      </c>
      <c r="D46" s="2259">
        <v>5</v>
      </c>
      <c r="E46" s="2254"/>
    </row>
    <row r="47" spans="2:5">
      <c r="B47" s="2243" t="s">
        <v>4040</v>
      </c>
      <c r="C47" s="2250" t="s">
        <v>1133</v>
      </c>
      <c r="D47" s="2236">
        <v>6</v>
      </c>
      <c r="E47" s="2238"/>
    </row>
    <row r="48" spans="2:5">
      <c r="B48" s="2265" t="s">
        <v>4040</v>
      </c>
      <c r="C48" s="2251" t="s">
        <v>1330</v>
      </c>
      <c r="D48" s="2259">
        <v>7</v>
      </c>
      <c r="E48" s="2254"/>
    </row>
    <row r="49" spans="2:5" ht="13.5" thickBot="1">
      <c r="B49" s="900" t="s">
        <v>4040</v>
      </c>
      <c r="C49" s="2302" t="s">
        <v>1212</v>
      </c>
      <c r="D49" s="2260">
        <v>8</v>
      </c>
      <c r="E49" s="2261"/>
    </row>
    <row r="50" spans="2:5">
      <c r="B50" s="32" t="s">
        <v>4072</v>
      </c>
      <c r="C50" s="2310" t="s">
        <v>2334</v>
      </c>
      <c r="D50" s="2257">
        <v>1</v>
      </c>
      <c r="E50" s="2256"/>
    </row>
    <row r="51" spans="2:5">
      <c r="B51" s="2243" t="s">
        <v>4072</v>
      </c>
      <c r="C51" s="2250" t="s">
        <v>2515</v>
      </c>
      <c r="D51" s="2236">
        <v>2</v>
      </c>
      <c r="E51" s="2296" t="s">
        <v>7311</v>
      </c>
    </row>
    <row r="52" spans="2:5">
      <c r="B52" s="2265" t="s">
        <v>4072</v>
      </c>
      <c r="C52" s="2251" t="s">
        <v>800</v>
      </c>
      <c r="D52" s="2259">
        <v>3</v>
      </c>
      <c r="E52" s="2254"/>
    </row>
    <row r="53" spans="2:5">
      <c r="B53" s="2243" t="s">
        <v>4072</v>
      </c>
      <c r="C53" s="2250" t="s">
        <v>4157</v>
      </c>
      <c r="D53" s="2236">
        <v>4</v>
      </c>
      <c r="E53" s="2238"/>
    </row>
    <row r="54" spans="2:5">
      <c r="B54" s="2265" t="s">
        <v>4072</v>
      </c>
      <c r="C54" s="2251" t="s">
        <v>4154</v>
      </c>
      <c r="D54" s="2259">
        <v>4</v>
      </c>
      <c r="E54" s="2254"/>
    </row>
    <row r="55" spans="2:5">
      <c r="B55" s="2243" t="s">
        <v>4072</v>
      </c>
      <c r="C55" s="2250" t="s">
        <v>4366</v>
      </c>
      <c r="D55" s="2236">
        <v>4</v>
      </c>
      <c r="E55" s="2238"/>
    </row>
    <row r="56" spans="2:5">
      <c r="B56" s="2265" t="s">
        <v>4072</v>
      </c>
      <c r="C56" s="2251" t="s">
        <v>757</v>
      </c>
      <c r="D56" s="2259">
        <v>4</v>
      </c>
      <c r="E56" s="2254"/>
    </row>
    <row r="57" spans="2:5">
      <c r="B57" s="2243" t="s">
        <v>4072</v>
      </c>
      <c r="C57" s="2250" t="s">
        <v>4100</v>
      </c>
      <c r="D57" s="2236">
        <v>4</v>
      </c>
      <c r="E57" s="2238"/>
    </row>
    <row r="58" spans="2:5">
      <c r="B58" s="2265" t="s">
        <v>4072</v>
      </c>
      <c r="C58" s="2251" t="s">
        <v>4162</v>
      </c>
      <c r="D58" s="2259">
        <v>5</v>
      </c>
      <c r="E58" s="2254"/>
    </row>
    <row r="59" spans="2:5">
      <c r="B59" s="2243" t="s">
        <v>4072</v>
      </c>
      <c r="C59" s="2250" t="s">
        <v>2314</v>
      </c>
      <c r="D59" s="2236">
        <v>7</v>
      </c>
      <c r="E59" s="2238"/>
    </row>
    <row r="60" spans="2:5">
      <c r="B60" s="2265" t="s">
        <v>4072</v>
      </c>
      <c r="C60" s="2251" t="s">
        <v>1313</v>
      </c>
      <c r="D60" s="2259">
        <v>7</v>
      </c>
      <c r="E60" s="2254"/>
    </row>
    <row r="61" spans="2:5">
      <c r="B61" s="2243" t="s">
        <v>4072</v>
      </c>
      <c r="C61" s="2250" t="s">
        <v>2316</v>
      </c>
      <c r="D61" s="2236">
        <v>7</v>
      </c>
      <c r="E61" s="2238"/>
    </row>
    <row r="62" spans="2:5">
      <c r="B62" s="2265" t="s">
        <v>4072</v>
      </c>
      <c r="C62" s="2251" t="s">
        <v>4161</v>
      </c>
      <c r="D62" s="2259">
        <v>8</v>
      </c>
      <c r="E62" s="2254"/>
    </row>
    <row r="63" spans="2:5">
      <c r="B63" s="2243" t="s">
        <v>4072</v>
      </c>
      <c r="C63" s="2250" t="s">
        <v>4156</v>
      </c>
      <c r="D63" s="2236">
        <v>9</v>
      </c>
      <c r="E63" s="2238"/>
    </row>
    <row r="64" spans="2:5" s="2298" customFormat="1">
      <c r="B64" s="2297" t="s">
        <v>4072</v>
      </c>
      <c r="C64" s="2291" t="s">
        <v>1844</v>
      </c>
      <c r="D64" s="2293">
        <v>10</v>
      </c>
      <c r="E64" s="2292"/>
    </row>
    <row r="65" spans="2:5">
      <c r="B65" s="2282" t="s">
        <v>4072</v>
      </c>
      <c r="C65" s="2290" t="s">
        <v>2508</v>
      </c>
      <c r="D65" s="2283">
        <v>11</v>
      </c>
      <c r="E65" s="2284"/>
    </row>
    <row r="66" spans="2:5" ht="13.5" thickBot="1">
      <c r="B66" s="2244" t="s">
        <v>4072</v>
      </c>
      <c r="C66" s="2253" t="s">
        <v>1637</v>
      </c>
      <c r="D66" s="2237">
        <v>12</v>
      </c>
      <c r="E66" s="2239"/>
    </row>
    <row r="67" spans="2:5">
      <c r="B67" s="761" t="s">
        <v>4087</v>
      </c>
      <c r="C67" s="2303" t="s">
        <v>4097</v>
      </c>
      <c r="D67" s="2258">
        <v>1</v>
      </c>
      <c r="E67" s="322" t="s">
        <v>7312</v>
      </c>
    </row>
    <row r="68" spans="2:5">
      <c r="B68" s="2265" t="s">
        <v>4087</v>
      </c>
      <c r="C68" s="2245" t="s">
        <v>4116</v>
      </c>
      <c r="D68" s="2259">
        <v>1</v>
      </c>
      <c r="E68" s="290"/>
    </row>
    <row r="69" spans="2:5" s="2298" customFormat="1">
      <c r="B69" s="2282" t="s">
        <v>4087</v>
      </c>
      <c r="C69" s="2288" t="s">
        <v>4086</v>
      </c>
      <c r="D69" s="2283">
        <v>1</v>
      </c>
      <c r="E69" s="2296"/>
    </row>
    <row r="70" spans="2:5" s="2298" customFormat="1">
      <c r="B70" s="2297" t="s">
        <v>4087</v>
      </c>
      <c r="C70" s="2287" t="s">
        <v>2543</v>
      </c>
      <c r="D70" s="2293">
        <v>2</v>
      </c>
      <c r="E70" s="290"/>
    </row>
    <row r="71" spans="2:5">
      <c r="B71" s="2243" t="s">
        <v>4087</v>
      </c>
      <c r="C71" s="2246" t="s">
        <v>2395</v>
      </c>
      <c r="D71" s="2236">
        <v>4</v>
      </c>
      <c r="E71" s="2263"/>
    </row>
    <row r="72" spans="2:5">
      <c r="B72" s="2265" t="s">
        <v>4087</v>
      </c>
      <c r="C72" s="2245" t="s">
        <v>725</v>
      </c>
      <c r="D72" s="2259">
        <v>4</v>
      </c>
      <c r="E72" s="290"/>
    </row>
    <row r="73" spans="2:5">
      <c r="B73" s="2243" t="s">
        <v>4087</v>
      </c>
      <c r="C73" s="2246" t="s">
        <v>1317</v>
      </c>
      <c r="D73" s="2236">
        <v>5</v>
      </c>
      <c r="E73" s="2263"/>
    </row>
    <row r="74" spans="2:5">
      <c r="B74" s="2265" t="s">
        <v>4087</v>
      </c>
      <c r="C74" s="2245" t="s">
        <v>1899</v>
      </c>
      <c r="D74" s="2259">
        <v>6</v>
      </c>
      <c r="E74" s="290"/>
    </row>
    <row r="75" spans="2:5" ht="13.5" thickBot="1">
      <c r="B75" s="900" t="s">
        <v>4087</v>
      </c>
      <c r="C75" s="2247" t="s">
        <v>4126</v>
      </c>
      <c r="D75" s="2260">
        <v>7</v>
      </c>
      <c r="E75" s="326"/>
    </row>
    <row r="76" spans="2:5">
      <c r="B76" s="32" t="s">
        <v>4070</v>
      </c>
      <c r="C76" s="2311" t="s">
        <v>2518</v>
      </c>
      <c r="D76" s="2257">
        <v>1</v>
      </c>
      <c r="E76" s="2312" t="s">
        <v>7310</v>
      </c>
    </row>
    <row r="77" spans="2:5">
      <c r="B77" s="2243" t="s">
        <v>4070</v>
      </c>
      <c r="C77" s="2246" t="s">
        <v>4084</v>
      </c>
      <c r="D77" s="2236">
        <v>1</v>
      </c>
      <c r="E77" s="2263"/>
    </row>
    <row r="78" spans="2:5">
      <c r="B78" s="2265" t="s">
        <v>4070</v>
      </c>
      <c r="C78" s="2245" t="s">
        <v>758</v>
      </c>
      <c r="D78" s="2259">
        <v>2</v>
      </c>
      <c r="E78" s="290"/>
    </row>
    <row r="79" spans="2:5">
      <c r="B79" s="2243" t="s">
        <v>4070</v>
      </c>
      <c r="C79" s="2246" t="s">
        <v>1894</v>
      </c>
      <c r="D79" s="2236">
        <v>3</v>
      </c>
      <c r="E79" s="2263"/>
    </row>
    <row r="80" spans="2:5">
      <c r="B80" s="2265" t="s">
        <v>4070</v>
      </c>
      <c r="C80" s="2245" t="s">
        <v>4069</v>
      </c>
      <c r="D80" s="2259">
        <v>5</v>
      </c>
      <c r="E80" s="290"/>
    </row>
    <row r="81" spans="2:5" ht="13.5" thickBot="1">
      <c r="B81" s="2299" t="s">
        <v>4070</v>
      </c>
      <c r="C81" s="2304" t="s">
        <v>1636</v>
      </c>
      <c r="D81" s="2300">
        <v>6</v>
      </c>
      <c r="E81" s="2264"/>
    </row>
    <row r="82" spans="2:5">
      <c r="B82" s="2306" t="s">
        <v>4078</v>
      </c>
      <c r="C82" s="2313" t="s">
        <v>2335</v>
      </c>
      <c r="D82" s="2308">
        <v>1</v>
      </c>
      <c r="E82" s="2314"/>
    </row>
    <row r="83" spans="2:5">
      <c r="B83" s="2282" t="s">
        <v>4078</v>
      </c>
      <c r="C83" s="2288" t="s">
        <v>2125</v>
      </c>
      <c r="D83" s="2283">
        <v>2</v>
      </c>
      <c r="E83" s="2296"/>
    </row>
    <row r="84" spans="2:5">
      <c r="B84" s="2297" t="s">
        <v>4078</v>
      </c>
      <c r="C84" s="2287" t="s">
        <v>2544</v>
      </c>
      <c r="D84" s="2293">
        <v>2</v>
      </c>
      <c r="E84" s="290"/>
    </row>
    <row r="85" spans="2:5">
      <c r="B85" s="423" t="s">
        <v>4078</v>
      </c>
      <c r="C85" s="2286" t="s">
        <v>4151</v>
      </c>
      <c r="D85" s="2289">
        <v>3</v>
      </c>
      <c r="E85" s="2295"/>
    </row>
    <row r="86" spans="2:5">
      <c r="B86" s="2297" t="s">
        <v>4078</v>
      </c>
      <c r="C86" s="2287" t="s">
        <v>1626</v>
      </c>
      <c r="D86" s="2293">
        <v>3</v>
      </c>
      <c r="E86" s="290"/>
    </row>
    <row r="87" spans="2:5">
      <c r="B87" s="2282" t="s">
        <v>4078</v>
      </c>
      <c r="C87" s="2288" t="s">
        <v>2204</v>
      </c>
      <c r="D87" s="2283">
        <v>4</v>
      </c>
      <c r="E87" s="2296"/>
    </row>
    <row r="88" spans="2:5">
      <c r="B88" s="2297" t="s">
        <v>4078</v>
      </c>
      <c r="C88" s="2287" t="s">
        <v>181</v>
      </c>
      <c r="D88" s="2293">
        <v>4</v>
      </c>
      <c r="E88" s="290"/>
    </row>
    <row r="89" spans="2:5">
      <c r="B89" s="2282" t="s">
        <v>4078</v>
      </c>
      <c r="C89" s="2288" t="s">
        <v>1315</v>
      </c>
      <c r="D89" s="2283">
        <v>5</v>
      </c>
      <c r="E89" s="2296"/>
    </row>
    <row r="90" spans="2:5">
      <c r="B90" s="2297" t="s">
        <v>4078</v>
      </c>
      <c r="C90" s="2287" t="s">
        <v>432</v>
      </c>
      <c r="D90" s="2293">
        <v>6</v>
      </c>
      <c r="E90" s="290"/>
    </row>
    <row r="91" spans="2:5" ht="13.5" thickBot="1">
      <c r="B91" s="900" t="s">
        <v>4078</v>
      </c>
      <c r="C91" s="2285" t="s">
        <v>356</v>
      </c>
      <c r="D91" s="2294">
        <v>7</v>
      </c>
      <c r="E91" s="326"/>
    </row>
    <row r="92" spans="2:5" ht="5.0999999999999996" customHeight="1">
      <c r="B92" s="2248"/>
      <c r="E92" s="2233"/>
    </row>
    <row r="93" spans="2:5">
      <c r="B93" s="3768" t="s">
        <v>9143</v>
      </c>
      <c r="C93" s="3768"/>
      <c r="D93" s="3768"/>
      <c r="E93" s="3768"/>
    </row>
    <row r="94" spans="2:5">
      <c r="B94" s="2248"/>
      <c r="E94" s="2233"/>
    </row>
    <row r="95" spans="2:5">
      <c r="B95" s="2248"/>
      <c r="E95" s="2233"/>
    </row>
    <row r="96" spans="2:5">
      <c r="B96" s="2248"/>
      <c r="E96" s="2233"/>
    </row>
    <row r="97" spans="2:5">
      <c r="B97" s="2248"/>
      <c r="E97" s="2233"/>
    </row>
    <row r="98" spans="2:5">
      <c r="B98" s="2248"/>
      <c r="E98" s="2233"/>
    </row>
    <row r="99" spans="2:5">
      <c r="B99" s="2248"/>
      <c r="E99" s="2233"/>
    </row>
    <row r="100" spans="2:5">
      <c r="B100" s="2248"/>
      <c r="E100" s="2233"/>
    </row>
    <row r="101" spans="2:5">
      <c r="B101" s="2248"/>
      <c r="E101" s="2233"/>
    </row>
    <row r="102" spans="2:5">
      <c r="B102" s="2248"/>
      <c r="E102" s="2233"/>
    </row>
    <row r="103" spans="2:5">
      <c r="B103" s="2248"/>
      <c r="E103" s="2233"/>
    </row>
    <row r="104" spans="2:5">
      <c r="B104" s="2248"/>
      <c r="E104" s="2233"/>
    </row>
    <row r="105" spans="2:5">
      <c r="B105" s="2248"/>
      <c r="E105" s="2233"/>
    </row>
    <row r="106" spans="2:5">
      <c r="B106" s="2248"/>
      <c r="E106" s="2233"/>
    </row>
    <row r="107" spans="2:5">
      <c r="B107" s="2248"/>
      <c r="E107" s="2233"/>
    </row>
    <row r="108" spans="2:5">
      <c r="B108" s="2248"/>
      <c r="E108" s="2233"/>
    </row>
    <row r="109" spans="2:5">
      <c r="B109" s="2248"/>
      <c r="E109" s="2233"/>
    </row>
    <row r="110" spans="2:5">
      <c r="B110" s="2248"/>
      <c r="E110" s="2233"/>
    </row>
    <row r="111" spans="2:5">
      <c r="B111" s="2248"/>
      <c r="E111" s="2233"/>
    </row>
    <row r="112" spans="2:5">
      <c r="B112" s="2248"/>
      <c r="E112" s="2233"/>
    </row>
    <row r="113" spans="2:5">
      <c r="B113" s="2248"/>
      <c r="E113" s="2233"/>
    </row>
    <row r="114" spans="2:5">
      <c r="B114" s="2248"/>
      <c r="E114" s="2233"/>
    </row>
    <row r="115" spans="2:5">
      <c r="B115" s="2248"/>
      <c r="E115" s="2233"/>
    </row>
    <row r="116" spans="2:5">
      <c r="B116" s="2248"/>
      <c r="E116" s="2233"/>
    </row>
    <row r="117" spans="2:5">
      <c r="B117" s="2248"/>
      <c r="E117" s="2233"/>
    </row>
    <row r="118" spans="2:5">
      <c r="B118" s="2248"/>
      <c r="E118" s="2233"/>
    </row>
    <row r="119" spans="2:5">
      <c r="B119" s="2248"/>
      <c r="E119" s="2233"/>
    </row>
    <row r="120" spans="2:5">
      <c r="B120" s="2248"/>
      <c r="E120" s="2233"/>
    </row>
    <row r="121" spans="2:5">
      <c r="B121" s="2248"/>
      <c r="E121" s="2233"/>
    </row>
    <row r="122" spans="2:5">
      <c r="B122" s="2248"/>
      <c r="E122" s="2233"/>
    </row>
    <row r="123" spans="2:5">
      <c r="B123" s="2248"/>
      <c r="E123" s="2233"/>
    </row>
    <row r="124" spans="2:5">
      <c r="B124" s="2248"/>
      <c r="E124" s="2233"/>
    </row>
    <row r="125" spans="2:5">
      <c r="B125" s="2248"/>
      <c r="E125" s="2233"/>
    </row>
    <row r="126" spans="2:5">
      <c r="B126" s="2248"/>
      <c r="E126" s="2233"/>
    </row>
    <row r="127" spans="2:5">
      <c r="B127" s="2248"/>
      <c r="E127" s="2233"/>
    </row>
    <row r="128" spans="2:5">
      <c r="B128" s="2248"/>
      <c r="E128" s="2233"/>
    </row>
    <row r="129" spans="2:5">
      <c r="B129" s="2248"/>
      <c r="E129" s="2233"/>
    </row>
    <row r="130" spans="2:5">
      <c r="B130" s="2248"/>
      <c r="E130" s="2233"/>
    </row>
    <row r="131" spans="2:5">
      <c r="B131" s="2248"/>
      <c r="E131" s="2233"/>
    </row>
    <row r="132" spans="2:5">
      <c r="B132" s="2248"/>
      <c r="E132" s="2233"/>
    </row>
    <row r="133" spans="2:5">
      <c r="B133" s="2248"/>
      <c r="E133" s="2233"/>
    </row>
    <row r="134" spans="2:5">
      <c r="B134" s="2248"/>
      <c r="E134" s="2233"/>
    </row>
    <row r="135" spans="2:5">
      <c r="B135" s="2248"/>
      <c r="E135" s="2233"/>
    </row>
    <row r="136" spans="2:5">
      <c r="B136" s="2248"/>
      <c r="E136" s="2233"/>
    </row>
    <row r="137" spans="2:5">
      <c r="B137" s="2248"/>
      <c r="E137" s="2233"/>
    </row>
    <row r="138" spans="2:5">
      <c r="B138" s="2248"/>
      <c r="E138" s="2233"/>
    </row>
    <row r="139" spans="2:5">
      <c r="B139" s="2248"/>
      <c r="E139" s="2233"/>
    </row>
    <row r="140" spans="2:5">
      <c r="B140" s="2248"/>
      <c r="E140" s="2233"/>
    </row>
    <row r="141" spans="2:5">
      <c r="B141" s="2248"/>
      <c r="E141" s="2233"/>
    </row>
    <row r="142" spans="2:5">
      <c r="B142" s="2248"/>
      <c r="E142" s="2233"/>
    </row>
    <row r="143" spans="2:5">
      <c r="B143" s="2248"/>
      <c r="E143" s="2233"/>
    </row>
    <row r="144" spans="2:5">
      <c r="B144" s="2248"/>
      <c r="E144" s="2233"/>
    </row>
    <row r="145" spans="2:5">
      <c r="B145" s="2248"/>
      <c r="E145" s="2233"/>
    </row>
    <row r="146" spans="2:5">
      <c r="B146" s="2248"/>
      <c r="E146" s="2233"/>
    </row>
    <row r="147" spans="2:5">
      <c r="B147" s="2248"/>
      <c r="E147" s="2233"/>
    </row>
    <row r="148" spans="2:5">
      <c r="B148" s="2248"/>
      <c r="E148" s="2233"/>
    </row>
    <row r="149" spans="2:5">
      <c r="B149" s="2248"/>
      <c r="E149" s="2233"/>
    </row>
    <row r="150" spans="2:5">
      <c r="B150" s="2248"/>
      <c r="E150" s="2233"/>
    </row>
    <row r="151" spans="2:5">
      <c r="B151" s="2248"/>
      <c r="E151" s="2233"/>
    </row>
    <row r="152" spans="2:5">
      <c r="B152" s="2248"/>
      <c r="E152" s="2233"/>
    </row>
    <row r="153" spans="2:5">
      <c r="B153" s="2248"/>
      <c r="E153" s="2233"/>
    </row>
    <row r="154" spans="2:5">
      <c r="B154" s="2248"/>
      <c r="E154" s="2233"/>
    </row>
    <row r="155" spans="2:5">
      <c r="B155" s="2248"/>
      <c r="E155" s="2233"/>
    </row>
    <row r="156" spans="2:5">
      <c r="B156" s="2248"/>
      <c r="E156" s="2233"/>
    </row>
    <row r="157" spans="2:5">
      <c r="B157" s="2248"/>
      <c r="E157" s="2233"/>
    </row>
    <row r="158" spans="2:5">
      <c r="B158" s="2248"/>
      <c r="E158" s="2233"/>
    </row>
    <row r="159" spans="2:5">
      <c r="B159" s="2248"/>
      <c r="E159" s="2233"/>
    </row>
    <row r="160" spans="2:5">
      <c r="B160" s="2248"/>
      <c r="E160" s="2233"/>
    </row>
    <row r="161" spans="2:5">
      <c r="B161" s="2248"/>
      <c r="E161" s="2233"/>
    </row>
    <row r="162" spans="2:5">
      <c r="B162" s="2248"/>
      <c r="E162" s="2233"/>
    </row>
    <row r="163" spans="2:5">
      <c r="B163" s="2248"/>
      <c r="E163" s="2233"/>
    </row>
    <row r="164" spans="2:5">
      <c r="B164" s="2248"/>
      <c r="E164" s="2233"/>
    </row>
    <row r="165" spans="2:5">
      <c r="B165" s="2248"/>
      <c r="E165" s="2233"/>
    </row>
    <row r="166" spans="2:5">
      <c r="B166" s="2248"/>
      <c r="E166" s="2233"/>
    </row>
    <row r="167" spans="2:5">
      <c r="B167" s="2248"/>
      <c r="E167" s="2233"/>
    </row>
    <row r="168" spans="2:5">
      <c r="B168" s="2248"/>
      <c r="E168" s="2233"/>
    </row>
    <row r="169" spans="2:5">
      <c r="B169" s="2248"/>
      <c r="E169" s="2233"/>
    </row>
    <row r="170" spans="2:5">
      <c r="B170" s="2248"/>
      <c r="E170" s="2233"/>
    </row>
    <row r="171" spans="2:5">
      <c r="B171" s="2248"/>
      <c r="E171" s="2233"/>
    </row>
    <row r="172" spans="2:5">
      <c r="B172" s="2248"/>
      <c r="E172" s="2233"/>
    </row>
    <row r="173" spans="2:5">
      <c r="B173" s="2248"/>
      <c r="E173" s="2233"/>
    </row>
    <row r="174" spans="2:5">
      <c r="B174" s="2248"/>
      <c r="E174" s="2233"/>
    </row>
    <row r="175" spans="2:5">
      <c r="B175" s="2248"/>
      <c r="E175" s="2233"/>
    </row>
    <row r="176" spans="2:5">
      <c r="B176" s="2248"/>
      <c r="E176" s="2233"/>
    </row>
    <row r="177" spans="2:5">
      <c r="B177" s="2248"/>
      <c r="E177" s="2233"/>
    </row>
    <row r="178" spans="2:5">
      <c r="B178" s="2248"/>
      <c r="E178" s="2233"/>
    </row>
    <row r="179" spans="2:5">
      <c r="B179" s="2248"/>
      <c r="E179" s="2233"/>
    </row>
    <row r="180" spans="2:5">
      <c r="B180" s="2248"/>
      <c r="E180" s="2233"/>
    </row>
    <row r="181" spans="2:5">
      <c r="B181" s="2248"/>
      <c r="E181" s="2233"/>
    </row>
    <row r="182" spans="2:5">
      <c r="B182" s="2248"/>
      <c r="E182" s="2233"/>
    </row>
    <row r="183" spans="2:5">
      <c r="B183" s="2248"/>
      <c r="E183" s="2233"/>
    </row>
    <row r="184" spans="2:5">
      <c r="B184" s="2248"/>
      <c r="E184" s="2233"/>
    </row>
    <row r="185" spans="2:5">
      <c r="B185" s="2248"/>
      <c r="E185" s="2233"/>
    </row>
    <row r="186" spans="2:5">
      <c r="B186" s="2248"/>
      <c r="E186" s="2233"/>
    </row>
    <row r="187" spans="2:5">
      <c r="B187" s="2248"/>
      <c r="E187" s="2233"/>
    </row>
    <row r="188" spans="2:5">
      <c r="B188" s="2248"/>
      <c r="E188" s="2233"/>
    </row>
    <row r="189" spans="2:5">
      <c r="B189" s="2248"/>
      <c r="E189" s="2233"/>
    </row>
    <row r="190" spans="2:5">
      <c r="B190" s="2248"/>
      <c r="E190" s="2233"/>
    </row>
    <row r="191" spans="2:5">
      <c r="B191" s="2248"/>
      <c r="E191" s="2233"/>
    </row>
    <row r="192" spans="2:5">
      <c r="B192" s="2248"/>
      <c r="E192" s="2233"/>
    </row>
    <row r="193" spans="2:5">
      <c r="B193" s="2248"/>
      <c r="E193" s="2233"/>
    </row>
    <row r="194" spans="2:5">
      <c r="B194" s="2248"/>
      <c r="E194" s="2233"/>
    </row>
    <row r="195" spans="2:5">
      <c r="B195" s="2248"/>
      <c r="E195" s="2233"/>
    </row>
    <row r="196" spans="2:5">
      <c r="B196" s="2248"/>
      <c r="E196" s="2233"/>
    </row>
    <row r="197" spans="2:5">
      <c r="B197" s="2248"/>
      <c r="E197" s="2233"/>
    </row>
    <row r="198" spans="2:5">
      <c r="B198" s="2248"/>
      <c r="E198" s="2233"/>
    </row>
    <row r="199" spans="2:5">
      <c r="B199" s="2248"/>
      <c r="E199" s="2233"/>
    </row>
    <row r="200" spans="2:5">
      <c r="B200" s="2248"/>
      <c r="E200" s="2233"/>
    </row>
  </sheetData>
  <sheetProtection autoFilter="0"/>
  <autoFilter ref="B14:C14"/>
  <mergeCells count="10">
    <mergeCell ref="C1:E1"/>
    <mergeCell ref="B3:E3"/>
    <mergeCell ref="B93:E93"/>
    <mergeCell ref="B5:E5"/>
    <mergeCell ref="B6:E6"/>
    <mergeCell ref="B7:E7"/>
    <mergeCell ref="B8:E8"/>
    <mergeCell ref="B9:E9"/>
    <mergeCell ref="B10:E10"/>
    <mergeCell ref="B11:E11"/>
  </mergeCells>
  <hyperlinks>
    <hyperlink ref="B1" location="Index!A1" display="Назад"/>
  </hyperlinks>
  <printOptions horizontalCentered="1"/>
  <pageMargins left="0.23622047244094491" right="0.23622047244094491" top="0.74803149606299213" bottom="0.74803149606299213" header="0.31496062992125984" footer="0.31496062992125984"/>
  <pageSetup paperSize="9" scale="99" orientation="landscape" r:id="rId1"/>
  <headerFooter alignWithMargins="0"/>
  <rowBreaks count="2" manualBreakCount="2">
    <brk id="32" max="4" man="1"/>
    <brk id="66" max="4" man="1"/>
  </rowBreaks>
  <drawing r:id="rId2"/>
</worksheet>
</file>

<file path=xl/worksheets/sheet61.xml><?xml version="1.0" encoding="utf-8"?>
<worksheet xmlns="http://schemas.openxmlformats.org/spreadsheetml/2006/main" xmlns:r="http://schemas.openxmlformats.org/officeDocument/2006/relationships">
  <dimension ref="B1:E31"/>
  <sheetViews>
    <sheetView zoomScaleNormal="100" workbookViewId="0">
      <pane ySplit="4" topLeftCell="A5" activePane="bottomLeft" state="frozen"/>
      <selection pane="bottomLeft"/>
    </sheetView>
  </sheetViews>
  <sheetFormatPr defaultRowHeight="12.95" customHeight="1"/>
  <cols>
    <col min="1" max="1" width="3.7109375" style="292" customWidth="1"/>
    <col min="2" max="2" width="9.140625" style="292"/>
    <col min="3" max="3" width="22.7109375" style="292" customWidth="1"/>
    <col min="4" max="4" width="30.5703125" style="292" customWidth="1"/>
    <col min="5" max="5" width="58.7109375" style="292" customWidth="1"/>
    <col min="6" max="16384" width="9.140625" style="292"/>
  </cols>
  <sheetData>
    <row r="1" spans="2:5" ht="12.95" customHeight="1">
      <c r="B1" s="313" t="s">
        <v>2706</v>
      </c>
      <c r="C1" s="2973" t="s">
        <v>8269</v>
      </c>
      <c r="D1" s="2973"/>
      <c r="E1" s="2973"/>
    </row>
    <row r="2" spans="2:5" ht="5.0999999999999996" customHeight="1"/>
    <row r="3" spans="2:5" ht="12.95" customHeight="1">
      <c r="B3" s="2978" t="s">
        <v>4370</v>
      </c>
      <c r="C3" s="2978"/>
      <c r="D3" s="2978"/>
      <c r="E3" s="2978"/>
    </row>
    <row r="4" spans="2:5" ht="5.0999999999999996" customHeight="1"/>
    <row r="5" spans="2:5" s="896" customFormat="1" ht="30" customHeight="1">
      <c r="B5" s="3770" t="s">
        <v>1616</v>
      </c>
      <c r="C5" s="3770"/>
    </row>
    <row r="6" spans="2:5" ht="51.95" customHeight="1">
      <c r="B6" s="3134" t="s">
        <v>9144</v>
      </c>
      <c r="C6" s="3134"/>
      <c r="D6" s="3134"/>
      <c r="E6" s="3134"/>
    </row>
    <row r="7" spans="2:5" ht="5.0999999999999996" customHeight="1" thickBot="1"/>
    <row r="8" spans="2:5" ht="12.95" customHeight="1" thickBot="1">
      <c r="C8" s="243" t="s">
        <v>2140</v>
      </c>
      <c r="D8" s="1635" t="s">
        <v>1075</v>
      </c>
      <c r="E8" s="710" t="s">
        <v>2043</v>
      </c>
    </row>
    <row r="9" spans="2:5" ht="12.95" customHeight="1">
      <c r="C9" s="898" t="s">
        <v>2156</v>
      </c>
      <c r="D9" s="727" t="s">
        <v>419</v>
      </c>
      <c r="E9" s="728" t="s">
        <v>420</v>
      </c>
    </row>
    <row r="10" spans="2:5" ht="12.95" customHeight="1">
      <c r="C10" s="665" t="s">
        <v>893</v>
      </c>
      <c r="D10" s="713" t="s">
        <v>421</v>
      </c>
      <c r="E10" s="714" t="s">
        <v>422</v>
      </c>
    </row>
    <row r="11" spans="2:5" ht="26.1" customHeight="1">
      <c r="C11" s="623" t="s">
        <v>2141</v>
      </c>
      <c r="D11" s="725" t="s">
        <v>40</v>
      </c>
      <c r="E11" s="726" t="s">
        <v>4374</v>
      </c>
    </row>
    <row r="12" spans="2:5" ht="26.1" customHeight="1">
      <c r="C12" s="665" t="s">
        <v>2557</v>
      </c>
      <c r="D12" s="713" t="s">
        <v>1558</v>
      </c>
      <c r="E12" s="714" t="s">
        <v>4371</v>
      </c>
    </row>
    <row r="13" spans="2:5" ht="26.1" customHeight="1">
      <c r="C13" s="623" t="s">
        <v>625</v>
      </c>
      <c r="D13" s="725" t="s">
        <v>43</v>
      </c>
      <c r="E13" s="726" t="s">
        <v>4372</v>
      </c>
    </row>
    <row r="14" spans="2:5" ht="26.1" customHeight="1">
      <c r="C14" s="665" t="s">
        <v>626</v>
      </c>
      <c r="D14" s="713" t="s">
        <v>2458</v>
      </c>
      <c r="E14" s="714" t="s">
        <v>4373</v>
      </c>
    </row>
    <row r="15" spans="2:5" ht="12.95" customHeight="1">
      <c r="C15" s="623" t="s">
        <v>627</v>
      </c>
      <c r="D15" s="725" t="s">
        <v>2459</v>
      </c>
      <c r="E15" s="726" t="s">
        <v>5190</v>
      </c>
    </row>
    <row r="16" spans="2:5" ht="26.1" customHeight="1">
      <c r="C16" s="665" t="s">
        <v>628</v>
      </c>
      <c r="D16" s="713" t="s">
        <v>2595</v>
      </c>
      <c r="E16" s="714" t="s">
        <v>4375</v>
      </c>
    </row>
    <row r="17" spans="2:5" ht="39" customHeight="1" thickBot="1">
      <c r="C17" s="624" t="s">
        <v>2259</v>
      </c>
      <c r="D17" s="724" t="s">
        <v>109</v>
      </c>
      <c r="E17" s="1636" t="s">
        <v>5191</v>
      </c>
    </row>
    <row r="18" spans="2:5" ht="5.0999999999999996" customHeight="1"/>
    <row r="19" spans="2:5" ht="12.95" customHeight="1">
      <c r="B19" s="3771" t="s">
        <v>2037</v>
      </c>
      <c r="C19" s="3771"/>
      <c r="D19" s="3771"/>
      <c r="E19" s="3771"/>
    </row>
    <row r="20" spans="2:5" ht="51.95" customHeight="1">
      <c r="B20" s="3134" t="s">
        <v>9145</v>
      </c>
      <c r="C20" s="3134"/>
      <c r="D20" s="3134"/>
      <c r="E20" s="3134"/>
    </row>
    <row r="21" spans="2:5" ht="26.1" customHeight="1">
      <c r="B21" s="3732" t="s">
        <v>9146</v>
      </c>
      <c r="C21" s="3134"/>
      <c r="D21" s="3134"/>
      <c r="E21" s="3134"/>
    </row>
    <row r="22" spans="2:5" ht="5.0999999999999996" customHeight="1"/>
    <row r="23" spans="2:5" ht="12.95" customHeight="1">
      <c r="B23" s="3771" t="s">
        <v>2038</v>
      </c>
      <c r="C23" s="3771"/>
      <c r="D23" s="3771"/>
      <c r="E23" s="3771"/>
    </row>
    <row r="24" spans="2:5" ht="51.95" customHeight="1">
      <c r="B24" s="3134" t="s">
        <v>10105</v>
      </c>
      <c r="C24" s="3134"/>
      <c r="D24" s="3134"/>
      <c r="E24" s="3134"/>
    </row>
    <row r="25" spans="2:5" ht="39" customHeight="1">
      <c r="B25" s="3732" t="s">
        <v>9147</v>
      </c>
      <c r="C25" s="3134"/>
      <c r="D25" s="3134"/>
      <c r="E25" s="3134"/>
    </row>
    <row r="26" spans="2:5" ht="5.0999999999999996" customHeight="1"/>
    <row r="27" spans="2:5" ht="12.95" customHeight="1">
      <c r="B27" s="3771" t="s">
        <v>1953</v>
      </c>
      <c r="C27" s="3771"/>
      <c r="D27" s="3771"/>
      <c r="E27" s="3771"/>
    </row>
    <row r="28" spans="2:5" ht="78" customHeight="1">
      <c r="B28" s="3134" t="s">
        <v>9148</v>
      </c>
      <c r="C28" s="3134"/>
      <c r="D28" s="3134"/>
      <c r="E28" s="3134"/>
    </row>
    <row r="29" spans="2:5" ht="26.1" customHeight="1">
      <c r="B29" s="3134" t="s">
        <v>9149</v>
      </c>
      <c r="C29" s="3134"/>
      <c r="D29" s="3134"/>
      <c r="E29" s="3134"/>
    </row>
    <row r="30" spans="2:5" ht="26.1" customHeight="1">
      <c r="B30" s="3732" t="s">
        <v>9150</v>
      </c>
      <c r="C30" s="3134"/>
      <c r="D30" s="3134"/>
      <c r="E30" s="3134"/>
    </row>
    <row r="31" spans="2:5" ht="26.1" customHeight="1">
      <c r="B31" s="3732" t="s">
        <v>10106</v>
      </c>
      <c r="C31" s="3134"/>
      <c r="D31" s="3134"/>
      <c r="E31" s="3134"/>
    </row>
  </sheetData>
  <sheetProtection autoFilter="0"/>
  <mergeCells count="15">
    <mergeCell ref="C1:E1"/>
    <mergeCell ref="B31:E31"/>
    <mergeCell ref="B28:E28"/>
    <mergeCell ref="B30:E30"/>
    <mergeCell ref="B3:E3"/>
    <mergeCell ref="B5:C5"/>
    <mergeCell ref="B6:E6"/>
    <mergeCell ref="B20:E20"/>
    <mergeCell ref="B21:E21"/>
    <mergeCell ref="B24:E24"/>
    <mergeCell ref="B25:E25"/>
    <mergeCell ref="B29:E29"/>
    <mergeCell ref="B19:E19"/>
    <mergeCell ref="B23:E23"/>
    <mergeCell ref="B27:E27"/>
  </mergeCells>
  <phoneticPr fontId="9" type="noConversion"/>
  <hyperlinks>
    <hyperlink ref="B1" location="Index!A1" display="Назад"/>
  </hyperlinks>
  <pageMargins left="0.74803149606299213" right="0.74803149606299213" top="0.98425196850393704" bottom="0.98425196850393704" header="0.51181102362204722" footer="0.51181102362204722"/>
  <pageSetup paperSize="9" orientation="landscape" r:id="rId1"/>
  <headerFooter alignWithMargins="0"/>
  <rowBreaks count="1" manualBreakCount="1">
    <brk id="21" max="4" man="1"/>
  </rowBreaks>
  <drawing r:id="rId2"/>
</worksheet>
</file>

<file path=xl/worksheets/sheet62.xml><?xml version="1.0" encoding="utf-8"?>
<worksheet xmlns="http://schemas.openxmlformats.org/spreadsheetml/2006/main" xmlns:r="http://schemas.openxmlformats.org/officeDocument/2006/relationships">
  <dimension ref="A1:S74"/>
  <sheetViews>
    <sheetView zoomScaleNormal="100" workbookViewId="0">
      <pane ySplit="4" topLeftCell="A5" activePane="bottomLeft" state="frozen"/>
      <selection pane="bottomLeft"/>
    </sheetView>
  </sheetViews>
  <sheetFormatPr defaultRowHeight="12.95" customHeight="1"/>
  <cols>
    <col min="1" max="1" width="3.7109375" style="885" customWidth="1"/>
    <col min="2" max="8" width="17.7109375" style="411" customWidth="1"/>
    <col min="9" max="16384" width="9.140625" style="411"/>
  </cols>
  <sheetData>
    <row r="1" spans="1:19" s="876" customFormat="1" ht="12.95" customHeight="1">
      <c r="B1" s="460" t="s">
        <v>2706</v>
      </c>
      <c r="C1" s="3341" t="s">
        <v>8269</v>
      </c>
      <c r="D1" s="3341"/>
      <c r="E1" s="3341"/>
      <c r="F1" s="3341"/>
      <c r="G1" s="3341"/>
      <c r="H1" s="3341"/>
      <c r="I1" s="877"/>
      <c r="J1" s="877"/>
      <c r="K1" s="877"/>
      <c r="L1" s="877"/>
      <c r="M1" s="877"/>
      <c r="N1" s="877"/>
      <c r="O1" s="877"/>
      <c r="Q1" s="878"/>
      <c r="R1" s="878"/>
      <c r="S1" s="878"/>
    </row>
    <row r="2" spans="1:19" s="876" customFormat="1" ht="5.0999999999999996" customHeight="1">
      <c r="C2" s="879"/>
      <c r="D2" s="879"/>
      <c r="E2" s="880"/>
      <c r="F2" s="878"/>
      <c r="G2" s="878"/>
      <c r="H2" s="878"/>
      <c r="I2" s="878"/>
      <c r="J2" s="878"/>
      <c r="K2" s="878"/>
      <c r="L2" s="878"/>
      <c r="M2" s="878"/>
      <c r="N2" s="878"/>
      <c r="O2" s="878"/>
      <c r="Q2" s="878"/>
      <c r="R2" s="878"/>
      <c r="S2" s="878"/>
    </row>
    <row r="3" spans="1:19" s="876" customFormat="1" ht="12.95" customHeight="1">
      <c r="B3" s="3266" t="s">
        <v>4376</v>
      </c>
      <c r="C3" s="3266"/>
      <c r="D3" s="3266"/>
      <c r="E3" s="3266"/>
      <c r="F3" s="3266"/>
      <c r="G3" s="3266"/>
      <c r="H3" s="3266"/>
      <c r="I3" s="377"/>
      <c r="J3" s="377"/>
      <c r="K3" s="377"/>
      <c r="L3" s="377"/>
      <c r="M3" s="377"/>
      <c r="N3" s="377"/>
      <c r="O3" s="377"/>
      <c r="Q3" s="878"/>
      <c r="R3" s="878"/>
      <c r="S3" s="878"/>
    </row>
    <row r="4" spans="1:19" ht="5.0999999999999996" customHeight="1">
      <c r="A4" s="858"/>
    </row>
    <row r="5" spans="1:19" ht="65.099999999999994" customHeight="1">
      <c r="A5" s="881"/>
      <c r="B5" s="3594" t="s">
        <v>9151</v>
      </c>
      <c r="C5" s="3594"/>
      <c r="D5" s="3594"/>
      <c r="E5" s="3594"/>
      <c r="F5" s="3594"/>
      <c r="G5" s="3594"/>
      <c r="H5" s="3594"/>
    </row>
    <row r="6" spans="1:19" ht="5.0999999999999996" customHeight="1">
      <c r="A6" s="858"/>
    </row>
    <row r="7" spans="1:19" ht="12.95" customHeight="1" thickBot="1">
      <c r="A7" s="858"/>
      <c r="B7" s="3266" t="s">
        <v>4377</v>
      </c>
      <c r="C7" s="3266"/>
      <c r="D7" s="3266"/>
      <c r="E7" s="3266"/>
      <c r="F7" s="3266"/>
      <c r="G7" s="3266"/>
    </row>
    <row r="8" spans="1:19" ht="12.95" customHeight="1">
      <c r="A8" s="858"/>
      <c r="B8" s="882" t="s">
        <v>4378</v>
      </c>
      <c r="C8" s="2987" t="s">
        <v>9152</v>
      </c>
      <c r="D8" s="2987"/>
      <c r="E8" s="2987"/>
      <c r="F8" s="2987"/>
      <c r="G8" s="2987"/>
    </row>
    <row r="9" spans="1:19" ht="12.95" customHeight="1">
      <c r="A9" s="858"/>
      <c r="B9" s="886" t="s">
        <v>4379</v>
      </c>
      <c r="C9" s="2987"/>
      <c r="D9" s="2987"/>
      <c r="E9" s="2987"/>
      <c r="F9" s="2987"/>
      <c r="G9" s="2987"/>
    </row>
    <row r="10" spans="1:19" ht="12.95" customHeight="1">
      <c r="A10" s="858"/>
      <c r="B10" s="883" t="s">
        <v>4380</v>
      </c>
      <c r="C10" s="2987"/>
      <c r="D10" s="2987"/>
      <c r="E10" s="2987"/>
      <c r="F10" s="2987"/>
      <c r="G10" s="2987"/>
    </row>
    <row r="11" spans="1:19" ht="12.95" customHeight="1" thickBot="1">
      <c r="A11" s="858"/>
      <c r="B11" s="887" t="s">
        <v>4381</v>
      </c>
      <c r="C11" s="2987"/>
      <c r="D11" s="2987"/>
      <c r="E11" s="2987"/>
      <c r="F11" s="2987"/>
      <c r="G11" s="2987"/>
    </row>
    <row r="12" spans="1:19" ht="26.1" customHeight="1">
      <c r="A12" s="858"/>
      <c r="C12" s="2987"/>
      <c r="D12" s="2987"/>
      <c r="E12" s="2987"/>
      <c r="F12" s="2987"/>
      <c r="G12" s="2987"/>
    </row>
    <row r="13" spans="1:19" ht="12.95" customHeight="1">
      <c r="A13" s="858"/>
      <c r="C13" s="3264" t="s">
        <v>9153</v>
      </c>
      <c r="D13" s="3772"/>
      <c r="E13" s="3772"/>
      <c r="F13" s="3772"/>
      <c r="G13" s="3772"/>
    </row>
    <row r="14" spans="1:19" ht="39" customHeight="1" thickBot="1">
      <c r="A14" s="858"/>
      <c r="C14" s="2984" t="s">
        <v>9154</v>
      </c>
      <c r="D14" s="3253"/>
      <c r="E14" s="3253"/>
      <c r="F14" s="3253"/>
      <c r="G14" s="3253"/>
    </row>
    <row r="15" spans="1:19" ht="12.95" customHeight="1" thickBot="1">
      <c r="A15" s="858"/>
      <c r="C15" s="3002" t="s">
        <v>4382</v>
      </c>
      <c r="D15" s="3278"/>
      <c r="E15" s="3278" t="s">
        <v>4384</v>
      </c>
      <c r="F15" s="3003"/>
      <c r="G15" s="721"/>
    </row>
    <row r="16" spans="1:19" ht="12.95" customHeight="1">
      <c r="A16" s="858"/>
      <c r="C16" s="3773" t="s">
        <v>960</v>
      </c>
      <c r="D16" s="3774"/>
      <c r="E16" s="3781">
        <v>0.05</v>
      </c>
      <c r="F16" s="3033"/>
      <c r="G16" s="721"/>
    </row>
    <row r="17" spans="1:8" ht="12.95" customHeight="1">
      <c r="A17" s="858"/>
      <c r="C17" s="3775" t="s">
        <v>4383</v>
      </c>
      <c r="D17" s="3776"/>
      <c r="E17" s="3782">
        <v>0.1</v>
      </c>
      <c r="F17" s="3031"/>
      <c r="G17" s="721"/>
    </row>
    <row r="18" spans="1:8" ht="12.95" customHeight="1">
      <c r="A18" s="858"/>
      <c r="C18" s="3777" t="s">
        <v>911</v>
      </c>
      <c r="D18" s="3778"/>
      <c r="E18" s="3783">
        <v>0.25</v>
      </c>
      <c r="F18" s="3029"/>
      <c r="G18" s="721"/>
    </row>
    <row r="19" spans="1:8" ht="12.95" customHeight="1" thickBot="1">
      <c r="A19" s="858"/>
      <c r="C19" s="3779" t="s">
        <v>5848</v>
      </c>
      <c r="D19" s="3780"/>
      <c r="E19" s="3784">
        <v>0.5</v>
      </c>
      <c r="F19" s="3017"/>
      <c r="G19" s="721"/>
    </row>
    <row r="20" spans="1:8" ht="5.0999999999999996" customHeight="1">
      <c r="A20" s="858"/>
      <c r="C20" s="723"/>
      <c r="D20" s="723"/>
      <c r="E20" s="859"/>
      <c r="F20" s="860"/>
      <c r="G20" s="721"/>
    </row>
    <row r="21" spans="1:8" ht="26.1" customHeight="1" thickBot="1">
      <c r="A21" s="858"/>
      <c r="C21" s="2984" t="s">
        <v>9155</v>
      </c>
      <c r="D21" s="3253"/>
      <c r="E21" s="3253"/>
      <c r="F21" s="3253"/>
      <c r="G21" s="3253"/>
    </row>
    <row r="22" spans="1:8" ht="12.95" customHeight="1" thickBot="1">
      <c r="A22" s="858"/>
      <c r="C22" s="3002" t="s">
        <v>4385</v>
      </c>
      <c r="D22" s="3278"/>
      <c r="E22" s="3278" t="s">
        <v>1277</v>
      </c>
      <c r="F22" s="3003"/>
    </row>
    <row r="23" spans="1:8" ht="12.95" customHeight="1">
      <c r="A23" s="858"/>
      <c r="C23" s="3032">
        <v>0</v>
      </c>
      <c r="D23" s="3787"/>
      <c r="E23" s="3781">
        <v>0.1</v>
      </c>
      <c r="F23" s="3033"/>
    </row>
    <row r="24" spans="1:8" ht="12.95" customHeight="1">
      <c r="A24" s="858"/>
      <c r="C24" s="3030">
        <v>1</v>
      </c>
      <c r="D24" s="3274"/>
      <c r="E24" s="3782">
        <v>0.6</v>
      </c>
      <c r="F24" s="3031"/>
    </row>
    <row r="25" spans="1:8" ht="12.95" customHeight="1" thickBot="1">
      <c r="A25" s="858"/>
      <c r="C25" s="3296">
        <v>2</v>
      </c>
      <c r="D25" s="3285"/>
      <c r="E25" s="3785">
        <v>0.3</v>
      </c>
      <c r="F25" s="3297"/>
    </row>
    <row r="26" spans="1:8" ht="5.0999999999999996" customHeight="1">
      <c r="A26" s="858"/>
      <c r="C26" s="860"/>
      <c r="D26" s="860"/>
      <c r="E26" s="859"/>
      <c r="F26" s="860"/>
      <c r="G26" s="885"/>
    </row>
    <row r="27" spans="1:8" ht="51.95" customHeight="1" thickBot="1">
      <c r="A27" s="858"/>
      <c r="C27" s="2987" t="s">
        <v>9156</v>
      </c>
      <c r="D27" s="3786"/>
      <c r="E27" s="3786"/>
      <c r="F27" s="3786"/>
      <c r="G27" s="3786"/>
    </row>
    <row r="28" spans="1:8" ht="12.95" customHeight="1">
      <c r="A28" s="858"/>
      <c r="B28" s="3788" t="s">
        <v>562</v>
      </c>
      <c r="C28" s="3313" t="s">
        <v>4384</v>
      </c>
      <c r="D28" s="3314"/>
      <c r="E28" s="3314"/>
      <c r="F28" s="3315"/>
      <c r="G28" s="3792" t="s">
        <v>4385</v>
      </c>
      <c r="H28" s="3793"/>
    </row>
    <row r="29" spans="1:8" ht="12.95" customHeight="1" thickBot="1">
      <c r="A29" s="858"/>
      <c r="B29" s="3789"/>
      <c r="C29" s="892" t="s">
        <v>4386</v>
      </c>
      <c r="D29" s="893" t="s">
        <v>4387</v>
      </c>
      <c r="E29" s="894" t="s">
        <v>911</v>
      </c>
      <c r="F29" s="895" t="s">
        <v>4388</v>
      </c>
      <c r="G29" s="584">
        <v>1</v>
      </c>
      <c r="H29" s="586">
        <v>2</v>
      </c>
    </row>
    <row r="30" spans="1:8" ht="12.95" customHeight="1">
      <c r="A30" s="858"/>
      <c r="B30" s="861" t="s">
        <v>3715</v>
      </c>
      <c r="C30" s="862">
        <v>7.0000000000000007E-2</v>
      </c>
      <c r="D30" s="863">
        <v>0.15</v>
      </c>
      <c r="E30" s="863">
        <v>0.3</v>
      </c>
      <c r="F30" s="864">
        <v>0.6</v>
      </c>
      <c r="G30" s="865">
        <v>0.5</v>
      </c>
      <c r="H30" s="866">
        <v>0.5</v>
      </c>
    </row>
    <row r="31" spans="1:8" ht="12.95" customHeight="1">
      <c r="A31" s="858"/>
      <c r="B31" s="115" t="s">
        <v>3716</v>
      </c>
      <c r="C31" s="888">
        <v>7.0000000000000007E-2</v>
      </c>
      <c r="D31" s="722">
        <v>0.15</v>
      </c>
      <c r="E31" s="722">
        <v>0.3</v>
      </c>
      <c r="F31" s="889">
        <v>0.6</v>
      </c>
      <c r="G31" s="890">
        <v>0.5</v>
      </c>
      <c r="H31" s="891">
        <v>0.5</v>
      </c>
    </row>
    <row r="32" spans="1:8" ht="12.95" customHeight="1" thickBot="1">
      <c r="A32" s="858"/>
      <c r="B32" s="867" t="s">
        <v>3717</v>
      </c>
      <c r="C32" s="868">
        <v>0.1</v>
      </c>
      <c r="D32" s="869">
        <v>0.2</v>
      </c>
      <c r="E32" s="869">
        <v>0.4</v>
      </c>
      <c r="F32" s="870">
        <v>0.75</v>
      </c>
      <c r="G32" s="871">
        <v>0</v>
      </c>
      <c r="H32" s="872">
        <v>1</v>
      </c>
    </row>
    <row r="33" spans="1:8" ht="5.0999999999999996" customHeight="1">
      <c r="A33" s="858"/>
      <c r="B33" s="420"/>
      <c r="C33" s="859"/>
      <c r="D33" s="859"/>
      <c r="E33" s="859"/>
      <c r="F33" s="859"/>
      <c r="G33" s="873"/>
      <c r="H33" s="873"/>
    </row>
    <row r="34" spans="1:8" ht="26.1" customHeight="1">
      <c r="A34" s="858"/>
      <c r="C34" s="2987" t="s">
        <v>9157</v>
      </c>
      <c r="D34" s="2987"/>
      <c r="E34" s="2987"/>
      <c r="F34" s="2987"/>
      <c r="G34" s="2987"/>
    </row>
    <row r="35" spans="1:8" ht="5.0999999999999996" customHeight="1">
      <c r="A35" s="858"/>
      <c r="C35" s="860"/>
      <c r="D35" s="860"/>
      <c r="E35" s="859"/>
      <c r="F35" s="860"/>
      <c r="G35" s="885"/>
    </row>
    <row r="36" spans="1:8" ht="12.95" customHeight="1" thickBot="1">
      <c r="A36" s="858"/>
      <c r="B36" s="3266" t="s">
        <v>4389</v>
      </c>
      <c r="C36" s="3266"/>
      <c r="D36" s="3266"/>
      <c r="E36" s="3266"/>
      <c r="F36" s="3266"/>
      <c r="G36" s="3266"/>
    </row>
    <row r="37" spans="1:8" ht="12.95" customHeight="1">
      <c r="A37" s="858"/>
      <c r="B37" s="882" t="s">
        <v>4378</v>
      </c>
      <c r="C37" s="2987" t="s">
        <v>9158</v>
      </c>
      <c r="D37" s="2987"/>
      <c r="E37" s="2987"/>
      <c r="F37" s="2987"/>
      <c r="G37" s="2987"/>
    </row>
    <row r="38" spans="1:8" ht="12.95" customHeight="1">
      <c r="A38" s="858"/>
      <c r="B38" s="886" t="s">
        <v>4379</v>
      </c>
      <c r="C38" s="2987"/>
      <c r="D38" s="2987"/>
      <c r="E38" s="2987"/>
      <c r="F38" s="2987"/>
      <c r="G38" s="2987"/>
    </row>
    <row r="39" spans="1:8" ht="12.95" customHeight="1">
      <c r="A39" s="858"/>
      <c r="B39" s="883" t="s">
        <v>4390</v>
      </c>
      <c r="C39" s="2987"/>
      <c r="D39" s="2987"/>
      <c r="E39" s="2987"/>
      <c r="F39" s="2987"/>
      <c r="G39" s="2987"/>
    </row>
    <row r="40" spans="1:8" ht="12.95" customHeight="1" thickBot="1">
      <c r="A40" s="858"/>
      <c r="B40" s="887" t="s">
        <v>4394</v>
      </c>
      <c r="C40" s="2987"/>
      <c r="D40" s="2987"/>
      <c r="E40" s="2987"/>
      <c r="F40" s="2987"/>
      <c r="G40" s="2987"/>
    </row>
    <row r="41" spans="1:8" s="885" customFormat="1" ht="39" customHeight="1">
      <c r="A41" s="858"/>
      <c r="B41" s="3790" t="s">
        <v>9164</v>
      </c>
      <c r="C41" s="2987"/>
      <c r="D41" s="2987"/>
      <c r="E41" s="2987"/>
      <c r="F41" s="2987"/>
      <c r="G41" s="2987"/>
    </row>
    <row r="42" spans="1:8" s="875" customFormat="1" ht="12.95" customHeight="1">
      <c r="A42" s="874"/>
      <c r="B42" s="3790"/>
      <c r="C42" s="2987"/>
      <c r="D42" s="2987"/>
      <c r="E42" s="2987"/>
      <c r="F42" s="2987"/>
      <c r="G42" s="2987"/>
    </row>
    <row r="43" spans="1:8" s="875" customFormat="1" ht="12.95" customHeight="1">
      <c r="A43" s="874"/>
      <c r="B43" s="3790"/>
      <c r="C43" s="2987" t="s">
        <v>9159</v>
      </c>
      <c r="D43" s="2987"/>
      <c r="E43" s="2987"/>
      <c r="F43" s="2987"/>
      <c r="G43" s="2987"/>
    </row>
    <row r="44" spans="1:8" s="875" customFormat="1" ht="39" customHeight="1">
      <c r="A44" s="874"/>
      <c r="B44" s="3790"/>
      <c r="C44" s="2987" t="s">
        <v>9160</v>
      </c>
      <c r="D44" s="2987"/>
      <c r="E44" s="2987"/>
      <c r="F44" s="2987"/>
      <c r="G44" s="2987"/>
    </row>
    <row r="45" spans="1:8" s="875" customFormat="1" ht="12.95" customHeight="1">
      <c r="A45" s="874"/>
      <c r="B45" s="3790"/>
      <c r="C45" s="2987" t="s">
        <v>9161</v>
      </c>
      <c r="D45" s="2987"/>
      <c r="E45" s="2987"/>
      <c r="F45" s="2987"/>
      <c r="G45" s="2987"/>
    </row>
    <row r="46" spans="1:8" s="875" customFormat="1" ht="12.95" customHeight="1">
      <c r="A46" s="874"/>
      <c r="B46" s="3790"/>
      <c r="C46" s="3791" t="s">
        <v>5849</v>
      </c>
      <c r="D46" s="3791"/>
      <c r="E46" s="3791"/>
      <c r="F46" s="3791"/>
      <c r="G46" s="3791"/>
    </row>
    <row r="47" spans="1:8" s="875" customFormat="1" ht="12.95" customHeight="1">
      <c r="A47" s="874"/>
      <c r="B47" s="3790"/>
      <c r="C47" s="2987" t="s">
        <v>9162</v>
      </c>
      <c r="D47" s="2987"/>
      <c r="E47" s="2987"/>
      <c r="F47" s="2987"/>
      <c r="G47" s="2987"/>
    </row>
    <row r="48" spans="1:8" s="875" customFormat="1" ht="12.95" customHeight="1">
      <c r="A48" s="874"/>
      <c r="B48" s="3790"/>
      <c r="C48" s="2987" t="s">
        <v>9163</v>
      </c>
      <c r="D48" s="2987"/>
      <c r="E48" s="2987"/>
      <c r="F48" s="2987"/>
      <c r="G48" s="2987"/>
    </row>
    <row r="49" spans="1:7" ht="26.1" customHeight="1">
      <c r="A49" s="858"/>
      <c r="B49" s="3790"/>
      <c r="C49" s="2984" t="s">
        <v>9165</v>
      </c>
      <c r="D49" s="3253"/>
      <c r="E49" s="3253"/>
      <c r="F49" s="3253"/>
      <c r="G49" s="3253"/>
    </row>
    <row r="50" spans="1:7" ht="26.1" customHeight="1">
      <c r="A50" s="858"/>
      <c r="B50" s="3790"/>
      <c r="C50" s="2984" t="s">
        <v>9166</v>
      </c>
      <c r="D50" s="3253"/>
      <c r="E50" s="3253"/>
      <c r="F50" s="3253"/>
      <c r="G50" s="3253"/>
    </row>
    <row r="51" spans="1:7" ht="12.95" customHeight="1">
      <c r="A51" s="858"/>
      <c r="B51" s="3790"/>
      <c r="C51" s="2984" t="s">
        <v>9167</v>
      </c>
      <c r="D51" s="3253"/>
      <c r="E51" s="3253"/>
      <c r="F51" s="3253"/>
      <c r="G51" s="3253"/>
    </row>
    <row r="52" spans="1:7" ht="12.95" customHeight="1">
      <c r="A52" s="858"/>
      <c r="B52" s="3790"/>
      <c r="C52" s="2984" t="s">
        <v>9168</v>
      </c>
      <c r="D52" s="3253"/>
      <c r="E52" s="3253"/>
      <c r="F52" s="3253"/>
      <c r="G52" s="3253"/>
    </row>
    <row r="53" spans="1:7" ht="12.95" customHeight="1">
      <c r="A53" s="858"/>
      <c r="B53" s="3790"/>
      <c r="C53" s="2984" t="s">
        <v>9169</v>
      </c>
      <c r="D53" s="3253"/>
      <c r="E53" s="3253"/>
      <c r="F53" s="3253"/>
      <c r="G53" s="3253"/>
    </row>
    <row r="54" spans="1:7" s="875" customFormat="1" ht="26.1" customHeight="1">
      <c r="A54" s="874"/>
      <c r="B54" s="3790"/>
      <c r="C54" s="3794" t="s">
        <v>10107</v>
      </c>
      <c r="D54" s="3794"/>
      <c r="E54" s="3794"/>
      <c r="F54" s="3794"/>
      <c r="G54" s="3794"/>
    </row>
    <row r="55" spans="1:7" ht="5.0999999999999996" customHeight="1">
      <c r="A55" s="858"/>
      <c r="C55" s="720"/>
      <c r="D55" s="721"/>
      <c r="E55" s="721"/>
      <c r="F55" s="721"/>
      <c r="G55" s="721"/>
    </row>
    <row r="56" spans="1:7" ht="12.95" customHeight="1" thickBot="1">
      <c r="A56" s="858"/>
      <c r="B56" s="3266" t="s">
        <v>4391</v>
      </c>
      <c r="C56" s="3266"/>
      <c r="D56" s="3266"/>
      <c r="E56" s="3266"/>
      <c r="F56" s="3266"/>
      <c r="G56" s="3266"/>
    </row>
    <row r="57" spans="1:7" ht="12.95" customHeight="1">
      <c r="A57" s="858"/>
      <c r="B57" s="882" t="s">
        <v>4392</v>
      </c>
      <c r="C57" s="2987" t="s">
        <v>9170</v>
      </c>
      <c r="D57" s="2987"/>
      <c r="E57" s="2987"/>
      <c r="F57" s="2987"/>
      <c r="G57" s="2987"/>
    </row>
    <row r="58" spans="1:7" ht="12.95" customHeight="1" thickBot="1">
      <c r="A58" s="858"/>
      <c r="B58" s="887" t="s">
        <v>4395</v>
      </c>
      <c r="C58" s="2987"/>
      <c r="D58" s="2987"/>
      <c r="E58" s="2987"/>
      <c r="F58" s="2987"/>
      <c r="G58" s="2987"/>
    </row>
    <row r="59" spans="1:7" ht="12.95" customHeight="1">
      <c r="A59" s="858"/>
      <c r="B59" s="419"/>
      <c r="C59" s="2987"/>
      <c r="D59" s="2987"/>
      <c r="E59" s="2987"/>
      <c r="F59" s="2987"/>
      <c r="G59" s="2987"/>
    </row>
    <row r="60" spans="1:7" s="885" customFormat="1" ht="26.1" customHeight="1">
      <c r="A60" s="858"/>
      <c r="B60" s="419"/>
      <c r="C60" s="2987"/>
      <c r="D60" s="2987"/>
      <c r="E60" s="2987"/>
      <c r="F60" s="2987"/>
      <c r="G60" s="2987"/>
    </row>
    <row r="61" spans="1:7" s="875" customFormat="1" ht="12.95" customHeight="1">
      <c r="A61" s="874"/>
      <c r="B61" s="734"/>
      <c r="C61" s="2987"/>
      <c r="D61" s="2987"/>
      <c r="E61" s="2987"/>
      <c r="F61" s="2987"/>
      <c r="G61" s="2987"/>
    </row>
    <row r="62" spans="1:7" ht="39" customHeight="1">
      <c r="A62" s="858"/>
      <c r="C62" s="2984" t="s">
        <v>9171</v>
      </c>
      <c r="D62" s="3253"/>
      <c r="E62" s="3253"/>
      <c r="F62" s="3253"/>
      <c r="G62" s="3253"/>
    </row>
    <row r="63" spans="1:7" ht="26.1" customHeight="1">
      <c r="A63" s="858"/>
      <c r="C63" s="2984" t="s">
        <v>9172</v>
      </c>
      <c r="D63" s="3253"/>
      <c r="E63" s="3253"/>
      <c r="F63" s="3253"/>
      <c r="G63" s="3253"/>
    </row>
    <row r="64" spans="1:7" ht="12.95" customHeight="1">
      <c r="A64" s="858"/>
      <c r="C64" s="2984" t="s">
        <v>9173</v>
      </c>
      <c r="D64" s="3253"/>
      <c r="E64" s="3253"/>
      <c r="F64" s="3253"/>
      <c r="G64" s="3253"/>
    </row>
    <row r="65" spans="1:7" ht="12.95" customHeight="1">
      <c r="A65" s="858"/>
      <c r="C65" s="2984" t="s">
        <v>9174</v>
      </c>
      <c r="D65" s="3253"/>
      <c r="E65" s="3253"/>
      <c r="F65" s="3253"/>
      <c r="G65" s="3253"/>
    </row>
    <row r="66" spans="1:7" ht="5.0999999999999996" customHeight="1">
      <c r="A66" s="858"/>
      <c r="C66" s="720"/>
      <c r="D66" s="721"/>
      <c r="E66" s="721"/>
      <c r="F66" s="721"/>
      <c r="G66" s="721"/>
    </row>
    <row r="67" spans="1:7" ht="12.95" customHeight="1" thickBot="1">
      <c r="A67" s="858"/>
      <c r="B67" s="3266" t="s">
        <v>4393</v>
      </c>
      <c r="C67" s="3266"/>
      <c r="D67" s="3266"/>
      <c r="E67" s="3266"/>
      <c r="F67" s="3266"/>
      <c r="G67" s="3266"/>
    </row>
    <row r="68" spans="1:7" ht="12.95" customHeight="1">
      <c r="A68" s="858"/>
      <c r="B68" s="882" t="s">
        <v>4396</v>
      </c>
      <c r="C68" s="2987" t="s">
        <v>9175</v>
      </c>
      <c r="D68" s="2987"/>
      <c r="E68" s="2987"/>
      <c r="F68" s="2987"/>
      <c r="G68" s="2987"/>
    </row>
    <row r="69" spans="1:7" ht="12.95" customHeight="1">
      <c r="A69" s="858"/>
      <c r="B69" s="886" t="s">
        <v>4397</v>
      </c>
      <c r="C69" s="2987"/>
      <c r="D69" s="2987"/>
      <c r="E69" s="2987"/>
      <c r="F69" s="2987"/>
      <c r="G69" s="2987"/>
    </row>
    <row r="70" spans="1:7" ht="12.95" customHeight="1" thickBot="1">
      <c r="A70" s="858"/>
      <c r="B70" s="884" t="s">
        <v>4398</v>
      </c>
      <c r="C70" s="2987"/>
      <c r="D70" s="2987"/>
      <c r="E70" s="2987"/>
      <c r="F70" s="2987"/>
      <c r="G70" s="2987"/>
    </row>
    <row r="71" spans="1:7" ht="12.95" customHeight="1">
      <c r="A71" s="858"/>
      <c r="C71" s="2987"/>
      <c r="D71" s="2987"/>
      <c r="E71" s="2987"/>
      <c r="F71" s="2987"/>
      <c r="G71" s="2987"/>
    </row>
    <row r="72" spans="1:7" ht="12.95" customHeight="1">
      <c r="C72" s="2987"/>
      <c r="D72" s="2987"/>
      <c r="E72" s="2987"/>
      <c r="F72" s="2987"/>
      <c r="G72" s="2987"/>
    </row>
    <row r="73" spans="1:7" ht="12.95" customHeight="1">
      <c r="C73" s="2984" t="s">
        <v>9176</v>
      </c>
      <c r="D73" s="2984"/>
      <c r="E73" s="2984"/>
      <c r="F73" s="2984"/>
      <c r="G73" s="2984"/>
    </row>
    <row r="74" spans="1:7" ht="12.95" customHeight="1">
      <c r="C74" s="2984"/>
      <c r="D74" s="2984"/>
      <c r="E74" s="2984"/>
      <c r="F74" s="2984"/>
      <c r="G74" s="2984"/>
    </row>
  </sheetData>
  <sheetProtection autoFilter="0"/>
  <mergeCells count="55">
    <mergeCell ref="C68:G72"/>
    <mergeCell ref="C73:G74"/>
    <mergeCell ref="C1:H1"/>
    <mergeCell ref="C62:G62"/>
    <mergeCell ref="C63:G63"/>
    <mergeCell ref="C64:G64"/>
    <mergeCell ref="C65:G65"/>
    <mergeCell ref="C54:G54"/>
    <mergeCell ref="C57:G61"/>
    <mergeCell ref="C48:G48"/>
    <mergeCell ref="C49:G49"/>
    <mergeCell ref="C50:G50"/>
    <mergeCell ref="C51:G51"/>
    <mergeCell ref="C52:G52"/>
    <mergeCell ref="C43:G43"/>
    <mergeCell ref="C44:G44"/>
    <mergeCell ref="B28:B29"/>
    <mergeCell ref="C34:G34"/>
    <mergeCell ref="C37:G42"/>
    <mergeCell ref="B36:G36"/>
    <mergeCell ref="B41:B54"/>
    <mergeCell ref="C45:G45"/>
    <mergeCell ref="C46:G46"/>
    <mergeCell ref="C47:G47"/>
    <mergeCell ref="C28:F28"/>
    <mergeCell ref="G28:H28"/>
    <mergeCell ref="C53:G53"/>
    <mergeCell ref="C27:G27"/>
    <mergeCell ref="C22:D22"/>
    <mergeCell ref="E22:F22"/>
    <mergeCell ref="C23:D23"/>
    <mergeCell ref="E23:F23"/>
    <mergeCell ref="C24:D24"/>
    <mergeCell ref="E24:F24"/>
    <mergeCell ref="E17:F17"/>
    <mergeCell ref="E18:F18"/>
    <mergeCell ref="E19:F19"/>
    <mergeCell ref="C25:D25"/>
    <mergeCell ref="E25:F25"/>
    <mergeCell ref="B56:G56"/>
    <mergeCell ref="B67:G67"/>
    <mergeCell ref="B3:H3"/>
    <mergeCell ref="B5:H5"/>
    <mergeCell ref="C8:G12"/>
    <mergeCell ref="C13:G13"/>
    <mergeCell ref="C14:G14"/>
    <mergeCell ref="B7:G7"/>
    <mergeCell ref="C21:G21"/>
    <mergeCell ref="C15:D15"/>
    <mergeCell ref="C16:D16"/>
    <mergeCell ref="C17:D17"/>
    <mergeCell ref="C18:D18"/>
    <mergeCell ref="C19:D19"/>
    <mergeCell ref="E15:F15"/>
    <mergeCell ref="E16:F16"/>
  </mergeCells>
  <phoneticPr fontId="9" type="noConversion"/>
  <hyperlinks>
    <hyperlink ref="B1" location="Index!A1" display="Назад"/>
    <hyperlink ref="C54:G54" location="'7.4.1'!A1" display="     Баллиста не участвует при защите города. Вместо этого навык Артиллерии позволяет игроку управлять огнём Стрелковых башен (&gt;&gt;подробнее см.в разделе 7.4.1)."/>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2" manualBreakCount="2">
    <brk id="27" max="7" man="1"/>
    <brk id="54" max="7" man="1"/>
  </rowBreaks>
  <drawing r:id="rId2"/>
</worksheet>
</file>

<file path=xl/worksheets/sheet63.xml><?xml version="1.0" encoding="utf-8"?>
<worksheet xmlns="http://schemas.openxmlformats.org/spreadsheetml/2006/main" xmlns:r="http://schemas.openxmlformats.org/officeDocument/2006/relationships">
  <dimension ref="B1:T100"/>
  <sheetViews>
    <sheetView zoomScaleNormal="100" workbookViewId="0">
      <pane ySplit="5" topLeftCell="A6" activePane="bottomLeft" state="frozen"/>
      <selection pane="bottomLeft"/>
    </sheetView>
  </sheetViews>
  <sheetFormatPr defaultRowHeight="12.95" customHeight="1"/>
  <cols>
    <col min="1" max="1" width="3.7109375" style="288" customWidth="1"/>
    <col min="2" max="2" width="10.28515625" style="288" bestFit="1" customWidth="1"/>
    <col min="3" max="3" width="9.7109375" style="288" bestFit="1" customWidth="1"/>
    <col min="4" max="4" width="8" style="1412" bestFit="1" customWidth="1"/>
    <col min="5" max="5" width="9.5703125" style="288" bestFit="1" customWidth="1"/>
    <col min="6" max="6" width="2.7109375" style="288" customWidth="1"/>
    <col min="7" max="7" width="10.7109375" style="288" customWidth="1"/>
    <col min="8" max="8" width="13.140625" style="288" customWidth="1"/>
    <col min="9" max="9" width="8" style="1412" bestFit="1" customWidth="1"/>
    <col min="10" max="10" width="7.28515625" style="288" bestFit="1" customWidth="1"/>
    <col min="11" max="11" width="2.7109375" style="288" customWidth="1"/>
    <col min="12" max="12" width="10.7109375" style="288" customWidth="1"/>
    <col min="13" max="13" width="12.140625" style="288" customWidth="1"/>
    <col min="14" max="14" width="8.28515625" style="1412" bestFit="1" customWidth="1"/>
    <col min="15" max="15" width="7.28515625" style="288" bestFit="1" customWidth="1"/>
    <col min="16" max="16384" width="9.140625" style="288"/>
  </cols>
  <sheetData>
    <row r="1" spans="2:15" ht="12.95" customHeight="1">
      <c r="B1" s="1696" t="s">
        <v>2706</v>
      </c>
      <c r="C1" s="3265" t="s">
        <v>8269</v>
      </c>
      <c r="D1" s="3265"/>
      <c r="E1" s="3265"/>
      <c r="F1" s="3265"/>
      <c r="G1" s="3265"/>
      <c r="H1" s="3265"/>
      <c r="I1" s="3265"/>
      <c r="J1" s="3265"/>
      <c r="K1" s="3265"/>
      <c r="L1" s="3265"/>
      <c r="M1" s="3265"/>
      <c r="N1" s="3265"/>
      <c r="O1" s="3265"/>
    </row>
    <row r="2" spans="2:15" ht="5.0999999999999996" customHeight="1"/>
    <row r="3" spans="2:15" ht="12.95" customHeight="1">
      <c r="B3" s="3075" t="s">
        <v>6130</v>
      </c>
      <c r="C3" s="3075"/>
      <c r="D3" s="3075"/>
      <c r="E3" s="3075"/>
      <c r="F3" s="3075"/>
      <c r="G3" s="3075"/>
      <c r="H3" s="3075"/>
      <c r="I3" s="3075"/>
      <c r="J3" s="3075"/>
      <c r="K3" s="3075"/>
      <c r="L3" s="3075"/>
      <c r="M3" s="3075"/>
      <c r="N3" s="3075"/>
      <c r="O3" s="3075"/>
    </row>
    <row r="4" spans="2:15" s="641" customFormat="1" ht="11.25">
      <c r="B4" s="3463" t="s">
        <v>6175</v>
      </c>
      <c r="C4" s="3463"/>
      <c r="D4" s="3463"/>
      <c r="E4" s="3463"/>
      <c r="F4" s="3463"/>
      <c r="G4" s="3463"/>
      <c r="H4" s="3463"/>
      <c r="I4" s="3463"/>
      <c r="J4" s="3463"/>
      <c r="K4" s="3463"/>
      <c r="L4" s="3463"/>
      <c r="M4" s="3463"/>
      <c r="N4" s="3463"/>
      <c r="O4" s="3463"/>
    </row>
    <row r="5" spans="2:15" ht="5.0999999999999996" customHeight="1"/>
    <row r="6" spans="2:15" ht="12.95" customHeight="1">
      <c r="C6" s="2960" t="s">
        <v>9185</v>
      </c>
      <c r="D6" s="2960"/>
      <c r="E6" s="2960"/>
      <c r="F6" s="2960"/>
      <c r="G6" s="2960"/>
      <c r="H6" s="2960"/>
      <c r="I6" s="2960"/>
      <c r="J6" s="2960"/>
      <c r="K6" s="2960"/>
      <c r="L6" s="2960"/>
      <c r="M6" s="2960"/>
      <c r="N6" s="2960"/>
      <c r="O6" s="2960"/>
    </row>
    <row r="7" spans="2:15" ht="12.95" customHeight="1">
      <c r="C7" s="2960" t="s">
        <v>9184</v>
      </c>
      <c r="D7" s="2960"/>
      <c r="E7" s="2960"/>
      <c r="F7" s="2960"/>
      <c r="G7" s="2960"/>
      <c r="H7" s="2960"/>
      <c r="I7" s="2960"/>
      <c r="J7" s="2960"/>
      <c r="K7" s="2960"/>
      <c r="L7" s="2960"/>
      <c r="M7" s="2960"/>
      <c r="N7" s="2960"/>
      <c r="O7" s="2960"/>
    </row>
    <row r="8" spans="2:15" s="1030" customFormat="1" ht="12.95" customHeight="1">
      <c r="C8" s="3250" t="s">
        <v>9186</v>
      </c>
      <c r="D8" s="3250"/>
      <c r="E8" s="3250"/>
      <c r="F8" s="3250"/>
      <c r="G8" s="3250"/>
      <c r="H8" s="3250"/>
      <c r="I8" s="3250"/>
      <c r="J8" s="3250"/>
      <c r="K8" s="3250"/>
      <c r="L8" s="3250"/>
      <c r="M8" s="3250"/>
      <c r="N8" s="3250"/>
      <c r="O8" s="3250"/>
    </row>
    <row r="9" spans="2:15" ht="5.0999999999999996" customHeight="1"/>
    <row r="10" spans="2:15" ht="12.95" customHeight="1">
      <c r="B10" s="2960" t="s">
        <v>6131</v>
      </c>
      <c r="C10" s="2960"/>
      <c r="D10" s="2960"/>
      <c r="E10" s="2960"/>
      <c r="F10" s="2960"/>
      <c r="G10" s="2960"/>
      <c r="H10" s="2960"/>
      <c r="I10" s="2960"/>
      <c r="J10" s="2960"/>
      <c r="K10" s="2960"/>
      <c r="L10" s="2960"/>
      <c r="M10" s="2960"/>
      <c r="N10" s="2960"/>
      <c r="O10" s="2960"/>
    </row>
    <row r="11" spans="2:15" ht="12.95" customHeight="1">
      <c r="B11" s="2960" t="s">
        <v>6174</v>
      </c>
      <c r="C11" s="2960"/>
      <c r="D11" s="2960"/>
      <c r="E11" s="2960"/>
      <c r="F11" s="2960"/>
      <c r="G11" s="2960"/>
      <c r="H11" s="2960"/>
      <c r="I11" s="2960"/>
      <c r="J11" s="2960"/>
      <c r="K11" s="2960"/>
      <c r="L11" s="2960"/>
      <c r="M11" s="2960"/>
      <c r="N11" s="2960"/>
      <c r="O11" s="2960"/>
    </row>
    <row r="12" spans="2:15" ht="12.95" customHeight="1">
      <c r="B12" s="2960" t="s">
        <v>6132</v>
      </c>
      <c r="C12" s="2960"/>
      <c r="D12" s="2960"/>
      <c r="E12" s="2960"/>
      <c r="F12" s="2960"/>
      <c r="G12" s="2960"/>
      <c r="H12" s="2960"/>
      <c r="I12" s="2960"/>
      <c r="J12" s="2960"/>
      <c r="K12" s="2960"/>
      <c r="L12" s="2960"/>
      <c r="M12" s="2960"/>
      <c r="N12" s="2960"/>
      <c r="O12" s="2960"/>
    </row>
    <row r="13" spans="2:15" ht="12.95" customHeight="1">
      <c r="B13" s="1697"/>
      <c r="C13" s="2960" t="s">
        <v>6133</v>
      </c>
      <c r="D13" s="2960"/>
      <c r="E13" s="2960"/>
      <c r="F13" s="2960"/>
      <c r="G13" s="2960"/>
      <c r="H13" s="2960"/>
      <c r="I13" s="2960"/>
      <c r="J13" s="2960"/>
      <c r="K13" s="2960"/>
      <c r="L13" s="2960"/>
      <c r="M13" s="2960"/>
      <c r="N13" s="2960"/>
      <c r="O13" s="2960"/>
    </row>
    <row r="14" spans="2:15" ht="12.95" customHeight="1">
      <c r="B14" s="1697"/>
      <c r="C14" s="2960" t="s">
        <v>6134</v>
      </c>
      <c r="D14" s="2960"/>
      <c r="E14" s="2960"/>
      <c r="F14" s="2960"/>
      <c r="G14" s="2960"/>
      <c r="H14" s="2960"/>
      <c r="I14" s="2960"/>
      <c r="J14" s="2960"/>
      <c r="K14" s="2960"/>
      <c r="L14" s="2960"/>
      <c r="M14" s="2960"/>
      <c r="N14" s="2960"/>
      <c r="O14" s="2960"/>
    </row>
    <row r="15" spans="2:15" ht="12.95" customHeight="1">
      <c r="B15" s="1697"/>
      <c r="C15" s="2960" t="s">
        <v>6135</v>
      </c>
      <c r="D15" s="2960"/>
      <c r="E15" s="2960"/>
      <c r="F15" s="2960"/>
      <c r="G15" s="2960"/>
      <c r="H15" s="2960"/>
      <c r="I15" s="2960"/>
      <c r="J15" s="2960"/>
      <c r="K15" s="2960"/>
      <c r="L15" s="2960"/>
      <c r="M15" s="2960"/>
      <c r="N15" s="2960"/>
      <c r="O15" s="2960"/>
    </row>
    <row r="16" spans="2:15" ht="12.95" customHeight="1">
      <c r="B16" s="1697"/>
      <c r="C16" s="2960" t="s">
        <v>6136</v>
      </c>
      <c r="D16" s="2960"/>
      <c r="E16" s="2960"/>
      <c r="F16" s="2960"/>
      <c r="G16" s="2960"/>
      <c r="H16" s="2960"/>
      <c r="I16" s="2960"/>
      <c r="J16" s="2960"/>
      <c r="K16" s="2960"/>
      <c r="L16" s="2960"/>
      <c r="M16" s="2960"/>
      <c r="N16" s="2960"/>
      <c r="O16" s="2960"/>
    </row>
    <row r="17" spans="2:15" ht="12.95" customHeight="1">
      <c r="B17" s="1697"/>
      <c r="C17" s="2960" t="s">
        <v>6137</v>
      </c>
      <c r="D17" s="2960"/>
      <c r="E17" s="2960"/>
      <c r="F17" s="2960"/>
      <c r="G17" s="2960"/>
      <c r="H17" s="2960"/>
      <c r="I17" s="2960"/>
      <c r="J17" s="2960"/>
      <c r="K17" s="2960"/>
      <c r="L17" s="2960"/>
      <c r="M17" s="2960"/>
      <c r="N17" s="2960"/>
      <c r="O17" s="2960"/>
    </row>
    <row r="18" spans="2:15" ht="12.95" customHeight="1">
      <c r="B18" s="1697"/>
      <c r="C18" s="2960" t="s">
        <v>6138</v>
      </c>
      <c r="D18" s="2960"/>
      <c r="E18" s="2960"/>
      <c r="F18" s="2960"/>
      <c r="G18" s="2960"/>
      <c r="H18" s="2960"/>
      <c r="I18" s="2960"/>
      <c r="J18" s="2960"/>
      <c r="K18" s="2960"/>
      <c r="L18" s="2960"/>
      <c r="M18" s="2960"/>
      <c r="N18" s="2960"/>
      <c r="O18" s="2960"/>
    </row>
    <row r="19" spans="2:15" ht="12.95" customHeight="1">
      <c r="B19" s="1697"/>
      <c r="C19" s="2960" t="s">
        <v>6139</v>
      </c>
      <c r="D19" s="2960"/>
      <c r="E19" s="2960"/>
      <c r="F19" s="2960"/>
      <c r="G19" s="2960"/>
      <c r="H19" s="2960"/>
      <c r="I19" s="2960"/>
      <c r="J19" s="2960"/>
      <c r="K19" s="2960"/>
      <c r="L19" s="2960"/>
      <c r="M19" s="2960"/>
      <c r="N19" s="2960"/>
      <c r="O19" s="2960"/>
    </row>
    <row r="20" spans="2:15" ht="12.95" customHeight="1">
      <c r="B20" s="1697"/>
      <c r="C20" s="2960" t="s">
        <v>6140</v>
      </c>
      <c r="D20" s="2960"/>
      <c r="E20" s="2960"/>
      <c r="F20" s="2960"/>
      <c r="G20" s="2960"/>
      <c r="H20" s="2960"/>
      <c r="I20" s="2960"/>
      <c r="J20" s="2960"/>
      <c r="K20" s="2960"/>
      <c r="L20" s="2960"/>
      <c r="M20" s="2960"/>
      <c r="N20" s="2960"/>
      <c r="O20" s="2960"/>
    </row>
    <row r="21" spans="2:15" ht="12.95" customHeight="1">
      <c r="B21" s="1697"/>
      <c r="C21" s="2960" t="s">
        <v>6141</v>
      </c>
      <c r="D21" s="2960"/>
      <c r="E21" s="2960"/>
      <c r="F21" s="2960"/>
      <c r="G21" s="2960"/>
      <c r="H21" s="2960"/>
      <c r="I21" s="2960"/>
      <c r="J21" s="2960"/>
      <c r="K21" s="2960"/>
      <c r="L21" s="2960"/>
      <c r="M21" s="2960"/>
      <c r="N21" s="2960"/>
      <c r="O21" s="2960"/>
    </row>
    <row r="22" spans="2:15" ht="12.95" customHeight="1">
      <c r="B22" s="1697"/>
      <c r="C22" s="2960" t="s">
        <v>6142</v>
      </c>
      <c r="D22" s="2960"/>
      <c r="E22" s="2960"/>
      <c r="F22" s="2960"/>
      <c r="G22" s="2960"/>
      <c r="H22" s="2960"/>
      <c r="I22" s="2960"/>
      <c r="J22" s="2960"/>
      <c r="K22" s="2960"/>
      <c r="L22" s="2960"/>
      <c r="M22" s="2960"/>
      <c r="N22" s="2960"/>
      <c r="O22" s="2960"/>
    </row>
    <row r="23" spans="2:15" ht="5.0999999999999996" customHeight="1"/>
    <row r="24" spans="2:15" ht="12.95" customHeight="1">
      <c r="B24" s="2960" t="s">
        <v>9177</v>
      </c>
      <c r="C24" s="2960"/>
      <c r="D24" s="2960"/>
      <c r="E24" s="2960"/>
      <c r="F24" s="2960"/>
      <c r="G24" s="2960"/>
      <c r="H24" s="2960"/>
      <c r="I24" s="2960"/>
      <c r="J24" s="2960"/>
      <c r="K24" s="2960"/>
      <c r="L24" s="2960"/>
      <c r="M24" s="2960"/>
      <c r="N24" s="2960"/>
      <c r="O24" s="2960"/>
    </row>
    <row r="25" spans="2:15" ht="26.1" customHeight="1">
      <c r="B25" s="2960" t="s">
        <v>9178</v>
      </c>
      <c r="C25" s="2960"/>
      <c r="D25" s="2960"/>
      <c r="E25" s="2960"/>
      <c r="F25" s="2960"/>
      <c r="G25" s="2960"/>
      <c r="H25" s="2960"/>
      <c r="I25" s="2960"/>
      <c r="J25" s="2960"/>
      <c r="K25" s="2960"/>
      <c r="L25" s="2960"/>
      <c r="M25" s="2960"/>
      <c r="N25" s="2960"/>
      <c r="O25" s="2960"/>
    </row>
    <row r="26" spans="2:15" ht="12.95" customHeight="1">
      <c r="B26" s="2960" t="s">
        <v>9179</v>
      </c>
      <c r="C26" s="2960"/>
      <c r="D26" s="2960"/>
      <c r="E26" s="2960"/>
      <c r="F26" s="2960"/>
      <c r="G26" s="2960"/>
      <c r="H26" s="2960"/>
      <c r="I26" s="2960"/>
      <c r="J26" s="2960"/>
      <c r="K26" s="2960"/>
      <c r="L26" s="2960"/>
      <c r="M26" s="2960"/>
      <c r="N26" s="2960"/>
      <c r="O26" s="2960"/>
    </row>
    <row r="27" spans="2:15" ht="12.95" customHeight="1">
      <c r="B27" s="2960" t="s">
        <v>9180</v>
      </c>
      <c r="C27" s="2960"/>
      <c r="D27" s="2960"/>
      <c r="E27" s="2960"/>
      <c r="F27" s="2960"/>
      <c r="G27" s="2960"/>
      <c r="H27" s="2960"/>
      <c r="I27" s="2960"/>
      <c r="J27" s="2960"/>
      <c r="K27" s="2960"/>
      <c r="L27" s="2960"/>
      <c r="M27" s="2960"/>
      <c r="N27" s="2960"/>
      <c r="O27" s="2960"/>
    </row>
    <row r="28" spans="2:15" ht="12.95" customHeight="1">
      <c r="B28" s="2960" t="s">
        <v>9181</v>
      </c>
      <c r="C28" s="2960"/>
      <c r="D28" s="2960"/>
      <c r="E28" s="2960"/>
      <c r="F28" s="2960"/>
      <c r="G28" s="2960"/>
      <c r="H28" s="2960"/>
      <c r="I28" s="2960"/>
      <c r="J28" s="2960"/>
      <c r="K28" s="2960"/>
      <c r="L28" s="2960"/>
      <c r="M28" s="2960"/>
      <c r="N28" s="2960"/>
      <c r="O28" s="2960"/>
    </row>
    <row r="29" spans="2:15" ht="12.95" customHeight="1">
      <c r="B29" s="2960" t="s">
        <v>9182</v>
      </c>
      <c r="C29" s="2960"/>
      <c r="D29" s="2960"/>
      <c r="E29" s="2960"/>
      <c r="F29" s="2960"/>
      <c r="G29" s="2960"/>
      <c r="H29" s="2960"/>
      <c r="I29" s="2960"/>
      <c r="J29" s="2960"/>
      <c r="K29" s="2960"/>
      <c r="L29" s="2960"/>
      <c r="M29" s="2960"/>
      <c r="N29" s="2960"/>
      <c r="O29" s="2960"/>
    </row>
    <row r="30" spans="2:15" ht="12.95" customHeight="1">
      <c r="B30" s="2960" t="s">
        <v>9183</v>
      </c>
      <c r="C30" s="2960"/>
      <c r="D30" s="2960"/>
      <c r="E30" s="2960"/>
      <c r="F30" s="2960"/>
      <c r="G30" s="2960"/>
      <c r="H30" s="2960"/>
      <c r="I30" s="2960"/>
      <c r="J30" s="2960"/>
      <c r="K30" s="2960"/>
      <c r="L30" s="2960"/>
      <c r="M30" s="2960"/>
      <c r="N30" s="2960"/>
      <c r="O30" s="2960"/>
    </row>
    <row r="31" spans="2:15" ht="26.1" customHeight="1">
      <c r="B31" s="3075" t="s">
        <v>6143</v>
      </c>
      <c r="C31" s="3075"/>
      <c r="D31" s="3075"/>
      <c r="E31" s="3075"/>
      <c r="F31" s="3075"/>
      <c r="G31" s="3075"/>
      <c r="H31" s="3075"/>
      <c r="I31" s="3075"/>
      <c r="J31" s="3075"/>
      <c r="K31" s="3075"/>
      <c r="L31" s="3075"/>
      <c r="M31" s="3075"/>
      <c r="N31" s="3075"/>
      <c r="O31" s="3075"/>
    </row>
    <row r="32" spans="2:15" ht="12.95" customHeight="1">
      <c r="B32" s="1700" t="s">
        <v>304</v>
      </c>
      <c r="C32" s="2960" t="s">
        <v>6144</v>
      </c>
      <c r="D32" s="2960"/>
      <c r="E32" s="2960"/>
      <c r="F32" s="2960"/>
      <c r="G32" s="2960"/>
      <c r="H32" s="2960"/>
      <c r="I32" s="2960"/>
      <c r="J32" s="2960"/>
      <c r="K32" s="2960"/>
      <c r="L32" s="2960"/>
      <c r="M32" s="2960"/>
      <c r="N32" s="2960"/>
      <c r="O32" s="2960"/>
    </row>
    <row r="33" spans="2:20" ht="12.95" customHeight="1">
      <c r="C33" s="3795" t="s">
        <v>10108</v>
      </c>
      <c r="D33" s="3795"/>
      <c r="E33" s="3795"/>
      <c r="F33" s="3795"/>
      <c r="G33" s="3795"/>
      <c r="H33" s="3795"/>
      <c r="I33" s="3795"/>
      <c r="J33" s="3795"/>
      <c r="K33" s="3795"/>
      <c r="L33" s="3795"/>
      <c r="M33" s="3795"/>
      <c r="N33" s="3795"/>
      <c r="O33" s="3795"/>
    </row>
    <row r="34" spans="2:20" ht="5.0999999999999996" customHeight="1"/>
    <row r="35" spans="2:20" ht="12.95" customHeight="1">
      <c r="C35" s="2960" t="s">
        <v>6145</v>
      </c>
      <c r="D35" s="2960"/>
      <c r="E35" s="2960"/>
      <c r="F35" s="2960"/>
      <c r="G35" s="2960"/>
      <c r="H35" s="2960"/>
      <c r="I35" s="2960"/>
      <c r="J35" s="2960"/>
      <c r="K35" s="2960"/>
      <c r="L35" s="2960"/>
      <c r="M35" s="2960"/>
      <c r="N35" s="2960"/>
      <c r="O35" s="2960"/>
    </row>
    <row r="36" spans="2:20" ht="12.95" customHeight="1">
      <c r="C36" s="1695" t="s">
        <v>6146</v>
      </c>
      <c r="D36" s="2110">
        <v>5000</v>
      </c>
      <c r="E36" s="1698" t="s">
        <v>6150</v>
      </c>
      <c r="F36" s="3801">
        <v>16000</v>
      </c>
      <c r="G36" s="3801"/>
      <c r="H36" s="3798" t="s">
        <v>6153</v>
      </c>
      <c r="I36" s="2960"/>
      <c r="J36" s="2960"/>
      <c r="K36" s="2960"/>
      <c r="L36" s="2960"/>
      <c r="M36" s="2960"/>
      <c r="N36" s="2960"/>
      <c r="O36" s="2960"/>
      <c r="P36" s="1030"/>
      <c r="Q36" s="1030"/>
      <c r="R36" s="1030"/>
      <c r="S36" s="1030"/>
      <c r="T36" s="1030"/>
    </row>
    <row r="37" spans="2:20" ht="12.95" customHeight="1">
      <c r="C37" s="1695" t="s">
        <v>6147</v>
      </c>
      <c r="D37" s="2110">
        <v>7000</v>
      </c>
      <c r="E37" s="1698" t="s">
        <v>6151</v>
      </c>
      <c r="F37" s="3801">
        <v>21000</v>
      </c>
      <c r="G37" s="3801"/>
      <c r="H37" s="3798"/>
      <c r="I37" s="2960"/>
      <c r="J37" s="2960"/>
      <c r="K37" s="2960"/>
      <c r="L37" s="2960"/>
      <c r="M37" s="2960"/>
      <c r="N37" s="2960"/>
      <c r="O37" s="2960"/>
      <c r="P37" s="1030"/>
      <c r="Q37" s="1030"/>
      <c r="R37" s="1030"/>
      <c r="S37" s="1030"/>
      <c r="T37" s="1030"/>
    </row>
    <row r="38" spans="2:20" ht="12.95" customHeight="1">
      <c r="C38" s="1695" t="s">
        <v>6148</v>
      </c>
      <c r="D38" s="2110">
        <v>9000</v>
      </c>
      <c r="E38" s="1698" t="s">
        <v>6152</v>
      </c>
      <c r="F38" s="3801">
        <v>27000</v>
      </c>
      <c r="G38" s="3801"/>
      <c r="H38" s="3798"/>
      <c r="I38" s="2960"/>
      <c r="J38" s="2960"/>
      <c r="K38" s="2960"/>
      <c r="L38" s="2960"/>
      <c r="M38" s="2960"/>
      <c r="N38" s="2960"/>
      <c r="O38" s="2960"/>
      <c r="P38" s="1030"/>
      <c r="Q38" s="1030"/>
      <c r="R38" s="1030"/>
      <c r="S38" s="1030"/>
      <c r="T38" s="1030"/>
    </row>
    <row r="39" spans="2:20" ht="12.95" customHeight="1">
      <c r="C39" s="1695" t="s">
        <v>6149</v>
      </c>
      <c r="D39" s="2110">
        <v>12000</v>
      </c>
      <c r="E39" s="3802"/>
      <c r="F39" s="3802"/>
      <c r="G39" s="3802"/>
      <c r="H39" s="3798"/>
      <c r="I39" s="2960"/>
      <c r="J39" s="2960"/>
      <c r="K39" s="2960"/>
      <c r="L39" s="2960"/>
      <c r="M39" s="2960"/>
      <c r="N39" s="2960"/>
      <c r="O39" s="2960"/>
      <c r="P39" s="1030"/>
      <c r="Q39" s="1030"/>
      <c r="R39" s="1030"/>
      <c r="S39" s="1030"/>
      <c r="T39" s="1030"/>
    </row>
    <row r="40" spans="2:20" ht="5.0999999999999996" customHeight="1"/>
    <row r="41" spans="2:20" ht="12.95" customHeight="1">
      <c r="B41" s="2960" t="s">
        <v>6162</v>
      </c>
      <c r="C41" s="2960"/>
      <c r="D41" s="2960"/>
      <c r="E41" s="2960"/>
      <c r="F41" s="2960"/>
      <c r="G41" s="2960"/>
      <c r="H41" s="2960"/>
      <c r="I41" s="2960"/>
      <c r="J41" s="2960"/>
      <c r="K41" s="2960"/>
      <c r="L41" s="2960"/>
      <c r="M41" s="2960"/>
      <c r="N41" s="2960"/>
      <c r="O41" s="2960"/>
    </row>
    <row r="42" spans="2:20" ht="12.95" customHeight="1">
      <c r="C42" s="2960" t="s">
        <v>6154</v>
      </c>
      <c r="D42" s="2960"/>
      <c r="E42" s="2960"/>
      <c r="F42" s="2960"/>
      <c r="G42" s="2960"/>
      <c r="H42" s="2960"/>
      <c r="I42" s="2960"/>
      <c r="J42" s="2960"/>
      <c r="K42" s="2960"/>
      <c r="L42" s="2960"/>
      <c r="M42" s="2960"/>
      <c r="N42" s="2960"/>
      <c r="O42" s="2960"/>
    </row>
    <row r="43" spans="2:20" ht="12.95" customHeight="1">
      <c r="C43" s="2960" t="s">
        <v>6155</v>
      </c>
      <c r="D43" s="2960"/>
      <c r="E43" s="2960"/>
      <c r="F43" s="2960"/>
      <c r="G43" s="2960"/>
      <c r="H43" s="2960"/>
      <c r="I43" s="2960"/>
      <c r="J43" s="2960"/>
      <c r="K43" s="2960"/>
      <c r="L43" s="2960"/>
      <c r="M43" s="2960"/>
      <c r="N43" s="2960"/>
      <c r="O43" s="2960"/>
    </row>
    <row r="44" spans="2:20" ht="12.95" customHeight="1">
      <c r="C44" s="2960" t="s">
        <v>10109</v>
      </c>
      <c r="D44" s="2960"/>
      <c r="E44" s="2960"/>
      <c r="F44" s="2960"/>
      <c r="G44" s="2960"/>
      <c r="H44" s="2960"/>
      <c r="I44" s="2960"/>
      <c r="J44" s="2960"/>
      <c r="K44" s="2960"/>
      <c r="L44" s="2960"/>
      <c r="M44" s="2960"/>
      <c r="N44" s="2960"/>
      <c r="O44" s="2960"/>
    </row>
    <row r="45" spans="2:20" ht="12.95" customHeight="1">
      <c r="C45" s="2960" t="s">
        <v>6163</v>
      </c>
      <c r="D45" s="2960"/>
      <c r="E45" s="2960"/>
      <c r="F45" s="2960"/>
      <c r="G45" s="2960"/>
      <c r="H45" s="2960"/>
      <c r="I45" s="2960"/>
      <c r="J45" s="2960"/>
      <c r="K45" s="2960"/>
      <c r="L45" s="2960"/>
      <c r="M45" s="2960"/>
      <c r="N45" s="2960"/>
      <c r="O45" s="2960"/>
    </row>
    <row r="46" spans="2:20" ht="5.0999999999999996" customHeight="1"/>
    <row r="47" spans="2:20" ht="12.95" customHeight="1">
      <c r="B47" s="1701" t="s">
        <v>6156</v>
      </c>
      <c r="C47" s="1699" t="s">
        <v>2232</v>
      </c>
      <c r="D47" s="2960" t="s">
        <v>6164</v>
      </c>
      <c r="E47" s="2960"/>
      <c r="F47" s="2960"/>
      <c r="G47" s="2960"/>
      <c r="H47" s="2960"/>
      <c r="I47" s="2960"/>
      <c r="J47" s="2960"/>
      <c r="K47" s="2960"/>
      <c r="L47" s="2960"/>
      <c r="M47" s="2960"/>
      <c r="N47" s="2960"/>
      <c r="O47" s="2960"/>
    </row>
    <row r="48" spans="2:20" ht="12.95" customHeight="1">
      <c r="B48" s="1701" t="s">
        <v>6157</v>
      </c>
      <c r="C48" s="1702" t="s">
        <v>643</v>
      </c>
      <c r="D48" s="2960" t="s">
        <v>6165</v>
      </c>
      <c r="E48" s="2960"/>
      <c r="F48" s="2960"/>
      <c r="G48" s="2960"/>
      <c r="H48" s="2960"/>
      <c r="I48" s="2960"/>
      <c r="J48" s="2960"/>
      <c r="K48" s="2960"/>
      <c r="L48" s="2960"/>
      <c r="M48" s="2960"/>
      <c r="N48" s="2960"/>
      <c r="O48" s="2960"/>
    </row>
    <row r="49" spans="2:15" ht="12.95" customHeight="1">
      <c r="B49" s="1701" t="s">
        <v>6158</v>
      </c>
      <c r="C49" s="1702" t="s">
        <v>1223</v>
      </c>
      <c r="D49" s="2960" t="s">
        <v>6166</v>
      </c>
      <c r="E49" s="2960"/>
      <c r="F49" s="2960"/>
      <c r="G49" s="2960"/>
      <c r="H49" s="2960"/>
      <c r="I49" s="2960"/>
      <c r="J49" s="2960"/>
      <c r="K49" s="2960"/>
      <c r="L49" s="2960"/>
      <c r="M49" s="2960"/>
      <c r="N49" s="2960"/>
      <c r="O49" s="2960"/>
    </row>
    <row r="50" spans="2:15" ht="5.0999999999999996" customHeight="1"/>
    <row r="51" spans="2:15" ht="12.95" customHeight="1" thickBot="1">
      <c r="B51" s="2960" t="s">
        <v>6159</v>
      </c>
      <c r="C51" s="2960"/>
      <c r="D51" s="2960"/>
      <c r="E51" s="2960"/>
      <c r="F51" s="2960"/>
      <c r="G51" s="2960"/>
      <c r="H51" s="2960"/>
      <c r="I51" s="2960"/>
      <c r="J51" s="2960"/>
      <c r="K51" s="2960"/>
      <c r="L51" s="2960"/>
      <c r="M51" s="2960"/>
      <c r="N51" s="2960"/>
      <c r="O51" s="2960"/>
    </row>
    <row r="52" spans="2:15" ht="12.95" customHeight="1" thickBot="1">
      <c r="B52" s="3522" t="s">
        <v>3476</v>
      </c>
      <c r="C52" s="3523"/>
      <c r="D52" s="2111" t="s">
        <v>310</v>
      </c>
      <c r="E52" s="1955" t="s">
        <v>5026</v>
      </c>
      <c r="F52" s="1706"/>
      <c r="G52" s="3522" t="s">
        <v>3476</v>
      </c>
      <c r="H52" s="3523"/>
      <c r="I52" s="2111" t="s">
        <v>310</v>
      </c>
      <c r="J52" s="1955" t="s">
        <v>5026</v>
      </c>
      <c r="K52" s="1706"/>
      <c r="L52" s="3522" t="s">
        <v>3476</v>
      </c>
      <c r="M52" s="3523"/>
      <c r="N52" s="2111" t="s">
        <v>310</v>
      </c>
      <c r="O52" s="1955" t="s">
        <v>5026</v>
      </c>
    </row>
    <row r="53" spans="2:15" ht="12.95" customHeight="1">
      <c r="B53" s="3799" t="s">
        <v>2232</v>
      </c>
      <c r="C53" s="3800"/>
      <c r="D53" s="2114" t="s">
        <v>2156</v>
      </c>
      <c r="E53" s="1707">
        <v>60</v>
      </c>
      <c r="G53" s="3799" t="s">
        <v>2234</v>
      </c>
      <c r="H53" s="3800"/>
      <c r="I53" s="2114" t="s">
        <v>893</v>
      </c>
      <c r="J53" s="1707">
        <v>50</v>
      </c>
      <c r="L53" s="3799" t="s">
        <v>1532</v>
      </c>
      <c r="M53" s="3800"/>
      <c r="N53" s="2114" t="s">
        <v>2141</v>
      </c>
      <c r="O53" s="1708">
        <v>110</v>
      </c>
    </row>
    <row r="54" spans="2:15" ht="12.95" customHeight="1">
      <c r="B54" s="3797" t="s">
        <v>2233</v>
      </c>
      <c r="C54" s="3679"/>
      <c r="D54" s="2112" t="s">
        <v>2156</v>
      </c>
      <c r="E54" s="1967">
        <v>45</v>
      </c>
      <c r="G54" s="3797" t="s">
        <v>3444</v>
      </c>
      <c r="H54" s="3679"/>
      <c r="I54" s="2112" t="s">
        <v>893</v>
      </c>
      <c r="J54" s="1967">
        <v>35</v>
      </c>
      <c r="L54" s="3797" t="s">
        <v>1533</v>
      </c>
      <c r="M54" s="3679"/>
      <c r="N54" s="2112" t="s">
        <v>2141</v>
      </c>
      <c r="O54" s="1709">
        <v>80</v>
      </c>
    </row>
    <row r="55" spans="2:15" ht="12.95" customHeight="1">
      <c r="B55" s="3796" t="s">
        <v>373</v>
      </c>
      <c r="C55" s="3673"/>
      <c r="D55" s="2113" t="s">
        <v>2156</v>
      </c>
      <c r="E55" s="1968">
        <v>60</v>
      </c>
      <c r="G55" s="3796" t="s">
        <v>374</v>
      </c>
      <c r="H55" s="3673"/>
      <c r="I55" s="2113" t="s">
        <v>893</v>
      </c>
      <c r="J55" s="1968">
        <v>50</v>
      </c>
      <c r="L55" s="3796" t="s">
        <v>3448</v>
      </c>
      <c r="M55" s="3673"/>
      <c r="N55" s="2113" t="s">
        <v>2141</v>
      </c>
      <c r="O55" s="1968">
        <v>40</v>
      </c>
    </row>
    <row r="56" spans="2:15" ht="12.95" customHeight="1">
      <c r="B56" s="3797" t="s">
        <v>343</v>
      </c>
      <c r="C56" s="3679"/>
      <c r="D56" s="2112" t="s">
        <v>2156</v>
      </c>
      <c r="E56" s="1967">
        <v>40</v>
      </c>
      <c r="G56" s="3797" t="s">
        <v>1597</v>
      </c>
      <c r="H56" s="3679"/>
      <c r="I56" s="2112" t="s">
        <v>893</v>
      </c>
      <c r="J56" s="1967">
        <v>35</v>
      </c>
      <c r="L56" s="3797" t="s">
        <v>3449</v>
      </c>
      <c r="M56" s="3679"/>
      <c r="N56" s="2112" t="s">
        <v>2141</v>
      </c>
      <c r="O56" s="1967">
        <v>35</v>
      </c>
    </row>
    <row r="57" spans="2:15" ht="12.95" customHeight="1">
      <c r="B57" s="3796" t="s">
        <v>2324</v>
      </c>
      <c r="C57" s="3673"/>
      <c r="D57" s="2113" t="s">
        <v>2156</v>
      </c>
      <c r="E57" s="1968">
        <v>25</v>
      </c>
      <c r="G57" s="3796" t="s">
        <v>2844</v>
      </c>
      <c r="H57" s="3673"/>
      <c r="I57" s="2113" t="s">
        <v>893</v>
      </c>
      <c r="J57" s="1968">
        <v>40</v>
      </c>
      <c r="L57" s="3796" t="s">
        <v>2260</v>
      </c>
      <c r="M57" s="3673"/>
      <c r="N57" s="2113" t="s">
        <v>2141</v>
      </c>
      <c r="O57" s="1968">
        <v>35</v>
      </c>
    </row>
    <row r="58" spans="2:15" ht="12.95" customHeight="1">
      <c r="B58" s="3797" t="s">
        <v>344</v>
      </c>
      <c r="C58" s="3679"/>
      <c r="D58" s="2112" t="s">
        <v>2156</v>
      </c>
      <c r="E58" s="1967">
        <v>20</v>
      </c>
      <c r="G58" s="3797" t="s">
        <v>840</v>
      </c>
      <c r="H58" s="3679"/>
      <c r="I58" s="2112" t="s">
        <v>893</v>
      </c>
      <c r="J58" s="1967">
        <v>25</v>
      </c>
      <c r="L58" s="3797" t="s">
        <v>3450</v>
      </c>
      <c r="M58" s="3679"/>
      <c r="N58" s="2112" t="s">
        <v>2141</v>
      </c>
      <c r="O58" s="1967">
        <v>20</v>
      </c>
    </row>
    <row r="59" spans="2:15" ht="12.95" customHeight="1">
      <c r="B59" s="3796" t="s">
        <v>2152</v>
      </c>
      <c r="C59" s="3673"/>
      <c r="D59" s="2113" t="s">
        <v>2156</v>
      </c>
      <c r="E59" s="1968">
        <v>25</v>
      </c>
      <c r="G59" s="3796" t="s">
        <v>1949</v>
      </c>
      <c r="H59" s="3673"/>
      <c r="I59" s="2113" t="s">
        <v>893</v>
      </c>
      <c r="J59" s="1968">
        <v>25</v>
      </c>
      <c r="L59" s="3796" t="s">
        <v>1817</v>
      </c>
      <c r="M59" s="3673"/>
      <c r="N59" s="2113" t="s">
        <v>2141</v>
      </c>
      <c r="O59" s="1968">
        <v>20</v>
      </c>
    </row>
    <row r="60" spans="2:15" ht="12.95" customHeight="1">
      <c r="B60" s="3797" t="s">
        <v>1645</v>
      </c>
      <c r="C60" s="3679"/>
      <c r="D60" s="2112" t="s">
        <v>2156</v>
      </c>
      <c r="E60" s="1967">
        <v>20</v>
      </c>
      <c r="G60" s="3797" t="s">
        <v>900</v>
      </c>
      <c r="H60" s="3679"/>
      <c r="I60" s="2112" t="s">
        <v>893</v>
      </c>
      <c r="J60" s="1967">
        <v>20</v>
      </c>
      <c r="L60" s="3797" t="s">
        <v>3451</v>
      </c>
      <c r="M60" s="3679"/>
      <c r="N60" s="2112" t="s">
        <v>2141</v>
      </c>
      <c r="O60" s="1967">
        <v>15</v>
      </c>
    </row>
    <row r="61" spans="2:15" ht="12.95" customHeight="1">
      <c r="B61" s="3796" t="s">
        <v>1948</v>
      </c>
      <c r="C61" s="3673"/>
      <c r="D61" s="2113" t="s">
        <v>2156</v>
      </c>
      <c r="E61" s="1968">
        <v>30</v>
      </c>
      <c r="G61" s="3796" t="s">
        <v>3445</v>
      </c>
      <c r="H61" s="3673"/>
      <c r="I61" s="2113" t="s">
        <v>893</v>
      </c>
      <c r="J61" s="1968">
        <v>30</v>
      </c>
      <c r="L61" s="3796" t="s">
        <v>3062</v>
      </c>
      <c r="M61" s="3673"/>
      <c r="N61" s="2113" t="s">
        <v>2141</v>
      </c>
      <c r="O61" s="1968">
        <v>20</v>
      </c>
    </row>
    <row r="62" spans="2:15" ht="12.95" customHeight="1">
      <c r="B62" s="3797" t="s">
        <v>1644</v>
      </c>
      <c r="C62" s="3679"/>
      <c r="D62" s="2112" t="s">
        <v>2156</v>
      </c>
      <c r="E62" s="1709">
        <v>20</v>
      </c>
      <c r="G62" s="3797" t="s">
        <v>3446</v>
      </c>
      <c r="H62" s="3679"/>
      <c r="I62" s="2112" t="s">
        <v>893</v>
      </c>
      <c r="J62" s="1709">
        <v>20</v>
      </c>
      <c r="L62" s="3797" t="s">
        <v>3452</v>
      </c>
      <c r="M62" s="3679"/>
      <c r="N62" s="2112" t="s">
        <v>2141</v>
      </c>
      <c r="O62" s="1967">
        <v>15</v>
      </c>
    </row>
    <row r="63" spans="2:15" ht="12.95" customHeight="1">
      <c r="B63" s="3796" t="s">
        <v>567</v>
      </c>
      <c r="C63" s="3673"/>
      <c r="D63" s="2113" t="s">
        <v>2156</v>
      </c>
      <c r="E63" s="1968">
        <v>10</v>
      </c>
      <c r="G63" s="3796" t="s">
        <v>1052</v>
      </c>
      <c r="H63" s="3673"/>
      <c r="I63" s="2113" t="s">
        <v>893</v>
      </c>
      <c r="J63" s="1968">
        <v>12</v>
      </c>
      <c r="L63" s="3796" t="s">
        <v>566</v>
      </c>
      <c r="M63" s="3673"/>
      <c r="N63" s="2113" t="s">
        <v>2141</v>
      </c>
      <c r="O63" s="1968">
        <v>10</v>
      </c>
    </row>
    <row r="64" spans="2:15" ht="12.95" customHeight="1">
      <c r="B64" s="3797" t="s">
        <v>654</v>
      </c>
      <c r="C64" s="3679"/>
      <c r="D64" s="2112" t="s">
        <v>2156</v>
      </c>
      <c r="E64" s="1967">
        <v>10</v>
      </c>
      <c r="G64" s="3797" t="s">
        <v>841</v>
      </c>
      <c r="H64" s="3679"/>
      <c r="I64" s="2112" t="s">
        <v>893</v>
      </c>
      <c r="J64" s="1967">
        <v>10</v>
      </c>
      <c r="L64" s="3797" t="s">
        <v>3453</v>
      </c>
      <c r="M64" s="3679"/>
      <c r="N64" s="2112" t="s">
        <v>2141</v>
      </c>
      <c r="O64" s="1967">
        <v>8</v>
      </c>
    </row>
    <row r="65" spans="2:15" ht="12.95" customHeight="1">
      <c r="B65" s="3796" t="s">
        <v>650</v>
      </c>
      <c r="C65" s="3673"/>
      <c r="D65" s="2113" t="s">
        <v>2156</v>
      </c>
      <c r="E65" s="1968">
        <v>5</v>
      </c>
      <c r="G65" s="3796" t="s">
        <v>3447</v>
      </c>
      <c r="H65" s="3673"/>
      <c r="I65" s="2113" t="s">
        <v>893</v>
      </c>
      <c r="J65" s="1968">
        <v>5</v>
      </c>
      <c r="L65" s="3796" t="s">
        <v>652</v>
      </c>
      <c r="M65" s="3673"/>
      <c r="N65" s="2113" t="s">
        <v>2141</v>
      </c>
      <c r="O65" s="1710">
        <v>8</v>
      </c>
    </row>
    <row r="66" spans="2:15" ht="12.95" customHeight="1" thickBot="1">
      <c r="B66" s="3803" t="s">
        <v>1220</v>
      </c>
      <c r="C66" s="3804"/>
      <c r="D66" s="111" t="s">
        <v>2156</v>
      </c>
      <c r="E66" s="1966">
        <v>3</v>
      </c>
      <c r="G66" s="3803" t="s">
        <v>842</v>
      </c>
      <c r="H66" s="3804"/>
      <c r="I66" s="111" t="s">
        <v>893</v>
      </c>
      <c r="J66" s="1966">
        <v>3</v>
      </c>
      <c r="L66" s="3803" t="s">
        <v>1221</v>
      </c>
      <c r="M66" s="3804"/>
      <c r="N66" s="111" t="s">
        <v>2141</v>
      </c>
      <c r="O66" s="1966">
        <v>3</v>
      </c>
    </row>
    <row r="67" spans="2:15" ht="12.95" customHeight="1">
      <c r="B67" s="3799" t="s">
        <v>1536</v>
      </c>
      <c r="C67" s="3800"/>
      <c r="D67" s="2114" t="s">
        <v>6160</v>
      </c>
      <c r="E67" s="1707">
        <v>80</v>
      </c>
      <c r="G67" s="3799" t="s">
        <v>1534</v>
      </c>
      <c r="H67" s="3800"/>
      <c r="I67" s="2114" t="s">
        <v>6161</v>
      </c>
      <c r="J67" s="1707">
        <v>100</v>
      </c>
      <c r="L67" s="3799" t="s">
        <v>1537</v>
      </c>
      <c r="M67" s="3800"/>
      <c r="N67" s="2114" t="s">
        <v>626</v>
      </c>
      <c r="O67" s="1707">
        <v>80</v>
      </c>
    </row>
    <row r="68" spans="2:15" ht="12.95" customHeight="1">
      <c r="B68" s="3797" t="s">
        <v>3454</v>
      </c>
      <c r="C68" s="3679"/>
      <c r="D68" s="2112" t="s">
        <v>6160</v>
      </c>
      <c r="E68" s="1967">
        <v>60</v>
      </c>
      <c r="G68" s="3797" t="s">
        <v>1535</v>
      </c>
      <c r="H68" s="3679"/>
      <c r="I68" s="2112" t="s">
        <v>6161</v>
      </c>
      <c r="J68" s="1709">
        <v>80</v>
      </c>
      <c r="L68" s="3797" t="s">
        <v>1721</v>
      </c>
      <c r="M68" s="3679"/>
      <c r="N68" s="2112" t="s">
        <v>626</v>
      </c>
      <c r="O68" s="1967">
        <v>60</v>
      </c>
    </row>
    <row r="69" spans="2:15" ht="12.95" customHeight="1">
      <c r="B69" s="3796" t="s">
        <v>2528</v>
      </c>
      <c r="C69" s="3673"/>
      <c r="D69" s="2113" t="s">
        <v>6160</v>
      </c>
      <c r="E69" s="1710">
        <v>70</v>
      </c>
      <c r="G69" s="3796" t="s">
        <v>375</v>
      </c>
      <c r="H69" s="3673"/>
      <c r="I69" s="2113" t="s">
        <v>6161</v>
      </c>
      <c r="J69" s="1968">
        <v>45</v>
      </c>
      <c r="L69" s="3796" t="s">
        <v>377</v>
      </c>
      <c r="M69" s="3673"/>
      <c r="N69" s="2113" t="s">
        <v>626</v>
      </c>
      <c r="O69" s="1968">
        <v>45</v>
      </c>
    </row>
    <row r="70" spans="2:15" ht="12.95" customHeight="1">
      <c r="B70" s="3797" t="s">
        <v>376</v>
      </c>
      <c r="C70" s="3679"/>
      <c r="D70" s="2112" t="s">
        <v>6160</v>
      </c>
      <c r="E70" s="1709">
        <v>50</v>
      </c>
      <c r="G70" s="3797" t="s">
        <v>1593</v>
      </c>
      <c r="H70" s="3679"/>
      <c r="I70" s="2112" t="s">
        <v>6161</v>
      </c>
      <c r="J70" s="1967">
        <v>30</v>
      </c>
      <c r="L70" s="3797" t="s">
        <v>3458</v>
      </c>
      <c r="M70" s="3679"/>
      <c r="N70" s="2112" t="s">
        <v>626</v>
      </c>
      <c r="O70" s="1967">
        <v>30</v>
      </c>
    </row>
    <row r="71" spans="2:15" ht="12.95" customHeight="1">
      <c r="B71" s="3796" t="s">
        <v>1594</v>
      </c>
      <c r="C71" s="3673"/>
      <c r="D71" s="2113" t="s">
        <v>6160</v>
      </c>
      <c r="E71" s="1968">
        <v>35</v>
      </c>
      <c r="G71" s="3796" t="s">
        <v>1518</v>
      </c>
      <c r="H71" s="3673"/>
      <c r="I71" s="2113" t="s">
        <v>6161</v>
      </c>
      <c r="J71" s="1968">
        <v>25</v>
      </c>
      <c r="L71" s="3796" t="s">
        <v>2325</v>
      </c>
      <c r="M71" s="3673"/>
      <c r="N71" s="2113" t="s">
        <v>626</v>
      </c>
      <c r="O71" s="1968">
        <v>25</v>
      </c>
    </row>
    <row r="72" spans="2:15" ht="12.95" customHeight="1">
      <c r="B72" s="3797" t="s">
        <v>55</v>
      </c>
      <c r="C72" s="3679"/>
      <c r="D72" s="2112" t="s">
        <v>6160</v>
      </c>
      <c r="E72" s="1967">
        <v>30</v>
      </c>
      <c r="G72" s="3797" t="s">
        <v>2323</v>
      </c>
      <c r="H72" s="3679"/>
      <c r="I72" s="2112" t="s">
        <v>6161</v>
      </c>
      <c r="J72" s="1967">
        <v>20</v>
      </c>
      <c r="L72" s="3797" t="s">
        <v>3459</v>
      </c>
      <c r="M72" s="3679"/>
      <c r="N72" s="2112" t="s">
        <v>626</v>
      </c>
      <c r="O72" s="1967">
        <v>25</v>
      </c>
    </row>
    <row r="73" spans="2:15" ht="12.95" customHeight="1">
      <c r="B73" s="3796" t="s">
        <v>895</v>
      </c>
      <c r="C73" s="3673"/>
      <c r="D73" s="2113" t="s">
        <v>6160</v>
      </c>
      <c r="E73" s="1968">
        <v>20</v>
      </c>
      <c r="G73" s="3796" t="s">
        <v>1686</v>
      </c>
      <c r="H73" s="3673"/>
      <c r="I73" s="2113" t="s">
        <v>6161</v>
      </c>
      <c r="J73" s="1968">
        <v>25</v>
      </c>
      <c r="L73" s="3796" t="s">
        <v>490</v>
      </c>
      <c r="M73" s="3673"/>
      <c r="N73" s="2113" t="s">
        <v>626</v>
      </c>
      <c r="O73" s="1968">
        <v>25</v>
      </c>
    </row>
    <row r="74" spans="2:15" ht="12.95" customHeight="1">
      <c r="B74" s="3797" t="s">
        <v>3455</v>
      </c>
      <c r="C74" s="3679"/>
      <c r="D74" s="2112" t="s">
        <v>6160</v>
      </c>
      <c r="E74" s="1967">
        <v>15</v>
      </c>
      <c r="G74" s="3797" t="s">
        <v>1519</v>
      </c>
      <c r="H74" s="3679"/>
      <c r="I74" s="2112" t="s">
        <v>6161</v>
      </c>
      <c r="J74" s="1967">
        <v>25</v>
      </c>
      <c r="L74" s="3797" t="s">
        <v>3460</v>
      </c>
      <c r="M74" s="3679"/>
      <c r="N74" s="2112" t="s">
        <v>626</v>
      </c>
      <c r="O74" s="1967">
        <v>20</v>
      </c>
    </row>
    <row r="75" spans="2:15" ht="12.95" customHeight="1">
      <c r="B75" s="3796" t="s">
        <v>642</v>
      </c>
      <c r="C75" s="3673"/>
      <c r="D75" s="2113" t="s">
        <v>6160</v>
      </c>
      <c r="E75" s="1968">
        <v>20</v>
      </c>
      <c r="G75" s="3796" t="s">
        <v>1520</v>
      </c>
      <c r="H75" s="3673"/>
      <c r="I75" s="2113" t="s">
        <v>6161</v>
      </c>
      <c r="J75" s="1968">
        <v>20</v>
      </c>
      <c r="L75" s="3796" t="s">
        <v>643</v>
      </c>
      <c r="M75" s="3673"/>
      <c r="N75" s="2113" t="s">
        <v>626</v>
      </c>
      <c r="O75" s="1968">
        <v>20</v>
      </c>
    </row>
    <row r="76" spans="2:15" ht="12.95" customHeight="1">
      <c r="B76" s="3797" t="s">
        <v>898</v>
      </c>
      <c r="C76" s="3679"/>
      <c r="D76" s="2112" t="s">
        <v>6160</v>
      </c>
      <c r="E76" s="1967">
        <v>15</v>
      </c>
      <c r="G76" s="3797" t="s">
        <v>1521</v>
      </c>
      <c r="H76" s="3679"/>
      <c r="I76" s="2112" t="s">
        <v>6161</v>
      </c>
      <c r="J76" s="1967">
        <v>15</v>
      </c>
      <c r="L76" s="3797" t="s">
        <v>3461</v>
      </c>
      <c r="M76" s="3679"/>
      <c r="N76" s="2112" t="s">
        <v>626</v>
      </c>
      <c r="O76" s="1967">
        <v>15</v>
      </c>
    </row>
    <row r="77" spans="2:15" ht="12.95" customHeight="1">
      <c r="B77" s="3796" t="s">
        <v>3456</v>
      </c>
      <c r="C77" s="3673"/>
      <c r="D77" s="2113" t="s">
        <v>6160</v>
      </c>
      <c r="E77" s="1968">
        <v>10</v>
      </c>
      <c r="G77" s="3796" t="s">
        <v>3063</v>
      </c>
      <c r="H77" s="3673"/>
      <c r="I77" s="2113" t="s">
        <v>6161</v>
      </c>
      <c r="J77" s="1968">
        <v>12</v>
      </c>
      <c r="L77" s="3796" t="s">
        <v>1054</v>
      </c>
      <c r="M77" s="3673"/>
      <c r="N77" s="2113" t="s">
        <v>626</v>
      </c>
      <c r="O77" s="1710">
        <v>15</v>
      </c>
    </row>
    <row r="78" spans="2:15" ht="12.95" customHeight="1">
      <c r="B78" s="3797" t="s">
        <v>2607</v>
      </c>
      <c r="C78" s="3679"/>
      <c r="D78" s="2112" t="s">
        <v>6160</v>
      </c>
      <c r="E78" s="1967">
        <v>8</v>
      </c>
      <c r="G78" s="3797" t="s">
        <v>3463</v>
      </c>
      <c r="H78" s="3679"/>
      <c r="I78" s="2112" t="s">
        <v>6161</v>
      </c>
      <c r="J78" s="1967">
        <v>12</v>
      </c>
      <c r="L78" s="3797" t="s">
        <v>1053</v>
      </c>
      <c r="M78" s="3679"/>
      <c r="N78" s="2112" t="s">
        <v>626</v>
      </c>
      <c r="O78" s="1709">
        <v>15</v>
      </c>
    </row>
    <row r="79" spans="2:15" ht="12.95" customHeight="1">
      <c r="B79" s="3796" t="s">
        <v>899</v>
      </c>
      <c r="C79" s="3673"/>
      <c r="D79" s="2113" t="s">
        <v>6160</v>
      </c>
      <c r="E79" s="1710">
        <v>8</v>
      </c>
      <c r="G79" s="3796" t="s">
        <v>1941</v>
      </c>
      <c r="H79" s="3673"/>
      <c r="I79" s="2113" t="s">
        <v>6161</v>
      </c>
      <c r="J79" s="1968">
        <v>5</v>
      </c>
      <c r="L79" s="3796" t="s">
        <v>1100</v>
      </c>
      <c r="M79" s="3673"/>
      <c r="N79" s="2113" t="s">
        <v>626</v>
      </c>
      <c r="O79" s="1968">
        <v>5</v>
      </c>
    </row>
    <row r="80" spans="2:15" ht="12.95" customHeight="1" thickBot="1">
      <c r="B80" s="3803" t="s">
        <v>3457</v>
      </c>
      <c r="C80" s="3804"/>
      <c r="D80" s="111" t="s">
        <v>6160</v>
      </c>
      <c r="E80" s="1711">
        <v>5</v>
      </c>
      <c r="G80" s="3803" t="s">
        <v>1222</v>
      </c>
      <c r="H80" s="3804"/>
      <c r="I80" s="111" t="s">
        <v>6161</v>
      </c>
      <c r="J80" s="1966">
        <v>3</v>
      </c>
      <c r="L80" s="3803" t="s">
        <v>3462</v>
      </c>
      <c r="M80" s="3804"/>
      <c r="N80" s="111" t="s">
        <v>626</v>
      </c>
      <c r="O80" s="1966">
        <v>3</v>
      </c>
    </row>
    <row r="81" spans="2:15" ht="12.95" customHeight="1">
      <c r="B81" s="3799" t="s">
        <v>1540</v>
      </c>
      <c r="C81" s="3800"/>
      <c r="D81" s="2114" t="s">
        <v>6172</v>
      </c>
      <c r="E81" s="1707">
        <v>90</v>
      </c>
      <c r="G81" s="3799" t="s">
        <v>1538</v>
      </c>
      <c r="H81" s="3800"/>
      <c r="I81" s="2114" t="s">
        <v>6171</v>
      </c>
      <c r="J81" s="1707">
        <v>80</v>
      </c>
      <c r="L81" s="3799" t="s">
        <v>2663</v>
      </c>
      <c r="M81" s="3800"/>
      <c r="N81" s="2114" t="s">
        <v>6173</v>
      </c>
      <c r="O81" s="1707">
        <v>90</v>
      </c>
    </row>
    <row r="82" spans="2:15" ht="12.95" customHeight="1">
      <c r="B82" s="3797" t="s">
        <v>3464</v>
      </c>
      <c r="C82" s="3679"/>
      <c r="D82" s="2112" t="s">
        <v>6172</v>
      </c>
      <c r="E82" s="1734">
        <v>60</v>
      </c>
      <c r="G82" s="3797" t="s">
        <v>1539</v>
      </c>
      <c r="H82" s="3679"/>
      <c r="I82" s="2112" t="s">
        <v>6171</v>
      </c>
      <c r="J82" s="1734">
        <v>60</v>
      </c>
      <c r="L82" s="3797" t="s">
        <v>1531</v>
      </c>
      <c r="M82" s="3679"/>
      <c r="N82" s="2112" t="s">
        <v>6173</v>
      </c>
      <c r="O82" s="1734">
        <v>50</v>
      </c>
    </row>
    <row r="83" spans="2:15" ht="12.95" customHeight="1">
      <c r="B83" s="3796" t="s">
        <v>378</v>
      </c>
      <c r="C83" s="3673"/>
      <c r="D83" s="2113" t="s">
        <v>6172</v>
      </c>
      <c r="E83" s="1735">
        <v>60</v>
      </c>
      <c r="G83" s="3796" t="s">
        <v>3467</v>
      </c>
      <c r="H83" s="3673"/>
      <c r="I83" s="2113" t="s">
        <v>6171</v>
      </c>
      <c r="J83" s="1735">
        <v>50</v>
      </c>
      <c r="L83" s="3796" t="s">
        <v>3372</v>
      </c>
      <c r="M83" s="3673"/>
      <c r="N83" s="2113" t="s">
        <v>6173</v>
      </c>
      <c r="O83" s="1735">
        <v>20</v>
      </c>
    </row>
    <row r="84" spans="2:15" ht="12.95" customHeight="1">
      <c r="B84" s="3797" t="s">
        <v>3465</v>
      </c>
      <c r="C84" s="3679"/>
      <c r="D84" s="2112" t="s">
        <v>6172</v>
      </c>
      <c r="E84" s="1734">
        <v>45</v>
      </c>
      <c r="G84" s="3797" t="s">
        <v>3468</v>
      </c>
      <c r="H84" s="3679"/>
      <c r="I84" s="2112" t="s">
        <v>6171</v>
      </c>
      <c r="J84" s="1734">
        <v>35</v>
      </c>
      <c r="L84" s="3797" t="s">
        <v>988</v>
      </c>
      <c r="M84" s="3679"/>
      <c r="N84" s="2112" t="s">
        <v>6173</v>
      </c>
      <c r="O84" s="1734">
        <v>15</v>
      </c>
    </row>
    <row r="85" spans="2:15" ht="12.95" customHeight="1">
      <c r="B85" s="3796" t="s">
        <v>1595</v>
      </c>
      <c r="C85" s="3673"/>
      <c r="D85" s="2113" t="s">
        <v>6172</v>
      </c>
      <c r="E85" s="1735">
        <v>35</v>
      </c>
      <c r="G85" s="3796" t="s">
        <v>372</v>
      </c>
      <c r="H85" s="3673"/>
      <c r="I85" s="2113" t="s">
        <v>6171</v>
      </c>
      <c r="J85" s="1710">
        <v>45</v>
      </c>
      <c r="L85" s="3796" t="s">
        <v>2664</v>
      </c>
      <c r="M85" s="3673"/>
      <c r="N85" s="2113" t="s">
        <v>6173</v>
      </c>
      <c r="O85" s="1735">
        <v>30</v>
      </c>
    </row>
    <row r="86" spans="2:15" ht="12.95" customHeight="1">
      <c r="B86" s="3797" t="s">
        <v>612</v>
      </c>
      <c r="C86" s="3679"/>
      <c r="D86" s="2112" t="s">
        <v>6172</v>
      </c>
      <c r="E86" s="1709">
        <v>35</v>
      </c>
      <c r="G86" s="3797" t="s">
        <v>3469</v>
      </c>
      <c r="H86" s="3679"/>
      <c r="I86" s="2112" t="s">
        <v>6171</v>
      </c>
      <c r="J86" s="1709">
        <v>35</v>
      </c>
      <c r="L86" s="3797" t="s">
        <v>2665</v>
      </c>
      <c r="M86" s="3679"/>
      <c r="N86" s="2112" t="s">
        <v>6173</v>
      </c>
      <c r="O86" s="1734">
        <v>30</v>
      </c>
    </row>
    <row r="87" spans="2:15" ht="12.95" customHeight="1">
      <c r="B87" s="3796" t="s">
        <v>1947</v>
      </c>
      <c r="C87" s="3673"/>
      <c r="D87" s="2113" t="s">
        <v>6172</v>
      </c>
      <c r="E87" s="1735">
        <v>20</v>
      </c>
      <c r="G87" s="3796" t="s">
        <v>2322</v>
      </c>
      <c r="H87" s="3673"/>
      <c r="I87" s="2113" t="s">
        <v>6171</v>
      </c>
      <c r="J87" s="1735">
        <v>30</v>
      </c>
      <c r="L87" s="3796" t="s">
        <v>100</v>
      </c>
      <c r="M87" s="3673"/>
      <c r="N87" s="2113" t="s">
        <v>6173</v>
      </c>
      <c r="O87" s="1710">
        <v>35</v>
      </c>
    </row>
    <row r="88" spans="2:15" ht="12.95" customHeight="1">
      <c r="B88" s="3797" t="s">
        <v>2545</v>
      </c>
      <c r="C88" s="3679"/>
      <c r="D88" s="2112" t="s">
        <v>6172</v>
      </c>
      <c r="E88" s="1734">
        <v>15</v>
      </c>
      <c r="G88" s="3797" t="s">
        <v>3470</v>
      </c>
      <c r="H88" s="3679"/>
      <c r="I88" s="2112" t="s">
        <v>6171</v>
      </c>
      <c r="J88" s="1734">
        <v>15</v>
      </c>
      <c r="L88" s="3797" t="s">
        <v>6167</v>
      </c>
      <c r="M88" s="3679"/>
      <c r="N88" s="2112" t="s">
        <v>6173</v>
      </c>
      <c r="O88" s="1709">
        <v>45</v>
      </c>
    </row>
    <row r="89" spans="2:15" ht="12.95" customHeight="1">
      <c r="B89" s="3796" t="s">
        <v>641</v>
      </c>
      <c r="C89" s="3673"/>
      <c r="D89" s="2113" t="s">
        <v>6172</v>
      </c>
      <c r="E89" s="1735">
        <v>15</v>
      </c>
      <c r="G89" s="3796" t="s">
        <v>1309</v>
      </c>
      <c r="H89" s="3673"/>
      <c r="I89" s="2113" t="s">
        <v>6171</v>
      </c>
      <c r="J89" s="1735">
        <v>15</v>
      </c>
      <c r="L89" s="3796" t="s">
        <v>2667</v>
      </c>
      <c r="M89" s="3673"/>
      <c r="N89" s="2113" t="s">
        <v>6173</v>
      </c>
      <c r="O89" s="1710">
        <v>50</v>
      </c>
    </row>
    <row r="90" spans="2:15" ht="12.95" customHeight="1">
      <c r="B90" s="3797" t="s">
        <v>613</v>
      </c>
      <c r="C90" s="3679"/>
      <c r="D90" s="2112" t="s">
        <v>6172</v>
      </c>
      <c r="E90" s="1734">
        <v>15</v>
      </c>
      <c r="G90" s="3797" t="s">
        <v>149</v>
      </c>
      <c r="H90" s="3679"/>
      <c r="I90" s="2112" t="s">
        <v>6171</v>
      </c>
      <c r="J90" s="1734">
        <v>15</v>
      </c>
      <c r="L90" s="3797" t="s">
        <v>3471</v>
      </c>
      <c r="M90" s="3679"/>
      <c r="N90" s="2112" t="s">
        <v>6173</v>
      </c>
      <c r="O90" s="1709">
        <v>20</v>
      </c>
    </row>
    <row r="91" spans="2:15" ht="12.95" customHeight="1">
      <c r="B91" s="3796" t="s">
        <v>614</v>
      </c>
      <c r="C91" s="3673"/>
      <c r="D91" s="2113" t="s">
        <v>6172</v>
      </c>
      <c r="E91" s="1710">
        <v>15</v>
      </c>
      <c r="G91" s="3796" t="s">
        <v>1062</v>
      </c>
      <c r="H91" s="3673"/>
      <c r="I91" s="2113" t="s">
        <v>6171</v>
      </c>
      <c r="J91" s="1710">
        <v>15</v>
      </c>
      <c r="L91" s="3796" t="s">
        <v>6168</v>
      </c>
      <c r="M91" s="3673"/>
      <c r="N91" s="2113" t="s">
        <v>6173</v>
      </c>
      <c r="O91" s="1735">
        <v>12</v>
      </c>
    </row>
    <row r="92" spans="2:15" ht="12.95" customHeight="1">
      <c r="B92" s="3797" t="s">
        <v>3466</v>
      </c>
      <c r="C92" s="3679"/>
      <c r="D92" s="2112" t="s">
        <v>6172</v>
      </c>
      <c r="E92" s="1709">
        <v>15</v>
      </c>
      <c r="G92" s="3797" t="s">
        <v>150</v>
      </c>
      <c r="H92" s="3679"/>
      <c r="I92" s="2112" t="s">
        <v>6171</v>
      </c>
      <c r="J92" s="1709">
        <v>15</v>
      </c>
      <c r="L92" s="3797" t="s">
        <v>6169</v>
      </c>
      <c r="M92" s="3679"/>
      <c r="N92" s="2112" t="s">
        <v>6173</v>
      </c>
      <c r="O92" s="1734">
        <v>10</v>
      </c>
    </row>
    <row r="93" spans="2:15" ht="12.95" customHeight="1">
      <c r="B93" s="3796" t="s">
        <v>651</v>
      </c>
      <c r="C93" s="3673"/>
      <c r="D93" s="2113" t="s">
        <v>6172</v>
      </c>
      <c r="E93" s="1735">
        <v>6</v>
      </c>
      <c r="G93" s="3796" t="s">
        <v>653</v>
      </c>
      <c r="H93" s="3673"/>
      <c r="I93" s="2113" t="s">
        <v>6171</v>
      </c>
      <c r="J93" s="1710">
        <v>8</v>
      </c>
      <c r="L93" s="3796" t="s">
        <v>2670</v>
      </c>
      <c r="M93" s="3673"/>
      <c r="N93" s="2113" t="s">
        <v>6173</v>
      </c>
      <c r="O93" s="1735">
        <v>5</v>
      </c>
    </row>
    <row r="94" spans="2:15" ht="12.95" customHeight="1" thickBot="1">
      <c r="B94" s="3803" t="s">
        <v>2611</v>
      </c>
      <c r="C94" s="3804"/>
      <c r="D94" s="111" t="s">
        <v>6172</v>
      </c>
      <c r="E94" s="1736">
        <v>4</v>
      </c>
      <c r="G94" s="3803" t="s">
        <v>151</v>
      </c>
      <c r="H94" s="3804"/>
      <c r="I94" s="111" t="s">
        <v>6171</v>
      </c>
      <c r="J94" s="1736">
        <v>4</v>
      </c>
      <c r="L94" s="3803" t="s">
        <v>1223</v>
      </c>
      <c r="M94" s="3804"/>
      <c r="N94" s="111" t="s">
        <v>6173</v>
      </c>
      <c r="O94" s="1736">
        <v>4</v>
      </c>
    </row>
    <row r="95" spans="2:15" ht="12.95" customHeight="1">
      <c r="B95" s="3799" t="s">
        <v>2015</v>
      </c>
      <c r="C95" s="3800"/>
      <c r="D95" s="2114" t="s">
        <v>728</v>
      </c>
      <c r="E95" s="1707">
        <v>330</v>
      </c>
      <c r="G95" s="3799" t="s">
        <v>901</v>
      </c>
      <c r="H95" s="3800"/>
      <c r="I95" s="2114" t="s">
        <v>728</v>
      </c>
      <c r="J95" s="1707">
        <v>25</v>
      </c>
      <c r="K95" s="1030"/>
      <c r="L95" s="3799" t="s">
        <v>640</v>
      </c>
      <c r="M95" s="3800"/>
      <c r="N95" s="2114" t="s">
        <v>728</v>
      </c>
      <c r="O95" s="1707">
        <v>15</v>
      </c>
    </row>
    <row r="96" spans="2:15" ht="12.95" customHeight="1">
      <c r="B96" s="3797" t="s">
        <v>2014</v>
      </c>
      <c r="C96" s="3679"/>
      <c r="D96" s="2112" t="s">
        <v>728</v>
      </c>
      <c r="E96" s="1704">
        <v>70</v>
      </c>
      <c r="G96" s="3797" t="s">
        <v>1596</v>
      </c>
      <c r="H96" s="3679"/>
      <c r="I96" s="2112" t="s">
        <v>728</v>
      </c>
      <c r="J96" s="1704">
        <v>35</v>
      </c>
      <c r="K96" s="1030"/>
      <c r="L96" s="3797" t="s">
        <v>1063</v>
      </c>
      <c r="M96" s="3679"/>
      <c r="N96" s="2112" t="s">
        <v>728</v>
      </c>
      <c r="O96" s="1704">
        <v>15</v>
      </c>
    </row>
    <row r="97" spans="2:15" ht="12.95" customHeight="1">
      <c r="B97" s="3796" t="s">
        <v>3472</v>
      </c>
      <c r="C97" s="3673"/>
      <c r="D97" s="2113" t="s">
        <v>728</v>
      </c>
      <c r="E97" s="1705">
        <v>50</v>
      </c>
      <c r="G97" s="3796" t="s">
        <v>644</v>
      </c>
      <c r="H97" s="3673"/>
      <c r="I97" s="2113" t="s">
        <v>728</v>
      </c>
      <c r="J97" s="1705">
        <v>20</v>
      </c>
      <c r="K97" s="1030"/>
      <c r="L97" s="3796" t="s">
        <v>1985</v>
      </c>
      <c r="M97" s="3673"/>
      <c r="N97" s="2113" t="s">
        <v>728</v>
      </c>
      <c r="O97" s="1705">
        <v>1</v>
      </c>
    </row>
    <row r="98" spans="2:15" ht="12.95" customHeight="1" thickBot="1">
      <c r="B98" s="3803" t="s">
        <v>379</v>
      </c>
      <c r="C98" s="3804"/>
      <c r="D98" s="111" t="s">
        <v>728</v>
      </c>
      <c r="E98" s="1703">
        <v>50</v>
      </c>
      <c r="G98" s="3803" t="s">
        <v>6170</v>
      </c>
      <c r="H98" s="3804"/>
      <c r="I98" s="111" t="s">
        <v>728</v>
      </c>
      <c r="J98" s="1703">
        <v>25</v>
      </c>
      <c r="K98" s="1030"/>
      <c r="L98" s="3803" t="s">
        <v>726</v>
      </c>
      <c r="M98" s="3804"/>
      <c r="N98" s="111" t="s">
        <v>728</v>
      </c>
      <c r="O98" s="1703">
        <v>1</v>
      </c>
    </row>
    <row r="99" spans="2:15" ht="5.0999999999999996" customHeight="1"/>
    <row r="100" spans="2:15" ht="12.95" customHeight="1">
      <c r="B100" s="2960" t="s">
        <v>6176</v>
      </c>
      <c r="C100" s="2960"/>
      <c r="D100" s="2960"/>
      <c r="E100" s="2960"/>
      <c r="F100" s="2960"/>
      <c r="G100" s="2960"/>
      <c r="H100" s="2960"/>
      <c r="I100" s="2960"/>
      <c r="J100" s="2960"/>
      <c r="K100" s="2960"/>
      <c r="L100" s="2960"/>
      <c r="M100" s="2960"/>
      <c r="N100" s="2960"/>
      <c r="O100" s="2960"/>
    </row>
  </sheetData>
  <sheetProtection autoFilter="0"/>
  <mergeCells count="186">
    <mergeCell ref="G98:H98"/>
    <mergeCell ref="B98:C98"/>
    <mergeCell ref="L95:M95"/>
    <mergeCell ref="L96:M96"/>
    <mergeCell ref="L97:M97"/>
    <mergeCell ref="L98:M98"/>
    <mergeCell ref="B100:O100"/>
    <mergeCell ref="B96:C96"/>
    <mergeCell ref="B97:C97"/>
    <mergeCell ref="B95:C95"/>
    <mergeCell ref="B93:C93"/>
    <mergeCell ref="G93:H93"/>
    <mergeCell ref="L93:M93"/>
    <mergeCell ref="B94:C94"/>
    <mergeCell ref="G94:H94"/>
    <mergeCell ref="L94:M94"/>
    <mergeCell ref="G95:H95"/>
    <mergeCell ref="G96:H96"/>
    <mergeCell ref="G97:H97"/>
    <mergeCell ref="B91:C91"/>
    <mergeCell ref="G91:H91"/>
    <mergeCell ref="L91:M91"/>
    <mergeCell ref="B92:C92"/>
    <mergeCell ref="G92:H92"/>
    <mergeCell ref="L92:M92"/>
    <mergeCell ref="B89:C89"/>
    <mergeCell ref="G89:H89"/>
    <mergeCell ref="L89:M89"/>
    <mergeCell ref="B90:C90"/>
    <mergeCell ref="G90:H90"/>
    <mergeCell ref="L90:M90"/>
    <mergeCell ref="B87:C87"/>
    <mergeCell ref="G87:H87"/>
    <mergeCell ref="L87:M87"/>
    <mergeCell ref="B88:C88"/>
    <mergeCell ref="G88:H88"/>
    <mergeCell ref="L88:M88"/>
    <mergeCell ref="B85:C85"/>
    <mergeCell ref="G85:H85"/>
    <mergeCell ref="L85:M85"/>
    <mergeCell ref="B86:C86"/>
    <mergeCell ref="G86:H86"/>
    <mergeCell ref="L86:M86"/>
    <mergeCell ref="B83:C83"/>
    <mergeCell ref="G83:H83"/>
    <mergeCell ref="L83:M83"/>
    <mergeCell ref="B84:C84"/>
    <mergeCell ref="G84:H84"/>
    <mergeCell ref="L84:M84"/>
    <mergeCell ref="B81:C81"/>
    <mergeCell ref="G81:H81"/>
    <mergeCell ref="L81:M81"/>
    <mergeCell ref="B82:C82"/>
    <mergeCell ref="G82:H82"/>
    <mergeCell ref="L82:M82"/>
    <mergeCell ref="B80:C80"/>
    <mergeCell ref="G80:H80"/>
    <mergeCell ref="L80:M80"/>
    <mergeCell ref="B78:C78"/>
    <mergeCell ref="G78:H78"/>
    <mergeCell ref="L78:M78"/>
    <mergeCell ref="B79:C79"/>
    <mergeCell ref="G79:H79"/>
    <mergeCell ref="L79:M79"/>
    <mergeCell ref="B76:C76"/>
    <mergeCell ref="G76:H76"/>
    <mergeCell ref="L76:M76"/>
    <mergeCell ref="B77:C77"/>
    <mergeCell ref="G77:H77"/>
    <mergeCell ref="L77:M77"/>
    <mergeCell ref="B74:C74"/>
    <mergeCell ref="G74:H74"/>
    <mergeCell ref="L74:M74"/>
    <mergeCell ref="B75:C75"/>
    <mergeCell ref="G75:H75"/>
    <mergeCell ref="L75:M75"/>
    <mergeCell ref="B72:C72"/>
    <mergeCell ref="G72:H72"/>
    <mergeCell ref="L72:M72"/>
    <mergeCell ref="B73:C73"/>
    <mergeCell ref="G73:H73"/>
    <mergeCell ref="L73:M73"/>
    <mergeCell ref="B70:C70"/>
    <mergeCell ref="G70:H70"/>
    <mergeCell ref="L70:M70"/>
    <mergeCell ref="B71:C71"/>
    <mergeCell ref="G71:H71"/>
    <mergeCell ref="L71:M71"/>
    <mergeCell ref="B68:C68"/>
    <mergeCell ref="G68:H68"/>
    <mergeCell ref="L68:M68"/>
    <mergeCell ref="B69:C69"/>
    <mergeCell ref="G69:H69"/>
    <mergeCell ref="L69:M69"/>
    <mergeCell ref="B67:C67"/>
    <mergeCell ref="G67:H67"/>
    <mergeCell ref="L67:M67"/>
    <mergeCell ref="C1:O1"/>
    <mergeCell ref="B3:O3"/>
    <mergeCell ref="C6:O6"/>
    <mergeCell ref="C7:O7"/>
    <mergeCell ref="C8:O8"/>
    <mergeCell ref="B10:O10"/>
    <mergeCell ref="B11:O11"/>
    <mergeCell ref="B12:O12"/>
    <mergeCell ref="C13:O13"/>
    <mergeCell ref="B4:O4"/>
    <mergeCell ref="L59:M59"/>
    <mergeCell ref="L54:M54"/>
    <mergeCell ref="B25:O25"/>
    <mergeCell ref="B26:O26"/>
    <mergeCell ref="B27:O27"/>
    <mergeCell ref="B28:O28"/>
    <mergeCell ref="B29:O29"/>
    <mergeCell ref="L66:M66"/>
    <mergeCell ref="G65:H65"/>
    <mergeCell ref="G66:H66"/>
    <mergeCell ref="L52:M52"/>
    <mergeCell ref="L62:M62"/>
    <mergeCell ref="L63:M63"/>
    <mergeCell ref="L64:M64"/>
    <mergeCell ref="L65:M65"/>
    <mergeCell ref="G60:H60"/>
    <mergeCell ref="G61:H61"/>
    <mergeCell ref="G62:H62"/>
    <mergeCell ref="G63:H63"/>
    <mergeCell ref="G64:H64"/>
    <mergeCell ref="B64:C64"/>
    <mergeCell ref="B65:C65"/>
    <mergeCell ref="B66:C66"/>
    <mergeCell ref="B63:C63"/>
    <mergeCell ref="G55:H55"/>
    <mergeCell ref="G56:H56"/>
    <mergeCell ref="D47:O47"/>
    <mergeCell ref="C45:O45"/>
    <mergeCell ref="B52:C52"/>
    <mergeCell ref="B53:C53"/>
    <mergeCell ref="D48:O48"/>
    <mergeCell ref="D49:O49"/>
    <mergeCell ref="B51:O51"/>
    <mergeCell ref="L56:M56"/>
    <mergeCell ref="B54:C54"/>
    <mergeCell ref="B55:C55"/>
    <mergeCell ref="L55:M55"/>
    <mergeCell ref="G57:H57"/>
    <mergeCell ref="G58:H58"/>
    <mergeCell ref="G59:H59"/>
    <mergeCell ref="B59:C59"/>
    <mergeCell ref="C35:O35"/>
    <mergeCell ref="H36:O39"/>
    <mergeCell ref="L53:M53"/>
    <mergeCell ref="B62:C62"/>
    <mergeCell ref="L60:M60"/>
    <mergeCell ref="L61:M61"/>
    <mergeCell ref="L57:M57"/>
    <mergeCell ref="L58:M58"/>
    <mergeCell ref="B60:C60"/>
    <mergeCell ref="B61:C61"/>
    <mergeCell ref="B56:C56"/>
    <mergeCell ref="B57:C57"/>
    <mergeCell ref="B58:C58"/>
    <mergeCell ref="F36:G36"/>
    <mergeCell ref="F37:G37"/>
    <mergeCell ref="F38:G38"/>
    <mergeCell ref="E39:G39"/>
    <mergeCell ref="G52:H52"/>
    <mergeCell ref="G53:H53"/>
    <mergeCell ref="G54:H54"/>
    <mergeCell ref="C20:O20"/>
    <mergeCell ref="C21:O21"/>
    <mergeCell ref="C22:O22"/>
    <mergeCell ref="B24:O24"/>
    <mergeCell ref="B41:O41"/>
    <mergeCell ref="C42:O42"/>
    <mergeCell ref="C43:O43"/>
    <mergeCell ref="C44:O44"/>
    <mergeCell ref="C14:O14"/>
    <mergeCell ref="C15:O15"/>
    <mergeCell ref="C16:O16"/>
    <mergeCell ref="C17:O17"/>
    <mergeCell ref="C18:O18"/>
    <mergeCell ref="C19:O19"/>
    <mergeCell ref="B30:O30"/>
    <mergeCell ref="B31:O31"/>
    <mergeCell ref="C32:O32"/>
    <mergeCell ref="C33:O33"/>
  </mergeCells>
  <hyperlinks>
    <hyperlink ref="B1" location="Index!A1" display="Назад"/>
    <hyperlink ref="C33:O33" location="'3.10'!A1" display="AI_Value - ценность типа существа (см.раздел 3.10)."/>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2" manualBreakCount="2">
    <brk id="33" max="14" man="1"/>
    <brk id="66" max="14" man="1"/>
  </rowBreaks>
  <drawing r:id="rId2"/>
</worksheet>
</file>

<file path=xl/worksheets/sheet64.xml><?xml version="1.0" encoding="utf-8"?>
<worksheet xmlns="http://schemas.openxmlformats.org/spreadsheetml/2006/main" xmlns:r="http://schemas.openxmlformats.org/officeDocument/2006/relationships">
  <dimension ref="B1:F79"/>
  <sheetViews>
    <sheetView zoomScaleNormal="100" workbookViewId="0">
      <pane ySplit="5" topLeftCell="A6" activePane="bottomLeft" state="frozen"/>
      <selection pane="bottomLeft"/>
    </sheetView>
  </sheetViews>
  <sheetFormatPr defaultRowHeight="12.95" customHeight="1"/>
  <cols>
    <col min="1" max="1" width="3.7109375" style="377" customWidth="1"/>
    <col min="2" max="2" width="28.5703125" style="377" customWidth="1"/>
    <col min="3" max="3" width="24" style="377" customWidth="1"/>
    <col min="4" max="4" width="23" style="377" customWidth="1"/>
    <col min="5" max="5" width="25.28515625" style="377" customWidth="1"/>
    <col min="6" max="6" width="26" style="377" customWidth="1"/>
    <col min="7" max="16384" width="9.140625" style="377"/>
  </cols>
  <sheetData>
    <row r="1" spans="2:6" s="393" customFormat="1" ht="12.95" customHeight="1">
      <c r="B1" s="460" t="s">
        <v>2706</v>
      </c>
      <c r="C1" s="2990" t="s">
        <v>8269</v>
      </c>
      <c r="D1" s="2990"/>
      <c r="E1" s="2990"/>
      <c r="F1" s="2990"/>
    </row>
    <row r="2" spans="2:6" s="393" customFormat="1" ht="5.0999999999999996" customHeight="1"/>
    <row r="3" spans="2:6" s="415" customFormat="1" ht="12.95" customHeight="1">
      <c r="B3" s="2982" t="s">
        <v>4934</v>
      </c>
      <c r="C3" s="2982"/>
      <c r="D3" s="2982"/>
      <c r="E3" s="2982"/>
      <c r="F3" s="2982"/>
    </row>
    <row r="4" spans="2:6" s="522" customFormat="1" ht="11.25">
      <c r="B4" s="3494" t="s">
        <v>5735</v>
      </c>
      <c r="C4" s="3494"/>
      <c r="D4" s="3494"/>
      <c r="E4" s="3494"/>
      <c r="F4" s="3494"/>
    </row>
    <row r="5" spans="2:6" s="393" customFormat="1" ht="5.0999999999999996" customHeight="1">
      <c r="B5" s="514"/>
      <c r="C5" s="514"/>
      <c r="D5" s="514"/>
      <c r="E5" s="514"/>
      <c r="F5" s="514"/>
    </row>
    <row r="6" spans="2:6" ht="65.099999999999994" customHeight="1">
      <c r="B6" s="3594" t="s">
        <v>10110</v>
      </c>
      <c r="C6" s="3825"/>
      <c r="D6" s="3825"/>
      <c r="E6" s="3825"/>
      <c r="F6" s="3825"/>
    </row>
    <row r="7" spans="2:6" ht="65.099999999999994" customHeight="1">
      <c r="B7" s="3594" t="s">
        <v>9187</v>
      </c>
      <c r="C7" s="3825"/>
      <c r="D7" s="3825"/>
      <c r="E7" s="3825"/>
      <c r="F7" s="3825"/>
    </row>
    <row r="8" spans="2:6" ht="26.1" customHeight="1">
      <c r="B8" s="3594" t="s">
        <v>9188</v>
      </c>
      <c r="C8" s="3825"/>
      <c r="D8" s="3825"/>
      <c r="E8" s="3825"/>
      <c r="F8" s="3825"/>
    </row>
    <row r="9" spans="2:6" ht="12.95" customHeight="1">
      <c r="B9" s="3264" t="s">
        <v>9189</v>
      </c>
      <c r="C9" s="3264"/>
      <c r="D9" s="3264"/>
      <c r="E9" s="3264"/>
      <c r="F9" s="3264"/>
    </row>
    <row r="10" spans="2:6" ht="5.0999999999999996" customHeight="1" thickBot="1"/>
    <row r="11" spans="2:6" ht="12.95" customHeight="1" thickBot="1">
      <c r="B11" s="163" t="s">
        <v>310</v>
      </c>
      <c r="C11" s="3675" t="s">
        <v>3621</v>
      </c>
      <c r="D11" s="3649"/>
      <c r="E11" s="3649" t="s">
        <v>4906</v>
      </c>
      <c r="F11" s="3650"/>
    </row>
    <row r="12" spans="2:6" ht="12.95" customHeight="1">
      <c r="B12" s="3826" t="s">
        <v>2141</v>
      </c>
      <c r="C12" s="3805" t="s">
        <v>4907</v>
      </c>
      <c r="D12" s="3806"/>
      <c r="E12" s="3677" t="s">
        <v>4927</v>
      </c>
      <c r="F12" s="3678"/>
    </row>
    <row r="13" spans="2:6" ht="26.1" customHeight="1">
      <c r="B13" s="3827"/>
      <c r="C13" s="3807" t="s">
        <v>4908</v>
      </c>
      <c r="D13" s="3808"/>
      <c r="E13" s="3679" t="s">
        <v>5736</v>
      </c>
      <c r="F13" s="3680"/>
    </row>
    <row r="14" spans="2:6" ht="26.1" customHeight="1" thickBot="1">
      <c r="B14" s="3828"/>
      <c r="C14" s="3809" t="s">
        <v>4909</v>
      </c>
      <c r="D14" s="3810"/>
      <c r="E14" s="3815" t="s">
        <v>5740</v>
      </c>
      <c r="F14" s="3816"/>
    </row>
    <row r="15" spans="2:6" ht="12.95" customHeight="1">
      <c r="B15" s="3829" t="s">
        <v>893</v>
      </c>
      <c r="C15" s="3811" t="s">
        <v>4910</v>
      </c>
      <c r="D15" s="3812"/>
      <c r="E15" s="3813" t="s">
        <v>4929</v>
      </c>
      <c r="F15" s="3814"/>
    </row>
    <row r="16" spans="2:6" ht="12.95" customHeight="1" thickBot="1">
      <c r="B16" s="3830"/>
      <c r="C16" s="3840" t="s">
        <v>4911</v>
      </c>
      <c r="D16" s="3841"/>
      <c r="E16" s="3684" t="s">
        <v>4928</v>
      </c>
      <c r="F16" s="3685"/>
    </row>
    <row r="17" spans="2:6" ht="12.95" customHeight="1">
      <c r="B17" s="3826" t="s">
        <v>626</v>
      </c>
      <c r="C17" s="3842" t="s">
        <v>4912</v>
      </c>
      <c r="D17" s="3843"/>
      <c r="E17" s="3823" t="s">
        <v>6123</v>
      </c>
      <c r="F17" s="3824"/>
    </row>
    <row r="18" spans="2:6" ht="12.95" customHeight="1">
      <c r="B18" s="3827"/>
      <c r="C18" s="3838" t="s">
        <v>4913</v>
      </c>
      <c r="D18" s="3839"/>
      <c r="E18" s="3673" t="s">
        <v>4929</v>
      </c>
      <c r="F18" s="3674"/>
    </row>
    <row r="19" spans="2:6" ht="12.95" customHeight="1" thickBot="1">
      <c r="B19" s="3828"/>
      <c r="C19" s="3845" t="s">
        <v>4914</v>
      </c>
      <c r="D19" s="3846"/>
      <c r="E19" s="3821" t="s">
        <v>4930</v>
      </c>
      <c r="F19" s="3822"/>
    </row>
    <row r="20" spans="2:6" ht="26.1" customHeight="1" thickBot="1">
      <c r="B20" s="524" t="s">
        <v>2557</v>
      </c>
      <c r="C20" s="3847" t="s">
        <v>4915</v>
      </c>
      <c r="D20" s="3848"/>
      <c r="E20" s="3819" t="s">
        <v>5737</v>
      </c>
      <c r="F20" s="3820"/>
    </row>
    <row r="21" spans="2:6" ht="26.1" customHeight="1" thickBot="1">
      <c r="B21" s="524" t="s">
        <v>625</v>
      </c>
      <c r="C21" s="3831" t="s">
        <v>4916</v>
      </c>
      <c r="D21" s="3832"/>
      <c r="E21" s="3817" t="s">
        <v>5738</v>
      </c>
      <c r="F21" s="3818"/>
    </row>
    <row r="22" spans="2:6" ht="26.1" customHeight="1">
      <c r="B22" s="3829" t="s">
        <v>2259</v>
      </c>
      <c r="C22" s="3833" t="s">
        <v>4917</v>
      </c>
      <c r="D22" s="3834"/>
      <c r="E22" s="3800" t="s">
        <v>5737</v>
      </c>
      <c r="F22" s="3844"/>
    </row>
    <row r="23" spans="2:6" ht="26.1" customHeight="1">
      <c r="B23" s="3827"/>
      <c r="C23" s="3807" t="s">
        <v>4918</v>
      </c>
      <c r="D23" s="3808"/>
      <c r="E23" s="3679" t="s">
        <v>5739</v>
      </c>
      <c r="F23" s="3680"/>
    </row>
    <row r="24" spans="2:6" ht="12.95" customHeight="1">
      <c r="B24" s="3827"/>
      <c r="C24" s="3835" t="s">
        <v>965</v>
      </c>
      <c r="D24" s="3836"/>
      <c r="E24" s="3836"/>
      <c r="F24" s="3837"/>
    </row>
    <row r="25" spans="2:6" ht="12.95" customHeight="1">
      <c r="B25" s="3827"/>
      <c r="C25" s="3838" t="s">
        <v>4919</v>
      </c>
      <c r="D25" s="3839"/>
      <c r="E25" s="3673" t="s">
        <v>4931</v>
      </c>
      <c r="F25" s="3674"/>
    </row>
    <row r="26" spans="2:6" ht="12.95" customHeight="1">
      <c r="B26" s="3827"/>
      <c r="C26" s="3807" t="s">
        <v>4920</v>
      </c>
      <c r="D26" s="3808"/>
      <c r="E26" s="3679" t="s">
        <v>4932</v>
      </c>
      <c r="F26" s="3680"/>
    </row>
    <row r="27" spans="2:6" ht="26.1" customHeight="1">
      <c r="B27" s="3827"/>
      <c r="C27" s="3838" t="s">
        <v>4921</v>
      </c>
      <c r="D27" s="3839"/>
      <c r="E27" s="3673" t="s">
        <v>5737</v>
      </c>
      <c r="F27" s="3674"/>
    </row>
    <row r="28" spans="2:6" ht="12.95" customHeight="1">
      <c r="B28" s="3827"/>
      <c r="C28" s="3807" t="s">
        <v>4922</v>
      </c>
      <c r="D28" s="3808"/>
      <c r="E28" s="3679" t="s">
        <v>5741</v>
      </c>
      <c r="F28" s="3680"/>
    </row>
    <row r="29" spans="2:6" ht="12.95" customHeight="1" thickBot="1">
      <c r="B29" s="3830"/>
      <c r="C29" s="3840" t="s">
        <v>4923</v>
      </c>
      <c r="D29" s="3841"/>
      <c r="E29" s="3684" t="s">
        <v>4930</v>
      </c>
      <c r="F29" s="3685"/>
    </row>
    <row r="30" spans="2:6" ht="12.95" customHeight="1">
      <c r="B30" s="523" t="s">
        <v>2156</v>
      </c>
      <c r="C30" s="3849" t="s">
        <v>4933</v>
      </c>
      <c r="D30" s="3336"/>
      <c r="E30" s="3336"/>
      <c r="F30" s="3850"/>
    </row>
    <row r="31" spans="2:6" ht="12.95" customHeight="1">
      <c r="B31" s="517" t="s">
        <v>627</v>
      </c>
      <c r="C31" s="3851"/>
      <c r="D31" s="3609"/>
      <c r="E31" s="3609"/>
      <c r="F31" s="3852"/>
    </row>
    <row r="32" spans="2:6" ht="12.95" customHeight="1" thickBot="1">
      <c r="B32" s="525" t="s">
        <v>628</v>
      </c>
      <c r="C32" s="3853"/>
      <c r="D32" s="3334"/>
      <c r="E32" s="3334"/>
      <c r="F32" s="3854"/>
    </row>
    <row r="33" spans="2:6" ht="12.95" customHeight="1">
      <c r="B33" s="3829" t="s">
        <v>506</v>
      </c>
      <c r="C33" s="3833" t="s">
        <v>4924</v>
      </c>
      <c r="D33" s="3834"/>
      <c r="E33" s="3800" t="s">
        <v>4929</v>
      </c>
      <c r="F33" s="3844"/>
    </row>
    <row r="34" spans="2:6" ht="26.1" customHeight="1">
      <c r="B34" s="3827"/>
      <c r="C34" s="3807" t="s">
        <v>4925</v>
      </c>
      <c r="D34" s="3808"/>
      <c r="E34" s="3679" t="s">
        <v>5738</v>
      </c>
      <c r="F34" s="3680"/>
    </row>
    <row r="35" spans="2:6" ht="26.1" customHeight="1" thickBot="1">
      <c r="B35" s="3830"/>
      <c r="C35" s="3840" t="s">
        <v>4926</v>
      </c>
      <c r="D35" s="3841"/>
      <c r="E35" s="3684" t="s">
        <v>5736</v>
      </c>
      <c r="F35" s="3685"/>
    </row>
    <row r="36" spans="2:6" ht="12.95" customHeight="1">
      <c r="B36" s="3594" t="s">
        <v>9190</v>
      </c>
      <c r="C36" s="3825"/>
      <c r="D36" s="3825"/>
      <c r="E36" s="3825"/>
      <c r="F36" s="3825"/>
    </row>
    <row r="37" spans="2:6" ht="5.0999999999999996" customHeight="1"/>
    <row r="38" spans="2:6" ht="12.95" customHeight="1">
      <c r="B38" s="3266" t="s">
        <v>4935</v>
      </c>
      <c r="C38" s="3266"/>
      <c r="D38" s="3266"/>
      <c r="E38" s="3266"/>
      <c r="F38" s="3266"/>
    </row>
    <row r="39" spans="2:6" ht="5.0999999999999996" customHeight="1"/>
    <row r="40" spans="2:6" ht="65.099999999999994" customHeight="1">
      <c r="B40" s="3594" t="s">
        <v>10111</v>
      </c>
      <c r="C40" s="3825"/>
      <c r="D40" s="3825"/>
      <c r="E40" s="3825"/>
      <c r="F40" s="3825"/>
    </row>
    <row r="41" spans="2:6" ht="39" customHeight="1">
      <c r="B41" s="3594" t="s">
        <v>10112</v>
      </c>
      <c r="C41" s="3825"/>
      <c r="D41" s="3825"/>
      <c r="E41" s="3825"/>
      <c r="F41" s="3825"/>
    </row>
    <row r="42" spans="2:6" ht="90.95" customHeight="1">
      <c r="B42" s="3594" t="s">
        <v>9191</v>
      </c>
      <c r="C42" s="3825"/>
      <c r="D42" s="3825"/>
      <c r="E42" s="3825"/>
      <c r="F42" s="3825"/>
    </row>
    <row r="43" spans="2:6" ht="12.95" customHeight="1" thickBot="1"/>
    <row r="44" spans="2:6" ht="12.95" customHeight="1" thickBot="1">
      <c r="B44" s="335" t="s">
        <v>3621</v>
      </c>
      <c r="C44" s="3649" t="s">
        <v>4906</v>
      </c>
      <c r="D44" s="3649"/>
      <c r="E44" s="3649" t="s">
        <v>4936</v>
      </c>
      <c r="F44" s="3650"/>
    </row>
    <row r="45" spans="2:6" ht="26.1" customHeight="1">
      <c r="B45" s="519" t="s">
        <v>4907</v>
      </c>
      <c r="C45" s="3677" t="s">
        <v>4927</v>
      </c>
      <c r="D45" s="3677"/>
      <c r="E45" s="3677" t="s">
        <v>4927</v>
      </c>
      <c r="F45" s="3678"/>
    </row>
    <row r="46" spans="2:6" ht="26.1" customHeight="1">
      <c r="B46" s="231" t="s">
        <v>4937</v>
      </c>
      <c r="C46" s="3679" t="s">
        <v>5736</v>
      </c>
      <c r="D46" s="3679"/>
      <c r="E46" s="3679" t="s">
        <v>5742</v>
      </c>
      <c r="F46" s="3680"/>
    </row>
    <row r="47" spans="2:6" ht="26.1" customHeight="1">
      <c r="B47" s="520" t="s">
        <v>4909</v>
      </c>
      <c r="C47" s="3673" t="s">
        <v>5740</v>
      </c>
      <c r="D47" s="3673"/>
      <c r="E47" s="3673" t="s">
        <v>137</v>
      </c>
      <c r="F47" s="3674"/>
    </row>
    <row r="48" spans="2:6" ht="12.95" customHeight="1">
      <c r="B48" s="231" t="s">
        <v>4910</v>
      </c>
      <c r="C48" s="3679" t="s">
        <v>4929</v>
      </c>
      <c r="D48" s="3679"/>
      <c r="E48" s="3679" t="s">
        <v>137</v>
      </c>
      <c r="F48" s="3680"/>
    </row>
    <row r="49" spans="2:6" ht="12.95" customHeight="1">
      <c r="B49" s="520" t="s">
        <v>4911</v>
      </c>
      <c r="C49" s="3673" t="s">
        <v>4928</v>
      </c>
      <c r="D49" s="3673"/>
      <c r="E49" s="3673" t="s">
        <v>137</v>
      </c>
      <c r="F49" s="3674"/>
    </row>
    <row r="50" spans="2:6" ht="26.1" customHeight="1">
      <c r="B50" s="231" t="s">
        <v>4912</v>
      </c>
      <c r="C50" s="3679" t="s">
        <v>6123</v>
      </c>
      <c r="D50" s="3679"/>
      <c r="E50" s="3679" t="s">
        <v>6123</v>
      </c>
      <c r="F50" s="3680"/>
    </row>
    <row r="51" spans="2:6" ht="12.95" customHeight="1">
      <c r="B51" s="520" t="s">
        <v>4913</v>
      </c>
      <c r="C51" s="3673" t="s">
        <v>4929</v>
      </c>
      <c r="D51" s="3673"/>
      <c r="E51" s="3673" t="s">
        <v>137</v>
      </c>
      <c r="F51" s="3674"/>
    </row>
    <row r="52" spans="2:6" ht="12.95" customHeight="1">
      <c r="B52" s="231" t="s">
        <v>4914</v>
      </c>
      <c r="C52" s="3679" t="s">
        <v>4930</v>
      </c>
      <c r="D52" s="3679"/>
      <c r="E52" s="3679" t="s">
        <v>137</v>
      </c>
      <c r="F52" s="3680"/>
    </row>
    <row r="53" spans="2:6" ht="26.1" customHeight="1">
      <c r="B53" s="520" t="s">
        <v>4915</v>
      </c>
      <c r="C53" s="3673" t="s">
        <v>5737</v>
      </c>
      <c r="D53" s="3673"/>
      <c r="E53" s="3673" t="s">
        <v>6122</v>
      </c>
      <c r="F53" s="3674"/>
    </row>
    <row r="54" spans="2:6" ht="39" customHeight="1">
      <c r="B54" s="231" t="s">
        <v>4938</v>
      </c>
      <c r="C54" s="3679" t="s">
        <v>5738</v>
      </c>
      <c r="D54" s="3679"/>
      <c r="E54" s="3679" t="s">
        <v>5743</v>
      </c>
      <c r="F54" s="3680"/>
    </row>
    <row r="55" spans="2:6" ht="26.1" customHeight="1">
      <c r="B55" s="520" t="s">
        <v>4918</v>
      </c>
      <c r="C55" s="3673" t="s">
        <v>5739</v>
      </c>
      <c r="D55" s="3673"/>
      <c r="E55" s="3673" t="s">
        <v>5742</v>
      </c>
      <c r="F55" s="3674"/>
    </row>
    <row r="56" spans="2:6" ht="26.1" customHeight="1">
      <c r="B56" s="231" t="s">
        <v>4917</v>
      </c>
      <c r="C56" s="3679" t="s">
        <v>5737</v>
      </c>
      <c r="D56" s="3679"/>
      <c r="E56" s="3679" t="s">
        <v>6122</v>
      </c>
      <c r="F56" s="3680"/>
    </row>
    <row r="57" spans="2:6" ht="12.95" customHeight="1">
      <c r="B57" s="520" t="s">
        <v>4924</v>
      </c>
      <c r="C57" s="3673" t="s">
        <v>4929</v>
      </c>
      <c r="D57" s="3673"/>
      <c r="E57" s="3673" t="s">
        <v>137</v>
      </c>
      <c r="F57" s="3674"/>
    </row>
    <row r="58" spans="2:6" ht="12.95" customHeight="1">
      <c r="B58" s="3855" t="s">
        <v>5298</v>
      </c>
      <c r="C58" s="3856"/>
      <c r="D58" s="3856"/>
      <c r="E58" s="3856"/>
      <c r="F58" s="3857"/>
    </row>
    <row r="59" spans="2:6" ht="26.1" customHeight="1">
      <c r="B59" s="520" t="s">
        <v>4919</v>
      </c>
      <c r="C59" s="3673" t="s">
        <v>4931</v>
      </c>
      <c r="D59" s="3673"/>
      <c r="E59" s="3858" t="s">
        <v>137</v>
      </c>
      <c r="F59" s="3674"/>
    </row>
    <row r="60" spans="2:6" ht="12.95" customHeight="1">
      <c r="B60" s="231" t="s">
        <v>4920</v>
      </c>
      <c r="C60" s="3679" t="s">
        <v>4932</v>
      </c>
      <c r="D60" s="3679"/>
      <c r="E60" s="3679" t="s">
        <v>137</v>
      </c>
      <c r="F60" s="3680"/>
    </row>
    <row r="61" spans="2:6" ht="26.1" customHeight="1">
      <c r="B61" s="520" t="s">
        <v>4921</v>
      </c>
      <c r="C61" s="3673" t="s">
        <v>5737</v>
      </c>
      <c r="D61" s="3673"/>
      <c r="E61" s="3673" t="s">
        <v>6122</v>
      </c>
      <c r="F61" s="3674"/>
    </row>
    <row r="62" spans="2:6" ht="26.1" customHeight="1">
      <c r="B62" s="231" t="s">
        <v>4922</v>
      </c>
      <c r="C62" s="3679" t="s">
        <v>5741</v>
      </c>
      <c r="D62" s="3679"/>
      <c r="E62" s="3679" t="s">
        <v>137</v>
      </c>
      <c r="F62" s="3680"/>
    </row>
    <row r="63" spans="2:6" ht="12.95" customHeight="1" thickBot="1">
      <c r="B63" s="521" t="s">
        <v>4923</v>
      </c>
      <c r="C63" s="3684" t="s">
        <v>4930</v>
      </c>
      <c r="D63" s="3684"/>
      <c r="E63" s="3684" t="s">
        <v>137</v>
      </c>
      <c r="F63" s="3685"/>
    </row>
    <row r="64" spans="2:6" ht="5.0999999999999996" customHeight="1"/>
    <row r="65" spans="2:6" ht="12.95" customHeight="1">
      <c r="B65" s="3266" t="s">
        <v>4939</v>
      </c>
      <c r="C65" s="3266"/>
      <c r="D65" s="3266"/>
      <c r="E65" s="3266"/>
      <c r="F65" s="3266"/>
    </row>
    <row r="66" spans="2:6" ht="5.0999999999999996" customHeight="1"/>
    <row r="67" spans="2:6" ht="65.099999999999994" customHeight="1">
      <c r="B67" s="3594" t="s">
        <v>9192</v>
      </c>
      <c r="C67" s="3825"/>
      <c r="D67" s="3825"/>
      <c r="E67" s="3825"/>
      <c r="F67" s="3825"/>
    </row>
    <row r="68" spans="2:6" ht="26.1" customHeight="1">
      <c r="B68" s="3594" t="s">
        <v>9193</v>
      </c>
      <c r="C68" s="3825"/>
      <c r="D68" s="3825"/>
      <c r="E68" s="3825"/>
      <c r="F68" s="3825"/>
    </row>
    <row r="69" spans="2:6" ht="39" customHeight="1">
      <c r="B69" s="3594" t="s">
        <v>9194</v>
      </c>
      <c r="C69" s="3825"/>
      <c r="D69" s="3825"/>
      <c r="E69" s="3825"/>
      <c r="F69" s="3825"/>
    </row>
    <row r="70" spans="2:6" ht="26.1" customHeight="1">
      <c r="B70" s="3594" t="s">
        <v>9195</v>
      </c>
      <c r="C70" s="3825"/>
      <c r="D70" s="3825"/>
      <c r="E70" s="3825"/>
      <c r="F70" s="3825"/>
    </row>
    <row r="71" spans="2:6" ht="51.95" customHeight="1">
      <c r="B71" s="3594" t="s">
        <v>9196</v>
      </c>
      <c r="C71" s="3825"/>
      <c r="D71" s="3825"/>
      <c r="E71" s="3825"/>
      <c r="F71" s="3825"/>
    </row>
    <row r="72" spans="2:6" ht="5.0999999999999996" customHeight="1">
      <c r="B72" s="1689"/>
      <c r="C72" s="1690"/>
      <c r="D72" s="1690"/>
      <c r="E72" s="1690"/>
      <c r="F72" s="1690"/>
    </row>
    <row r="73" spans="2:6" ht="12.95" customHeight="1">
      <c r="B73" s="3594" t="s">
        <v>9197</v>
      </c>
      <c r="C73" s="3594"/>
      <c r="D73" s="3594"/>
      <c r="E73" s="3594"/>
      <c r="F73" s="3594"/>
    </row>
    <row r="74" spans="2:6" ht="5.0999999999999996" customHeight="1"/>
    <row r="75" spans="2:6" ht="12.95" customHeight="1">
      <c r="B75" s="3266" t="s">
        <v>4940</v>
      </c>
      <c r="C75" s="3266"/>
      <c r="D75" s="3266"/>
      <c r="E75" s="3266"/>
      <c r="F75" s="3266"/>
    </row>
    <row r="76" spans="2:6" ht="5.0999999999999996" customHeight="1"/>
    <row r="77" spans="2:6" ht="26.1" customHeight="1">
      <c r="B77" s="3597" t="s">
        <v>9198</v>
      </c>
      <c r="C77" s="3825"/>
      <c r="D77" s="3825"/>
      <c r="E77" s="3825"/>
      <c r="F77" s="3825"/>
    </row>
    <row r="78" spans="2:6" ht="39" customHeight="1">
      <c r="B78" s="3597" t="s">
        <v>9199</v>
      </c>
      <c r="C78" s="3825"/>
      <c r="D78" s="3825"/>
      <c r="E78" s="3825"/>
      <c r="F78" s="3825"/>
    </row>
    <row r="79" spans="2:6" ht="26.1" customHeight="1">
      <c r="B79" s="3597" t="s">
        <v>9755</v>
      </c>
      <c r="C79" s="3825"/>
      <c r="D79" s="3825"/>
      <c r="E79" s="3825"/>
      <c r="F79" s="3825"/>
    </row>
  </sheetData>
  <sheetProtection autoFilter="0"/>
  <mergeCells count="111">
    <mergeCell ref="C63:D63"/>
    <mergeCell ref="C54:D54"/>
    <mergeCell ref="C55:D55"/>
    <mergeCell ref="C59:D59"/>
    <mergeCell ref="C60:D60"/>
    <mergeCell ref="C48:D48"/>
    <mergeCell ref="C46:D46"/>
    <mergeCell ref="C47:D47"/>
    <mergeCell ref="E46:F46"/>
    <mergeCell ref="E47:F47"/>
    <mergeCell ref="B58:F58"/>
    <mergeCell ref="C53:D53"/>
    <mergeCell ref="E53:F53"/>
    <mergeCell ref="C50:D50"/>
    <mergeCell ref="C51:D51"/>
    <mergeCell ref="C52:D52"/>
    <mergeCell ref="E52:F52"/>
    <mergeCell ref="E55:F55"/>
    <mergeCell ref="E59:F59"/>
    <mergeCell ref="E50:F50"/>
    <mergeCell ref="C45:D45"/>
    <mergeCell ref="B79:F79"/>
    <mergeCell ref="B73:F73"/>
    <mergeCell ref="C1:F1"/>
    <mergeCell ref="B68:F68"/>
    <mergeCell ref="B69:F69"/>
    <mergeCell ref="B70:F70"/>
    <mergeCell ref="B78:F78"/>
    <mergeCell ref="B71:F71"/>
    <mergeCell ref="B75:F75"/>
    <mergeCell ref="B77:F77"/>
    <mergeCell ref="B65:F65"/>
    <mergeCell ref="B67:F67"/>
    <mergeCell ref="E61:F61"/>
    <mergeCell ref="E62:F62"/>
    <mergeCell ref="E63:F63"/>
    <mergeCell ref="C62:D62"/>
    <mergeCell ref="C61:D61"/>
    <mergeCell ref="E54:F54"/>
    <mergeCell ref="E60:F60"/>
    <mergeCell ref="C56:D56"/>
    <mergeCell ref="C57:D57"/>
    <mergeCell ref="E56:F56"/>
    <mergeCell ref="E57:F57"/>
    <mergeCell ref="E44:F44"/>
    <mergeCell ref="E45:F45"/>
    <mergeCell ref="C35:D35"/>
    <mergeCell ref="E35:F35"/>
    <mergeCell ref="E34:F34"/>
    <mergeCell ref="E33:F33"/>
    <mergeCell ref="C49:D49"/>
    <mergeCell ref="E51:F51"/>
    <mergeCell ref="C19:D19"/>
    <mergeCell ref="C20:D20"/>
    <mergeCell ref="B36:F36"/>
    <mergeCell ref="B40:F40"/>
    <mergeCell ref="B38:F38"/>
    <mergeCell ref="B33:B35"/>
    <mergeCell ref="B41:F41"/>
    <mergeCell ref="B42:F42"/>
    <mergeCell ref="C44:D44"/>
    <mergeCell ref="E23:F23"/>
    <mergeCell ref="E22:F22"/>
    <mergeCell ref="C30:F32"/>
    <mergeCell ref="C33:D33"/>
    <mergeCell ref="C34:D34"/>
    <mergeCell ref="E48:F48"/>
    <mergeCell ref="E49:F49"/>
    <mergeCell ref="B8:F8"/>
    <mergeCell ref="B12:B14"/>
    <mergeCell ref="B15:B16"/>
    <mergeCell ref="B17:B19"/>
    <mergeCell ref="B22:B29"/>
    <mergeCell ref="B3:F3"/>
    <mergeCell ref="B4:F4"/>
    <mergeCell ref="B6:F6"/>
    <mergeCell ref="B7:F7"/>
    <mergeCell ref="B9:F9"/>
    <mergeCell ref="C21:D21"/>
    <mergeCell ref="C22:D22"/>
    <mergeCell ref="C23:D23"/>
    <mergeCell ref="C24:F24"/>
    <mergeCell ref="C25:D25"/>
    <mergeCell ref="C26:D26"/>
    <mergeCell ref="C27:D27"/>
    <mergeCell ref="C28:D28"/>
    <mergeCell ref="E28:F28"/>
    <mergeCell ref="C16:D16"/>
    <mergeCell ref="C17:D17"/>
    <mergeCell ref="C18:D18"/>
    <mergeCell ref="E29:F29"/>
    <mergeCell ref="C29:D29"/>
    <mergeCell ref="C11:D11"/>
    <mergeCell ref="C12:D12"/>
    <mergeCell ref="C13:D13"/>
    <mergeCell ref="C14:D14"/>
    <mergeCell ref="C15:D15"/>
    <mergeCell ref="E27:F27"/>
    <mergeCell ref="E26:F26"/>
    <mergeCell ref="E25:F25"/>
    <mergeCell ref="E11:F11"/>
    <mergeCell ref="E16:F16"/>
    <mergeCell ref="E15:F15"/>
    <mergeCell ref="E14:F14"/>
    <mergeCell ref="E13:F13"/>
    <mergeCell ref="E12:F12"/>
    <mergeCell ref="E21:F21"/>
    <mergeCell ref="E20:F20"/>
    <mergeCell ref="E19:F19"/>
    <mergeCell ref="E18:F18"/>
    <mergeCell ref="E17:F17"/>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6" orientation="landscape" r:id="rId1"/>
  <headerFooter alignWithMargins="0"/>
  <rowBreaks count="2" manualBreakCount="2">
    <brk id="21" max="16383" man="1"/>
    <brk id="57" max="16383" man="1"/>
  </rowBreaks>
</worksheet>
</file>

<file path=xl/worksheets/sheet65.xml><?xml version="1.0" encoding="utf-8"?>
<worksheet xmlns="http://schemas.openxmlformats.org/spreadsheetml/2006/main" xmlns:r="http://schemas.openxmlformats.org/officeDocument/2006/relationships">
  <dimension ref="B1:O63"/>
  <sheetViews>
    <sheetView zoomScaleNormal="100" workbookViewId="0">
      <pane ySplit="4" topLeftCell="A5" activePane="bottomLeft" state="frozen"/>
      <selection pane="bottomLeft"/>
    </sheetView>
  </sheetViews>
  <sheetFormatPr defaultRowHeight="12.95" customHeight="1"/>
  <cols>
    <col min="1" max="1" width="3.7109375" style="292" customWidth="1"/>
    <col min="2" max="2" width="9.42578125" style="292" customWidth="1"/>
    <col min="3" max="3" width="16.42578125" style="292" customWidth="1"/>
    <col min="4" max="4" width="9.7109375" style="292" customWidth="1"/>
    <col min="5" max="5" width="16.28515625" style="292" customWidth="1"/>
    <col min="6" max="6" width="14.5703125" style="292" customWidth="1"/>
    <col min="7" max="7" width="40.7109375" style="292" customWidth="1"/>
    <col min="8" max="8" width="14.5703125" style="292" customWidth="1"/>
    <col min="9" max="16384" width="9.140625" style="292"/>
  </cols>
  <sheetData>
    <row r="1" spans="2:8" s="336" customFormat="1" ht="12.95" customHeight="1">
      <c r="B1" s="376" t="s">
        <v>2706</v>
      </c>
      <c r="C1" s="3195" t="s">
        <v>8269</v>
      </c>
      <c r="D1" s="3195"/>
      <c r="E1" s="3195"/>
      <c r="F1" s="3195"/>
      <c r="G1" s="3195"/>
      <c r="H1" s="3195"/>
    </row>
    <row r="2" spans="2:8" ht="5.0999999999999996" customHeight="1"/>
    <row r="3" spans="2:8" ht="12.95" customHeight="1">
      <c r="B3" s="3075" t="s">
        <v>4941</v>
      </c>
      <c r="C3" s="3075"/>
      <c r="D3" s="3075"/>
      <c r="E3" s="3075"/>
      <c r="F3" s="3075"/>
      <c r="G3" s="3075"/>
      <c r="H3" s="3075"/>
    </row>
    <row r="4" spans="2:8" ht="5.0999999999999996" customHeight="1"/>
    <row r="5" spans="2:8" ht="26.1" customHeight="1">
      <c r="B5" s="2980" t="s">
        <v>9200</v>
      </c>
      <c r="C5" s="2960"/>
      <c r="D5" s="2960"/>
      <c r="E5" s="2960"/>
      <c r="F5" s="2960"/>
      <c r="G5" s="2960"/>
      <c r="H5" s="2960"/>
    </row>
    <row r="6" spans="2:8" s="296" customFormat="1" ht="51.95" customHeight="1">
      <c r="B6" s="2960" t="s">
        <v>9201</v>
      </c>
      <c r="C6" s="2960"/>
      <c r="D6" s="2960"/>
      <c r="E6" s="2960"/>
      <c r="F6" s="2960"/>
      <c r="G6" s="2960"/>
      <c r="H6" s="2960"/>
    </row>
    <row r="7" spans="2:8" s="296" customFormat="1" ht="39" customHeight="1">
      <c r="B7" s="2960" t="s">
        <v>9202</v>
      </c>
      <c r="C7" s="2960"/>
      <c r="D7" s="2960"/>
      <c r="E7" s="2960"/>
      <c r="F7" s="2960"/>
      <c r="G7" s="2960"/>
      <c r="H7" s="2960"/>
    </row>
    <row r="8" spans="2:8" ht="5.0999999999999996" customHeight="1"/>
    <row r="9" spans="2:8" ht="12.95" customHeight="1">
      <c r="B9" s="2978" t="s">
        <v>4952</v>
      </c>
      <c r="C9" s="2978"/>
      <c r="D9" s="2978"/>
      <c r="E9" s="2978"/>
      <c r="F9" s="2978"/>
      <c r="G9" s="2978"/>
      <c r="H9" s="2978"/>
    </row>
    <row r="10" spans="2:8" ht="5.0999999999999996" customHeight="1"/>
    <row r="11" spans="2:8" ht="12.95" customHeight="1">
      <c r="B11" s="3000" t="s">
        <v>9203</v>
      </c>
      <c r="C11" s="3000"/>
      <c r="D11" s="3000"/>
      <c r="E11" s="3000"/>
      <c r="F11" s="3000"/>
      <c r="G11" s="3000"/>
      <c r="H11" s="3000"/>
    </row>
    <row r="12" spans="2:8" ht="26.1" customHeight="1">
      <c r="B12" s="398" t="s">
        <v>2471</v>
      </c>
      <c r="C12" s="2984" t="s">
        <v>4942</v>
      </c>
      <c r="D12" s="2984"/>
      <c r="E12" s="2984"/>
      <c r="F12" s="2984"/>
      <c r="G12" s="2984"/>
      <c r="H12" s="377"/>
    </row>
    <row r="13" spans="2:8" ht="26.1" customHeight="1">
      <c r="B13" s="398" t="s">
        <v>2472</v>
      </c>
      <c r="C13" s="2984" t="s">
        <v>4943</v>
      </c>
      <c r="D13" s="2984"/>
      <c r="E13" s="2984"/>
      <c r="F13" s="2984"/>
      <c r="G13" s="2984"/>
    </row>
    <row r="14" spans="2:8" ht="12.95" customHeight="1">
      <c r="B14" s="398" t="s">
        <v>2091</v>
      </c>
      <c r="C14" s="2984" t="s">
        <v>4944</v>
      </c>
      <c r="D14" s="2984"/>
      <c r="E14" s="2984"/>
      <c r="F14" s="2984"/>
      <c r="G14" s="2984"/>
    </row>
    <row r="15" spans="2:8" ht="12.95" customHeight="1">
      <c r="B15" s="398" t="s">
        <v>2092</v>
      </c>
      <c r="C15" s="2984" t="s">
        <v>4945</v>
      </c>
      <c r="D15" s="2984"/>
      <c r="E15" s="2984"/>
      <c r="F15" s="2984"/>
      <c r="G15" s="2984"/>
    </row>
    <row r="16" spans="2:8" ht="5.0999999999999996" customHeight="1"/>
    <row r="17" spans="2:15" ht="12.95" customHeight="1">
      <c r="B17" s="3000" t="s">
        <v>9204</v>
      </c>
      <c r="C17" s="3000"/>
      <c r="D17" s="3000"/>
      <c r="E17" s="3000"/>
      <c r="F17" s="3000"/>
      <c r="G17" s="3000"/>
      <c r="H17" s="3000"/>
    </row>
    <row r="18" spans="2:15" ht="12.95" customHeight="1">
      <c r="E18" s="3326" t="s">
        <v>4946</v>
      </c>
      <c r="F18" s="3326"/>
      <c r="G18" s="505"/>
      <c r="O18" s="296"/>
    </row>
    <row r="19" spans="2:15" ht="5.0999999999999996" customHeight="1"/>
    <row r="20" spans="2:15" ht="12.95" customHeight="1">
      <c r="B20" s="3000" t="s">
        <v>9205</v>
      </c>
      <c r="C20" s="3000"/>
      <c r="D20" s="3000"/>
      <c r="E20" s="3000"/>
      <c r="F20" s="3000"/>
      <c r="G20" s="3000"/>
      <c r="H20" s="3000"/>
    </row>
    <row r="21" spans="2:15" ht="12.95" customHeight="1">
      <c r="D21" s="401">
        <v>1</v>
      </c>
      <c r="E21" s="3326" t="s">
        <v>4947</v>
      </c>
      <c r="F21" s="3326"/>
      <c r="G21" s="505"/>
      <c r="N21" s="296"/>
    </row>
    <row r="22" spans="2:15" ht="26.1" customHeight="1">
      <c r="B22" s="2960" t="s">
        <v>9206</v>
      </c>
      <c r="C22" s="2960"/>
      <c r="D22" s="2960"/>
      <c r="E22" s="2960"/>
      <c r="F22" s="2960"/>
      <c r="G22" s="2960"/>
      <c r="H22" s="2960"/>
    </row>
    <row r="23" spans="2:15" ht="5.0999999999999996" customHeight="1"/>
    <row r="24" spans="2:15" ht="12.95" customHeight="1">
      <c r="B24" s="3000" t="s">
        <v>9207</v>
      </c>
      <c r="C24" s="3000"/>
      <c r="D24" s="3000"/>
      <c r="E24" s="3000"/>
      <c r="F24" s="3000"/>
      <c r="G24" s="3000"/>
      <c r="H24" s="3000"/>
    </row>
    <row r="25" spans="2:15" ht="12.95" customHeight="1">
      <c r="D25" s="401">
        <v>2</v>
      </c>
      <c r="E25" s="3326" t="s">
        <v>1218</v>
      </c>
      <c r="F25" s="3326"/>
      <c r="G25" s="505"/>
      <c r="M25" s="296"/>
    </row>
    <row r="26" spans="2:15" ht="5.0999999999999996" customHeight="1"/>
    <row r="27" spans="2:15" ht="12.95" customHeight="1">
      <c r="B27" s="3000" t="s">
        <v>9208</v>
      </c>
      <c r="C27" s="3000"/>
      <c r="D27" s="3000"/>
      <c r="E27" s="3000"/>
      <c r="F27" s="3000"/>
      <c r="G27" s="3000"/>
      <c r="H27" s="3000"/>
    </row>
    <row r="28" spans="2:15" ht="12.95" customHeight="1">
      <c r="E28" s="3863" t="s">
        <v>4948</v>
      </c>
      <c r="F28" s="3863"/>
    </row>
    <row r="29" spans="2:15" ht="5.0999999999999996" customHeight="1"/>
    <row r="30" spans="2:15" ht="51.95" customHeight="1">
      <c r="B30" s="2980" t="s">
        <v>9209</v>
      </c>
      <c r="C30" s="2960"/>
      <c r="D30" s="2960"/>
      <c r="E30" s="2960"/>
      <c r="F30" s="2960"/>
      <c r="G30" s="2960"/>
      <c r="H30" s="2960"/>
    </row>
    <row r="31" spans="2:15" ht="5.0999999999999996" customHeight="1" thickBot="1"/>
    <row r="32" spans="2:15" s="401" customFormat="1" ht="12.95" customHeight="1" thickBot="1">
      <c r="C32" s="162" t="s">
        <v>71</v>
      </c>
      <c r="D32" s="334" t="s">
        <v>2093</v>
      </c>
      <c r="E32" s="334" t="s">
        <v>4949</v>
      </c>
      <c r="F32" s="232" t="s">
        <v>4950</v>
      </c>
    </row>
    <row r="33" spans="2:8" ht="12.95" customHeight="1">
      <c r="C33" s="506" t="s">
        <v>1463</v>
      </c>
      <c r="D33" s="507">
        <v>1500</v>
      </c>
      <c r="E33" s="508">
        <f>D33/(2000*1.3+400+900)</f>
        <v>0.38461538461538464</v>
      </c>
      <c r="F33" s="509">
        <f>D33/1500</f>
        <v>1</v>
      </c>
    </row>
    <row r="34" spans="2:8" ht="12.95" customHeight="1">
      <c r="C34" s="499" t="s">
        <v>3715</v>
      </c>
      <c r="D34" s="28">
        <v>2250</v>
      </c>
      <c r="E34" s="500">
        <f>D34/(2000*1.3+400+900)</f>
        <v>0.57692307692307687</v>
      </c>
      <c r="F34" s="501">
        <f>D34/1500</f>
        <v>1.5</v>
      </c>
    </row>
    <row r="35" spans="2:8" ht="12.95" customHeight="1">
      <c r="C35" s="510" t="s">
        <v>3716</v>
      </c>
      <c r="D35" s="511">
        <v>3000</v>
      </c>
      <c r="E35" s="512">
        <f>D35/(2000*1.3+400+900)</f>
        <v>0.76923076923076927</v>
      </c>
      <c r="F35" s="513">
        <f>D35/1500</f>
        <v>2</v>
      </c>
    </row>
    <row r="36" spans="2:8" ht="12.95" customHeight="1" thickBot="1">
      <c r="C36" s="502" t="s">
        <v>3717</v>
      </c>
      <c r="D36" s="180">
        <v>3750</v>
      </c>
      <c r="E36" s="503">
        <f>D36/(2000*1.3+400+900)</f>
        <v>0.96153846153846156</v>
      </c>
      <c r="F36" s="504">
        <f>D36/1500</f>
        <v>2.5</v>
      </c>
    </row>
    <row r="37" spans="2:8" ht="5.0999999999999996" customHeight="1"/>
    <row r="38" spans="2:8" ht="39" customHeight="1">
      <c r="B38" s="2960" t="s">
        <v>9210</v>
      </c>
      <c r="C38" s="2960"/>
      <c r="D38" s="2960"/>
      <c r="E38" s="2960"/>
      <c r="F38" s="2960"/>
      <c r="G38" s="2960"/>
      <c r="H38" s="2960"/>
    </row>
    <row r="39" spans="2:8" ht="5.0999999999999996" customHeight="1"/>
    <row r="40" spans="2:8" ht="12.95" customHeight="1">
      <c r="B40" s="2978" t="s">
        <v>4951</v>
      </c>
      <c r="C40" s="2978"/>
      <c r="D40" s="2978"/>
      <c r="E40" s="2978"/>
      <c r="F40" s="2978"/>
      <c r="G40" s="2978"/>
      <c r="H40" s="2978"/>
    </row>
    <row r="41" spans="2:8" ht="5.0999999999999996" customHeight="1"/>
    <row r="42" spans="2:8" ht="78" customHeight="1">
      <c r="B42" s="2980" t="s">
        <v>5299</v>
      </c>
      <c r="C42" s="2960"/>
      <c r="D42" s="2960"/>
      <c r="E42" s="2960"/>
      <c r="F42" s="2960"/>
      <c r="G42" s="2960"/>
      <c r="H42" s="2960"/>
    </row>
    <row r="43" spans="2:8" ht="26.1" customHeight="1">
      <c r="B43" s="2980" t="s">
        <v>4953</v>
      </c>
      <c r="C43" s="2960"/>
      <c r="D43" s="2960"/>
      <c r="E43" s="2960"/>
      <c r="F43" s="2960"/>
      <c r="G43" s="2960"/>
      <c r="H43" s="2960"/>
    </row>
    <row r="44" spans="2:8" ht="104.1" customHeight="1">
      <c r="B44" s="2980" t="s">
        <v>5731</v>
      </c>
      <c r="C44" s="2960"/>
      <c r="D44" s="2960"/>
      <c r="E44" s="2960"/>
      <c r="F44" s="2960"/>
      <c r="G44" s="2960"/>
      <c r="H44" s="2960"/>
    </row>
    <row r="45" spans="2:8" ht="65.099999999999994" customHeight="1">
      <c r="B45" s="2980" t="s">
        <v>10113</v>
      </c>
      <c r="C45" s="2960"/>
      <c r="D45" s="2960"/>
      <c r="E45" s="2960"/>
      <c r="F45" s="2960"/>
      <c r="G45" s="2960"/>
      <c r="H45" s="2960"/>
    </row>
    <row r="46" spans="2:8" ht="39" customHeight="1">
      <c r="B46" s="2980" t="s">
        <v>5732</v>
      </c>
      <c r="C46" s="2960"/>
      <c r="D46" s="2960"/>
      <c r="E46" s="2960"/>
      <c r="F46" s="2960"/>
      <c r="G46" s="2960"/>
      <c r="H46" s="2960"/>
    </row>
    <row r="47" spans="2:8" ht="5.0999999999999996" customHeight="1"/>
    <row r="48" spans="2:8" ht="12.95" customHeight="1">
      <c r="B48" s="2978" t="s">
        <v>4954</v>
      </c>
      <c r="C48" s="2978"/>
      <c r="D48" s="2978"/>
      <c r="E48" s="2978"/>
      <c r="F48" s="2978"/>
      <c r="G48" s="2978"/>
      <c r="H48" s="2978"/>
    </row>
    <row r="49" spans="2:8" ht="5.0999999999999996" customHeight="1"/>
    <row r="50" spans="2:8" ht="12.95" customHeight="1">
      <c r="B50" s="3000" t="s">
        <v>9211</v>
      </c>
      <c r="C50" s="3000"/>
      <c r="D50" s="3000"/>
      <c r="E50" s="3000"/>
      <c r="F50" s="3000"/>
      <c r="G50" s="3000"/>
      <c r="H50" s="3000"/>
    </row>
    <row r="51" spans="2:8" ht="12.95" customHeight="1">
      <c r="B51" s="3000" t="s">
        <v>4958</v>
      </c>
      <c r="C51" s="3000"/>
      <c r="D51" s="3000" t="s">
        <v>4960</v>
      </c>
      <c r="E51" s="3000"/>
      <c r="F51" s="3000"/>
      <c r="G51" s="3000"/>
      <c r="H51" s="3000"/>
    </row>
    <row r="52" spans="2:8" ht="12.95" customHeight="1">
      <c r="B52" s="3000" t="s">
        <v>4955</v>
      </c>
      <c r="C52" s="3000"/>
      <c r="D52" s="3000" t="s">
        <v>4961</v>
      </c>
      <c r="E52" s="3000"/>
      <c r="F52" s="3000"/>
      <c r="G52" s="3000"/>
      <c r="H52" s="3000"/>
    </row>
    <row r="53" spans="2:8" ht="12.95" customHeight="1">
      <c r="B53" s="3000" t="s">
        <v>4959</v>
      </c>
      <c r="C53" s="3000"/>
      <c r="D53" s="3412" t="s">
        <v>4962</v>
      </c>
      <c r="E53" s="3412"/>
      <c r="F53" s="3412"/>
      <c r="G53" s="3412"/>
      <c r="H53" s="3412"/>
    </row>
    <row r="54" spans="2:8" ht="12.95" customHeight="1">
      <c r="B54" s="3000" t="s">
        <v>4956</v>
      </c>
      <c r="C54" s="3000"/>
      <c r="D54" s="3412" t="s">
        <v>5733</v>
      </c>
      <c r="E54" s="3412"/>
      <c r="F54" s="3412"/>
      <c r="G54" s="3412"/>
      <c r="H54" s="3412"/>
    </row>
    <row r="55" spans="2:8" ht="12.95" customHeight="1">
      <c r="B55" s="3000" t="s">
        <v>4957</v>
      </c>
      <c r="C55" s="3000"/>
      <c r="D55" s="3412" t="s">
        <v>4963</v>
      </c>
      <c r="E55" s="3412"/>
      <c r="F55" s="3412"/>
      <c r="G55" s="3412"/>
      <c r="H55" s="3412"/>
    </row>
    <row r="56" spans="2:8" ht="5.0999999999999996" customHeight="1">
      <c r="D56" s="435"/>
    </row>
    <row r="57" spans="2:8" ht="12.95" customHeight="1">
      <c r="B57" s="3000" t="s">
        <v>4964</v>
      </c>
      <c r="C57" s="3000"/>
      <c r="D57" s="3000"/>
      <c r="E57" s="3000"/>
      <c r="F57" s="3000"/>
      <c r="G57" s="3000"/>
      <c r="H57" s="3000"/>
    </row>
    <row r="58" spans="2:8" ht="5.0999999999999996" customHeight="1"/>
    <row r="59" spans="2:8" ht="51.95" customHeight="1">
      <c r="B59" s="2960" t="s">
        <v>9212</v>
      </c>
      <c r="C59" s="2960"/>
      <c r="D59" s="2960"/>
      <c r="E59" s="2960"/>
      <c r="F59" s="2960"/>
      <c r="G59" s="2960"/>
      <c r="H59" s="2960"/>
    </row>
    <row r="60" spans="2:8" ht="39" customHeight="1">
      <c r="B60" s="2960" t="s">
        <v>9213</v>
      </c>
      <c r="C60" s="2960"/>
      <c r="D60" s="2960"/>
      <c r="E60" s="2960"/>
      <c r="F60" s="2960"/>
      <c r="G60" s="2960"/>
      <c r="H60" s="2960"/>
    </row>
    <row r="61" spans="2:8" ht="51.95" customHeight="1">
      <c r="B61" s="2960" t="s">
        <v>9214</v>
      </c>
      <c r="C61" s="2960"/>
      <c r="D61" s="2960"/>
      <c r="E61" s="2960"/>
      <c r="F61" s="2960"/>
      <c r="G61" s="2960"/>
      <c r="H61" s="2960"/>
    </row>
    <row r="62" spans="2:8" ht="5.0999999999999996" customHeight="1"/>
    <row r="63" spans="2:8" ht="51.95" customHeight="1">
      <c r="C63" s="3859" t="s">
        <v>5734</v>
      </c>
      <c r="D63" s="3860"/>
      <c r="E63" s="3861"/>
      <c r="F63" s="3861"/>
      <c r="G63" s="3862"/>
    </row>
  </sheetData>
  <sheetProtection autoFilter="0"/>
  <mergeCells count="45">
    <mergeCell ref="C1:H1"/>
    <mergeCell ref="E28:F28"/>
    <mergeCell ref="B51:C51"/>
    <mergeCell ref="B52:C52"/>
    <mergeCell ref="D51:H51"/>
    <mergeCell ref="D52:H52"/>
    <mergeCell ref="C13:G13"/>
    <mergeCell ref="B38:H38"/>
    <mergeCell ref="B30:H30"/>
    <mergeCell ref="B40:H40"/>
    <mergeCell ref="B22:H22"/>
    <mergeCell ref="B42:H42"/>
    <mergeCell ref="C14:G14"/>
    <mergeCell ref="C15:G15"/>
    <mergeCell ref="B17:H17"/>
    <mergeCell ref="B44:H44"/>
    <mergeCell ref="B61:H61"/>
    <mergeCell ref="B45:H45"/>
    <mergeCell ref="B46:H46"/>
    <mergeCell ref="C63:G63"/>
    <mergeCell ref="B43:H43"/>
    <mergeCell ref="B59:H59"/>
    <mergeCell ref="B60:H60"/>
    <mergeCell ref="B48:H48"/>
    <mergeCell ref="B53:C53"/>
    <mergeCell ref="B54:C54"/>
    <mergeCell ref="B55:C55"/>
    <mergeCell ref="D53:H53"/>
    <mergeCell ref="D55:H55"/>
    <mergeCell ref="D54:H54"/>
    <mergeCell ref="B57:H57"/>
    <mergeCell ref="B50:H50"/>
    <mergeCell ref="E21:F21"/>
    <mergeCell ref="E18:F18"/>
    <mergeCell ref="B24:H24"/>
    <mergeCell ref="E25:F25"/>
    <mergeCell ref="B27:H27"/>
    <mergeCell ref="B20:H20"/>
    <mergeCell ref="C12:G12"/>
    <mergeCell ref="B3:H3"/>
    <mergeCell ref="B5:H5"/>
    <mergeCell ref="B6:H6"/>
    <mergeCell ref="B7:H7"/>
    <mergeCell ref="B9:H9"/>
    <mergeCell ref="B11:H1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66.xml><?xml version="1.0" encoding="utf-8"?>
<worksheet xmlns="http://schemas.openxmlformats.org/spreadsheetml/2006/main" xmlns:r="http://schemas.openxmlformats.org/officeDocument/2006/relationships">
  <dimension ref="B1:K68"/>
  <sheetViews>
    <sheetView zoomScaleNormal="100" workbookViewId="0">
      <pane ySplit="4" topLeftCell="A5" activePane="bottomLeft" state="frozen"/>
      <selection pane="bottomLeft"/>
    </sheetView>
  </sheetViews>
  <sheetFormatPr defaultRowHeight="12.95" customHeight="1"/>
  <cols>
    <col min="1" max="1" width="3.7109375" style="292" customWidth="1"/>
    <col min="2" max="2" width="18.5703125" style="292" customWidth="1"/>
    <col min="3" max="3" width="19.7109375" style="292" customWidth="1"/>
    <col min="4" max="4" width="18.5703125" style="292" customWidth="1"/>
    <col min="5" max="5" width="10.85546875" style="292" bestFit="1" customWidth="1"/>
    <col min="6" max="6" width="16.28515625" style="292" bestFit="1" customWidth="1"/>
    <col min="7" max="7" width="6.5703125" style="292" bestFit="1" customWidth="1"/>
    <col min="8" max="8" width="10.85546875" style="292" bestFit="1" customWidth="1"/>
    <col min="9" max="9" width="6.85546875" style="292" customWidth="1"/>
    <col min="10" max="10" width="6.42578125" style="292" customWidth="1"/>
    <col min="11" max="16384" width="9.140625" style="292"/>
  </cols>
  <sheetData>
    <row r="1" spans="2:11" s="293" customFormat="1" ht="12.95" customHeight="1">
      <c r="B1" s="298" t="s">
        <v>2706</v>
      </c>
      <c r="C1" s="3195" t="s">
        <v>8269</v>
      </c>
      <c r="D1" s="3195"/>
      <c r="E1" s="3195"/>
      <c r="F1" s="3195"/>
      <c r="G1" s="3195"/>
      <c r="H1" s="3195"/>
      <c r="I1" s="3195"/>
      <c r="J1" s="3195"/>
      <c r="K1" s="3195"/>
    </row>
    <row r="2" spans="2:11" s="293" customFormat="1" ht="5.0999999999999996" customHeight="1"/>
    <row r="3" spans="2:11" s="293" customFormat="1" ht="12.95" customHeight="1">
      <c r="B3" s="3075" t="s">
        <v>5024</v>
      </c>
      <c r="C3" s="3075"/>
      <c r="D3" s="3075"/>
      <c r="E3" s="3075"/>
      <c r="F3" s="3075"/>
      <c r="G3" s="3075"/>
      <c r="H3" s="3075"/>
      <c r="I3" s="3075"/>
      <c r="J3" s="3075"/>
      <c r="K3" s="3075"/>
    </row>
    <row r="4" spans="2:11" ht="5.0999999999999996" customHeight="1"/>
    <row r="5" spans="2:11" ht="26.1" customHeight="1">
      <c r="B5" s="3120" t="s">
        <v>9215</v>
      </c>
      <c r="C5" s="3120"/>
      <c r="D5" s="3120"/>
      <c r="E5" s="3120"/>
      <c r="F5" s="3120"/>
      <c r="G5" s="3120"/>
      <c r="H5" s="3120"/>
      <c r="I5" s="3120"/>
      <c r="J5" s="3120"/>
      <c r="K5" s="3120"/>
    </row>
    <row r="6" spans="2:11" ht="26.1" customHeight="1">
      <c r="B6" s="3120" t="s">
        <v>9216</v>
      </c>
      <c r="C6" s="3120"/>
      <c r="D6" s="3120"/>
      <c r="E6" s="3120"/>
      <c r="F6" s="3120"/>
      <c r="G6" s="3120"/>
      <c r="H6" s="3120"/>
      <c r="I6" s="3120"/>
      <c r="J6" s="3120"/>
      <c r="K6" s="3120"/>
    </row>
    <row r="7" spans="2:11" ht="5.0999999999999996" customHeight="1" thickBot="1"/>
    <row r="8" spans="2:11" ht="12.95" customHeight="1">
      <c r="C8" s="2962" t="s">
        <v>2333</v>
      </c>
      <c r="D8" s="3865" t="s">
        <v>5027</v>
      </c>
      <c r="E8" s="3117"/>
      <c r="F8" s="3122" t="s">
        <v>5028</v>
      </c>
      <c r="G8" s="3121"/>
      <c r="H8" s="3117"/>
    </row>
    <row r="9" spans="2:11" ht="12.95" customHeight="1">
      <c r="C9" s="3864"/>
      <c r="D9" s="3876" t="s">
        <v>5025</v>
      </c>
      <c r="E9" s="3870" t="s">
        <v>5026</v>
      </c>
      <c r="F9" s="3866" t="s">
        <v>5025</v>
      </c>
      <c r="G9" s="3868" t="s">
        <v>1459</v>
      </c>
      <c r="H9" s="3870" t="s">
        <v>5026</v>
      </c>
    </row>
    <row r="10" spans="2:11" ht="12.95" customHeight="1" thickBot="1">
      <c r="C10" s="2974"/>
      <c r="D10" s="3877"/>
      <c r="E10" s="3871"/>
      <c r="F10" s="3867"/>
      <c r="G10" s="3869"/>
      <c r="H10" s="3871"/>
    </row>
    <row r="11" spans="2:11" ht="12.95" customHeight="1">
      <c r="C11" s="422" t="s">
        <v>1463</v>
      </c>
      <c r="D11" s="423" t="s">
        <v>137</v>
      </c>
      <c r="E11" s="213">
        <v>0</v>
      </c>
      <c r="F11" s="424" t="s">
        <v>906</v>
      </c>
      <c r="G11" s="425" t="s">
        <v>160</v>
      </c>
      <c r="H11" s="426">
        <v>0.3</v>
      </c>
    </row>
    <row r="12" spans="2:11" ht="12.95" customHeight="1">
      <c r="C12" s="438" t="s">
        <v>1008</v>
      </c>
      <c r="D12" s="3878" t="s">
        <v>906</v>
      </c>
      <c r="E12" s="442">
        <v>0.1</v>
      </c>
      <c r="F12" s="230" t="s">
        <v>2488</v>
      </c>
      <c r="G12" s="443" t="s">
        <v>160</v>
      </c>
      <c r="H12" s="442">
        <v>0.4</v>
      </c>
    </row>
    <row r="13" spans="2:11" ht="12.95" customHeight="1">
      <c r="C13" s="427" t="s">
        <v>1010</v>
      </c>
      <c r="D13" s="3878"/>
      <c r="E13" s="428">
        <v>0.2</v>
      </c>
      <c r="F13" s="429" t="s">
        <v>1713</v>
      </c>
      <c r="G13" s="430" t="s">
        <v>160</v>
      </c>
      <c r="H13" s="428">
        <v>0.5</v>
      </c>
    </row>
    <row r="14" spans="2:11" ht="12.95" customHeight="1" thickBot="1">
      <c r="C14" s="439" t="s">
        <v>1012</v>
      </c>
      <c r="D14" s="3879"/>
      <c r="E14" s="440">
        <v>0.3</v>
      </c>
      <c r="F14" s="90" t="s">
        <v>1302</v>
      </c>
      <c r="G14" s="441" t="s">
        <v>160</v>
      </c>
      <c r="H14" s="440">
        <v>0.6</v>
      </c>
    </row>
    <row r="15" spans="2:11" ht="5.0999999999999996" customHeight="1">
      <c r="B15" s="431"/>
      <c r="C15" s="432"/>
      <c r="D15" s="433"/>
      <c r="E15" s="432"/>
      <c r="F15" s="434"/>
      <c r="G15" s="433"/>
    </row>
    <row r="16" spans="2:11" ht="12.95" customHeight="1">
      <c r="B16" s="3601" t="s">
        <v>9217</v>
      </c>
      <c r="C16" s="3601"/>
      <c r="D16" s="3601"/>
      <c r="E16" s="3601"/>
      <c r="F16" s="3601"/>
      <c r="G16" s="3601"/>
      <c r="H16" s="3601"/>
      <c r="I16" s="3601"/>
      <c r="J16" s="3601"/>
      <c r="K16" s="3601"/>
    </row>
    <row r="17" spans="2:11" ht="12.95" customHeight="1">
      <c r="B17" s="3120" t="s">
        <v>9218</v>
      </c>
      <c r="C17" s="3120"/>
      <c r="D17" s="3120"/>
      <c r="E17" s="3120"/>
      <c r="F17" s="3120"/>
      <c r="G17" s="3120"/>
      <c r="H17" s="3120"/>
      <c r="I17" s="3120"/>
      <c r="J17" s="3120"/>
      <c r="K17" s="3120"/>
    </row>
    <row r="18" spans="2:11" ht="51.95" customHeight="1">
      <c r="B18" s="3120" t="s">
        <v>9219</v>
      </c>
      <c r="C18" s="3120"/>
      <c r="D18" s="3120"/>
      <c r="E18" s="3120"/>
      <c r="F18" s="3120"/>
      <c r="G18" s="3120"/>
      <c r="H18" s="3120"/>
      <c r="I18" s="3120"/>
      <c r="J18" s="3120"/>
      <c r="K18" s="3120"/>
    </row>
    <row r="19" spans="2:11" ht="5.0999999999999996" customHeight="1"/>
    <row r="20" spans="2:11" ht="12.95" customHeight="1">
      <c r="B20" s="3000" t="s">
        <v>9220</v>
      </c>
      <c r="C20" s="3000"/>
      <c r="D20" s="3000"/>
      <c r="E20" s="3000"/>
      <c r="F20" s="3000"/>
      <c r="G20" s="3000"/>
      <c r="H20" s="3000"/>
      <c r="I20" s="3000"/>
      <c r="J20" s="3000"/>
      <c r="K20" s="3000"/>
    </row>
    <row r="21" spans="2:11" ht="26.1" customHeight="1">
      <c r="B21" s="3120" t="s">
        <v>9221</v>
      </c>
      <c r="C21" s="3120"/>
      <c r="D21" s="3120"/>
      <c r="E21" s="3120"/>
      <c r="F21" s="3120"/>
      <c r="G21" s="3120"/>
      <c r="H21" s="3120"/>
      <c r="I21" s="3120"/>
      <c r="J21" s="3120"/>
      <c r="K21" s="3120"/>
    </row>
    <row r="22" spans="2:11" ht="12.95" customHeight="1">
      <c r="B22" s="314" t="s">
        <v>5029</v>
      </c>
      <c r="C22" s="314" t="s">
        <v>5036</v>
      </c>
    </row>
    <row r="23" spans="2:11" ht="12.95" customHeight="1">
      <c r="B23" s="314" t="s">
        <v>5030</v>
      </c>
      <c r="C23" s="314" t="s">
        <v>5035</v>
      </c>
    </row>
    <row r="24" spans="2:11" ht="12.95" customHeight="1">
      <c r="B24" s="314" t="s">
        <v>5031</v>
      </c>
      <c r="C24" s="314" t="s">
        <v>5034</v>
      </c>
    </row>
    <row r="25" spans="2:11" ht="12.95" customHeight="1">
      <c r="B25" s="314" t="s">
        <v>5032</v>
      </c>
      <c r="C25" s="314" t="s">
        <v>5033</v>
      </c>
    </row>
    <row r="26" spans="2:11" ht="39" customHeight="1">
      <c r="B26" s="2960" t="s">
        <v>9222</v>
      </c>
      <c r="C26" s="2960"/>
      <c r="D26" s="2960"/>
      <c r="E26" s="2960"/>
      <c r="F26" s="2960"/>
      <c r="G26" s="2960"/>
      <c r="H26" s="2960"/>
      <c r="I26" s="2960"/>
      <c r="J26" s="2960"/>
      <c r="K26" s="2960"/>
    </row>
    <row r="27" spans="2:11" ht="5.0999999999999996" customHeight="1"/>
    <row r="28" spans="2:11" ht="12.95" customHeight="1">
      <c r="B28" s="3000" t="s">
        <v>10114</v>
      </c>
      <c r="C28" s="3000"/>
      <c r="D28" s="3000"/>
      <c r="E28" s="3000"/>
      <c r="F28" s="3000"/>
      <c r="G28" s="3000"/>
      <c r="H28" s="3000"/>
      <c r="I28" s="3000"/>
      <c r="J28" s="3000"/>
      <c r="K28" s="3000"/>
    </row>
    <row r="29" spans="2:11" ht="5.0999999999999996" customHeight="1"/>
    <row r="30" spans="2:11" ht="12.95" customHeight="1">
      <c r="B30" s="3000" t="s">
        <v>9223</v>
      </c>
      <c r="C30" s="3000"/>
      <c r="D30" s="3000"/>
      <c r="E30" s="3000"/>
      <c r="F30" s="3000"/>
      <c r="G30" s="3000"/>
      <c r="H30" s="3000"/>
      <c r="I30" s="3000"/>
      <c r="J30" s="3000"/>
      <c r="K30" s="3000"/>
    </row>
    <row r="31" spans="2:11" ht="12.95" customHeight="1">
      <c r="B31" s="3000" t="s">
        <v>9224</v>
      </c>
      <c r="C31" s="3000"/>
      <c r="D31" s="3000"/>
      <c r="E31" s="3000"/>
      <c r="F31" s="3000"/>
      <c r="G31" s="3000"/>
      <c r="H31" s="3000"/>
      <c r="I31" s="3000"/>
      <c r="J31" s="3000"/>
      <c r="K31" s="3000"/>
    </row>
    <row r="32" spans="2:11" ht="12.95" customHeight="1">
      <c r="B32" s="3000" t="s">
        <v>9225</v>
      </c>
      <c r="C32" s="3000"/>
      <c r="D32" s="3000"/>
      <c r="E32" s="3000"/>
      <c r="F32" s="3000"/>
      <c r="G32" s="3000"/>
      <c r="H32" s="3000"/>
      <c r="I32" s="3000"/>
      <c r="J32" s="3000"/>
      <c r="K32" s="3000"/>
    </row>
    <row r="33" spans="2:11" ht="12.95" customHeight="1">
      <c r="B33" s="3412" t="s">
        <v>6124</v>
      </c>
      <c r="C33" s="3412"/>
      <c r="D33" s="3412"/>
      <c r="E33" s="3412"/>
      <c r="F33" s="3412"/>
      <c r="G33" s="3412"/>
      <c r="H33" s="3412"/>
      <c r="I33" s="3412"/>
      <c r="J33" s="3412"/>
      <c r="K33" s="3412"/>
    </row>
    <row r="34" spans="2:11" ht="12.95" customHeight="1">
      <c r="B34" s="3412" t="s">
        <v>5037</v>
      </c>
      <c r="C34" s="3412"/>
      <c r="D34" s="3412"/>
      <c r="E34" s="3412"/>
      <c r="F34" s="3412"/>
      <c r="G34" s="3412"/>
      <c r="H34" s="3412"/>
      <c r="I34" s="3412"/>
      <c r="J34" s="3412"/>
      <c r="K34" s="3412"/>
    </row>
    <row r="35" spans="2:11" ht="51.95" customHeight="1">
      <c r="B35" s="3874" t="s">
        <v>5703</v>
      </c>
      <c r="C35" s="3120"/>
      <c r="D35" s="3120"/>
      <c r="E35" s="3120"/>
      <c r="F35" s="3120"/>
      <c r="G35" s="3120"/>
      <c r="H35" s="3120"/>
      <c r="I35" s="3120"/>
      <c r="J35" s="3120"/>
      <c r="K35" s="3120"/>
    </row>
    <row r="36" spans="2:11" s="400" customFormat="1" ht="26.1" customHeight="1">
      <c r="B36" s="3872" t="s">
        <v>9226</v>
      </c>
      <c r="C36" s="3873"/>
      <c r="D36" s="3873"/>
      <c r="E36" s="3873"/>
      <c r="F36" s="3873"/>
      <c r="G36" s="3873"/>
      <c r="H36" s="3873"/>
      <c r="I36" s="3873"/>
      <c r="J36" s="3873"/>
      <c r="K36" s="3873"/>
    </row>
    <row r="37" spans="2:11" ht="5.0999999999999996" customHeight="1">
      <c r="B37" s="437"/>
      <c r="C37" s="436"/>
      <c r="D37" s="436"/>
      <c r="E37" s="436"/>
      <c r="F37" s="436"/>
      <c r="G37" s="436"/>
      <c r="H37" s="436"/>
      <c r="I37" s="436"/>
      <c r="J37" s="436"/>
      <c r="K37" s="436"/>
    </row>
    <row r="38" spans="2:11" ht="26.1" customHeight="1">
      <c r="B38" s="3874" t="s">
        <v>5706</v>
      </c>
      <c r="C38" s="3120"/>
      <c r="D38" s="3120"/>
      <c r="E38" s="3120"/>
      <c r="F38" s="3120"/>
      <c r="G38" s="3120"/>
      <c r="H38" s="3120"/>
      <c r="I38" s="3120"/>
      <c r="J38" s="3120"/>
      <c r="K38" s="3120"/>
    </row>
    <row r="39" spans="2:11" ht="26.1" customHeight="1">
      <c r="B39" s="3120" t="s">
        <v>9227</v>
      </c>
      <c r="C39" s="3120"/>
      <c r="D39" s="3120"/>
      <c r="E39" s="3120"/>
      <c r="F39" s="3120"/>
      <c r="G39" s="3120"/>
      <c r="H39" s="3120"/>
      <c r="I39" s="3120"/>
      <c r="J39" s="3120"/>
      <c r="K39" s="3120"/>
    </row>
    <row r="40" spans="2:11" ht="12.95" customHeight="1">
      <c r="B40" s="3412" t="s">
        <v>5038</v>
      </c>
      <c r="C40" s="3412"/>
      <c r="D40" s="3412"/>
      <c r="E40" s="3412"/>
      <c r="F40" s="3412"/>
      <c r="G40" s="3412"/>
      <c r="H40" s="3412"/>
      <c r="I40" s="3412"/>
      <c r="J40" s="3412"/>
      <c r="K40" s="3412"/>
    </row>
    <row r="41" spans="2:11" ht="5.0999999999999996" customHeight="1"/>
    <row r="42" spans="2:11" ht="51.95" customHeight="1">
      <c r="B42" s="3872" t="s">
        <v>9228</v>
      </c>
      <c r="C42" s="3120"/>
      <c r="D42" s="3120"/>
      <c r="E42" s="3120"/>
      <c r="F42" s="3120"/>
      <c r="G42" s="3120"/>
      <c r="H42" s="3120"/>
      <c r="I42" s="3120"/>
      <c r="J42" s="3120"/>
      <c r="K42" s="3120"/>
    </row>
    <row r="43" spans="2:11" ht="5.0999999999999996" customHeight="1"/>
    <row r="44" spans="2:11" ht="51.95" customHeight="1">
      <c r="B44" s="2980" t="s">
        <v>9229</v>
      </c>
      <c r="C44" s="2980"/>
      <c r="D44" s="2980"/>
      <c r="E44" s="2980"/>
      <c r="F44" s="2980"/>
      <c r="G44" s="2980"/>
      <c r="H44" s="2980"/>
      <c r="I44" s="2980"/>
      <c r="J44" s="2980"/>
      <c r="K44" s="2980"/>
    </row>
    <row r="45" spans="2:11" ht="26.1" customHeight="1">
      <c r="B45" s="3120" t="s">
        <v>9230</v>
      </c>
      <c r="C45" s="3120"/>
      <c r="D45" s="3120"/>
      <c r="E45" s="3120"/>
      <c r="F45" s="3120"/>
      <c r="G45" s="3120"/>
      <c r="H45" s="3120"/>
      <c r="I45" s="3120"/>
      <c r="J45" s="3120"/>
      <c r="K45" s="3120"/>
    </row>
    <row r="46" spans="2:11" ht="12.95" customHeight="1">
      <c r="B46" s="3120" t="s">
        <v>9231</v>
      </c>
      <c r="C46" s="3120"/>
      <c r="D46" s="3120"/>
      <c r="E46" s="3120"/>
      <c r="F46" s="3120"/>
      <c r="G46" s="3120"/>
      <c r="H46" s="3120"/>
      <c r="I46" s="3120"/>
      <c r="J46" s="3120"/>
      <c r="K46" s="3120"/>
    </row>
    <row r="47" spans="2:11" ht="12.95" customHeight="1">
      <c r="B47" s="3000" t="s">
        <v>9232</v>
      </c>
      <c r="C47" s="3000"/>
      <c r="D47" s="3000"/>
      <c r="E47" s="3000"/>
      <c r="F47" s="3000"/>
      <c r="G47" s="3000"/>
      <c r="H47" s="3000"/>
      <c r="I47" s="3000"/>
      <c r="J47" s="3000"/>
      <c r="K47" s="3000"/>
    </row>
    <row r="48" spans="2:11" ht="5.0999999999999996" customHeight="1"/>
    <row r="49" spans="2:11" ht="12.95" customHeight="1">
      <c r="B49" s="3120" t="s">
        <v>9233</v>
      </c>
      <c r="C49" s="3120"/>
      <c r="D49" s="3120"/>
      <c r="E49" s="3120"/>
      <c r="F49" s="3120"/>
      <c r="G49" s="3120"/>
      <c r="H49" s="3120"/>
      <c r="I49" s="3120"/>
      <c r="J49" s="3120"/>
      <c r="K49" s="3120"/>
    </row>
    <row r="50" spans="2:11" ht="12.95" customHeight="1">
      <c r="B50" s="3120" t="s">
        <v>9234</v>
      </c>
      <c r="C50" s="3120"/>
      <c r="D50" s="3120"/>
      <c r="E50" s="3120"/>
      <c r="F50" s="3120"/>
      <c r="G50" s="3120"/>
      <c r="H50" s="3120"/>
      <c r="I50" s="3120"/>
      <c r="J50" s="3120"/>
      <c r="K50" s="3120"/>
    </row>
    <row r="51" spans="2:11" ht="5.0999999999999996" customHeight="1"/>
    <row r="52" spans="2:11" ht="12.95" customHeight="1">
      <c r="B52" s="3120" t="s">
        <v>9235</v>
      </c>
      <c r="C52" s="3120"/>
      <c r="D52" s="3120"/>
      <c r="E52" s="3120"/>
      <c r="F52" s="3120"/>
      <c r="G52" s="3120"/>
      <c r="H52" s="3120"/>
      <c r="I52" s="3120"/>
      <c r="J52" s="3120"/>
      <c r="K52" s="3120"/>
    </row>
    <row r="53" spans="2:11" ht="12.95" customHeight="1">
      <c r="B53" s="3120" t="s">
        <v>9236</v>
      </c>
      <c r="C53" s="3120"/>
      <c r="D53" s="3120"/>
      <c r="E53" s="3120"/>
      <c r="F53" s="3120"/>
      <c r="G53" s="3120"/>
      <c r="H53" s="3120"/>
      <c r="I53" s="3120"/>
      <c r="J53" s="3120"/>
      <c r="K53" s="3120"/>
    </row>
    <row r="54" spans="2:11" ht="5.0999999999999996" customHeight="1"/>
    <row r="55" spans="2:11" ht="12.95" customHeight="1">
      <c r="B55" s="3000" t="s">
        <v>9237</v>
      </c>
      <c r="C55" s="3000"/>
      <c r="D55" s="3000"/>
      <c r="E55" s="3000"/>
      <c r="F55" s="3000"/>
      <c r="G55" s="3000"/>
      <c r="H55" s="3000"/>
      <c r="I55" s="3000"/>
      <c r="J55" s="3000"/>
      <c r="K55" s="3000"/>
    </row>
    <row r="56" spans="2:11" ht="12.95" customHeight="1">
      <c r="B56" s="2981" t="s">
        <v>5039</v>
      </c>
      <c r="C56" s="2981"/>
      <c r="D56" s="2981"/>
      <c r="E56" s="2981"/>
      <c r="F56" s="2981"/>
      <c r="G56" s="2981"/>
      <c r="H56" s="2981"/>
      <c r="I56" s="2981"/>
      <c r="J56" s="2981"/>
      <c r="K56" s="2981"/>
    </row>
    <row r="57" spans="2:11" ht="12.95" customHeight="1">
      <c r="B57" s="3875" t="s">
        <v>5040</v>
      </c>
      <c r="C57" s="3875"/>
      <c r="D57" s="3875"/>
      <c r="E57" s="3875"/>
      <c r="F57" s="3875"/>
      <c r="G57" s="3875"/>
      <c r="H57" s="3875"/>
      <c r="I57" s="3875"/>
      <c r="J57" s="3875"/>
      <c r="K57" s="3875"/>
    </row>
    <row r="58" spans="2:11" ht="12.95" customHeight="1">
      <c r="B58" s="3875" t="s">
        <v>5041</v>
      </c>
      <c r="C58" s="3875"/>
      <c r="D58" s="3875"/>
      <c r="E58" s="3875"/>
      <c r="F58" s="3875"/>
      <c r="G58" s="3875"/>
      <c r="H58" s="3875"/>
      <c r="I58" s="3875"/>
      <c r="J58" s="3875"/>
      <c r="K58" s="3875"/>
    </row>
    <row r="59" spans="2:11" ht="12.95" customHeight="1">
      <c r="B59" s="3875" t="s">
        <v>5704</v>
      </c>
      <c r="C59" s="3875"/>
      <c r="D59" s="3875"/>
      <c r="E59" s="3875"/>
      <c r="F59" s="3875"/>
      <c r="G59" s="3875"/>
      <c r="H59" s="3875"/>
      <c r="I59" s="3875"/>
      <c r="J59" s="3875"/>
      <c r="K59" s="3875"/>
    </row>
    <row r="60" spans="2:11" ht="5.0999999999999996" customHeight="1">
      <c r="B60" s="314"/>
      <c r="C60" s="314"/>
      <c r="D60" s="314"/>
      <c r="E60" s="314"/>
      <c r="F60" s="314"/>
      <c r="G60" s="314"/>
      <c r="H60" s="314"/>
      <c r="I60" s="314"/>
      <c r="J60" s="314"/>
      <c r="K60" s="314"/>
    </row>
    <row r="61" spans="2:11" ht="12.95" customHeight="1">
      <c r="B61" s="3000" t="s">
        <v>9238</v>
      </c>
      <c r="C61" s="3000"/>
      <c r="D61" s="3000"/>
      <c r="E61" s="3000"/>
      <c r="F61" s="3000"/>
      <c r="G61" s="3000"/>
      <c r="H61" s="3000"/>
      <c r="I61" s="3000"/>
      <c r="J61" s="3000"/>
      <c r="K61" s="3000"/>
    </row>
    <row r="62" spans="2:11" ht="12.95" customHeight="1">
      <c r="B62" s="435" t="s">
        <v>5042</v>
      </c>
      <c r="C62" s="292" t="s">
        <v>1334</v>
      </c>
    </row>
    <row r="63" spans="2:11" ht="12.95" customHeight="1">
      <c r="B63" s="435" t="s">
        <v>5043</v>
      </c>
      <c r="C63" s="292" t="s">
        <v>2422</v>
      </c>
    </row>
    <row r="64" spans="2:11" ht="12.95" customHeight="1">
      <c r="B64" s="435" t="s">
        <v>5044</v>
      </c>
      <c r="C64" s="292" t="s">
        <v>2423</v>
      </c>
    </row>
    <row r="65" spans="2:11" ht="5.0999999999999996" customHeight="1"/>
    <row r="66" spans="2:11" ht="12.95" customHeight="1">
      <c r="B66" s="296" t="s">
        <v>9239</v>
      </c>
      <c r="C66" s="3102" t="s">
        <v>5705</v>
      </c>
      <c r="D66" s="3102"/>
      <c r="E66" s="3102"/>
      <c r="F66" s="3102"/>
      <c r="G66" s="3102"/>
      <c r="H66" s="3102"/>
      <c r="I66" s="3102"/>
      <c r="J66" s="3102"/>
      <c r="K66" s="3102"/>
    </row>
    <row r="67" spans="2:11" ht="5.0999999999999996" customHeight="1">
      <c r="B67" s="296"/>
      <c r="C67" s="295"/>
      <c r="D67" s="295"/>
      <c r="E67" s="295"/>
      <c r="F67" s="295"/>
      <c r="G67" s="295"/>
      <c r="H67" s="295"/>
      <c r="I67" s="295"/>
      <c r="J67" s="295"/>
      <c r="K67" s="295"/>
    </row>
    <row r="68" spans="2:11" ht="39" customHeight="1">
      <c r="B68" s="3872" t="s">
        <v>9240</v>
      </c>
      <c r="C68" s="3120"/>
      <c r="D68" s="3120"/>
      <c r="E68" s="3120"/>
      <c r="F68" s="3120"/>
      <c r="G68" s="3120"/>
      <c r="H68" s="3120"/>
      <c r="I68" s="3120"/>
      <c r="J68" s="3120"/>
      <c r="K68" s="3120"/>
    </row>
  </sheetData>
  <sheetProtection autoFilter="0"/>
  <mergeCells count="47">
    <mergeCell ref="C1:K1"/>
    <mergeCell ref="B59:K59"/>
    <mergeCell ref="B20:K20"/>
    <mergeCell ref="B28:K28"/>
    <mergeCell ref="B30:K30"/>
    <mergeCell ref="B18:K18"/>
    <mergeCell ref="B21:K21"/>
    <mergeCell ref="B26:K26"/>
    <mergeCell ref="B3:K3"/>
    <mergeCell ref="B6:K6"/>
    <mergeCell ref="B5:K5"/>
    <mergeCell ref="B17:K17"/>
    <mergeCell ref="D9:D10"/>
    <mergeCell ref="B16:K16"/>
    <mergeCell ref="D12:D14"/>
    <mergeCell ref="E9:E10"/>
    <mergeCell ref="C66:K66"/>
    <mergeCell ref="B31:K31"/>
    <mergeCell ref="B32:K32"/>
    <mergeCell ref="B40:K40"/>
    <mergeCell ref="B47:K47"/>
    <mergeCell ref="B35:K35"/>
    <mergeCell ref="B33:K33"/>
    <mergeCell ref="B34:K34"/>
    <mergeCell ref="B44:K44"/>
    <mergeCell ref="B68:K68"/>
    <mergeCell ref="B36:K36"/>
    <mergeCell ref="B39:K39"/>
    <mergeCell ref="B46:K46"/>
    <mergeCell ref="B38:K38"/>
    <mergeCell ref="B42:K42"/>
    <mergeCell ref="B45:K45"/>
    <mergeCell ref="B49:K49"/>
    <mergeCell ref="B50:K50"/>
    <mergeCell ref="B52:K52"/>
    <mergeCell ref="B53:K53"/>
    <mergeCell ref="B55:K55"/>
    <mergeCell ref="B56:K56"/>
    <mergeCell ref="B57:K57"/>
    <mergeCell ref="B58:K58"/>
    <mergeCell ref="B61:K61"/>
    <mergeCell ref="C8:C10"/>
    <mergeCell ref="D8:E8"/>
    <mergeCell ref="F8:H8"/>
    <mergeCell ref="F9:F10"/>
    <mergeCell ref="G9:G10"/>
    <mergeCell ref="H9:H10"/>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2" manualBreakCount="2">
    <brk id="28" max="16383" man="1"/>
    <brk id="44" max="16383" man="1"/>
  </rowBreaks>
  <ignoredErrors>
    <ignoredError sqref="G11:G14" numberStoredAsText="1"/>
  </ignoredErrors>
</worksheet>
</file>

<file path=xl/worksheets/sheet67.xml><?xml version="1.0" encoding="utf-8"?>
<worksheet xmlns="http://schemas.openxmlformats.org/spreadsheetml/2006/main" xmlns:r="http://schemas.openxmlformats.org/officeDocument/2006/relationships">
  <sheetPr>
    <outlinePr summaryBelow="0"/>
  </sheetPr>
  <dimension ref="B1:K320"/>
  <sheetViews>
    <sheetView zoomScaleNormal="100" workbookViewId="0">
      <pane ySplit="7" topLeftCell="A8" activePane="bottomLeft" state="frozen"/>
      <selection pane="bottomLeft"/>
    </sheetView>
  </sheetViews>
  <sheetFormatPr defaultRowHeight="12.95" customHeight="1" outlineLevelRow="1"/>
  <cols>
    <col min="1" max="1" width="3.7109375" style="292" customWidth="1"/>
    <col min="2" max="2" width="32" style="292" bestFit="1" customWidth="1"/>
    <col min="3" max="3" width="7.5703125" style="736" bestFit="1" customWidth="1"/>
    <col min="4" max="4" width="7.28515625" style="292" bestFit="1" customWidth="1"/>
    <col min="5" max="5" width="5.7109375" style="292" bestFit="1" customWidth="1"/>
    <col min="6" max="6" width="5.42578125" style="292" bestFit="1" customWidth="1"/>
    <col min="7" max="7" width="5.28515625" style="292" bestFit="1" customWidth="1"/>
    <col min="8" max="8" width="10.140625" style="292" bestFit="1" customWidth="1"/>
    <col min="9" max="9" width="10.5703125" style="292" bestFit="1" customWidth="1"/>
    <col min="10" max="10" width="43.85546875" style="292" bestFit="1" customWidth="1"/>
    <col min="11" max="16384" width="9.140625" style="292"/>
  </cols>
  <sheetData>
    <row r="1" spans="2:10" ht="12.95" customHeight="1">
      <c r="B1" s="313" t="s">
        <v>2706</v>
      </c>
      <c r="C1" s="3892" t="s">
        <v>8269</v>
      </c>
      <c r="D1" s="3892"/>
      <c r="E1" s="3892"/>
      <c r="F1" s="3892"/>
      <c r="G1" s="3892"/>
      <c r="H1" s="3892"/>
      <c r="I1" s="3892"/>
      <c r="J1" s="3892"/>
    </row>
    <row r="2" spans="2:10" ht="5.0999999999999996" customHeight="1"/>
    <row r="3" spans="2:10" ht="12.95" customHeight="1">
      <c r="B3" s="2978" t="s">
        <v>4511</v>
      </c>
      <c r="C3" s="2978"/>
      <c r="D3" s="2978"/>
      <c r="E3" s="2978"/>
      <c r="F3" s="2978"/>
      <c r="G3" s="2978"/>
      <c r="H3" s="2978"/>
      <c r="I3" s="2978"/>
      <c r="J3" s="2978"/>
    </row>
    <row r="4" spans="2:10" ht="5.0999999999999996" customHeight="1">
      <c r="B4" s="715"/>
      <c r="C4" s="803"/>
      <c r="D4" s="715"/>
      <c r="E4" s="715"/>
      <c r="F4" s="715"/>
      <c r="G4" s="715"/>
      <c r="H4" s="715"/>
      <c r="I4" s="715"/>
    </row>
    <row r="5" spans="2:10" s="717" customFormat="1" ht="12.95" customHeight="1" thickBot="1">
      <c r="B5" s="3000" t="s">
        <v>4425</v>
      </c>
      <c r="C5" s="3000"/>
      <c r="D5" s="3000"/>
      <c r="E5" s="3000"/>
      <c r="F5" s="3000"/>
      <c r="G5" s="3000"/>
      <c r="H5" s="3000"/>
      <c r="I5" s="3000"/>
      <c r="J5" s="3000"/>
    </row>
    <row r="6" spans="2:10" s="715" customFormat="1" ht="12.95" customHeight="1">
      <c r="B6" s="3127" t="s">
        <v>2042</v>
      </c>
      <c r="C6" s="3122" t="s">
        <v>1544</v>
      </c>
      <c r="D6" s="3121"/>
      <c r="E6" s="3121"/>
      <c r="F6" s="3121"/>
      <c r="G6" s="3121"/>
      <c r="H6" s="3121"/>
      <c r="I6" s="3117"/>
      <c r="J6" s="3127" t="s">
        <v>3949</v>
      </c>
    </row>
    <row r="7" spans="2:10" s="715" customFormat="1" ht="12.95" customHeight="1" thickBot="1">
      <c r="B7" s="3128"/>
      <c r="C7" s="823" t="s">
        <v>2568</v>
      </c>
      <c r="D7" s="729" t="s">
        <v>2569</v>
      </c>
      <c r="E7" s="729" t="s">
        <v>2571</v>
      </c>
      <c r="F7" s="729" t="s">
        <v>2570</v>
      </c>
      <c r="G7" s="729" t="s">
        <v>2572</v>
      </c>
      <c r="H7" s="729" t="s">
        <v>1766</v>
      </c>
      <c r="I7" s="730" t="s">
        <v>1767</v>
      </c>
      <c r="J7" s="3128"/>
    </row>
    <row r="8" spans="2:10" ht="26.1" customHeight="1" outlineLevel="1">
      <c r="B8" s="804" t="s">
        <v>212</v>
      </c>
      <c r="C8" s="761" t="s">
        <v>137</v>
      </c>
      <c r="D8" s="765" t="s">
        <v>137</v>
      </c>
      <c r="E8" s="765" t="s">
        <v>137</v>
      </c>
      <c r="F8" s="765" t="s">
        <v>137</v>
      </c>
      <c r="G8" s="765" t="s">
        <v>137</v>
      </c>
      <c r="H8" s="765" t="s">
        <v>137</v>
      </c>
      <c r="I8" s="744" t="s">
        <v>137</v>
      </c>
      <c r="J8" s="805" t="s">
        <v>4428</v>
      </c>
    </row>
    <row r="9" spans="2:10" ht="12.95" customHeight="1" outlineLevel="1">
      <c r="B9" s="198" t="s">
        <v>213</v>
      </c>
      <c r="C9" s="199">
        <v>2500</v>
      </c>
      <c r="D9" s="801"/>
      <c r="E9" s="801"/>
      <c r="F9" s="801"/>
      <c r="G9" s="801"/>
      <c r="H9" s="801"/>
      <c r="I9" s="802"/>
      <c r="J9" s="200" t="s">
        <v>4426</v>
      </c>
    </row>
    <row r="10" spans="2:10" ht="12.95" customHeight="1" outlineLevel="1">
      <c r="B10" s="194" t="s">
        <v>214</v>
      </c>
      <c r="C10" s="195">
        <v>5000</v>
      </c>
      <c r="D10" s="767"/>
      <c r="E10" s="767"/>
      <c r="F10" s="767"/>
      <c r="G10" s="767"/>
      <c r="H10" s="767"/>
      <c r="I10" s="768"/>
      <c r="J10" s="806" t="s">
        <v>4427</v>
      </c>
    </row>
    <row r="11" spans="2:10" ht="26.1" customHeight="1" outlineLevel="1" thickBot="1">
      <c r="B11" s="201" t="s">
        <v>2402</v>
      </c>
      <c r="C11" s="202">
        <v>10000</v>
      </c>
      <c r="D11" s="203"/>
      <c r="E11" s="203"/>
      <c r="F11" s="203"/>
      <c r="G11" s="203"/>
      <c r="H11" s="203"/>
      <c r="I11" s="204"/>
      <c r="J11" s="205" t="s">
        <v>4429</v>
      </c>
    </row>
    <row r="12" spans="2:10" ht="26.1" customHeight="1" outlineLevel="1" thickTop="1">
      <c r="B12" s="210" t="s">
        <v>2403</v>
      </c>
      <c r="C12" s="211">
        <v>5000</v>
      </c>
      <c r="D12" s="212">
        <v>20</v>
      </c>
      <c r="E12" s="212"/>
      <c r="F12" s="212">
        <v>20</v>
      </c>
      <c r="G12" s="212"/>
      <c r="H12" s="212"/>
      <c r="I12" s="213"/>
      <c r="J12" s="214" t="s">
        <v>4430</v>
      </c>
    </row>
    <row r="13" spans="2:10" ht="39" customHeight="1" outlineLevel="1">
      <c r="B13" s="198" t="s">
        <v>627</v>
      </c>
      <c r="C13" s="199">
        <v>2500</v>
      </c>
      <c r="D13" s="801"/>
      <c r="E13" s="801"/>
      <c r="F13" s="801">
        <v>5</v>
      </c>
      <c r="G13" s="801"/>
      <c r="H13" s="801"/>
      <c r="I13" s="802"/>
      <c r="J13" s="200" t="s">
        <v>4431</v>
      </c>
    </row>
    <row r="14" spans="2:10" ht="51.95" customHeight="1" outlineLevel="1" thickBot="1">
      <c r="B14" s="807" t="s">
        <v>2156</v>
      </c>
      <c r="C14" s="808">
        <v>5000</v>
      </c>
      <c r="D14" s="809">
        <v>10</v>
      </c>
      <c r="E14" s="809"/>
      <c r="F14" s="809">
        <v>10</v>
      </c>
      <c r="G14" s="809"/>
      <c r="H14" s="809"/>
      <c r="I14" s="810"/>
      <c r="J14" s="811" t="s">
        <v>4432</v>
      </c>
    </row>
    <row r="15" spans="2:10" ht="51.95" customHeight="1" outlineLevel="1" thickTop="1">
      <c r="B15" s="3894" t="s">
        <v>2404</v>
      </c>
      <c r="C15" s="3896">
        <v>500</v>
      </c>
      <c r="D15" s="3883">
        <v>5</v>
      </c>
      <c r="E15" s="3883"/>
      <c r="F15" s="3883"/>
      <c r="G15" s="3883"/>
      <c r="H15" s="3883"/>
      <c r="I15" s="3890"/>
      <c r="J15" s="207" t="s">
        <v>9993</v>
      </c>
    </row>
    <row r="16" spans="2:10" ht="12.75" outlineLevel="1">
      <c r="B16" s="3895"/>
      <c r="C16" s="3897"/>
      <c r="D16" s="3884"/>
      <c r="E16" s="3884"/>
      <c r="F16" s="3884"/>
      <c r="G16" s="3884"/>
      <c r="H16" s="3884"/>
      <c r="I16" s="3891"/>
      <c r="J16" s="2791" t="s">
        <v>6012</v>
      </c>
    </row>
    <row r="17" spans="2:10" ht="65.099999999999994" customHeight="1" outlineLevel="1">
      <c r="B17" s="194" t="s">
        <v>2405</v>
      </c>
      <c r="C17" s="195">
        <v>1000</v>
      </c>
      <c r="D17" s="1748">
        <v>5</v>
      </c>
      <c r="E17" s="1748"/>
      <c r="F17" s="1748"/>
      <c r="G17" s="1748"/>
      <c r="H17" s="1748"/>
      <c r="I17" s="1743"/>
      <c r="J17" s="806" t="s">
        <v>5808</v>
      </c>
    </row>
    <row r="18" spans="2:10" ht="51.95" customHeight="1" outlineLevel="1" thickBot="1">
      <c r="B18" s="2787" t="s">
        <v>876</v>
      </c>
      <c r="C18" s="202">
        <v>500</v>
      </c>
      <c r="D18" s="203">
        <v>5</v>
      </c>
      <c r="E18" s="203"/>
      <c r="F18" s="203"/>
      <c r="G18" s="203"/>
      <c r="H18" s="203"/>
      <c r="I18" s="204"/>
      <c r="J18" s="205" t="s">
        <v>4433</v>
      </c>
    </row>
    <row r="19" spans="2:10" ht="39" customHeight="1" outlineLevel="1" thickTop="1">
      <c r="B19" s="210" t="s">
        <v>381</v>
      </c>
      <c r="C19" s="211">
        <v>2000</v>
      </c>
      <c r="D19" s="212">
        <v>5</v>
      </c>
      <c r="E19" s="212"/>
      <c r="F19" s="212">
        <v>5</v>
      </c>
      <c r="G19" s="212"/>
      <c r="H19" s="212"/>
      <c r="I19" s="213"/>
      <c r="J19" s="214" t="s">
        <v>4434</v>
      </c>
    </row>
    <row r="20" spans="2:10" ht="12.75" outlineLevel="1">
      <c r="B20" s="198" t="s">
        <v>352</v>
      </c>
      <c r="C20" s="199">
        <v>1000</v>
      </c>
      <c r="D20" s="801">
        <v>5</v>
      </c>
      <c r="E20" s="801">
        <v>4</v>
      </c>
      <c r="F20" s="801">
        <v>5</v>
      </c>
      <c r="G20" s="801">
        <v>4</v>
      </c>
      <c r="H20" s="801">
        <v>4</v>
      </c>
      <c r="I20" s="802">
        <v>4</v>
      </c>
      <c r="J20" s="207" t="s">
        <v>5809</v>
      </c>
    </row>
    <row r="21" spans="2:10" ht="12.75" outlineLevel="1">
      <c r="B21" s="194" t="s">
        <v>1763</v>
      </c>
      <c r="C21" s="195">
        <v>1000</v>
      </c>
      <c r="D21" s="767">
        <v>5</v>
      </c>
      <c r="E21" s="767">
        <v>6</v>
      </c>
      <c r="F21" s="767">
        <v>5</v>
      </c>
      <c r="G21" s="767">
        <v>6</v>
      </c>
      <c r="H21" s="767">
        <v>6</v>
      </c>
      <c r="I21" s="768">
        <v>6</v>
      </c>
      <c r="J21" s="214" t="s">
        <v>5810</v>
      </c>
    </row>
    <row r="22" spans="2:10" ht="39" customHeight="1" outlineLevel="1">
      <c r="B22" s="198" t="s">
        <v>1764</v>
      </c>
      <c r="C22" s="199">
        <v>1000</v>
      </c>
      <c r="D22" s="801">
        <v>5</v>
      </c>
      <c r="E22" s="801">
        <v>8</v>
      </c>
      <c r="F22" s="801">
        <v>5</v>
      </c>
      <c r="G22" s="801">
        <v>8</v>
      </c>
      <c r="H22" s="801">
        <v>8</v>
      </c>
      <c r="I22" s="802">
        <v>8</v>
      </c>
      <c r="J22" s="207" t="s">
        <v>5811</v>
      </c>
    </row>
    <row r="23" spans="2:10" ht="26.1" customHeight="1" outlineLevel="1" thickBot="1">
      <c r="B23" s="215" t="s">
        <v>1765</v>
      </c>
      <c r="C23" s="216">
        <v>1000</v>
      </c>
      <c r="D23" s="770">
        <v>5</v>
      </c>
      <c r="E23" s="770">
        <v>10</v>
      </c>
      <c r="F23" s="770">
        <v>5</v>
      </c>
      <c r="G23" s="770">
        <v>10</v>
      </c>
      <c r="H23" s="770">
        <v>10</v>
      </c>
      <c r="I23" s="771">
        <v>10</v>
      </c>
      <c r="J23" s="217" t="s">
        <v>5812</v>
      </c>
    </row>
    <row r="24" spans="2:10" s="814" customFormat="1" ht="12.95" customHeight="1" outlineLevel="1">
      <c r="B24" s="812" t="s">
        <v>4437</v>
      </c>
      <c r="C24" s="813">
        <f>SUM(C9:C23)</f>
        <v>38000</v>
      </c>
      <c r="D24" s="813">
        <f t="shared" ref="D24:I24" si="0">SUM(D9:D23)</f>
        <v>70</v>
      </c>
      <c r="E24" s="813">
        <f t="shared" si="0"/>
        <v>28</v>
      </c>
      <c r="F24" s="813">
        <f t="shared" si="0"/>
        <v>60</v>
      </c>
      <c r="G24" s="813">
        <f t="shared" si="0"/>
        <v>28</v>
      </c>
      <c r="H24" s="813">
        <f t="shared" si="0"/>
        <v>28</v>
      </c>
      <c r="I24" s="813">
        <f t="shared" si="0"/>
        <v>28</v>
      </c>
    </row>
    <row r="25" spans="2:10" ht="5.0999999999999996" customHeight="1" outlineLevel="1"/>
    <row r="26" spans="2:10" ht="12.95" customHeight="1" outlineLevel="1">
      <c r="B26" s="2960" t="s">
        <v>5339</v>
      </c>
      <c r="C26" s="2960"/>
      <c r="D26" s="2960"/>
      <c r="E26" s="2960"/>
      <c r="F26" s="2960"/>
      <c r="G26" s="2960"/>
      <c r="H26" s="2960"/>
      <c r="I26" s="2960"/>
      <c r="J26" s="2960"/>
    </row>
    <row r="27" spans="2:10" ht="12.95" customHeight="1" outlineLevel="1">
      <c r="B27" s="2960" t="s">
        <v>5340</v>
      </c>
      <c r="C27" s="2960"/>
      <c r="D27" s="2960"/>
      <c r="E27" s="2960"/>
      <c r="F27" s="2960"/>
      <c r="G27" s="2960"/>
      <c r="H27" s="2960"/>
      <c r="I27" s="2960"/>
      <c r="J27" s="2960"/>
    </row>
    <row r="28" spans="2:10" ht="12.95" customHeight="1" outlineLevel="1">
      <c r="B28" s="2960" t="s">
        <v>5341</v>
      </c>
      <c r="C28" s="2960"/>
      <c r="D28" s="2960"/>
      <c r="E28" s="2960"/>
      <c r="F28" s="2960"/>
      <c r="G28" s="2960"/>
      <c r="H28" s="2960"/>
      <c r="I28" s="2960"/>
      <c r="J28" s="2960"/>
    </row>
    <row r="29" spans="2:10" ht="5.0999999999999996" customHeight="1"/>
    <row r="30" spans="2:10" ht="12.95" customHeight="1">
      <c r="B30" s="3893" t="s">
        <v>4438</v>
      </c>
      <c r="C30" s="3893"/>
      <c r="D30" s="3893"/>
      <c r="E30" s="3893"/>
      <c r="F30" s="3893"/>
      <c r="G30" s="3893"/>
      <c r="H30" s="3893"/>
      <c r="I30" s="3893"/>
      <c r="J30" s="3893"/>
    </row>
    <row r="31" spans="2:10" ht="12.75">
      <c r="B31" s="3880" t="s">
        <v>2156</v>
      </c>
    </row>
    <row r="32" spans="2:10" ht="12.95" customHeight="1">
      <c r="B32" s="3880"/>
    </row>
    <row r="33" spans="2:10" ht="12.95" customHeight="1" thickBot="1">
      <c r="B33" s="3881"/>
    </row>
    <row r="34" spans="2:10" ht="12.95" customHeight="1">
      <c r="B34" s="3127" t="s">
        <v>2042</v>
      </c>
      <c r="C34" s="3122" t="s">
        <v>1544</v>
      </c>
      <c r="D34" s="3121"/>
      <c r="E34" s="3121"/>
      <c r="F34" s="3121"/>
      <c r="G34" s="3121"/>
      <c r="H34" s="3121"/>
      <c r="I34" s="3117"/>
      <c r="J34" s="3127" t="s">
        <v>3949</v>
      </c>
    </row>
    <row r="35" spans="2:10" ht="12.95" customHeight="1" thickBot="1">
      <c r="B35" s="3882"/>
      <c r="C35" s="824" t="s">
        <v>2568</v>
      </c>
      <c r="D35" s="825" t="s">
        <v>2569</v>
      </c>
      <c r="E35" s="825" t="s">
        <v>2571</v>
      </c>
      <c r="F35" s="825" t="s">
        <v>2570</v>
      </c>
      <c r="G35" s="825" t="s">
        <v>2572</v>
      </c>
      <c r="H35" s="825" t="s">
        <v>1766</v>
      </c>
      <c r="I35" s="826" t="s">
        <v>1767</v>
      </c>
      <c r="J35" s="3882"/>
    </row>
    <row r="36" spans="2:10" ht="12.95" customHeight="1" outlineLevel="1">
      <c r="B36" s="804" t="s">
        <v>1282</v>
      </c>
      <c r="C36" s="815">
        <v>500</v>
      </c>
      <c r="D36" s="765"/>
      <c r="E36" s="765"/>
      <c r="F36" s="765">
        <v>10</v>
      </c>
      <c r="G36" s="765"/>
      <c r="H36" s="765"/>
      <c r="I36" s="766"/>
      <c r="J36" s="805" t="s">
        <v>5194</v>
      </c>
    </row>
    <row r="37" spans="2:10" ht="12.95" customHeight="1" outlineLevel="1">
      <c r="B37" s="198" t="s">
        <v>1283</v>
      </c>
      <c r="C37" s="218">
        <v>1000</v>
      </c>
      <c r="D37" s="801"/>
      <c r="E37" s="801"/>
      <c r="F37" s="801">
        <v>5</v>
      </c>
      <c r="G37" s="801"/>
      <c r="H37" s="801"/>
      <c r="I37" s="802"/>
      <c r="J37" s="200" t="s">
        <v>5195</v>
      </c>
    </row>
    <row r="38" spans="2:10" ht="12.95" customHeight="1" outlineLevel="1">
      <c r="B38" s="194" t="s">
        <v>4439</v>
      </c>
      <c r="C38" s="816">
        <v>1000</v>
      </c>
      <c r="D38" s="767">
        <v>5</v>
      </c>
      <c r="E38" s="767"/>
      <c r="F38" s="767">
        <v>5</v>
      </c>
      <c r="G38" s="767"/>
      <c r="H38" s="767"/>
      <c r="I38" s="768"/>
      <c r="J38" s="806" t="s">
        <v>5196</v>
      </c>
    </row>
    <row r="39" spans="2:10" ht="12.95" customHeight="1" outlineLevel="1">
      <c r="B39" s="198" t="s">
        <v>4440</v>
      </c>
      <c r="C39" s="218">
        <v>1000</v>
      </c>
      <c r="D39" s="801">
        <v>5</v>
      </c>
      <c r="E39" s="801"/>
      <c r="F39" s="801">
        <v>5</v>
      </c>
      <c r="G39" s="801"/>
      <c r="H39" s="801"/>
      <c r="I39" s="802"/>
      <c r="J39" s="200" t="s">
        <v>5197</v>
      </c>
    </row>
    <row r="40" spans="2:10" ht="12.95" customHeight="1" outlineLevel="1">
      <c r="B40" s="194" t="s">
        <v>1284</v>
      </c>
      <c r="C40" s="816">
        <v>1000</v>
      </c>
      <c r="D40" s="767"/>
      <c r="E40" s="767"/>
      <c r="F40" s="767">
        <v>5</v>
      </c>
      <c r="G40" s="767"/>
      <c r="H40" s="767"/>
      <c r="I40" s="768"/>
      <c r="J40" s="806" t="s">
        <v>5198</v>
      </c>
    </row>
    <row r="41" spans="2:10" ht="12.95" customHeight="1" outlineLevel="1">
      <c r="B41" s="198" t="s">
        <v>1143</v>
      </c>
      <c r="C41" s="218">
        <v>1000</v>
      </c>
      <c r="D41" s="801"/>
      <c r="E41" s="801"/>
      <c r="F41" s="801">
        <v>5</v>
      </c>
      <c r="G41" s="801"/>
      <c r="H41" s="801"/>
      <c r="I41" s="802"/>
      <c r="J41" s="200" t="s">
        <v>5820</v>
      </c>
    </row>
    <row r="42" spans="2:10" ht="12.95" customHeight="1" outlineLevel="1">
      <c r="B42" s="194" t="s">
        <v>1144</v>
      </c>
      <c r="C42" s="816">
        <v>2000</v>
      </c>
      <c r="D42" s="767"/>
      <c r="E42" s="767"/>
      <c r="F42" s="767">
        <v>5</v>
      </c>
      <c r="G42" s="767"/>
      <c r="H42" s="767"/>
      <c r="I42" s="768"/>
      <c r="J42" s="806" t="s">
        <v>5199</v>
      </c>
    </row>
    <row r="43" spans="2:10" ht="12.95" customHeight="1" outlineLevel="1">
      <c r="B43" s="198" t="s">
        <v>1146</v>
      </c>
      <c r="C43" s="218">
        <v>2000</v>
      </c>
      <c r="D43" s="801"/>
      <c r="E43" s="801"/>
      <c r="F43" s="801">
        <v>5</v>
      </c>
      <c r="G43" s="801"/>
      <c r="H43" s="801">
        <v>5</v>
      </c>
      <c r="I43" s="802"/>
      <c r="J43" s="200" t="s">
        <v>5200</v>
      </c>
    </row>
    <row r="44" spans="2:10" ht="12.95" customHeight="1" outlineLevel="1">
      <c r="B44" s="194" t="s">
        <v>311</v>
      </c>
      <c r="C44" s="816">
        <v>3000</v>
      </c>
      <c r="D44" s="767">
        <v>5</v>
      </c>
      <c r="E44" s="767">
        <v>2</v>
      </c>
      <c r="F44" s="767">
        <v>5</v>
      </c>
      <c r="G44" s="767">
        <v>2</v>
      </c>
      <c r="H44" s="767">
        <v>2</v>
      </c>
      <c r="I44" s="768">
        <v>2</v>
      </c>
      <c r="J44" s="806" t="s">
        <v>5201</v>
      </c>
    </row>
    <row r="45" spans="2:10" ht="12.95" customHeight="1" outlineLevel="1">
      <c r="B45" s="198" t="s">
        <v>1391</v>
      </c>
      <c r="C45" s="218">
        <v>1000</v>
      </c>
      <c r="D45" s="801">
        <v>2</v>
      </c>
      <c r="E45" s="801">
        <v>2</v>
      </c>
      <c r="F45" s="801">
        <v>2</v>
      </c>
      <c r="G45" s="801">
        <v>2</v>
      </c>
      <c r="H45" s="801">
        <v>2</v>
      </c>
      <c r="I45" s="802">
        <v>2</v>
      </c>
      <c r="J45" s="200" t="s">
        <v>5202</v>
      </c>
    </row>
    <row r="46" spans="2:10" ht="12.95" customHeight="1" outlineLevel="1">
      <c r="B46" s="194" t="s">
        <v>1145</v>
      </c>
      <c r="C46" s="816">
        <v>5000</v>
      </c>
      <c r="D46" s="767">
        <v>20</v>
      </c>
      <c r="E46" s="767"/>
      <c r="F46" s="767"/>
      <c r="G46" s="767"/>
      <c r="H46" s="767"/>
      <c r="I46" s="768"/>
      <c r="J46" s="806" t="s">
        <v>5203</v>
      </c>
    </row>
    <row r="47" spans="2:10" ht="12.95" customHeight="1" outlineLevel="1">
      <c r="B47" s="198" t="s">
        <v>1392</v>
      </c>
      <c r="C47" s="218">
        <v>3000</v>
      </c>
      <c r="D47" s="801">
        <v>10</v>
      </c>
      <c r="E47" s="801"/>
      <c r="F47" s="801"/>
      <c r="G47" s="801"/>
      <c r="H47" s="801"/>
      <c r="I47" s="802"/>
      <c r="J47" s="200" t="s">
        <v>5204</v>
      </c>
    </row>
    <row r="48" spans="2:10" ht="12.95" customHeight="1" outlineLevel="1">
      <c r="B48" s="194" t="s">
        <v>1079</v>
      </c>
      <c r="C48" s="816">
        <v>20000</v>
      </c>
      <c r="D48" s="767"/>
      <c r="E48" s="767">
        <v>10</v>
      </c>
      <c r="F48" s="767"/>
      <c r="G48" s="767">
        <v>10</v>
      </c>
      <c r="H48" s="767">
        <v>10</v>
      </c>
      <c r="I48" s="768">
        <v>10</v>
      </c>
      <c r="J48" s="806" t="s">
        <v>5205</v>
      </c>
    </row>
    <row r="49" spans="2:10" ht="12.95" customHeight="1" outlineLevel="1" thickBot="1">
      <c r="B49" s="201" t="s">
        <v>1080</v>
      </c>
      <c r="C49" s="219">
        <v>20000</v>
      </c>
      <c r="D49" s="203"/>
      <c r="E49" s="203">
        <v>10</v>
      </c>
      <c r="F49" s="203"/>
      <c r="G49" s="203">
        <v>10</v>
      </c>
      <c r="H49" s="203">
        <v>10</v>
      </c>
      <c r="I49" s="204">
        <v>10</v>
      </c>
      <c r="J49" s="205" t="s">
        <v>5206</v>
      </c>
    </row>
    <row r="50" spans="2:10" ht="12.95" customHeight="1" outlineLevel="1" thickTop="1">
      <c r="B50" s="194" t="s">
        <v>4443</v>
      </c>
      <c r="C50" s="816">
        <v>500</v>
      </c>
      <c r="D50" s="767">
        <v>5</v>
      </c>
      <c r="E50" s="767"/>
      <c r="F50" s="767"/>
      <c r="G50" s="767"/>
      <c r="H50" s="767"/>
      <c r="I50" s="768"/>
      <c r="J50" s="806" t="s">
        <v>4441</v>
      </c>
    </row>
    <row r="51" spans="2:10" ht="12.95" customHeight="1" outlineLevel="1">
      <c r="B51" s="198" t="s">
        <v>4444</v>
      </c>
      <c r="C51" s="218">
        <v>5000</v>
      </c>
      <c r="D51" s="801"/>
      <c r="E51" s="801"/>
      <c r="F51" s="801">
        <v>5</v>
      </c>
      <c r="G51" s="801"/>
      <c r="H51" s="801"/>
      <c r="I51" s="802"/>
      <c r="J51" s="200" t="s">
        <v>4442</v>
      </c>
    </row>
    <row r="52" spans="2:10" ht="12.95" customHeight="1" outlineLevel="1">
      <c r="B52" s="194" t="s">
        <v>4445</v>
      </c>
      <c r="C52" s="816">
        <v>1000</v>
      </c>
      <c r="D52" s="767"/>
      <c r="E52" s="767"/>
      <c r="F52" s="767"/>
      <c r="G52" s="767"/>
      <c r="H52" s="767"/>
      <c r="I52" s="768"/>
      <c r="J52" s="806" t="s">
        <v>4446</v>
      </c>
    </row>
    <row r="53" spans="2:10" ht="26.1" customHeight="1" outlineLevel="1">
      <c r="B53" s="198" t="s">
        <v>4447</v>
      </c>
      <c r="C53" s="218">
        <v>2000</v>
      </c>
      <c r="D53" s="801">
        <v>20</v>
      </c>
      <c r="E53" s="801"/>
      <c r="F53" s="801"/>
      <c r="G53" s="801"/>
      <c r="H53" s="801"/>
      <c r="I53" s="802"/>
      <c r="J53" s="200" t="s">
        <v>5970</v>
      </c>
    </row>
    <row r="54" spans="2:10" ht="39" customHeight="1" outlineLevel="1">
      <c r="B54" s="194" t="s">
        <v>4448</v>
      </c>
      <c r="C54" s="816">
        <v>2000</v>
      </c>
      <c r="D54" s="767"/>
      <c r="E54" s="767"/>
      <c r="F54" s="767">
        <v>10</v>
      </c>
      <c r="G54" s="767"/>
      <c r="H54" s="767"/>
      <c r="I54" s="768"/>
      <c r="J54" s="806" t="s">
        <v>5390</v>
      </c>
    </row>
    <row r="55" spans="2:10" ht="39" customHeight="1" outlineLevel="1" thickBot="1">
      <c r="B55" s="208" t="s">
        <v>342</v>
      </c>
      <c r="C55" s="220">
        <v>2000</v>
      </c>
      <c r="D55" s="187">
        <v>10</v>
      </c>
      <c r="E55" s="187"/>
      <c r="F55" s="187"/>
      <c r="G55" s="187"/>
      <c r="H55" s="187"/>
      <c r="I55" s="188"/>
      <c r="J55" s="209" t="s">
        <v>4449</v>
      </c>
    </row>
    <row r="56" spans="2:10" s="814" customFormat="1" ht="12.95" customHeight="1" outlineLevel="1">
      <c r="B56" s="812" t="s">
        <v>4437</v>
      </c>
      <c r="C56" s="813">
        <f t="shared" ref="C56:I56" si="1">SUM(C36:C55)</f>
        <v>74000</v>
      </c>
      <c r="D56" s="813">
        <f t="shared" si="1"/>
        <v>82</v>
      </c>
      <c r="E56" s="813">
        <f t="shared" si="1"/>
        <v>24</v>
      </c>
      <c r="F56" s="813">
        <f t="shared" si="1"/>
        <v>67</v>
      </c>
      <c r="G56" s="813">
        <f t="shared" si="1"/>
        <v>24</v>
      </c>
      <c r="H56" s="813">
        <f t="shared" si="1"/>
        <v>29</v>
      </c>
      <c r="I56" s="813">
        <f t="shared" si="1"/>
        <v>24</v>
      </c>
    </row>
    <row r="57" spans="2:10" ht="5.0999999999999996" customHeight="1" outlineLevel="1"/>
    <row r="58" spans="2:10" ht="12.95" customHeight="1" outlineLevel="1">
      <c r="B58" s="2960" t="s">
        <v>6061</v>
      </c>
      <c r="C58" s="2960"/>
      <c r="D58" s="2960"/>
      <c r="E58" s="2960"/>
      <c r="F58" s="2960"/>
      <c r="G58" s="2960"/>
      <c r="H58" s="2960"/>
      <c r="I58" s="2960"/>
      <c r="J58" s="2960"/>
    </row>
    <row r="59" spans="2:10" ht="12.95" customHeight="1" outlineLevel="1">
      <c r="B59" s="2960" t="s">
        <v>6062</v>
      </c>
      <c r="C59" s="2960"/>
      <c r="D59" s="2960"/>
      <c r="E59" s="2960"/>
      <c r="F59" s="2960"/>
      <c r="G59" s="2960"/>
      <c r="H59" s="2960"/>
      <c r="I59" s="2960"/>
      <c r="J59" s="2960"/>
    </row>
    <row r="60" spans="2:10" ht="12.95" customHeight="1" outlineLevel="1">
      <c r="B60" s="2960" t="s">
        <v>6063</v>
      </c>
      <c r="C60" s="2960"/>
      <c r="D60" s="2960"/>
      <c r="E60" s="2960"/>
      <c r="F60" s="2960"/>
      <c r="G60" s="2960"/>
      <c r="H60" s="2960"/>
      <c r="I60" s="2960"/>
      <c r="J60" s="2960"/>
    </row>
    <row r="61" spans="2:10" ht="12.95" customHeight="1" outlineLevel="1">
      <c r="B61" s="2960" t="s">
        <v>4450</v>
      </c>
      <c r="C61" s="2960"/>
      <c r="D61" s="2960"/>
      <c r="E61" s="2960"/>
      <c r="F61" s="2960"/>
      <c r="G61" s="2960"/>
      <c r="H61" s="2960"/>
      <c r="I61" s="2960"/>
      <c r="J61" s="2960"/>
    </row>
    <row r="62" spans="2:10" ht="12.95" customHeight="1" outlineLevel="1">
      <c r="B62" s="2960" t="s">
        <v>6064</v>
      </c>
      <c r="C62" s="2960"/>
      <c r="D62" s="2960"/>
      <c r="E62" s="2960"/>
      <c r="F62" s="2960"/>
      <c r="G62" s="2960"/>
      <c r="H62" s="2960"/>
      <c r="I62" s="2960"/>
      <c r="J62" s="2960"/>
    </row>
    <row r="63" spans="2:10" ht="12.95" customHeight="1">
      <c r="B63" s="3880" t="s">
        <v>893</v>
      </c>
      <c r="D63" s="818"/>
    </row>
    <row r="64" spans="2:10" ht="12.95" customHeight="1">
      <c r="B64" s="3880"/>
    </row>
    <row r="65" spans="2:10" ht="12.95" customHeight="1" thickBot="1">
      <c r="B65" s="3881"/>
    </row>
    <row r="66" spans="2:10" ht="12.95" customHeight="1">
      <c r="B66" s="3127" t="s">
        <v>2042</v>
      </c>
      <c r="C66" s="3122" t="s">
        <v>1544</v>
      </c>
      <c r="D66" s="3121"/>
      <c r="E66" s="3121"/>
      <c r="F66" s="3121"/>
      <c r="G66" s="3121"/>
      <c r="H66" s="3121"/>
      <c r="I66" s="3117"/>
      <c r="J66" s="3127" t="s">
        <v>3949</v>
      </c>
    </row>
    <row r="67" spans="2:10" ht="12.95" customHeight="1" thickBot="1">
      <c r="B67" s="3882"/>
      <c r="C67" s="824" t="s">
        <v>2568</v>
      </c>
      <c r="D67" s="825" t="s">
        <v>2569</v>
      </c>
      <c r="E67" s="825" t="s">
        <v>2571</v>
      </c>
      <c r="F67" s="825" t="s">
        <v>2570</v>
      </c>
      <c r="G67" s="825" t="s">
        <v>2572</v>
      </c>
      <c r="H67" s="825" t="s">
        <v>1766</v>
      </c>
      <c r="I67" s="826" t="s">
        <v>1767</v>
      </c>
      <c r="J67" s="3882"/>
    </row>
    <row r="68" spans="2:10" ht="12.95" customHeight="1" outlineLevel="1">
      <c r="B68" s="804" t="s">
        <v>885</v>
      </c>
      <c r="C68" s="815">
        <v>500</v>
      </c>
      <c r="D68" s="765">
        <v>10</v>
      </c>
      <c r="E68" s="765"/>
      <c r="F68" s="765"/>
      <c r="G68" s="765"/>
      <c r="H68" s="765"/>
      <c r="I68" s="766"/>
      <c r="J68" s="805" t="s">
        <v>5207</v>
      </c>
    </row>
    <row r="69" spans="2:10" ht="12.95" customHeight="1" outlineLevel="1">
      <c r="B69" s="198" t="s">
        <v>1716</v>
      </c>
      <c r="C69" s="218">
        <v>1000</v>
      </c>
      <c r="D69" s="801">
        <v>5</v>
      </c>
      <c r="E69" s="801"/>
      <c r="F69" s="801"/>
      <c r="G69" s="801"/>
      <c r="H69" s="801"/>
      <c r="I69" s="802"/>
      <c r="J69" s="200" t="s">
        <v>5821</v>
      </c>
    </row>
    <row r="70" spans="2:10" ht="12.95" customHeight="1" outlineLevel="1">
      <c r="B70" s="194" t="s">
        <v>886</v>
      </c>
      <c r="C70" s="816">
        <v>1000</v>
      </c>
      <c r="D70" s="767">
        <v>5</v>
      </c>
      <c r="E70" s="767"/>
      <c r="F70" s="767"/>
      <c r="G70" s="767"/>
      <c r="H70" s="767"/>
      <c r="I70" s="768"/>
      <c r="J70" s="806" t="s">
        <v>5208</v>
      </c>
    </row>
    <row r="71" spans="2:10" ht="12.95" customHeight="1" outlineLevel="1">
      <c r="B71" s="198" t="s">
        <v>2278</v>
      </c>
      <c r="C71" s="218">
        <v>1000</v>
      </c>
      <c r="D71" s="801">
        <v>5</v>
      </c>
      <c r="E71" s="801"/>
      <c r="F71" s="801"/>
      <c r="G71" s="801"/>
      <c r="H71" s="801"/>
      <c r="I71" s="802"/>
      <c r="J71" s="200" t="s">
        <v>5209</v>
      </c>
    </row>
    <row r="72" spans="2:10" ht="12.95" customHeight="1" outlineLevel="1">
      <c r="B72" s="194" t="s">
        <v>887</v>
      </c>
      <c r="C72" s="816">
        <v>1500</v>
      </c>
      <c r="D72" s="767">
        <v>10</v>
      </c>
      <c r="E72" s="767"/>
      <c r="F72" s="767"/>
      <c r="G72" s="767"/>
      <c r="H72" s="767"/>
      <c r="I72" s="768"/>
      <c r="J72" s="806" t="s">
        <v>5210</v>
      </c>
    </row>
    <row r="73" spans="2:10" ht="12.95" customHeight="1" outlineLevel="1">
      <c r="B73" s="198" t="s">
        <v>2279</v>
      </c>
      <c r="C73" s="218">
        <v>1500</v>
      </c>
      <c r="D73" s="801">
        <v>10</v>
      </c>
      <c r="E73" s="801"/>
      <c r="F73" s="801"/>
      <c r="G73" s="801"/>
      <c r="H73" s="801"/>
      <c r="I73" s="802"/>
      <c r="J73" s="200" t="s">
        <v>5211</v>
      </c>
    </row>
    <row r="74" spans="2:10" ht="12.95" customHeight="1" outlineLevel="1">
      <c r="B74" s="194" t="s">
        <v>888</v>
      </c>
      <c r="C74" s="816">
        <v>2000</v>
      </c>
      <c r="D74" s="767"/>
      <c r="E74" s="767"/>
      <c r="F74" s="767"/>
      <c r="G74" s="767"/>
      <c r="H74" s="767">
        <v>10</v>
      </c>
      <c r="I74" s="768"/>
      <c r="J74" s="806" t="s">
        <v>5212</v>
      </c>
    </row>
    <row r="75" spans="2:10" ht="12.95" customHeight="1" outlineLevel="1">
      <c r="B75" s="198" t="s">
        <v>1717</v>
      </c>
      <c r="C75" s="218">
        <v>2000</v>
      </c>
      <c r="D75" s="801"/>
      <c r="E75" s="801"/>
      <c r="F75" s="801"/>
      <c r="G75" s="801"/>
      <c r="H75" s="801">
        <v>5</v>
      </c>
      <c r="I75" s="802"/>
      <c r="J75" s="200" t="s">
        <v>5822</v>
      </c>
    </row>
    <row r="76" spans="2:10" ht="12.95" customHeight="1" outlineLevel="1">
      <c r="B76" s="194" t="s">
        <v>896</v>
      </c>
      <c r="C76" s="816">
        <v>2500</v>
      </c>
      <c r="D76" s="767"/>
      <c r="E76" s="767"/>
      <c r="F76" s="767"/>
      <c r="G76" s="767"/>
      <c r="H76" s="767"/>
      <c r="I76" s="768"/>
      <c r="J76" s="806" t="s">
        <v>5213</v>
      </c>
    </row>
    <row r="77" spans="2:10" ht="12.95" customHeight="1" outlineLevel="1">
      <c r="B77" s="198" t="s">
        <v>1718</v>
      </c>
      <c r="C77" s="218">
        <v>1500</v>
      </c>
      <c r="D77" s="801"/>
      <c r="E77" s="801"/>
      <c r="F77" s="801"/>
      <c r="G77" s="801"/>
      <c r="H77" s="801"/>
      <c r="I77" s="802"/>
      <c r="J77" s="200" t="s">
        <v>5214</v>
      </c>
    </row>
    <row r="78" spans="2:10" ht="12.95" customHeight="1" outlineLevel="1">
      <c r="B78" s="194" t="s">
        <v>897</v>
      </c>
      <c r="C78" s="816">
        <v>4000</v>
      </c>
      <c r="D78" s="767">
        <v>5</v>
      </c>
      <c r="E78" s="767"/>
      <c r="F78" s="767">
        <v>5</v>
      </c>
      <c r="G78" s="767"/>
      <c r="H78" s="767"/>
      <c r="I78" s="768">
        <v>10</v>
      </c>
      <c r="J78" s="806" t="s">
        <v>5215</v>
      </c>
    </row>
    <row r="79" spans="2:10" ht="12.95" customHeight="1" outlineLevel="1">
      <c r="B79" s="198" t="s">
        <v>1719</v>
      </c>
      <c r="C79" s="218">
        <v>3000</v>
      </c>
      <c r="D79" s="801"/>
      <c r="E79" s="801"/>
      <c r="F79" s="801"/>
      <c r="G79" s="801"/>
      <c r="H79" s="801"/>
      <c r="I79" s="802">
        <v>5</v>
      </c>
      <c r="J79" s="200" t="s">
        <v>5823</v>
      </c>
    </row>
    <row r="80" spans="2:10" ht="12.95" customHeight="1" outlineLevel="1">
      <c r="B80" s="194" t="s">
        <v>2276</v>
      </c>
      <c r="C80" s="816">
        <v>10000</v>
      </c>
      <c r="D80" s="767"/>
      <c r="E80" s="767"/>
      <c r="F80" s="767">
        <v>30</v>
      </c>
      <c r="G80" s="767"/>
      <c r="H80" s="767">
        <v>20</v>
      </c>
      <c r="I80" s="768"/>
      <c r="J80" s="806" t="s">
        <v>5216</v>
      </c>
    </row>
    <row r="81" spans="2:10" ht="12.95" customHeight="1" outlineLevel="1" thickBot="1">
      <c r="B81" s="201" t="s">
        <v>1720</v>
      </c>
      <c r="C81" s="219">
        <v>20000</v>
      </c>
      <c r="D81" s="203"/>
      <c r="E81" s="203"/>
      <c r="F81" s="203">
        <v>30</v>
      </c>
      <c r="G81" s="203"/>
      <c r="H81" s="203">
        <v>20</v>
      </c>
      <c r="I81" s="204"/>
      <c r="J81" s="205" t="s">
        <v>5217</v>
      </c>
    </row>
    <row r="82" spans="2:10" ht="26.1" customHeight="1" outlineLevel="1" thickTop="1">
      <c r="B82" s="194" t="s">
        <v>843</v>
      </c>
      <c r="C82" s="816">
        <v>2000</v>
      </c>
      <c r="D82" s="767">
        <v>2</v>
      </c>
      <c r="E82" s="767">
        <v>2</v>
      </c>
      <c r="F82" s="767">
        <v>2</v>
      </c>
      <c r="G82" s="767">
        <v>2</v>
      </c>
      <c r="H82" s="767">
        <v>2</v>
      </c>
      <c r="I82" s="768">
        <v>2</v>
      </c>
      <c r="J82" s="806" t="s">
        <v>4451</v>
      </c>
    </row>
    <row r="83" spans="2:10" ht="12.95" customHeight="1" outlineLevel="1">
      <c r="B83" s="198" t="s">
        <v>4457</v>
      </c>
      <c r="C83" s="218">
        <v>1000</v>
      </c>
      <c r="D83" s="801"/>
      <c r="E83" s="801"/>
      <c r="F83" s="801"/>
      <c r="G83" s="801"/>
      <c r="H83" s="801"/>
      <c r="I83" s="802"/>
      <c r="J83" s="200" t="s">
        <v>4452</v>
      </c>
    </row>
    <row r="84" spans="2:10" ht="12.95" customHeight="1" outlineLevel="1">
      <c r="B84" s="194" t="s">
        <v>4444</v>
      </c>
      <c r="C84" s="816">
        <v>5000</v>
      </c>
      <c r="D84" s="767"/>
      <c r="E84" s="767"/>
      <c r="F84" s="767">
        <v>5</v>
      </c>
      <c r="G84" s="767"/>
      <c r="H84" s="767"/>
      <c r="I84" s="768"/>
      <c r="J84" s="806" t="s">
        <v>4453</v>
      </c>
    </row>
    <row r="85" spans="2:10" ht="26.1" customHeight="1" outlineLevel="1">
      <c r="B85" s="198" t="s">
        <v>4458</v>
      </c>
      <c r="C85" s="218">
        <v>5000</v>
      </c>
      <c r="D85" s="801">
        <v>5</v>
      </c>
      <c r="E85" s="801"/>
      <c r="F85" s="801">
        <v>10</v>
      </c>
      <c r="G85" s="801"/>
      <c r="H85" s="801"/>
      <c r="I85" s="802"/>
      <c r="J85" s="200" t="s">
        <v>4454</v>
      </c>
    </row>
    <row r="86" spans="2:10" ht="12.95" customHeight="1" outlineLevel="1">
      <c r="B86" s="194" t="s">
        <v>4460</v>
      </c>
      <c r="C86" s="816">
        <v>1500</v>
      </c>
      <c r="D86" s="767"/>
      <c r="E86" s="767"/>
      <c r="F86" s="767"/>
      <c r="G86" s="767"/>
      <c r="H86" s="767">
        <v>10</v>
      </c>
      <c r="I86" s="768"/>
      <c r="J86" s="806" t="s">
        <v>4455</v>
      </c>
    </row>
    <row r="87" spans="2:10" ht="12.95" customHeight="1" outlineLevel="1" thickBot="1">
      <c r="B87" s="208" t="s">
        <v>4459</v>
      </c>
      <c r="C87" s="220">
        <v>2000</v>
      </c>
      <c r="D87" s="187"/>
      <c r="E87" s="187"/>
      <c r="F87" s="187"/>
      <c r="G87" s="187"/>
      <c r="H87" s="187"/>
      <c r="I87" s="188"/>
      <c r="J87" s="209" t="s">
        <v>4456</v>
      </c>
    </row>
    <row r="88" spans="2:10" s="814" customFormat="1" ht="12.95" customHeight="1" outlineLevel="1">
      <c r="B88" s="812" t="s">
        <v>4437</v>
      </c>
      <c r="C88" s="813">
        <f t="shared" ref="C88:I88" si="2">SUM(C68:C87)</f>
        <v>68000</v>
      </c>
      <c r="D88" s="813">
        <f t="shared" si="2"/>
        <v>57</v>
      </c>
      <c r="E88" s="813">
        <f t="shared" si="2"/>
        <v>2</v>
      </c>
      <c r="F88" s="813">
        <f t="shared" si="2"/>
        <v>82</v>
      </c>
      <c r="G88" s="813">
        <f t="shared" si="2"/>
        <v>2</v>
      </c>
      <c r="H88" s="813">
        <f t="shared" si="2"/>
        <v>67</v>
      </c>
      <c r="I88" s="813">
        <f t="shared" si="2"/>
        <v>17</v>
      </c>
    </row>
    <row r="89" spans="2:10" ht="5.0999999999999996" customHeight="1" outlineLevel="1"/>
    <row r="90" spans="2:10" ht="12.95" customHeight="1" outlineLevel="1">
      <c r="B90" s="2960" t="s">
        <v>6065</v>
      </c>
      <c r="C90" s="2960"/>
      <c r="D90" s="2960"/>
      <c r="E90" s="2960"/>
      <c r="F90" s="2960"/>
      <c r="G90" s="2960"/>
      <c r="H90" s="2960"/>
      <c r="I90" s="2960"/>
      <c r="J90" s="2960"/>
    </row>
    <row r="91" spans="2:10" ht="12.95" customHeight="1" outlineLevel="1">
      <c r="B91" s="2960" t="s">
        <v>6062</v>
      </c>
      <c r="C91" s="2960"/>
      <c r="D91" s="2960"/>
      <c r="E91" s="2960"/>
      <c r="F91" s="2960"/>
      <c r="G91" s="2960"/>
      <c r="H91" s="2960"/>
      <c r="I91" s="2960"/>
      <c r="J91" s="2960"/>
    </row>
    <row r="92" spans="2:10" ht="12.95" customHeight="1" outlineLevel="1">
      <c r="B92" s="2960" t="s">
        <v>6066</v>
      </c>
      <c r="C92" s="2960"/>
      <c r="D92" s="2960"/>
      <c r="E92" s="2960"/>
      <c r="F92" s="2960"/>
      <c r="G92" s="2960"/>
      <c r="H92" s="2960"/>
      <c r="I92" s="2960"/>
      <c r="J92" s="2960"/>
    </row>
    <row r="93" spans="2:10" ht="12.95" customHeight="1" outlineLevel="1">
      <c r="B93" s="2960" t="s">
        <v>6067</v>
      </c>
      <c r="C93" s="2960"/>
      <c r="D93" s="2960"/>
      <c r="E93" s="2960"/>
      <c r="F93" s="2960"/>
      <c r="G93" s="2960"/>
      <c r="H93" s="2960"/>
      <c r="I93" s="2960"/>
      <c r="J93" s="2960"/>
    </row>
    <row r="94" spans="2:10" ht="12.95" customHeight="1" outlineLevel="1">
      <c r="B94" s="2960" t="s">
        <v>6068</v>
      </c>
      <c r="C94" s="2960"/>
      <c r="D94" s="2960"/>
      <c r="E94" s="2960"/>
      <c r="F94" s="2960"/>
      <c r="G94" s="2960"/>
      <c r="H94" s="2960"/>
      <c r="I94" s="2960"/>
      <c r="J94" s="2960"/>
    </row>
    <row r="95" spans="2:10" ht="12.95" customHeight="1">
      <c r="B95" s="3880" t="s">
        <v>2141</v>
      </c>
      <c r="D95" s="818"/>
    </row>
    <row r="96" spans="2:10" ht="12.95" customHeight="1">
      <c r="B96" s="3880"/>
    </row>
    <row r="97" spans="2:10" ht="12.95" customHeight="1" thickBot="1">
      <c r="B97" s="3881"/>
    </row>
    <row r="98" spans="2:10" ht="12.95" customHeight="1">
      <c r="B98" s="3127" t="s">
        <v>2042</v>
      </c>
      <c r="C98" s="3122" t="s">
        <v>1544</v>
      </c>
      <c r="D98" s="3121"/>
      <c r="E98" s="3121"/>
      <c r="F98" s="3121"/>
      <c r="G98" s="3121"/>
      <c r="H98" s="3121"/>
      <c r="I98" s="3117"/>
      <c r="J98" s="3127" t="s">
        <v>3949</v>
      </c>
    </row>
    <row r="99" spans="2:10" ht="12.95" customHeight="1" thickBot="1">
      <c r="B99" s="3882"/>
      <c r="C99" s="824" t="s">
        <v>2568</v>
      </c>
      <c r="D99" s="825" t="s">
        <v>2569</v>
      </c>
      <c r="E99" s="825" t="s">
        <v>2571</v>
      </c>
      <c r="F99" s="825" t="s">
        <v>2570</v>
      </c>
      <c r="G99" s="825" t="s">
        <v>2572</v>
      </c>
      <c r="H99" s="825" t="s">
        <v>1766</v>
      </c>
      <c r="I99" s="826" t="s">
        <v>1767</v>
      </c>
      <c r="J99" s="3882"/>
    </row>
    <row r="100" spans="2:10" ht="12.95" customHeight="1" outlineLevel="1">
      <c r="B100" s="804" t="s">
        <v>967</v>
      </c>
      <c r="C100" s="815">
        <v>300</v>
      </c>
      <c r="D100" s="765">
        <v>5</v>
      </c>
      <c r="E100" s="765"/>
      <c r="F100" s="765">
        <v>5</v>
      </c>
      <c r="G100" s="765"/>
      <c r="H100" s="765"/>
      <c r="I100" s="766"/>
      <c r="J100" s="805" t="s">
        <v>5218</v>
      </c>
    </row>
    <row r="101" spans="2:10" ht="12.95" customHeight="1" outlineLevel="1">
      <c r="B101" s="198" t="s">
        <v>973</v>
      </c>
      <c r="C101" s="218">
        <v>1000</v>
      </c>
      <c r="D101" s="801"/>
      <c r="E101" s="801"/>
      <c r="F101" s="801"/>
      <c r="G101" s="801"/>
      <c r="H101" s="801"/>
      <c r="I101" s="802"/>
      <c r="J101" s="200" t="s">
        <v>5219</v>
      </c>
    </row>
    <row r="102" spans="2:10" ht="12.95" customHeight="1" outlineLevel="1">
      <c r="B102" s="194" t="s">
        <v>968</v>
      </c>
      <c r="C102" s="816">
        <v>1000</v>
      </c>
      <c r="D102" s="767"/>
      <c r="E102" s="767"/>
      <c r="F102" s="767">
        <v>10</v>
      </c>
      <c r="G102" s="767"/>
      <c r="H102" s="767"/>
      <c r="I102" s="768"/>
      <c r="J102" s="806" t="s">
        <v>5824</v>
      </c>
    </row>
    <row r="103" spans="2:10" ht="12.95" customHeight="1" outlineLevel="1">
      <c r="B103" s="198" t="s">
        <v>974</v>
      </c>
      <c r="C103" s="218">
        <v>1500</v>
      </c>
      <c r="D103" s="801"/>
      <c r="E103" s="801"/>
      <c r="F103" s="801">
        <v>5</v>
      </c>
      <c r="G103" s="801"/>
      <c r="H103" s="801"/>
      <c r="I103" s="802"/>
      <c r="J103" s="200" t="s">
        <v>5825</v>
      </c>
    </row>
    <row r="104" spans="2:10" ht="12.95" customHeight="1" outlineLevel="1">
      <c r="B104" s="194" t="s">
        <v>1573</v>
      </c>
      <c r="C104" s="816">
        <v>2000</v>
      </c>
      <c r="D104" s="767">
        <v>5</v>
      </c>
      <c r="E104" s="767"/>
      <c r="F104" s="767">
        <v>5</v>
      </c>
      <c r="G104" s="767"/>
      <c r="H104" s="767"/>
      <c r="I104" s="768"/>
      <c r="J104" s="806" t="s">
        <v>5826</v>
      </c>
    </row>
    <row r="105" spans="2:10" ht="12.95" customHeight="1" outlineLevel="1">
      <c r="B105" s="198" t="s">
        <v>975</v>
      </c>
      <c r="C105" s="218">
        <v>2000</v>
      </c>
      <c r="D105" s="801">
        <v>5</v>
      </c>
      <c r="E105" s="801">
        <v>5</v>
      </c>
      <c r="F105" s="801">
        <v>5</v>
      </c>
      <c r="G105" s="801"/>
      <c r="H105" s="801"/>
      <c r="I105" s="802"/>
      <c r="J105" s="200" t="s">
        <v>5827</v>
      </c>
    </row>
    <row r="106" spans="2:10" ht="12.95" customHeight="1" outlineLevel="1">
      <c r="B106" s="194" t="s">
        <v>969</v>
      </c>
      <c r="C106" s="816">
        <v>2500</v>
      </c>
      <c r="D106" s="767">
        <v>5</v>
      </c>
      <c r="E106" s="767">
        <v>5</v>
      </c>
      <c r="F106" s="767">
        <v>5</v>
      </c>
      <c r="G106" s="767">
        <v>5</v>
      </c>
      <c r="H106" s="767">
        <v>5</v>
      </c>
      <c r="I106" s="768">
        <v>5</v>
      </c>
      <c r="J106" s="806" t="s">
        <v>5220</v>
      </c>
    </row>
    <row r="107" spans="2:10" ht="12.95" customHeight="1" outlineLevel="1">
      <c r="B107" s="198" t="s">
        <v>2756</v>
      </c>
      <c r="C107" s="218">
        <v>2000</v>
      </c>
      <c r="D107" s="801">
        <v>5</v>
      </c>
      <c r="E107" s="801"/>
      <c r="F107" s="801"/>
      <c r="G107" s="801"/>
      <c r="H107" s="801"/>
      <c r="I107" s="802"/>
      <c r="J107" s="200" t="s">
        <v>5221</v>
      </c>
    </row>
    <row r="108" spans="2:10" ht="12.95" customHeight="1" outlineLevel="1">
      <c r="B108" s="194" t="s">
        <v>970</v>
      </c>
      <c r="C108" s="816">
        <v>3000</v>
      </c>
      <c r="D108" s="767">
        <v>5</v>
      </c>
      <c r="E108" s="767"/>
      <c r="F108" s="767">
        <v>5</v>
      </c>
      <c r="G108" s="767"/>
      <c r="H108" s="767">
        <v>6</v>
      </c>
      <c r="I108" s="768">
        <v>6</v>
      </c>
      <c r="J108" s="806" t="s">
        <v>5222</v>
      </c>
    </row>
    <row r="109" spans="2:10" ht="12.95" customHeight="1" outlineLevel="1">
      <c r="B109" s="198" t="s">
        <v>976</v>
      </c>
      <c r="C109" s="218">
        <v>2000</v>
      </c>
      <c r="D109" s="801">
        <v>5</v>
      </c>
      <c r="E109" s="801"/>
      <c r="F109" s="801"/>
      <c r="G109" s="801"/>
      <c r="H109" s="801"/>
      <c r="I109" s="802"/>
      <c r="J109" s="200" t="s">
        <v>5223</v>
      </c>
    </row>
    <row r="110" spans="2:10" ht="12.95" customHeight="1" outlineLevel="1">
      <c r="B110" s="194" t="s">
        <v>971</v>
      </c>
      <c r="C110" s="816">
        <v>4000</v>
      </c>
      <c r="D110" s="767">
        <v>5</v>
      </c>
      <c r="E110" s="767">
        <v>2</v>
      </c>
      <c r="F110" s="767">
        <v>5</v>
      </c>
      <c r="G110" s="767">
        <v>2</v>
      </c>
      <c r="H110" s="767">
        <v>2</v>
      </c>
      <c r="I110" s="768">
        <v>2</v>
      </c>
      <c r="J110" s="806" t="s">
        <v>5224</v>
      </c>
    </row>
    <row r="111" spans="2:10" ht="12.95" customHeight="1" outlineLevel="1">
      <c r="B111" s="198" t="s">
        <v>2489</v>
      </c>
      <c r="C111" s="218">
        <v>3000</v>
      </c>
      <c r="D111" s="801"/>
      <c r="E111" s="801">
        <v>3</v>
      </c>
      <c r="F111" s="801"/>
      <c r="G111" s="801">
        <v>3</v>
      </c>
      <c r="H111" s="801">
        <v>3</v>
      </c>
      <c r="I111" s="802">
        <v>3</v>
      </c>
      <c r="J111" s="200" t="s">
        <v>5828</v>
      </c>
    </row>
    <row r="112" spans="2:10" ht="12.95" customHeight="1" outlineLevel="1">
      <c r="B112" s="194" t="s">
        <v>1325</v>
      </c>
      <c r="C112" s="816">
        <v>5000</v>
      </c>
      <c r="D112" s="767">
        <v>10</v>
      </c>
      <c r="E112" s="767"/>
      <c r="F112" s="767">
        <v>10</v>
      </c>
      <c r="G112" s="767"/>
      <c r="H112" s="767"/>
      <c r="I112" s="768">
        <v>10</v>
      </c>
      <c r="J112" s="806" t="s">
        <v>5225</v>
      </c>
    </row>
    <row r="113" spans="2:10" ht="12.95" customHeight="1" outlineLevel="1" thickBot="1">
      <c r="B113" s="201" t="s">
        <v>121</v>
      </c>
      <c r="C113" s="219">
        <v>25000</v>
      </c>
      <c r="D113" s="203">
        <v>5</v>
      </c>
      <c r="E113" s="203"/>
      <c r="F113" s="203">
        <v>5</v>
      </c>
      <c r="G113" s="203"/>
      <c r="H113" s="203"/>
      <c r="I113" s="204">
        <v>30</v>
      </c>
      <c r="J113" s="205" t="s">
        <v>5226</v>
      </c>
    </row>
    <row r="114" spans="2:10" ht="12.95" customHeight="1" outlineLevel="1" thickTop="1">
      <c r="B114" s="2788" t="s">
        <v>4467</v>
      </c>
      <c r="C114" s="816">
        <v>10000</v>
      </c>
      <c r="D114" s="767"/>
      <c r="E114" s="767"/>
      <c r="F114" s="767"/>
      <c r="G114" s="767"/>
      <c r="H114" s="767"/>
      <c r="I114" s="768"/>
      <c r="J114" s="806" t="s">
        <v>4461</v>
      </c>
    </row>
    <row r="115" spans="2:10" ht="12.95" customHeight="1" outlineLevel="1">
      <c r="B115" s="198" t="s">
        <v>122</v>
      </c>
      <c r="C115" s="218">
        <v>1500</v>
      </c>
      <c r="D115" s="801">
        <v>5</v>
      </c>
      <c r="E115" s="801">
        <v>5</v>
      </c>
      <c r="F115" s="801">
        <v>5</v>
      </c>
      <c r="G115" s="801">
        <v>5</v>
      </c>
      <c r="H115" s="801">
        <v>5</v>
      </c>
      <c r="I115" s="802">
        <v>5</v>
      </c>
      <c r="J115" s="221" t="s">
        <v>4462</v>
      </c>
    </row>
    <row r="116" spans="2:10" ht="12.95" customHeight="1" outlineLevel="1">
      <c r="B116" s="194" t="s">
        <v>4468</v>
      </c>
      <c r="C116" s="816">
        <v>1000</v>
      </c>
      <c r="D116" s="767"/>
      <c r="E116" s="767"/>
      <c r="F116" s="767"/>
      <c r="G116" s="767"/>
      <c r="H116" s="767"/>
      <c r="I116" s="768"/>
      <c r="J116" s="806" t="s">
        <v>4463</v>
      </c>
    </row>
    <row r="117" spans="2:10" ht="12.95" customHeight="1" outlineLevel="1">
      <c r="B117" s="198" t="s">
        <v>4469</v>
      </c>
      <c r="C117" s="218">
        <v>5000</v>
      </c>
      <c r="D117" s="801"/>
      <c r="E117" s="801"/>
      <c r="F117" s="801">
        <v>5</v>
      </c>
      <c r="G117" s="801"/>
      <c r="H117" s="801"/>
      <c r="I117" s="802"/>
      <c r="J117" s="200" t="s">
        <v>4464</v>
      </c>
    </row>
    <row r="118" spans="2:10" ht="26.1" customHeight="1" outlineLevel="1">
      <c r="B118" s="194" t="s">
        <v>123</v>
      </c>
      <c r="C118" s="816">
        <v>1000</v>
      </c>
      <c r="D118" s="767">
        <v>5</v>
      </c>
      <c r="E118" s="767"/>
      <c r="F118" s="767"/>
      <c r="G118" s="767"/>
      <c r="H118" s="767"/>
      <c r="I118" s="768"/>
      <c r="J118" s="806" t="s">
        <v>4465</v>
      </c>
    </row>
    <row r="119" spans="2:10" ht="12.95" customHeight="1" outlineLevel="1" thickBot="1">
      <c r="B119" s="208" t="s">
        <v>124</v>
      </c>
      <c r="C119" s="220">
        <v>1000</v>
      </c>
      <c r="D119" s="187"/>
      <c r="E119" s="187"/>
      <c r="F119" s="187">
        <v>5</v>
      </c>
      <c r="G119" s="187"/>
      <c r="H119" s="187"/>
      <c r="I119" s="188"/>
      <c r="J119" s="209" t="s">
        <v>4466</v>
      </c>
    </row>
    <row r="120" spans="2:10" s="814" customFormat="1" ht="12.95" customHeight="1" outlineLevel="1">
      <c r="B120" s="812" t="s">
        <v>4437</v>
      </c>
      <c r="C120" s="813">
        <f t="shared" ref="C120:I120" si="3">SUM(C100:C119)</f>
        <v>73800</v>
      </c>
      <c r="D120" s="813">
        <f t="shared" si="3"/>
        <v>65</v>
      </c>
      <c r="E120" s="813">
        <f t="shared" si="3"/>
        <v>20</v>
      </c>
      <c r="F120" s="813">
        <f t="shared" si="3"/>
        <v>75</v>
      </c>
      <c r="G120" s="813">
        <f t="shared" si="3"/>
        <v>15</v>
      </c>
      <c r="H120" s="813">
        <f t="shared" si="3"/>
        <v>21</v>
      </c>
      <c r="I120" s="813">
        <f t="shared" si="3"/>
        <v>61</v>
      </c>
    </row>
    <row r="121" spans="2:10" ht="5.0999999999999996" customHeight="1" outlineLevel="1"/>
    <row r="122" spans="2:10" ht="12.95" customHeight="1" outlineLevel="1">
      <c r="B122" s="2960" t="s">
        <v>6069</v>
      </c>
      <c r="C122" s="2960"/>
      <c r="D122" s="2960"/>
      <c r="E122" s="2960"/>
      <c r="F122" s="2960"/>
      <c r="G122" s="2960"/>
      <c r="H122" s="2960"/>
      <c r="I122" s="2960"/>
      <c r="J122" s="2960"/>
    </row>
    <row r="123" spans="2:10" ht="12.95" customHeight="1" outlineLevel="1">
      <c r="B123" s="2960" t="s">
        <v>6070</v>
      </c>
      <c r="C123" s="2960"/>
      <c r="D123" s="2960"/>
      <c r="E123" s="2960"/>
      <c r="F123" s="2960"/>
      <c r="G123" s="2960"/>
      <c r="H123" s="2960"/>
      <c r="I123" s="2960"/>
      <c r="J123" s="2960"/>
    </row>
    <row r="124" spans="2:10" ht="12.95" customHeight="1" outlineLevel="1">
      <c r="B124" s="2960" t="s">
        <v>6071</v>
      </c>
      <c r="C124" s="2960"/>
      <c r="D124" s="2960"/>
      <c r="E124" s="2960"/>
      <c r="F124" s="2960"/>
      <c r="G124" s="2960"/>
      <c r="H124" s="2960"/>
      <c r="I124" s="2960"/>
      <c r="J124" s="2960"/>
    </row>
    <row r="125" spans="2:10" ht="12.95" customHeight="1">
      <c r="B125" s="3880" t="s">
        <v>625</v>
      </c>
    </row>
    <row r="126" spans="2:10" ht="12.95" customHeight="1">
      <c r="B126" s="3880"/>
      <c r="D126" s="818"/>
    </row>
    <row r="127" spans="2:10" ht="12.95" customHeight="1" thickBot="1">
      <c r="B127" s="3881"/>
    </row>
    <row r="128" spans="2:10" ht="12.95" customHeight="1">
      <c r="B128" s="3127" t="s">
        <v>2042</v>
      </c>
      <c r="C128" s="3122" t="s">
        <v>1544</v>
      </c>
      <c r="D128" s="3121"/>
      <c r="E128" s="3121"/>
      <c r="F128" s="3121"/>
      <c r="G128" s="3121"/>
      <c r="H128" s="3121"/>
      <c r="I128" s="3117"/>
      <c r="J128" s="3127" t="s">
        <v>3949</v>
      </c>
    </row>
    <row r="129" spans="2:10" ht="12.95" customHeight="1" thickBot="1">
      <c r="B129" s="3882"/>
      <c r="C129" s="824" t="s">
        <v>2568</v>
      </c>
      <c r="D129" s="825" t="s">
        <v>2569</v>
      </c>
      <c r="E129" s="825" t="s">
        <v>2571</v>
      </c>
      <c r="F129" s="825" t="s">
        <v>2570</v>
      </c>
      <c r="G129" s="825" t="s">
        <v>2572</v>
      </c>
      <c r="H129" s="825" t="s">
        <v>1766</v>
      </c>
      <c r="I129" s="826" t="s">
        <v>1767</v>
      </c>
      <c r="J129" s="3882"/>
    </row>
    <row r="130" spans="2:10" ht="12.95" customHeight="1" outlineLevel="1">
      <c r="B130" s="804" t="s">
        <v>2118</v>
      </c>
      <c r="C130" s="815">
        <v>400</v>
      </c>
      <c r="D130" s="765">
        <v>5</v>
      </c>
      <c r="E130" s="765"/>
      <c r="F130" s="765">
        <v>5</v>
      </c>
      <c r="G130" s="765"/>
      <c r="H130" s="765"/>
      <c r="I130" s="766"/>
      <c r="J130" s="805" t="s">
        <v>5227</v>
      </c>
    </row>
    <row r="131" spans="2:10" ht="12.95" customHeight="1" outlineLevel="1">
      <c r="B131" s="198" t="s">
        <v>1431</v>
      </c>
      <c r="C131" s="218">
        <v>1000</v>
      </c>
      <c r="D131" s="801">
        <v>5</v>
      </c>
      <c r="E131" s="801"/>
      <c r="F131" s="801">
        <v>5</v>
      </c>
      <c r="G131" s="801"/>
      <c r="H131" s="801"/>
      <c r="I131" s="802"/>
      <c r="J131" s="200" t="s">
        <v>5228</v>
      </c>
    </row>
    <row r="132" spans="2:10" ht="12.95" customHeight="1" outlineLevel="1">
      <c r="B132" s="194" t="s">
        <v>1770</v>
      </c>
      <c r="C132" s="816">
        <v>1000</v>
      </c>
      <c r="D132" s="767"/>
      <c r="E132" s="767"/>
      <c r="F132" s="767">
        <v>5</v>
      </c>
      <c r="G132" s="767"/>
      <c r="H132" s="767"/>
      <c r="I132" s="768"/>
      <c r="J132" s="806" t="s">
        <v>5829</v>
      </c>
    </row>
    <row r="133" spans="2:10" ht="12.95" customHeight="1" outlineLevel="1">
      <c r="B133" s="198" t="s">
        <v>1777</v>
      </c>
      <c r="C133" s="218">
        <v>1000</v>
      </c>
      <c r="D133" s="801">
        <v>5</v>
      </c>
      <c r="E133" s="801"/>
      <c r="F133" s="801">
        <v>5</v>
      </c>
      <c r="G133" s="801"/>
      <c r="H133" s="801"/>
      <c r="I133" s="802"/>
      <c r="J133" s="200" t="s">
        <v>5229</v>
      </c>
    </row>
    <row r="134" spans="2:10" ht="12.95" customHeight="1" outlineLevel="1">
      <c r="B134" s="194" t="s">
        <v>1771</v>
      </c>
      <c r="C134" s="816">
        <v>1500</v>
      </c>
      <c r="D134" s="767">
        <v>5</v>
      </c>
      <c r="E134" s="767"/>
      <c r="F134" s="767">
        <v>5</v>
      </c>
      <c r="G134" s="767"/>
      <c r="H134" s="767"/>
      <c r="I134" s="768"/>
      <c r="J134" s="806" t="s">
        <v>5230</v>
      </c>
    </row>
    <row r="135" spans="2:10" ht="12.95" customHeight="1" outlineLevel="1">
      <c r="B135" s="198" t="s">
        <v>1750</v>
      </c>
      <c r="C135" s="218">
        <v>1500</v>
      </c>
      <c r="D135" s="801"/>
      <c r="E135" s="801">
        <v>5</v>
      </c>
      <c r="F135" s="801"/>
      <c r="G135" s="801"/>
      <c r="H135" s="801"/>
      <c r="I135" s="802"/>
      <c r="J135" s="200" t="s">
        <v>5231</v>
      </c>
    </row>
    <row r="136" spans="2:10" ht="12.95" customHeight="1" outlineLevel="1">
      <c r="B136" s="194" t="s">
        <v>1772</v>
      </c>
      <c r="C136" s="816">
        <v>2000</v>
      </c>
      <c r="D136" s="767">
        <v>5</v>
      </c>
      <c r="E136" s="767"/>
      <c r="F136" s="767">
        <v>5</v>
      </c>
      <c r="G136" s="767"/>
      <c r="H136" s="767"/>
      <c r="I136" s="768"/>
      <c r="J136" s="806" t="s">
        <v>5232</v>
      </c>
    </row>
    <row r="137" spans="2:10" ht="12.95" customHeight="1" outlineLevel="1">
      <c r="B137" s="198" t="s">
        <v>1778</v>
      </c>
      <c r="C137" s="218">
        <v>2000</v>
      </c>
      <c r="D137" s="801">
        <v>5</v>
      </c>
      <c r="E137" s="801"/>
      <c r="F137" s="801"/>
      <c r="G137" s="801"/>
      <c r="H137" s="801">
        <v>10</v>
      </c>
      <c r="I137" s="802">
        <v>10</v>
      </c>
      <c r="J137" s="200" t="s">
        <v>5233</v>
      </c>
    </row>
    <row r="138" spans="2:10" ht="12.95" customHeight="1" outlineLevel="1">
      <c r="B138" s="194" t="s">
        <v>1773</v>
      </c>
      <c r="C138" s="816">
        <v>2000</v>
      </c>
      <c r="D138" s="767"/>
      <c r="E138" s="767"/>
      <c r="F138" s="767">
        <v>10</v>
      </c>
      <c r="G138" s="767">
        <v>10</v>
      </c>
      <c r="H138" s="767"/>
      <c r="I138" s="768"/>
      <c r="J138" s="806" t="s">
        <v>5234</v>
      </c>
    </row>
    <row r="139" spans="2:10" ht="12.95" customHeight="1" outlineLevel="1">
      <c r="B139" s="198" t="s">
        <v>1779</v>
      </c>
      <c r="C139" s="218">
        <v>2000</v>
      </c>
      <c r="D139" s="801"/>
      <c r="E139" s="801"/>
      <c r="F139" s="801">
        <v>5</v>
      </c>
      <c r="G139" s="801">
        <v>5</v>
      </c>
      <c r="H139" s="801"/>
      <c r="I139" s="802"/>
      <c r="J139" s="200" t="s">
        <v>5830</v>
      </c>
    </row>
    <row r="140" spans="2:10" ht="12.95" customHeight="1" outlineLevel="1">
      <c r="B140" s="194" t="s">
        <v>1774</v>
      </c>
      <c r="C140" s="816">
        <v>6000</v>
      </c>
      <c r="D140" s="767">
        <v>10</v>
      </c>
      <c r="E140" s="767"/>
      <c r="F140" s="767">
        <v>10</v>
      </c>
      <c r="G140" s="767"/>
      <c r="H140" s="767"/>
      <c r="I140" s="768"/>
      <c r="J140" s="806" t="s">
        <v>5235</v>
      </c>
    </row>
    <row r="141" spans="2:10" ht="12.95" customHeight="1" outlineLevel="1">
      <c r="B141" s="198" t="s">
        <v>1780</v>
      </c>
      <c r="C141" s="218">
        <v>3000</v>
      </c>
      <c r="D141" s="801">
        <v>5</v>
      </c>
      <c r="E141" s="801">
        <v>2</v>
      </c>
      <c r="F141" s="801">
        <v>5</v>
      </c>
      <c r="G141" s="801">
        <v>2</v>
      </c>
      <c r="H141" s="801">
        <v>2</v>
      </c>
      <c r="I141" s="802">
        <v>2</v>
      </c>
      <c r="J141" s="200" t="s">
        <v>5236</v>
      </c>
    </row>
    <row r="142" spans="2:10" ht="12.95" customHeight="1" outlineLevel="1">
      <c r="B142" s="194" t="s">
        <v>1775</v>
      </c>
      <c r="C142" s="816">
        <v>10000</v>
      </c>
      <c r="D142" s="767">
        <v>5</v>
      </c>
      <c r="E142" s="767">
        <v>5</v>
      </c>
      <c r="F142" s="767">
        <v>5</v>
      </c>
      <c r="G142" s="767">
        <v>5</v>
      </c>
      <c r="H142" s="767">
        <v>5</v>
      </c>
      <c r="I142" s="768">
        <v>5</v>
      </c>
      <c r="J142" s="806" t="s">
        <v>5237</v>
      </c>
    </row>
    <row r="143" spans="2:10" ht="12.95" customHeight="1" outlineLevel="1" thickBot="1">
      <c r="B143" s="201" t="s">
        <v>2119</v>
      </c>
      <c r="C143" s="219">
        <v>15000</v>
      </c>
      <c r="D143" s="203">
        <v>5</v>
      </c>
      <c r="E143" s="203">
        <v>20</v>
      </c>
      <c r="F143" s="203">
        <v>5</v>
      </c>
      <c r="G143" s="203"/>
      <c r="H143" s="203"/>
      <c r="I143" s="204"/>
      <c r="J143" s="205" t="s">
        <v>5238</v>
      </c>
    </row>
    <row r="144" spans="2:10" ht="26.1" customHeight="1" outlineLevel="1" thickTop="1">
      <c r="B144" s="194" t="s">
        <v>2524</v>
      </c>
      <c r="C144" s="816">
        <v>1000</v>
      </c>
      <c r="D144" s="767"/>
      <c r="E144" s="767"/>
      <c r="F144" s="767"/>
      <c r="G144" s="767"/>
      <c r="H144" s="767"/>
      <c r="I144" s="768"/>
      <c r="J144" s="806" t="s">
        <v>4470</v>
      </c>
    </row>
    <row r="145" spans="2:10" ht="39" customHeight="1" outlineLevel="1">
      <c r="B145" s="198" t="s">
        <v>2525</v>
      </c>
      <c r="C145" s="218">
        <v>1000</v>
      </c>
      <c r="D145" s="801"/>
      <c r="E145" s="801"/>
      <c r="F145" s="801"/>
      <c r="G145" s="801"/>
      <c r="H145" s="801"/>
      <c r="I145" s="802"/>
      <c r="J145" s="200" t="s">
        <v>4471</v>
      </c>
    </row>
    <row r="146" spans="2:10" ht="39" customHeight="1" outlineLevel="1">
      <c r="B146" s="194" t="s">
        <v>2526</v>
      </c>
      <c r="C146" s="816">
        <v>1000</v>
      </c>
      <c r="D146" s="767"/>
      <c r="E146" s="767"/>
      <c r="F146" s="767"/>
      <c r="G146" s="767"/>
      <c r="H146" s="767"/>
      <c r="I146" s="768"/>
      <c r="J146" s="806" t="s">
        <v>4472</v>
      </c>
    </row>
    <row r="147" spans="2:10" ht="12.95" customHeight="1" outlineLevel="1">
      <c r="B147" s="198" t="s">
        <v>4474</v>
      </c>
      <c r="C147" s="218">
        <v>5000</v>
      </c>
      <c r="D147" s="801"/>
      <c r="E147" s="801"/>
      <c r="F147" s="801">
        <v>5</v>
      </c>
      <c r="G147" s="801"/>
      <c r="H147" s="801"/>
      <c r="I147" s="802"/>
      <c r="J147" s="200" t="s">
        <v>4442</v>
      </c>
    </row>
    <row r="148" spans="2:10" ht="26.1" customHeight="1" outlineLevel="1">
      <c r="B148" s="194" t="s">
        <v>4475</v>
      </c>
      <c r="C148" s="816">
        <v>2000</v>
      </c>
      <c r="D148" s="767">
        <v>20</v>
      </c>
      <c r="E148" s="767"/>
      <c r="F148" s="767"/>
      <c r="G148" s="767"/>
      <c r="H148" s="767"/>
      <c r="I148" s="768"/>
      <c r="J148" s="806" t="s">
        <v>5970</v>
      </c>
    </row>
    <row r="149" spans="2:10" ht="12.95" customHeight="1" outlineLevel="1" thickBot="1">
      <c r="B149" s="208" t="s">
        <v>4476</v>
      </c>
      <c r="C149" s="220">
        <v>1000</v>
      </c>
      <c r="D149" s="187"/>
      <c r="E149" s="187"/>
      <c r="F149" s="187"/>
      <c r="G149" s="187"/>
      <c r="H149" s="187"/>
      <c r="I149" s="188"/>
      <c r="J149" s="209" t="s">
        <v>4473</v>
      </c>
    </row>
    <row r="150" spans="2:10" s="814" customFormat="1" ht="12.95" customHeight="1" outlineLevel="1">
      <c r="B150" s="812" t="s">
        <v>4437</v>
      </c>
      <c r="C150" s="813">
        <f t="shared" ref="C150:I150" si="4">SUM(C130:C149)</f>
        <v>59400</v>
      </c>
      <c r="D150" s="813">
        <f t="shared" si="4"/>
        <v>75</v>
      </c>
      <c r="E150" s="813">
        <f t="shared" si="4"/>
        <v>32</v>
      </c>
      <c r="F150" s="813">
        <f t="shared" si="4"/>
        <v>75</v>
      </c>
      <c r="G150" s="813">
        <f t="shared" si="4"/>
        <v>22</v>
      </c>
      <c r="H150" s="813">
        <f t="shared" si="4"/>
        <v>17</v>
      </c>
      <c r="I150" s="813">
        <f t="shared" si="4"/>
        <v>17</v>
      </c>
    </row>
    <row r="151" spans="2:10" ht="5.0999999999999996" customHeight="1" outlineLevel="1"/>
    <row r="152" spans="2:10" ht="12.95" customHeight="1" outlineLevel="1">
      <c r="B152" s="2960" t="s">
        <v>6072</v>
      </c>
      <c r="C152" s="2960"/>
      <c r="D152" s="2960"/>
      <c r="E152" s="2960"/>
      <c r="F152" s="2960"/>
      <c r="G152" s="2960"/>
      <c r="H152" s="2960"/>
      <c r="I152" s="2960"/>
      <c r="J152" s="2960"/>
    </row>
    <row r="153" spans="2:10" ht="12.95" customHeight="1" outlineLevel="1">
      <c r="B153" s="2960" t="s">
        <v>4477</v>
      </c>
      <c r="C153" s="2960"/>
      <c r="D153" s="2960"/>
      <c r="E153" s="2960"/>
      <c r="F153" s="2960"/>
      <c r="G153" s="2960"/>
      <c r="H153" s="2960"/>
      <c r="I153" s="2960"/>
      <c r="J153" s="2960"/>
    </row>
    <row r="154" spans="2:10" ht="12.95" customHeight="1" outlineLevel="1">
      <c r="B154" s="2960" t="s">
        <v>6073</v>
      </c>
      <c r="C154" s="2960"/>
      <c r="D154" s="2960"/>
      <c r="E154" s="2960"/>
      <c r="F154" s="2960"/>
      <c r="G154" s="2960"/>
      <c r="H154" s="2960"/>
      <c r="I154" s="2960"/>
      <c r="J154" s="2960"/>
    </row>
    <row r="155" spans="2:10" ht="12.95" customHeight="1">
      <c r="B155" s="3880" t="s">
        <v>626</v>
      </c>
    </row>
    <row r="156" spans="2:10" ht="12.95" customHeight="1">
      <c r="B156" s="3880"/>
    </row>
    <row r="157" spans="2:10" ht="12.95" customHeight="1" thickBot="1">
      <c r="B157" s="3881"/>
    </row>
    <row r="158" spans="2:10" ht="12.95" customHeight="1">
      <c r="B158" s="3127" t="s">
        <v>2042</v>
      </c>
      <c r="C158" s="3122" t="s">
        <v>1544</v>
      </c>
      <c r="D158" s="3121"/>
      <c r="E158" s="3121"/>
      <c r="F158" s="3121"/>
      <c r="G158" s="3121"/>
      <c r="H158" s="3121"/>
      <c r="I158" s="3117"/>
      <c r="J158" s="3127" t="s">
        <v>3949</v>
      </c>
    </row>
    <row r="159" spans="2:10" ht="12.95" customHeight="1" thickBot="1">
      <c r="B159" s="3882"/>
      <c r="C159" s="824" t="s">
        <v>2568</v>
      </c>
      <c r="D159" s="825" t="s">
        <v>2569</v>
      </c>
      <c r="E159" s="825" t="s">
        <v>2571</v>
      </c>
      <c r="F159" s="825" t="s">
        <v>2570</v>
      </c>
      <c r="G159" s="825" t="s">
        <v>2572</v>
      </c>
      <c r="H159" s="825" t="s">
        <v>1766</v>
      </c>
      <c r="I159" s="826" t="s">
        <v>1767</v>
      </c>
      <c r="J159" s="3882"/>
    </row>
    <row r="160" spans="2:10" ht="12.95" customHeight="1" outlineLevel="1">
      <c r="B160" s="804" t="s">
        <v>492</v>
      </c>
      <c r="C160" s="815">
        <v>400</v>
      </c>
      <c r="D160" s="765">
        <v>10</v>
      </c>
      <c r="E160" s="765"/>
      <c r="F160" s="765"/>
      <c r="G160" s="765"/>
      <c r="H160" s="765"/>
      <c r="I160" s="766"/>
      <c r="J160" s="805" t="s">
        <v>5239</v>
      </c>
    </row>
    <row r="161" spans="2:10" ht="12.95" customHeight="1" outlineLevel="1">
      <c r="B161" s="198" t="s">
        <v>156</v>
      </c>
      <c r="C161" s="218">
        <v>1000</v>
      </c>
      <c r="D161" s="801">
        <v>5</v>
      </c>
      <c r="E161" s="801"/>
      <c r="F161" s="801"/>
      <c r="G161" s="801"/>
      <c r="H161" s="801"/>
      <c r="I161" s="802"/>
      <c r="J161" s="200" t="s">
        <v>5831</v>
      </c>
    </row>
    <row r="162" spans="2:10" ht="12.95" customHeight="1" outlineLevel="1">
      <c r="B162" s="194" t="s">
        <v>493</v>
      </c>
      <c r="C162" s="816">
        <v>1000</v>
      </c>
      <c r="D162" s="767"/>
      <c r="E162" s="767"/>
      <c r="F162" s="767"/>
      <c r="G162" s="767"/>
      <c r="H162" s="767"/>
      <c r="I162" s="768"/>
      <c r="J162" s="806" t="s">
        <v>5240</v>
      </c>
    </row>
    <row r="163" spans="2:10" ht="12.95" customHeight="1" outlineLevel="1">
      <c r="B163" s="198" t="s">
        <v>157</v>
      </c>
      <c r="C163" s="218">
        <v>1000</v>
      </c>
      <c r="D163" s="801"/>
      <c r="E163" s="801"/>
      <c r="F163" s="801"/>
      <c r="G163" s="801">
        <v>2</v>
      </c>
      <c r="H163" s="801">
        <v>2</v>
      </c>
      <c r="I163" s="802"/>
      <c r="J163" s="200" t="s">
        <v>5241</v>
      </c>
    </row>
    <row r="164" spans="2:10" ht="12.95" customHeight="1" outlineLevel="1">
      <c r="B164" s="194" t="s">
        <v>1160</v>
      </c>
      <c r="C164" s="816">
        <v>1000</v>
      </c>
      <c r="D164" s="767">
        <v>1</v>
      </c>
      <c r="E164" s="767">
        <v>1</v>
      </c>
      <c r="F164" s="767">
        <v>1</v>
      </c>
      <c r="G164" s="767">
        <v>1</v>
      </c>
      <c r="H164" s="767">
        <v>1</v>
      </c>
      <c r="I164" s="768">
        <v>1</v>
      </c>
      <c r="J164" s="806" t="s">
        <v>5242</v>
      </c>
    </row>
    <row r="165" spans="2:10" ht="12.95" customHeight="1" outlineLevel="1">
      <c r="B165" s="198" t="s">
        <v>158</v>
      </c>
      <c r="C165" s="218">
        <v>1000</v>
      </c>
      <c r="D165" s="801">
        <v>1</v>
      </c>
      <c r="E165" s="801">
        <v>1</v>
      </c>
      <c r="F165" s="801">
        <v>1</v>
      </c>
      <c r="G165" s="801">
        <v>1</v>
      </c>
      <c r="H165" s="801">
        <v>1</v>
      </c>
      <c r="I165" s="802">
        <v>1</v>
      </c>
      <c r="J165" s="200" t="s">
        <v>5243</v>
      </c>
    </row>
    <row r="166" spans="2:10" ht="12.95" customHeight="1" outlineLevel="1">
      <c r="B166" s="194" t="s">
        <v>1161</v>
      </c>
      <c r="C166" s="816">
        <v>2000</v>
      </c>
      <c r="D166" s="767">
        <v>5</v>
      </c>
      <c r="E166" s="767"/>
      <c r="F166" s="767">
        <v>10</v>
      </c>
      <c r="G166" s="767"/>
      <c r="H166" s="767"/>
      <c r="I166" s="768"/>
      <c r="J166" s="806" t="s">
        <v>5244</v>
      </c>
    </row>
    <row r="167" spans="2:10" ht="12.95" customHeight="1" outlineLevel="1">
      <c r="B167" s="198" t="s">
        <v>112</v>
      </c>
      <c r="C167" s="218">
        <v>1500</v>
      </c>
      <c r="D167" s="801">
        <v>5</v>
      </c>
      <c r="E167" s="801"/>
      <c r="F167" s="801"/>
      <c r="G167" s="801"/>
      <c r="H167" s="801"/>
      <c r="I167" s="802"/>
      <c r="J167" s="200" t="s">
        <v>5245</v>
      </c>
    </row>
    <row r="168" spans="2:10" ht="12.95" customHeight="1" outlineLevel="1">
      <c r="B168" s="194" t="s">
        <v>1163</v>
      </c>
      <c r="C168" s="816">
        <v>4000</v>
      </c>
      <c r="D168" s="767"/>
      <c r="E168" s="767"/>
      <c r="F168" s="767">
        <v>10</v>
      </c>
      <c r="G168" s="767"/>
      <c r="H168" s="767"/>
      <c r="I168" s="768">
        <v>10</v>
      </c>
      <c r="J168" s="806" t="s">
        <v>5246</v>
      </c>
    </row>
    <row r="169" spans="2:10" ht="12.95" customHeight="1" outlineLevel="1">
      <c r="B169" s="198" t="s">
        <v>110</v>
      </c>
      <c r="C169" s="218">
        <v>3000</v>
      </c>
      <c r="D169" s="801"/>
      <c r="E169" s="801"/>
      <c r="F169" s="801">
        <v>5</v>
      </c>
      <c r="G169" s="801"/>
      <c r="H169" s="801"/>
      <c r="I169" s="802">
        <v>5</v>
      </c>
      <c r="J169" s="200" t="s">
        <v>5247</v>
      </c>
    </row>
    <row r="170" spans="2:10" ht="12.95" customHeight="1" outlineLevel="1">
      <c r="B170" s="194" t="s">
        <v>155</v>
      </c>
      <c r="C170" s="816">
        <v>5000</v>
      </c>
      <c r="D170" s="767">
        <v>5</v>
      </c>
      <c r="E170" s="767">
        <v>5</v>
      </c>
      <c r="F170" s="767">
        <v>5</v>
      </c>
      <c r="G170" s="767">
        <v>5</v>
      </c>
      <c r="H170" s="767"/>
      <c r="I170" s="768"/>
      <c r="J170" s="806" t="s">
        <v>5248</v>
      </c>
    </row>
    <row r="171" spans="2:10" ht="12.95" customHeight="1" outlineLevel="1">
      <c r="B171" s="198" t="s">
        <v>111</v>
      </c>
      <c r="C171" s="218">
        <v>3000</v>
      </c>
      <c r="D171" s="801">
        <v>5</v>
      </c>
      <c r="E171" s="801">
        <v>5</v>
      </c>
      <c r="F171" s="801">
        <v>5</v>
      </c>
      <c r="G171" s="801">
        <v>5</v>
      </c>
      <c r="H171" s="801"/>
      <c r="I171" s="802"/>
      <c r="J171" s="200" t="s">
        <v>5249</v>
      </c>
    </row>
    <row r="172" spans="2:10" ht="12.95" customHeight="1" outlineLevel="1">
      <c r="B172" s="194" t="s">
        <v>1162</v>
      </c>
      <c r="C172" s="816">
        <v>15000</v>
      </c>
      <c r="D172" s="767">
        <v>15</v>
      </c>
      <c r="E172" s="767"/>
      <c r="F172" s="767">
        <v>15</v>
      </c>
      <c r="G172" s="767">
        <v>20</v>
      </c>
      <c r="H172" s="767"/>
      <c r="I172" s="768"/>
      <c r="J172" s="806" t="s">
        <v>5250</v>
      </c>
    </row>
    <row r="173" spans="2:10" ht="12.95" customHeight="1" outlineLevel="1" thickBot="1">
      <c r="B173" s="201" t="s">
        <v>113</v>
      </c>
      <c r="C173" s="219">
        <v>15000</v>
      </c>
      <c r="D173" s="203">
        <v>15</v>
      </c>
      <c r="E173" s="203"/>
      <c r="F173" s="203">
        <v>15</v>
      </c>
      <c r="G173" s="203">
        <v>20</v>
      </c>
      <c r="H173" s="203"/>
      <c r="I173" s="204"/>
      <c r="J173" s="205" t="s">
        <v>5251</v>
      </c>
    </row>
    <row r="174" spans="2:10" ht="12.95" customHeight="1" outlineLevel="1" thickTop="1">
      <c r="B174" s="194" t="s">
        <v>1722</v>
      </c>
      <c r="C174" s="816">
        <v>1000</v>
      </c>
      <c r="D174" s="767">
        <v>5</v>
      </c>
      <c r="E174" s="767"/>
      <c r="F174" s="767">
        <v>5</v>
      </c>
      <c r="G174" s="767"/>
      <c r="H174" s="767"/>
      <c r="I174" s="768"/>
      <c r="J174" s="806" t="s">
        <v>4478</v>
      </c>
    </row>
    <row r="175" spans="2:10" ht="12.95" customHeight="1" outlineLevel="1">
      <c r="B175" s="198" t="s">
        <v>4474</v>
      </c>
      <c r="C175" s="218">
        <v>5000</v>
      </c>
      <c r="D175" s="801"/>
      <c r="E175" s="801"/>
      <c r="F175" s="801">
        <v>5</v>
      </c>
      <c r="G175" s="801"/>
      <c r="H175" s="801"/>
      <c r="I175" s="802"/>
      <c r="J175" s="200" t="s">
        <v>4479</v>
      </c>
    </row>
    <row r="176" spans="2:10" ht="26.1" customHeight="1" outlineLevel="1">
      <c r="B176" s="194" t="s">
        <v>1723</v>
      </c>
      <c r="C176" s="816">
        <v>1000</v>
      </c>
      <c r="D176" s="767"/>
      <c r="E176" s="767"/>
      <c r="F176" s="767"/>
      <c r="G176" s="767"/>
      <c r="H176" s="767"/>
      <c r="I176" s="768"/>
      <c r="J176" s="806" t="s">
        <v>10115</v>
      </c>
    </row>
    <row r="177" spans="2:10" ht="12.95" customHeight="1" outlineLevel="1">
      <c r="B177" s="198" t="s">
        <v>4482</v>
      </c>
      <c r="C177" s="218">
        <v>1000</v>
      </c>
      <c r="D177" s="801"/>
      <c r="E177" s="801"/>
      <c r="F177" s="801"/>
      <c r="G177" s="801"/>
      <c r="H177" s="801"/>
      <c r="I177" s="802"/>
      <c r="J177" s="200" t="s">
        <v>4480</v>
      </c>
    </row>
    <row r="178" spans="2:10" ht="65.099999999999994" customHeight="1" outlineLevel="1">
      <c r="B178" s="194" t="s">
        <v>1724</v>
      </c>
      <c r="C178" s="816">
        <v>2500</v>
      </c>
      <c r="D178" s="767"/>
      <c r="E178" s="767"/>
      <c r="F178" s="767">
        <v>5</v>
      </c>
      <c r="G178" s="767"/>
      <c r="H178" s="767"/>
      <c r="I178" s="768"/>
      <c r="J178" s="806" t="s">
        <v>4481</v>
      </c>
    </row>
    <row r="179" spans="2:10" ht="12.95" customHeight="1" outlineLevel="1" thickBot="1">
      <c r="B179" s="2789" t="s">
        <v>4483</v>
      </c>
      <c r="C179" s="220">
        <v>10000</v>
      </c>
      <c r="D179" s="187"/>
      <c r="E179" s="187"/>
      <c r="F179" s="187"/>
      <c r="G179" s="187"/>
      <c r="H179" s="187"/>
      <c r="I179" s="188"/>
      <c r="J179" s="209" t="s">
        <v>4461</v>
      </c>
    </row>
    <row r="180" spans="2:10" s="814" customFormat="1" ht="12.95" customHeight="1" outlineLevel="1">
      <c r="B180" s="812" t="s">
        <v>4437</v>
      </c>
      <c r="C180" s="813">
        <f t="shared" ref="C180:I180" si="5">SUM(C160:C179)</f>
        <v>74400</v>
      </c>
      <c r="D180" s="813">
        <f t="shared" si="5"/>
        <v>72</v>
      </c>
      <c r="E180" s="813">
        <f t="shared" si="5"/>
        <v>12</v>
      </c>
      <c r="F180" s="813">
        <f t="shared" si="5"/>
        <v>82</v>
      </c>
      <c r="G180" s="813">
        <f t="shared" si="5"/>
        <v>54</v>
      </c>
      <c r="H180" s="813">
        <f t="shared" si="5"/>
        <v>4</v>
      </c>
      <c r="I180" s="813">
        <f t="shared" si="5"/>
        <v>17</v>
      </c>
    </row>
    <row r="181" spans="2:10" ht="5.0999999999999996" customHeight="1" outlineLevel="1"/>
    <row r="182" spans="2:10" ht="12.95" customHeight="1" outlineLevel="1">
      <c r="B182" s="2960" t="s">
        <v>6072</v>
      </c>
      <c r="C182" s="2960"/>
      <c r="D182" s="2960"/>
      <c r="E182" s="2960"/>
      <c r="F182" s="2960"/>
      <c r="G182" s="2960"/>
      <c r="H182" s="2960"/>
      <c r="I182" s="2960"/>
      <c r="J182" s="2960"/>
    </row>
    <row r="183" spans="2:10" ht="12.95" customHeight="1" outlineLevel="1">
      <c r="B183" s="2960" t="s">
        <v>6074</v>
      </c>
      <c r="C183" s="2960"/>
      <c r="D183" s="2960"/>
      <c r="E183" s="2960"/>
      <c r="F183" s="2960"/>
      <c r="G183" s="2960"/>
      <c r="H183" s="2960"/>
      <c r="I183" s="2960"/>
      <c r="J183" s="2960"/>
    </row>
    <row r="184" spans="2:10" ht="12.95" customHeight="1" outlineLevel="1">
      <c r="B184" s="2960" t="s">
        <v>6075</v>
      </c>
      <c r="C184" s="2960"/>
      <c r="D184" s="2960"/>
      <c r="E184" s="2960"/>
      <c r="F184" s="2960"/>
      <c r="G184" s="2960"/>
      <c r="H184" s="2960"/>
      <c r="I184" s="2960"/>
      <c r="J184" s="2960"/>
    </row>
    <row r="185" spans="2:10" ht="12.95" customHeight="1">
      <c r="B185" s="3880" t="s">
        <v>2557</v>
      </c>
      <c r="D185" s="818"/>
    </row>
    <row r="186" spans="2:10" ht="12.95" customHeight="1">
      <c r="B186" s="3880"/>
    </row>
    <row r="187" spans="2:10" ht="12.95" customHeight="1" thickBot="1">
      <c r="B187" s="3881"/>
    </row>
    <row r="188" spans="2:10" ht="12.95" customHeight="1">
      <c r="B188" s="3127" t="s">
        <v>2042</v>
      </c>
      <c r="C188" s="3122" t="s">
        <v>1544</v>
      </c>
      <c r="D188" s="3121"/>
      <c r="E188" s="3121"/>
      <c r="F188" s="3121"/>
      <c r="G188" s="3121"/>
      <c r="H188" s="3121"/>
      <c r="I188" s="3117"/>
      <c r="J188" s="3127" t="s">
        <v>3949</v>
      </c>
    </row>
    <row r="189" spans="2:10" ht="12.95" customHeight="1" thickBot="1">
      <c r="B189" s="3882"/>
      <c r="C189" s="824" t="s">
        <v>2568</v>
      </c>
      <c r="D189" s="825" t="s">
        <v>2569</v>
      </c>
      <c r="E189" s="825" t="s">
        <v>2571</v>
      </c>
      <c r="F189" s="825" t="s">
        <v>2570</v>
      </c>
      <c r="G189" s="825" t="s">
        <v>2572</v>
      </c>
      <c r="H189" s="825" t="s">
        <v>1766</v>
      </c>
      <c r="I189" s="826" t="s">
        <v>1767</v>
      </c>
      <c r="J189" s="3882"/>
    </row>
    <row r="190" spans="2:10" ht="12.95" customHeight="1" outlineLevel="1">
      <c r="B190" s="804" t="s">
        <v>2351</v>
      </c>
      <c r="C190" s="815">
        <v>300</v>
      </c>
      <c r="D190" s="765">
        <v>5</v>
      </c>
      <c r="E190" s="765"/>
      <c r="F190" s="765">
        <v>5</v>
      </c>
      <c r="G190" s="765"/>
      <c r="H190" s="765"/>
      <c r="I190" s="766"/>
      <c r="J190" s="805" t="s">
        <v>5252</v>
      </c>
    </row>
    <row r="191" spans="2:10" ht="12.95" customHeight="1" outlineLevel="1">
      <c r="B191" s="206" t="s">
        <v>2358</v>
      </c>
      <c r="C191" s="218">
        <v>1000</v>
      </c>
      <c r="D191" s="801"/>
      <c r="E191" s="801"/>
      <c r="F191" s="801"/>
      <c r="G191" s="801"/>
      <c r="H191" s="801"/>
      <c r="I191" s="802"/>
      <c r="J191" s="200" t="s">
        <v>5253</v>
      </c>
    </row>
    <row r="192" spans="2:10" ht="12.95" customHeight="1" outlineLevel="1">
      <c r="B192" s="194" t="s">
        <v>2354</v>
      </c>
      <c r="C192" s="816">
        <v>1000</v>
      </c>
      <c r="D192" s="767"/>
      <c r="E192" s="767"/>
      <c r="F192" s="767">
        <v>5</v>
      </c>
      <c r="G192" s="767"/>
      <c r="H192" s="767"/>
      <c r="I192" s="768"/>
      <c r="J192" s="806" t="s">
        <v>5254</v>
      </c>
    </row>
    <row r="193" spans="2:10" ht="12.95" customHeight="1" outlineLevel="1">
      <c r="B193" s="198" t="s">
        <v>1966</v>
      </c>
      <c r="C193" s="218">
        <v>1000</v>
      </c>
      <c r="D193" s="801"/>
      <c r="E193" s="801">
        <v>5</v>
      </c>
      <c r="F193" s="801"/>
      <c r="G193" s="801"/>
      <c r="H193" s="801"/>
      <c r="I193" s="802"/>
      <c r="J193" s="200" t="s">
        <v>5255</v>
      </c>
    </row>
    <row r="194" spans="2:10" ht="12.95" customHeight="1" outlineLevel="1">
      <c r="B194" s="194" t="s">
        <v>2352</v>
      </c>
      <c r="C194" s="816">
        <v>1500</v>
      </c>
      <c r="D194" s="767">
        <v>10</v>
      </c>
      <c r="E194" s="767"/>
      <c r="F194" s="767"/>
      <c r="G194" s="767"/>
      <c r="H194" s="767"/>
      <c r="I194" s="768"/>
      <c r="J194" s="806" t="s">
        <v>5256</v>
      </c>
    </row>
    <row r="195" spans="2:10" ht="12.95" customHeight="1" outlineLevel="1">
      <c r="B195" s="198" t="s">
        <v>2282</v>
      </c>
      <c r="C195" s="218">
        <v>1500</v>
      </c>
      <c r="D195" s="801"/>
      <c r="E195" s="801"/>
      <c r="F195" s="801"/>
      <c r="G195" s="801">
        <v>5</v>
      </c>
      <c r="H195" s="801"/>
      <c r="I195" s="802"/>
      <c r="J195" s="200" t="s">
        <v>5257</v>
      </c>
    </row>
    <row r="196" spans="2:10" ht="12.95" customHeight="1" outlineLevel="1">
      <c r="B196" s="194" t="s">
        <v>2353</v>
      </c>
      <c r="C196" s="816">
        <v>2000</v>
      </c>
      <c r="D196" s="767">
        <v>5</v>
      </c>
      <c r="E196" s="767"/>
      <c r="F196" s="767">
        <v>5</v>
      </c>
      <c r="G196" s="767"/>
      <c r="H196" s="767"/>
      <c r="I196" s="768"/>
      <c r="J196" s="806" t="s">
        <v>5258</v>
      </c>
    </row>
    <row r="197" spans="2:10" ht="12.95" customHeight="1" outlineLevel="1">
      <c r="B197" s="198" t="s">
        <v>1861</v>
      </c>
      <c r="C197" s="218">
        <v>2000</v>
      </c>
      <c r="D197" s="801">
        <v>5</v>
      </c>
      <c r="E197" s="801"/>
      <c r="F197" s="801">
        <v>5</v>
      </c>
      <c r="G197" s="801"/>
      <c r="H197" s="801"/>
      <c r="I197" s="802"/>
      <c r="J197" s="200" t="s">
        <v>5259</v>
      </c>
    </row>
    <row r="198" spans="2:10" ht="12.95" customHeight="1" outlineLevel="1">
      <c r="B198" s="194" t="s">
        <v>2355</v>
      </c>
      <c r="C198" s="816">
        <v>3000</v>
      </c>
      <c r="D198" s="767"/>
      <c r="E198" s="767"/>
      <c r="F198" s="767"/>
      <c r="G198" s="767"/>
      <c r="H198" s="767"/>
      <c r="I198" s="768"/>
      <c r="J198" s="806" t="s">
        <v>5260</v>
      </c>
    </row>
    <row r="199" spans="2:10" ht="12.95" customHeight="1" outlineLevel="1">
      <c r="B199" s="198" t="s">
        <v>1862</v>
      </c>
      <c r="C199" s="218">
        <v>3000</v>
      </c>
      <c r="D199" s="801"/>
      <c r="E199" s="801">
        <v>5</v>
      </c>
      <c r="F199" s="801"/>
      <c r="G199" s="801">
        <v>5</v>
      </c>
      <c r="H199" s="801"/>
      <c r="I199" s="802"/>
      <c r="J199" s="200" t="s">
        <v>5261</v>
      </c>
    </row>
    <row r="200" spans="2:10" ht="12.95" customHeight="1" outlineLevel="1">
      <c r="B200" s="194" t="s">
        <v>2356</v>
      </c>
      <c r="C200" s="816">
        <v>4000</v>
      </c>
      <c r="D200" s="767"/>
      <c r="E200" s="767">
        <v>3</v>
      </c>
      <c r="F200" s="767">
        <v>10</v>
      </c>
      <c r="G200" s="767">
        <v>3</v>
      </c>
      <c r="H200" s="767"/>
      <c r="I200" s="768">
        <v>3</v>
      </c>
      <c r="J200" s="806" t="s">
        <v>5262</v>
      </c>
    </row>
    <row r="201" spans="2:10" ht="12.95" customHeight="1" outlineLevel="1">
      <c r="B201" s="198" t="s">
        <v>1863</v>
      </c>
      <c r="C201" s="218">
        <v>3000</v>
      </c>
      <c r="D201" s="801"/>
      <c r="E201" s="801">
        <v>5</v>
      </c>
      <c r="F201" s="801">
        <v>10</v>
      </c>
      <c r="G201" s="801">
        <v>5</v>
      </c>
      <c r="H201" s="801"/>
      <c r="I201" s="802">
        <v>5</v>
      </c>
      <c r="J201" s="200" t="s">
        <v>5263</v>
      </c>
    </row>
    <row r="202" spans="2:10" ht="12.95" customHeight="1" outlineLevel="1">
      <c r="B202" s="194" t="s">
        <v>2357</v>
      </c>
      <c r="C202" s="816">
        <v>15000</v>
      </c>
      <c r="D202" s="767">
        <v>10</v>
      </c>
      <c r="E202" s="767">
        <v>20</v>
      </c>
      <c r="F202" s="767">
        <v>10</v>
      </c>
      <c r="G202" s="767"/>
      <c r="H202" s="767"/>
      <c r="I202" s="768"/>
      <c r="J202" s="806" t="s">
        <v>5264</v>
      </c>
    </row>
    <row r="203" spans="2:10" ht="12.95" customHeight="1" outlineLevel="1" thickBot="1">
      <c r="B203" s="201" t="s">
        <v>1517</v>
      </c>
      <c r="C203" s="219">
        <v>20000</v>
      </c>
      <c r="D203" s="203">
        <v>5</v>
      </c>
      <c r="E203" s="203">
        <v>20</v>
      </c>
      <c r="F203" s="203">
        <v>5</v>
      </c>
      <c r="G203" s="203"/>
      <c r="H203" s="203"/>
      <c r="I203" s="204"/>
      <c r="J203" s="205" t="s">
        <v>5265</v>
      </c>
    </row>
    <row r="204" spans="2:10" ht="12.95" customHeight="1" outlineLevel="1" thickTop="1">
      <c r="B204" s="194" t="s">
        <v>458</v>
      </c>
      <c r="C204" s="816">
        <v>1000</v>
      </c>
      <c r="D204" s="767">
        <v>5</v>
      </c>
      <c r="E204" s="767"/>
      <c r="F204" s="767"/>
      <c r="G204" s="767"/>
      <c r="H204" s="767"/>
      <c r="I204" s="768"/>
      <c r="J204" s="806" t="s">
        <v>4484</v>
      </c>
    </row>
    <row r="205" spans="2:10" ht="12.95" customHeight="1" outlineLevel="1">
      <c r="B205" s="198" t="s">
        <v>1181</v>
      </c>
      <c r="C205" s="218">
        <v>1000</v>
      </c>
      <c r="D205" s="801"/>
      <c r="E205" s="801"/>
      <c r="F205" s="801"/>
      <c r="G205" s="801">
        <v>5</v>
      </c>
      <c r="H205" s="801"/>
      <c r="I205" s="802"/>
      <c r="J205" s="200" t="s">
        <v>4485</v>
      </c>
    </row>
    <row r="206" spans="2:10" ht="12.95" customHeight="1" outlineLevel="1">
      <c r="B206" s="194" t="s">
        <v>4474</v>
      </c>
      <c r="C206" s="816">
        <v>5000</v>
      </c>
      <c r="D206" s="767"/>
      <c r="E206" s="767"/>
      <c r="F206" s="767">
        <v>5</v>
      </c>
      <c r="G206" s="767"/>
      <c r="H206" s="767"/>
      <c r="I206" s="768"/>
      <c r="J206" s="806" t="s">
        <v>4486</v>
      </c>
    </row>
    <row r="207" spans="2:10" ht="39" customHeight="1" outlineLevel="1">
      <c r="B207" s="198" t="s">
        <v>1177</v>
      </c>
      <c r="C207" s="218">
        <v>10000</v>
      </c>
      <c r="D207" s="801">
        <v>5</v>
      </c>
      <c r="E207" s="801"/>
      <c r="F207" s="801">
        <v>5</v>
      </c>
      <c r="G207" s="801"/>
      <c r="H207" s="801"/>
      <c r="I207" s="802"/>
      <c r="J207" s="200" t="s">
        <v>4487</v>
      </c>
    </row>
    <row r="208" spans="2:10" ht="12.95" customHeight="1" outlineLevel="1">
      <c r="B208" s="194" t="s">
        <v>4490</v>
      </c>
      <c r="C208" s="816">
        <v>1000</v>
      </c>
      <c r="D208" s="767"/>
      <c r="E208" s="767"/>
      <c r="F208" s="767"/>
      <c r="G208" s="767"/>
      <c r="H208" s="767"/>
      <c r="I208" s="768"/>
      <c r="J208" s="806" t="s">
        <v>4488</v>
      </c>
    </row>
    <row r="209" spans="2:10" ht="12.95" customHeight="1" outlineLevel="1" thickBot="1">
      <c r="B209" s="208" t="s">
        <v>4491</v>
      </c>
      <c r="C209" s="220">
        <v>1000</v>
      </c>
      <c r="D209" s="187"/>
      <c r="E209" s="187"/>
      <c r="F209" s="187"/>
      <c r="G209" s="187"/>
      <c r="H209" s="187"/>
      <c r="I209" s="188"/>
      <c r="J209" s="209" t="s">
        <v>4489</v>
      </c>
    </row>
    <row r="210" spans="2:10" s="814" customFormat="1" ht="12.95" customHeight="1" outlineLevel="1">
      <c r="B210" s="812" t="s">
        <v>4437</v>
      </c>
      <c r="C210" s="813">
        <f t="shared" ref="C210:I210" si="6">SUM(C190:C209)</f>
        <v>77300</v>
      </c>
      <c r="D210" s="813">
        <f t="shared" si="6"/>
        <v>50</v>
      </c>
      <c r="E210" s="813">
        <f t="shared" si="6"/>
        <v>58</v>
      </c>
      <c r="F210" s="813">
        <f t="shared" si="6"/>
        <v>65</v>
      </c>
      <c r="G210" s="813">
        <f t="shared" si="6"/>
        <v>23</v>
      </c>
      <c r="H210" s="813">
        <f t="shared" si="6"/>
        <v>0</v>
      </c>
      <c r="I210" s="813">
        <f t="shared" si="6"/>
        <v>8</v>
      </c>
    </row>
    <row r="211" spans="2:10" ht="5.0999999999999996" customHeight="1" outlineLevel="1"/>
    <row r="212" spans="2:10" ht="12.95" customHeight="1" outlineLevel="1">
      <c r="B212" s="2960" t="s">
        <v>6072</v>
      </c>
      <c r="C212" s="2960"/>
      <c r="D212" s="2960"/>
      <c r="E212" s="2960"/>
      <c r="F212" s="2960"/>
      <c r="G212" s="2960"/>
      <c r="H212" s="2960"/>
      <c r="I212" s="2960"/>
      <c r="J212" s="2960"/>
    </row>
    <row r="213" spans="2:10" ht="12.95" customHeight="1" outlineLevel="1">
      <c r="B213" s="2960" t="s">
        <v>6076</v>
      </c>
      <c r="C213" s="2960"/>
      <c r="D213" s="2960"/>
      <c r="E213" s="2960"/>
      <c r="F213" s="2960"/>
      <c r="G213" s="2960"/>
      <c r="H213" s="2960"/>
      <c r="I213" s="2960"/>
      <c r="J213" s="2960"/>
    </row>
    <row r="214" spans="2:10" ht="12.95" customHeight="1" outlineLevel="1">
      <c r="B214" s="2960" t="s">
        <v>6077</v>
      </c>
      <c r="C214" s="2960"/>
      <c r="D214" s="2960"/>
      <c r="E214" s="2960"/>
      <c r="F214" s="2960"/>
      <c r="G214" s="2960"/>
      <c r="H214" s="2960"/>
      <c r="I214" s="2960"/>
      <c r="J214" s="2960"/>
    </row>
    <row r="215" spans="2:10" ht="12.95" customHeight="1">
      <c r="B215" s="3880" t="s">
        <v>628</v>
      </c>
    </row>
    <row r="216" spans="2:10" ht="12.95" customHeight="1">
      <c r="B216" s="3880"/>
    </row>
    <row r="217" spans="2:10" ht="12.95" customHeight="1" thickBot="1">
      <c r="B217" s="3881"/>
    </row>
    <row r="218" spans="2:10" ht="12.95" customHeight="1">
      <c r="B218" s="3127" t="s">
        <v>2042</v>
      </c>
      <c r="C218" s="3122" t="s">
        <v>1544</v>
      </c>
      <c r="D218" s="3121"/>
      <c r="E218" s="3121"/>
      <c r="F218" s="3121"/>
      <c r="G218" s="3121"/>
      <c r="H218" s="3121"/>
      <c r="I218" s="3117"/>
      <c r="J218" s="3127" t="s">
        <v>3949</v>
      </c>
    </row>
    <row r="219" spans="2:10" ht="12.95" customHeight="1" thickBot="1">
      <c r="B219" s="3882"/>
      <c r="C219" s="824" t="s">
        <v>2568</v>
      </c>
      <c r="D219" s="825" t="s">
        <v>2569</v>
      </c>
      <c r="E219" s="825" t="s">
        <v>2571</v>
      </c>
      <c r="F219" s="825" t="s">
        <v>2570</v>
      </c>
      <c r="G219" s="825" t="s">
        <v>2572</v>
      </c>
      <c r="H219" s="825" t="s">
        <v>1766</v>
      </c>
      <c r="I219" s="826" t="s">
        <v>1767</v>
      </c>
      <c r="J219" s="3882"/>
    </row>
    <row r="220" spans="2:10" ht="12.95" customHeight="1" outlineLevel="1">
      <c r="B220" s="804" t="s">
        <v>1996</v>
      </c>
      <c r="C220" s="815">
        <v>400</v>
      </c>
      <c r="D220" s="765">
        <v>10</v>
      </c>
      <c r="E220" s="765"/>
      <c r="F220" s="765"/>
      <c r="G220" s="765"/>
      <c r="H220" s="765"/>
      <c r="I220" s="766"/>
      <c r="J220" s="805" t="s">
        <v>5266</v>
      </c>
    </row>
    <row r="221" spans="2:10" ht="12.95" customHeight="1" outlineLevel="1">
      <c r="B221" s="198" t="s">
        <v>2579</v>
      </c>
      <c r="C221" s="218">
        <v>1000</v>
      </c>
      <c r="D221" s="801">
        <v>10</v>
      </c>
      <c r="E221" s="801"/>
      <c r="F221" s="801"/>
      <c r="G221" s="801"/>
      <c r="H221" s="801"/>
      <c r="I221" s="802"/>
      <c r="J221" s="200" t="s">
        <v>5267</v>
      </c>
    </row>
    <row r="222" spans="2:10" ht="12.95" customHeight="1" outlineLevel="1">
      <c r="B222" s="194" t="s">
        <v>1997</v>
      </c>
      <c r="C222" s="816">
        <v>1000</v>
      </c>
      <c r="D222" s="767">
        <v>5</v>
      </c>
      <c r="E222" s="767"/>
      <c r="F222" s="767"/>
      <c r="G222" s="767"/>
      <c r="H222" s="767"/>
      <c r="I222" s="768"/>
      <c r="J222" s="806" t="s">
        <v>5268</v>
      </c>
    </row>
    <row r="223" spans="2:10" ht="12.95" customHeight="1" outlineLevel="1">
      <c r="B223" s="198" t="s">
        <v>2580</v>
      </c>
      <c r="C223" s="218">
        <v>1000</v>
      </c>
      <c r="D223" s="801">
        <v>5</v>
      </c>
      <c r="E223" s="801"/>
      <c r="F223" s="801"/>
      <c r="G223" s="801"/>
      <c r="H223" s="801"/>
      <c r="I223" s="802"/>
      <c r="J223" s="200" t="s">
        <v>5269</v>
      </c>
    </row>
    <row r="224" spans="2:10" ht="12.95" customHeight="1" outlineLevel="1">
      <c r="B224" s="194" t="s">
        <v>1971</v>
      </c>
      <c r="C224" s="816">
        <v>1000</v>
      </c>
      <c r="D224" s="767">
        <v>5</v>
      </c>
      <c r="E224" s="767">
        <v>2</v>
      </c>
      <c r="F224" s="767"/>
      <c r="G224" s="767">
        <v>2</v>
      </c>
      <c r="H224" s="767"/>
      <c r="I224" s="768"/>
      <c r="J224" s="806" t="s">
        <v>5270</v>
      </c>
    </row>
    <row r="225" spans="2:10" ht="12.95" customHeight="1" outlineLevel="1">
      <c r="B225" s="198" t="s">
        <v>2581</v>
      </c>
      <c r="C225" s="218">
        <v>1000</v>
      </c>
      <c r="D225" s="801"/>
      <c r="E225" s="801">
        <v>2</v>
      </c>
      <c r="F225" s="801"/>
      <c r="G225" s="801">
        <v>2</v>
      </c>
      <c r="H225" s="801"/>
      <c r="I225" s="802"/>
      <c r="J225" s="200" t="s">
        <v>5271</v>
      </c>
    </row>
    <row r="226" spans="2:10" ht="12.95" customHeight="1" outlineLevel="1">
      <c r="B226" s="194" t="s">
        <v>1285</v>
      </c>
      <c r="C226" s="816">
        <v>2000</v>
      </c>
      <c r="D226" s="767">
        <v>5</v>
      </c>
      <c r="E226" s="767"/>
      <c r="F226" s="767">
        <v>10</v>
      </c>
      <c r="G226" s="767"/>
      <c r="H226" s="767"/>
      <c r="I226" s="768"/>
      <c r="J226" s="806" t="s">
        <v>5272</v>
      </c>
    </row>
    <row r="227" spans="2:10" ht="12.95" customHeight="1" outlineLevel="1">
      <c r="B227" s="198" t="s">
        <v>431</v>
      </c>
      <c r="C227" s="218">
        <v>2000</v>
      </c>
      <c r="D227" s="801">
        <v>5</v>
      </c>
      <c r="E227" s="801"/>
      <c r="F227" s="801">
        <v>5</v>
      </c>
      <c r="G227" s="801"/>
      <c r="H227" s="801"/>
      <c r="I227" s="802"/>
      <c r="J227" s="200" t="s">
        <v>5832</v>
      </c>
    </row>
    <row r="228" spans="2:10" ht="12.95" customHeight="1" outlineLevel="1">
      <c r="B228" s="194" t="s">
        <v>2576</v>
      </c>
      <c r="C228" s="816">
        <v>2500</v>
      </c>
      <c r="D228" s="767">
        <v>10</v>
      </c>
      <c r="E228" s="767">
        <v>5</v>
      </c>
      <c r="F228" s="767">
        <v>10</v>
      </c>
      <c r="G228" s="767">
        <v>5</v>
      </c>
      <c r="H228" s="767"/>
      <c r="I228" s="768"/>
      <c r="J228" s="806" t="s">
        <v>5273</v>
      </c>
    </row>
    <row r="229" spans="2:10" ht="12.95" customHeight="1" outlineLevel="1">
      <c r="B229" s="198" t="s">
        <v>1081</v>
      </c>
      <c r="C229" s="218">
        <v>2000</v>
      </c>
      <c r="D229" s="801">
        <v>5</v>
      </c>
      <c r="E229" s="801"/>
      <c r="F229" s="801">
        <v>5</v>
      </c>
      <c r="G229" s="801"/>
      <c r="H229" s="801"/>
      <c r="I229" s="802"/>
      <c r="J229" s="200" t="s">
        <v>5833</v>
      </c>
    </row>
    <row r="230" spans="2:10" ht="12.95" customHeight="1" outlineLevel="1">
      <c r="B230" s="194" t="s">
        <v>2577</v>
      </c>
      <c r="C230" s="816">
        <v>3500</v>
      </c>
      <c r="D230" s="767">
        <v>15</v>
      </c>
      <c r="E230" s="767"/>
      <c r="F230" s="767"/>
      <c r="G230" s="767"/>
      <c r="H230" s="767"/>
      <c r="I230" s="768"/>
      <c r="J230" s="806" t="s">
        <v>5274</v>
      </c>
    </row>
    <row r="231" spans="2:10" ht="12.95" customHeight="1" outlineLevel="1">
      <c r="B231" s="198" t="s">
        <v>1082</v>
      </c>
      <c r="C231" s="218">
        <v>3000</v>
      </c>
      <c r="D231" s="801">
        <v>10</v>
      </c>
      <c r="E231" s="801">
        <v>10</v>
      </c>
      <c r="F231" s="801"/>
      <c r="G231" s="801"/>
      <c r="H231" s="801"/>
      <c r="I231" s="802"/>
      <c r="J231" s="200" t="s">
        <v>5275</v>
      </c>
    </row>
    <row r="232" spans="2:10" ht="12.95" customHeight="1" outlineLevel="1">
      <c r="B232" s="194" t="s">
        <v>2578</v>
      </c>
      <c r="C232" s="816">
        <v>10000</v>
      </c>
      <c r="D232" s="767">
        <v>10</v>
      </c>
      <c r="E232" s="767"/>
      <c r="F232" s="767">
        <v>10</v>
      </c>
      <c r="G232" s="767">
        <v>10</v>
      </c>
      <c r="H232" s="767"/>
      <c r="I232" s="768"/>
      <c r="J232" s="806" t="s">
        <v>5276</v>
      </c>
    </row>
    <row r="233" spans="2:10" ht="12.95" customHeight="1" outlineLevel="1" thickBot="1">
      <c r="B233" s="201" t="s">
        <v>607</v>
      </c>
      <c r="C233" s="219">
        <v>15000</v>
      </c>
      <c r="D233" s="203">
        <v>10</v>
      </c>
      <c r="E233" s="203"/>
      <c r="F233" s="203">
        <v>10</v>
      </c>
      <c r="G233" s="203">
        <v>20</v>
      </c>
      <c r="H233" s="203"/>
      <c r="I233" s="204"/>
      <c r="J233" s="205" t="s">
        <v>5277</v>
      </c>
    </row>
    <row r="234" spans="2:10" ht="12.95" customHeight="1" outlineLevel="1" thickTop="1">
      <c r="B234" s="194" t="s">
        <v>4496</v>
      </c>
      <c r="C234" s="816">
        <v>1000</v>
      </c>
      <c r="D234" s="767"/>
      <c r="E234" s="767"/>
      <c r="F234" s="767"/>
      <c r="G234" s="767"/>
      <c r="H234" s="767"/>
      <c r="I234" s="768"/>
      <c r="J234" s="806" t="s">
        <v>4492</v>
      </c>
    </row>
    <row r="235" spans="2:10" ht="12.95" customHeight="1" outlineLevel="1">
      <c r="B235" s="198" t="s">
        <v>4497</v>
      </c>
      <c r="C235" s="218">
        <v>1000</v>
      </c>
      <c r="D235" s="801"/>
      <c r="E235" s="801"/>
      <c r="F235" s="801"/>
      <c r="G235" s="801"/>
      <c r="H235" s="801"/>
      <c r="I235" s="802"/>
      <c r="J235" s="200" t="s">
        <v>4493</v>
      </c>
    </row>
    <row r="236" spans="2:10" ht="12.95" customHeight="1" outlineLevel="1">
      <c r="B236" s="194" t="s">
        <v>4469</v>
      </c>
      <c r="C236" s="816">
        <v>5000</v>
      </c>
      <c r="D236" s="767"/>
      <c r="E236" s="767"/>
      <c r="F236" s="767">
        <v>5</v>
      </c>
      <c r="G236" s="767"/>
      <c r="H236" s="767"/>
      <c r="I236" s="768"/>
      <c r="J236" s="806" t="s">
        <v>4442</v>
      </c>
    </row>
    <row r="237" spans="2:10" ht="12.95" customHeight="1" outlineLevel="1">
      <c r="B237" s="198" t="s">
        <v>4498</v>
      </c>
      <c r="C237" s="218">
        <v>1000</v>
      </c>
      <c r="D237" s="801"/>
      <c r="E237" s="801"/>
      <c r="F237" s="801"/>
      <c r="G237" s="801"/>
      <c r="H237" s="801"/>
      <c r="I237" s="802"/>
      <c r="J237" s="200" t="s">
        <v>4494</v>
      </c>
    </row>
    <row r="238" spans="2:10" ht="26.1" customHeight="1" outlineLevel="1">
      <c r="B238" s="194" t="s">
        <v>4499</v>
      </c>
      <c r="C238" s="816">
        <v>2000</v>
      </c>
      <c r="D238" s="767">
        <v>20</v>
      </c>
      <c r="E238" s="767"/>
      <c r="F238" s="767"/>
      <c r="G238" s="767"/>
      <c r="H238" s="767"/>
      <c r="I238" s="768"/>
      <c r="J238" s="806" t="s">
        <v>5970</v>
      </c>
    </row>
    <row r="239" spans="2:10" ht="12.95" customHeight="1" outlineLevel="1" thickBot="1">
      <c r="B239" s="208" t="s">
        <v>611</v>
      </c>
      <c r="C239" s="220">
        <v>1000</v>
      </c>
      <c r="D239" s="187"/>
      <c r="E239" s="187"/>
      <c r="F239" s="187"/>
      <c r="G239" s="187"/>
      <c r="H239" s="187"/>
      <c r="I239" s="188"/>
      <c r="J239" s="209" t="s">
        <v>4495</v>
      </c>
    </row>
    <row r="240" spans="2:10" s="814" customFormat="1" ht="12.95" customHeight="1" outlineLevel="1">
      <c r="B240" s="812" t="s">
        <v>4437</v>
      </c>
      <c r="C240" s="813">
        <f t="shared" ref="C240:I240" si="7">SUM(C220:C239)</f>
        <v>56400</v>
      </c>
      <c r="D240" s="813">
        <f t="shared" si="7"/>
        <v>125</v>
      </c>
      <c r="E240" s="813">
        <f t="shared" si="7"/>
        <v>19</v>
      </c>
      <c r="F240" s="813">
        <f t="shared" si="7"/>
        <v>55</v>
      </c>
      <c r="G240" s="813">
        <f t="shared" si="7"/>
        <v>39</v>
      </c>
      <c r="H240" s="813">
        <f t="shared" si="7"/>
        <v>0</v>
      </c>
      <c r="I240" s="813">
        <f t="shared" si="7"/>
        <v>0</v>
      </c>
    </row>
    <row r="241" spans="2:10" ht="5.0999999999999996" customHeight="1" outlineLevel="1"/>
    <row r="242" spans="2:10" ht="12.95" customHeight="1" outlineLevel="1">
      <c r="B242" s="2960" t="s">
        <v>6078</v>
      </c>
      <c r="C242" s="2960"/>
      <c r="D242" s="2960"/>
      <c r="E242" s="2960"/>
      <c r="F242" s="2960"/>
      <c r="G242" s="2960"/>
      <c r="H242" s="2960"/>
      <c r="I242" s="2960"/>
      <c r="J242" s="2960"/>
    </row>
    <row r="243" spans="2:10" ht="12.95" customHeight="1" outlineLevel="1">
      <c r="B243" s="2960" t="s">
        <v>6079</v>
      </c>
      <c r="C243" s="2960"/>
      <c r="D243" s="2960"/>
      <c r="E243" s="2960"/>
      <c r="F243" s="2960"/>
      <c r="G243" s="2960"/>
      <c r="H243" s="2960"/>
      <c r="I243" s="2960"/>
      <c r="J243" s="2960"/>
    </row>
    <row r="244" spans="2:10" ht="12.95" customHeight="1" outlineLevel="1">
      <c r="B244" s="2960" t="s">
        <v>6071</v>
      </c>
      <c r="C244" s="2960"/>
      <c r="D244" s="2960"/>
      <c r="E244" s="2960"/>
      <c r="F244" s="2960"/>
      <c r="G244" s="2960"/>
      <c r="H244" s="2960"/>
      <c r="I244" s="2960"/>
      <c r="J244" s="2960"/>
    </row>
    <row r="245" spans="2:10" ht="12.95" customHeight="1" outlineLevel="1">
      <c r="B245" s="2960" t="s">
        <v>6080</v>
      </c>
      <c r="C245" s="2960"/>
      <c r="D245" s="2960"/>
      <c r="E245" s="2960"/>
      <c r="F245" s="2960"/>
      <c r="G245" s="2960"/>
      <c r="H245" s="2960"/>
      <c r="I245" s="2960"/>
      <c r="J245" s="2960"/>
    </row>
    <row r="246" spans="2:10" ht="12.95" customHeight="1" outlineLevel="1">
      <c r="B246" s="2960" t="s">
        <v>4500</v>
      </c>
      <c r="C246" s="2960"/>
      <c r="D246" s="2960"/>
      <c r="E246" s="2960"/>
      <c r="F246" s="2960"/>
      <c r="G246" s="2960"/>
      <c r="H246" s="2960"/>
      <c r="I246" s="2960"/>
      <c r="J246" s="2960"/>
    </row>
    <row r="247" spans="2:10" ht="12.95" customHeight="1">
      <c r="B247" s="3880" t="s">
        <v>627</v>
      </c>
    </row>
    <row r="248" spans="2:10" ht="12.95" customHeight="1">
      <c r="B248" s="3880"/>
    </row>
    <row r="249" spans="2:10" ht="12.95" customHeight="1" thickBot="1">
      <c r="B249" s="3881"/>
    </row>
    <row r="250" spans="2:10" ht="12.95" customHeight="1">
      <c r="B250" s="3885" t="s">
        <v>2042</v>
      </c>
      <c r="C250" s="3887" t="s">
        <v>1544</v>
      </c>
      <c r="D250" s="3888"/>
      <c r="E250" s="3888"/>
      <c r="F250" s="3888"/>
      <c r="G250" s="3888"/>
      <c r="H250" s="3888"/>
      <c r="I250" s="3889"/>
      <c r="J250" s="3885" t="s">
        <v>1768</v>
      </c>
    </row>
    <row r="251" spans="2:10" ht="12.95" customHeight="1" thickBot="1">
      <c r="B251" s="3886"/>
      <c r="C251" s="824" t="s">
        <v>2568</v>
      </c>
      <c r="D251" s="825" t="s">
        <v>2569</v>
      </c>
      <c r="E251" s="825" t="s">
        <v>2571</v>
      </c>
      <c r="F251" s="825" t="s">
        <v>2570</v>
      </c>
      <c r="G251" s="825" t="s">
        <v>2572</v>
      </c>
      <c r="H251" s="825" t="s">
        <v>1766</v>
      </c>
      <c r="I251" s="826" t="s">
        <v>1767</v>
      </c>
      <c r="J251" s="3886"/>
    </row>
    <row r="252" spans="2:10" ht="12.95" customHeight="1" outlineLevel="1">
      <c r="B252" s="804" t="s">
        <v>1233</v>
      </c>
      <c r="C252" s="815">
        <v>200</v>
      </c>
      <c r="D252" s="765">
        <v>5</v>
      </c>
      <c r="E252" s="765"/>
      <c r="F252" s="765">
        <v>5</v>
      </c>
      <c r="G252" s="765"/>
      <c r="H252" s="765"/>
      <c r="I252" s="766"/>
      <c r="J252" s="805" t="s">
        <v>5278</v>
      </c>
    </row>
    <row r="253" spans="2:10" ht="12.95" customHeight="1" outlineLevel="1">
      <c r="B253" s="198" t="s">
        <v>442</v>
      </c>
      <c r="C253" s="218">
        <v>1000</v>
      </c>
      <c r="D253" s="801">
        <v>5</v>
      </c>
      <c r="E253" s="801"/>
      <c r="F253" s="801">
        <v>5</v>
      </c>
      <c r="G253" s="801"/>
      <c r="H253" s="801"/>
      <c r="I253" s="802"/>
      <c r="J253" s="200" t="s">
        <v>5279</v>
      </c>
    </row>
    <row r="254" spans="2:10" ht="12.95" customHeight="1" outlineLevel="1">
      <c r="B254" s="194" t="s">
        <v>1234</v>
      </c>
      <c r="C254" s="816">
        <v>1000</v>
      </c>
      <c r="D254" s="767">
        <v>10</v>
      </c>
      <c r="E254" s="767"/>
      <c r="F254" s="767">
        <v>5</v>
      </c>
      <c r="G254" s="767"/>
      <c r="H254" s="767"/>
      <c r="I254" s="768"/>
      <c r="J254" s="806" t="s">
        <v>5834</v>
      </c>
    </row>
    <row r="255" spans="2:10" ht="12.95" customHeight="1" outlineLevel="1">
      <c r="B255" s="198" t="s">
        <v>443</v>
      </c>
      <c r="C255" s="218">
        <v>1000</v>
      </c>
      <c r="D255" s="801">
        <v>5</v>
      </c>
      <c r="E255" s="801"/>
      <c r="F255" s="801">
        <v>5</v>
      </c>
      <c r="G255" s="801"/>
      <c r="H255" s="801"/>
      <c r="I255" s="802"/>
      <c r="J255" s="200" t="s">
        <v>5280</v>
      </c>
    </row>
    <row r="256" spans="2:10" ht="12.95" customHeight="1" outlineLevel="1">
      <c r="B256" s="194" t="s">
        <v>437</v>
      </c>
      <c r="C256" s="816">
        <v>1000</v>
      </c>
      <c r="D256" s="767">
        <v>5</v>
      </c>
      <c r="E256" s="767"/>
      <c r="F256" s="767">
        <v>5</v>
      </c>
      <c r="G256" s="767"/>
      <c r="H256" s="767"/>
      <c r="I256" s="768"/>
      <c r="J256" s="806" t="s">
        <v>5281</v>
      </c>
    </row>
    <row r="257" spans="2:10" ht="12.95" customHeight="1" outlineLevel="1">
      <c r="B257" s="198" t="s">
        <v>444</v>
      </c>
      <c r="C257" s="218">
        <v>1000</v>
      </c>
      <c r="D257" s="801">
        <v>2</v>
      </c>
      <c r="E257" s="801"/>
      <c r="F257" s="801">
        <v>2</v>
      </c>
      <c r="G257" s="801"/>
      <c r="H257" s="801"/>
      <c r="I257" s="802"/>
      <c r="J257" s="200" t="s">
        <v>5282</v>
      </c>
    </row>
    <row r="258" spans="2:10" ht="12.95" customHeight="1" outlineLevel="1">
      <c r="B258" s="194" t="s">
        <v>438</v>
      </c>
      <c r="C258" s="816">
        <v>2000</v>
      </c>
      <c r="D258" s="767">
        <v>20</v>
      </c>
      <c r="E258" s="767"/>
      <c r="F258" s="767"/>
      <c r="G258" s="767"/>
      <c r="H258" s="767"/>
      <c r="I258" s="768"/>
      <c r="J258" s="806" t="s">
        <v>5283</v>
      </c>
    </row>
    <row r="259" spans="2:10" ht="12.95" customHeight="1" outlineLevel="1">
      <c r="B259" s="198" t="s">
        <v>445</v>
      </c>
      <c r="C259" s="218">
        <v>2000</v>
      </c>
      <c r="D259" s="801">
        <v>5</v>
      </c>
      <c r="E259" s="801"/>
      <c r="F259" s="801">
        <v>5</v>
      </c>
      <c r="G259" s="801"/>
      <c r="H259" s="801"/>
      <c r="I259" s="802">
        <v>5</v>
      </c>
      <c r="J259" s="200" t="s">
        <v>5284</v>
      </c>
    </row>
    <row r="260" spans="2:10" ht="12.95" customHeight="1" outlineLevel="1">
      <c r="B260" s="194" t="s">
        <v>439</v>
      </c>
      <c r="C260" s="816">
        <v>2500</v>
      </c>
      <c r="D260" s="767"/>
      <c r="E260" s="767"/>
      <c r="F260" s="767">
        <v>10</v>
      </c>
      <c r="G260" s="767"/>
      <c r="H260" s="767"/>
      <c r="I260" s="768"/>
      <c r="J260" s="806" t="s">
        <v>5285</v>
      </c>
    </row>
    <row r="261" spans="2:10" ht="12.95" customHeight="1" outlineLevel="1">
      <c r="B261" s="198" t="s">
        <v>446</v>
      </c>
      <c r="C261" s="218">
        <v>2000</v>
      </c>
      <c r="D261" s="801">
        <v>5</v>
      </c>
      <c r="E261" s="801"/>
      <c r="F261" s="801">
        <v>5</v>
      </c>
      <c r="G261" s="801"/>
      <c r="H261" s="801"/>
      <c r="I261" s="802"/>
      <c r="J261" s="200" t="s">
        <v>5286</v>
      </c>
    </row>
    <row r="262" spans="2:10" ht="12.95" customHeight="1" outlineLevel="1">
      <c r="B262" s="194" t="s">
        <v>440</v>
      </c>
      <c r="C262" s="816">
        <v>3500</v>
      </c>
      <c r="D262" s="767"/>
      <c r="E262" s="767"/>
      <c r="F262" s="767">
        <v>20</v>
      </c>
      <c r="G262" s="767"/>
      <c r="H262" s="767">
        <v>20</v>
      </c>
      <c r="I262" s="768"/>
      <c r="J262" s="806" t="s">
        <v>5287</v>
      </c>
    </row>
    <row r="263" spans="2:10" ht="12.95" customHeight="1" outlineLevel="1">
      <c r="B263" s="198" t="s">
        <v>447</v>
      </c>
      <c r="C263" s="218">
        <v>3000</v>
      </c>
      <c r="D263" s="801">
        <v>5</v>
      </c>
      <c r="E263" s="801"/>
      <c r="F263" s="801">
        <v>5</v>
      </c>
      <c r="G263" s="801"/>
      <c r="H263" s="801"/>
      <c r="I263" s="802"/>
      <c r="J263" s="200" t="s">
        <v>5288</v>
      </c>
    </row>
    <row r="264" spans="2:10" ht="12.95" customHeight="1" outlineLevel="1">
      <c r="B264" s="194" t="s">
        <v>441</v>
      </c>
      <c r="C264" s="816">
        <v>10000</v>
      </c>
      <c r="D264" s="767">
        <v>10</v>
      </c>
      <c r="E264" s="767"/>
      <c r="F264" s="767">
        <v>10</v>
      </c>
      <c r="G264" s="767"/>
      <c r="H264" s="767">
        <v>10</v>
      </c>
      <c r="I264" s="768"/>
      <c r="J264" s="806" t="s">
        <v>5289</v>
      </c>
    </row>
    <row r="265" spans="2:10" ht="12.95" customHeight="1" outlineLevel="1" thickBot="1">
      <c r="B265" s="201" t="s">
        <v>2336</v>
      </c>
      <c r="C265" s="219">
        <v>15000</v>
      </c>
      <c r="D265" s="203">
        <v>10</v>
      </c>
      <c r="E265" s="203"/>
      <c r="F265" s="203">
        <v>10</v>
      </c>
      <c r="G265" s="203"/>
      <c r="H265" s="203">
        <v>20</v>
      </c>
      <c r="I265" s="204"/>
      <c r="J265" s="205" t="s">
        <v>5290</v>
      </c>
    </row>
    <row r="266" spans="2:10" ht="12.95" customHeight="1" outlineLevel="1" thickTop="1">
      <c r="B266" s="194" t="s">
        <v>152</v>
      </c>
      <c r="C266" s="816">
        <v>1000</v>
      </c>
      <c r="D266" s="767"/>
      <c r="E266" s="767"/>
      <c r="F266" s="767"/>
      <c r="G266" s="767"/>
      <c r="H266" s="767"/>
      <c r="I266" s="768"/>
      <c r="J266" s="806" t="s">
        <v>4501</v>
      </c>
    </row>
    <row r="267" spans="2:10" ht="26.1" customHeight="1" outlineLevel="1">
      <c r="B267" s="198" t="s">
        <v>153</v>
      </c>
      <c r="C267" s="218">
        <v>2000</v>
      </c>
      <c r="D267" s="801">
        <v>5</v>
      </c>
      <c r="E267" s="801"/>
      <c r="F267" s="801">
        <v>5</v>
      </c>
      <c r="G267" s="801"/>
      <c r="H267" s="801"/>
      <c r="I267" s="802"/>
      <c r="J267" s="200" t="s">
        <v>4502</v>
      </c>
    </row>
    <row r="268" spans="2:10" ht="12.95" customHeight="1" outlineLevel="1">
      <c r="B268" s="194" t="s">
        <v>4474</v>
      </c>
      <c r="C268" s="816">
        <v>5000</v>
      </c>
      <c r="D268" s="767"/>
      <c r="E268" s="767"/>
      <c r="F268" s="767">
        <v>5</v>
      </c>
      <c r="G268" s="767"/>
      <c r="H268" s="767"/>
      <c r="I268" s="768"/>
      <c r="J268" s="806" t="s">
        <v>4442</v>
      </c>
    </row>
    <row r="269" spans="2:10" ht="26.1" customHeight="1" outlineLevel="1">
      <c r="B269" s="198" t="s">
        <v>154</v>
      </c>
      <c r="C269" s="218">
        <v>1000</v>
      </c>
      <c r="D269" s="801"/>
      <c r="E269" s="801"/>
      <c r="F269" s="801"/>
      <c r="G269" s="801"/>
      <c r="H269" s="801"/>
      <c r="I269" s="802"/>
      <c r="J269" s="2940" t="s">
        <v>10116</v>
      </c>
    </row>
    <row r="270" spans="2:10" ht="12.95" customHeight="1" outlineLevel="1">
      <c r="B270" s="194" t="s">
        <v>4505</v>
      </c>
      <c r="C270" s="816">
        <v>1000</v>
      </c>
      <c r="D270" s="767"/>
      <c r="E270" s="767"/>
      <c r="F270" s="767"/>
      <c r="G270" s="767"/>
      <c r="H270" s="767"/>
      <c r="I270" s="768"/>
      <c r="J270" s="806" t="s">
        <v>4503</v>
      </c>
    </row>
    <row r="271" spans="2:10" ht="12.95" customHeight="1" outlineLevel="1" thickBot="1">
      <c r="B271" s="208" t="s">
        <v>4506</v>
      </c>
      <c r="C271" s="220">
        <v>1000</v>
      </c>
      <c r="D271" s="187">
        <v>5</v>
      </c>
      <c r="E271" s="187"/>
      <c r="F271" s="187"/>
      <c r="G271" s="187"/>
      <c r="H271" s="187"/>
      <c r="I271" s="188"/>
      <c r="J271" s="209" t="s">
        <v>4504</v>
      </c>
    </row>
    <row r="272" spans="2:10" s="814" customFormat="1" ht="12.95" customHeight="1" outlineLevel="1">
      <c r="B272" s="812" t="s">
        <v>4437</v>
      </c>
      <c r="C272" s="813">
        <f t="shared" ref="C272:I272" si="8">SUM(C252:C271)</f>
        <v>56200</v>
      </c>
      <c r="D272" s="813">
        <f t="shared" si="8"/>
        <v>97</v>
      </c>
      <c r="E272" s="813">
        <f t="shared" si="8"/>
        <v>0</v>
      </c>
      <c r="F272" s="813">
        <f t="shared" si="8"/>
        <v>102</v>
      </c>
      <c r="G272" s="813">
        <f t="shared" si="8"/>
        <v>0</v>
      </c>
      <c r="H272" s="813">
        <f t="shared" si="8"/>
        <v>50</v>
      </c>
      <c r="I272" s="813">
        <f t="shared" si="8"/>
        <v>5</v>
      </c>
    </row>
    <row r="273" spans="2:10" ht="5.0999999999999996" customHeight="1" outlineLevel="1"/>
    <row r="274" spans="2:10" ht="12.95" customHeight="1" outlineLevel="1">
      <c r="B274" s="2960" t="s">
        <v>6072</v>
      </c>
      <c r="C274" s="2960"/>
      <c r="D274" s="2960"/>
      <c r="E274" s="2960"/>
      <c r="F274" s="2960"/>
      <c r="G274" s="2960"/>
      <c r="H274" s="2960"/>
      <c r="I274" s="2960"/>
      <c r="J274" s="2960"/>
    </row>
    <row r="275" spans="2:10" ht="12.95" customHeight="1" outlineLevel="1">
      <c r="B275" s="2960" t="s">
        <v>6081</v>
      </c>
      <c r="C275" s="2960"/>
      <c r="D275" s="2960"/>
      <c r="E275" s="2960"/>
      <c r="F275" s="2960"/>
      <c r="G275" s="2960"/>
      <c r="H275" s="2960"/>
      <c r="I275" s="2960"/>
      <c r="J275" s="2960"/>
    </row>
    <row r="276" spans="2:10" ht="12.95" customHeight="1" outlineLevel="1">
      <c r="B276" s="2960" t="s">
        <v>6082</v>
      </c>
      <c r="C276" s="2960"/>
      <c r="D276" s="2960"/>
      <c r="E276" s="2960"/>
      <c r="F276" s="2960"/>
      <c r="G276" s="2960"/>
      <c r="H276" s="2960"/>
      <c r="I276" s="2960"/>
      <c r="J276" s="2960"/>
    </row>
    <row r="277" spans="2:10" ht="12.95" customHeight="1">
      <c r="B277" s="3880" t="s">
        <v>2259</v>
      </c>
      <c r="D277" s="822"/>
    </row>
    <row r="278" spans="2:10" ht="12.95" customHeight="1">
      <c r="B278" s="3880"/>
    </row>
    <row r="279" spans="2:10" ht="12.95" customHeight="1" thickBot="1">
      <c r="B279" s="3881"/>
    </row>
    <row r="280" spans="2:10" ht="12.95" customHeight="1">
      <c r="B280" s="3127" t="s">
        <v>2042</v>
      </c>
      <c r="C280" s="3122" t="s">
        <v>1544</v>
      </c>
      <c r="D280" s="3121"/>
      <c r="E280" s="3121"/>
      <c r="F280" s="3121"/>
      <c r="G280" s="3121"/>
      <c r="H280" s="3121"/>
      <c r="I280" s="3117"/>
      <c r="J280" s="3127" t="s">
        <v>3949</v>
      </c>
    </row>
    <row r="281" spans="2:10" ht="12.95" customHeight="1" thickBot="1">
      <c r="B281" s="3882"/>
      <c r="C281" s="824" t="s">
        <v>2568</v>
      </c>
      <c r="D281" s="825" t="s">
        <v>2569</v>
      </c>
      <c r="E281" s="825" t="s">
        <v>2571</v>
      </c>
      <c r="F281" s="825" t="s">
        <v>2570</v>
      </c>
      <c r="G281" s="825" t="s">
        <v>2572</v>
      </c>
      <c r="H281" s="825" t="s">
        <v>1766</v>
      </c>
      <c r="I281" s="826" t="s">
        <v>1767</v>
      </c>
      <c r="J281" s="3882"/>
    </row>
    <row r="282" spans="2:10" ht="12.95" customHeight="1" outlineLevel="1">
      <c r="B282" s="804" t="s">
        <v>1547</v>
      </c>
      <c r="C282" s="815">
        <v>300</v>
      </c>
      <c r="D282" s="765">
        <v>5</v>
      </c>
      <c r="E282" s="765"/>
      <c r="F282" s="765">
        <v>5</v>
      </c>
      <c r="G282" s="765"/>
      <c r="H282" s="765"/>
      <c r="I282" s="766"/>
      <c r="J282" s="805" t="s">
        <v>5291</v>
      </c>
    </row>
    <row r="283" spans="2:10" ht="12.95" customHeight="1" outlineLevel="1">
      <c r="B283" s="198" t="s">
        <v>2656</v>
      </c>
      <c r="C283" s="218">
        <v>1000</v>
      </c>
      <c r="D283" s="801"/>
      <c r="E283" s="801"/>
      <c r="F283" s="801"/>
      <c r="G283" s="801"/>
      <c r="H283" s="801"/>
      <c r="I283" s="802"/>
      <c r="J283" s="200" t="s">
        <v>5292</v>
      </c>
    </row>
    <row r="284" spans="2:10" ht="12.95" customHeight="1" outlineLevel="1">
      <c r="B284" s="194" t="s">
        <v>1548</v>
      </c>
      <c r="C284" s="816">
        <v>1500</v>
      </c>
      <c r="D284" s="767"/>
      <c r="E284" s="767"/>
      <c r="F284" s="767">
        <v>5</v>
      </c>
      <c r="G284" s="767"/>
      <c r="H284" s="767"/>
      <c r="I284" s="768"/>
      <c r="J284" s="806" t="s">
        <v>5835</v>
      </c>
    </row>
    <row r="285" spans="2:10" ht="12.95" customHeight="1" outlineLevel="1">
      <c r="B285" s="198" t="s">
        <v>2657</v>
      </c>
      <c r="C285" s="218">
        <v>1500</v>
      </c>
      <c r="D285" s="801">
        <v>2</v>
      </c>
      <c r="E285" s="801">
        <v>2</v>
      </c>
      <c r="F285" s="801"/>
      <c r="G285" s="801"/>
      <c r="H285" s="801"/>
      <c r="I285" s="802">
        <v>2</v>
      </c>
      <c r="J285" s="200" t="s">
        <v>5836</v>
      </c>
    </row>
    <row r="286" spans="2:10" ht="12.95" customHeight="1" outlineLevel="1">
      <c r="B286" s="194" t="s">
        <v>1828</v>
      </c>
      <c r="C286" s="816">
        <v>1500</v>
      </c>
      <c r="D286" s="767"/>
      <c r="E286" s="767"/>
      <c r="F286" s="767">
        <v>5</v>
      </c>
      <c r="G286" s="767"/>
      <c r="H286" s="767"/>
      <c r="I286" s="768"/>
      <c r="J286" s="806" t="s">
        <v>5837</v>
      </c>
    </row>
    <row r="287" spans="2:10" ht="12.95" customHeight="1" outlineLevel="1">
      <c r="B287" s="198" t="s">
        <v>2658</v>
      </c>
      <c r="C287" s="218">
        <v>2000</v>
      </c>
      <c r="D287" s="801"/>
      <c r="E287" s="801">
        <v>5</v>
      </c>
      <c r="F287" s="801">
        <v>5</v>
      </c>
      <c r="G287" s="801"/>
      <c r="H287" s="801"/>
      <c r="I287" s="802"/>
      <c r="J287" s="200" t="s">
        <v>5838</v>
      </c>
    </row>
    <row r="288" spans="2:10" ht="12.95" customHeight="1" outlineLevel="1">
      <c r="B288" s="194" t="s">
        <v>1829</v>
      </c>
      <c r="C288" s="816">
        <v>2000</v>
      </c>
      <c r="D288" s="767">
        <v>5</v>
      </c>
      <c r="E288" s="767"/>
      <c r="F288" s="767">
        <v>5</v>
      </c>
      <c r="G288" s="767"/>
      <c r="H288" s="767"/>
      <c r="I288" s="768"/>
      <c r="J288" s="806" t="s">
        <v>5839</v>
      </c>
    </row>
    <row r="289" spans="2:10" ht="12.95" customHeight="1" outlineLevel="1">
      <c r="B289" s="198" t="s">
        <v>2659</v>
      </c>
      <c r="C289" s="218">
        <v>2000</v>
      </c>
      <c r="D289" s="801"/>
      <c r="E289" s="801">
        <v>5</v>
      </c>
      <c r="F289" s="801">
        <v>5</v>
      </c>
      <c r="G289" s="801"/>
      <c r="H289" s="801"/>
      <c r="I289" s="802"/>
      <c r="J289" s="200" t="s">
        <v>5840</v>
      </c>
    </row>
    <row r="290" spans="2:10" ht="12.95" customHeight="1" outlineLevel="1">
      <c r="B290" s="194" t="s">
        <v>1830</v>
      </c>
      <c r="C290" s="816">
        <v>2000</v>
      </c>
      <c r="D290" s="767"/>
      <c r="E290" s="767"/>
      <c r="F290" s="767">
        <v>10</v>
      </c>
      <c r="G290" s="767"/>
      <c r="H290" s="767"/>
      <c r="I290" s="768"/>
      <c r="J290" s="806" t="s">
        <v>5841</v>
      </c>
    </row>
    <row r="291" spans="2:10" ht="12.95" customHeight="1" outlineLevel="1">
      <c r="B291" s="198" t="s">
        <v>2660</v>
      </c>
      <c r="C291" s="218">
        <v>1000</v>
      </c>
      <c r="D291" s="801"/>
      <c r="E291" s="801"/>
      <c r="F291" s="801"/>
      <c r="G291" s="801">
        <v>5</v>
      </c>
      <c r="H291" s="801"/>
      <c r="I291" s="802"/>
      <c r="J291" s="200" t="s">
        <v>5842</v>
      </c>
    </row>
    <row r="292" spans="2:10" ht="12.95" customHeight="1" outlineLevel="1">
      <c r="B292" s="194" t="s">
        <v>2654</v>
      </c>
      <c r="C292" s="816">
        <v>3000</v>
      </c>
      <c r="D292" s="767">
        <v>5</v>
      </c>
      <c r="E292" s="767">
        <v>2</v>
      </c>
      <c r="F292" s="767">
        <v>5</v>
      </c>
      <c r="G292" s="767">
        <v>2</v>
      </c>
      <c r="H292" s="767">
        <v>2</v>
      </c>
      <c r="I292" s="768">
        <v>2</v>
      </c>
      <c r="J292" s="806" t="s">
        <v>5843</v>
      </c>
    </row>
    <row r="293" spans="2:10" ht="12.95" customHeight="1" outlineLevel="1">
      <c r="B293" s="198" t="s">
        <v>2661</v>
      </c>
      <c r="C293" s="218">
        <v>3000</v>
      </c>
      <c r="D293" s="801"/>
      <c r="E293" s="801">
        <v>3</v>
      </c>
      <c r="F293" s="801"/>
      <c r="G293" s="801">
        <v>3</v>
      </c>
      <c r="H293" s="801">
        <v>3</v>
      </c>
      <c r="I293" s="802">
        <v>3</v>
      </c>
      <c r="J293" s="200" t="s">
        <v>5844</v>
      </c>
    </row>
    <row r="294" spans="2:10" ht="12.95" customHeight="1" outlineLevel="1">
      <c r="B294" s="194" t="s">
        <v>2655</v>
      </c>
      <c r="C294" s="816">
        <v>10000</v>
      </c>
      <c r="D294" s="767">
        <v>10</v>
      </c>
      <c r="E294" s="767">
        <v>10</v>
      </c>
      <c r="F294" s="767">
        <v>10</v>
      </c>
      <c r="G294" s="767"/>
      <c r="H294" s="767"/>
      <c r="I294" s="768"/>
      <c r="J294" s="806" t="s">
        <v>5335</v>
      </c>
    </row>
    <row r="295" spans="2:10" ht="12.95" customHeight="1" outlineLevel="1" thickBot="1">
      <c r="B295" s="201" t="s">
        <v>2662</v>
      </c>
      <c r="C295" s="219">
        <v>10000</v>
      </c>
      <c r="D295" s="203">
        <v>10</v>
      </c>
      <c r="E295" s="203">
        <v>10</v>
      </c>
      <c r="F295" s="203">
        <v>10</v>
      </c>
      <c r="G295" s="203"/>
      <c r="H295" s="203"/>
      <c r="I295" s="204"/>
      <c r="J295" s="205" t="s">
        <v>5336</v>
      </c>
    </row>
    <row r="296" spans="2:10" ht="39" customHeight="1" outlineLevel="1" thickTop="1">
      <c r="B296" s="194" t="s">
        <v>2671</v>
      </c>
      <c r="C296" s="816">
        <v>5000</v>
      </c>
      <c r="D296" s="767">
        <v>10</v>
      </c>
      <c r="E296" s="767"/>
      <c r="F296" s="767">
        <v>10</v>
      </c>
      <c r="G296" s="767"/>
      <c r="H296" s="767"/>
      <c r="I296" s="768"/>
      <c r="J296" s="806" t="s">
        <v>4507</v>
      </c>
    </row>
    <row r="297" spans="2:10" ht="12.95" customHeight="1" outlineLevel="1">
      <c r="B297" s="2790" t="s">
        <v>4467</v>
      </c>
      <c r="C297" s="218">
        <v>10000</v>
      </c>
      <c r="D297" s="801"/>
      <c r="E297" s="801"/>
      <c r="F297" s="801"/>
      <c r="G297" s="801"/>
      <c r="H297" s="801"/>
      <c r="I297" s="802"/>
      <c r="J297" s="200" t="s">
        <v>4461</v>
      </c>
    </row>
    <row r="298" spans="2:10" ht="12.95" customHeight="1" outlineLevel="1">
      <c r="B298" s="194" t="s">
        <v>4444</v>
      </c>
      <c r="C298" s="816">
        <v>5000</v>
      </c>
      <c r="D298" s="767"/>
      <c r="E298" s="767"/>
      <c r="F298" s="767">
        <v>5</v>
      </c>
      <c r="G298" s="767"/>
      <c r="H298" s="767"/>
      <c r="I298" s="768"/>
      <c r="J298" s="806" t="s">
        <v>4486</v>
      </c>
    </row>
    <row r="299" spans="2:10" ht="12.95" customHeight="1" outlineLevel="1">
      <c r="B299" s="198" t="s">
        <v>4509</v>
      </c>
      <c r="C299" s="218">
        <v>1000</v>
      </c>
      <c r="D299" s="801"/>
      <c r="E299" s="801"/>
      <c r="F299" s="801"/>
      <c r="G299" s="801"/>
      <c r="H299" s="801"/>
      <c r="I299" s="802"/>
      <c r="J299" s="200" t="s">
        <v>4508</v>
      </c>
    </row>
    <row r="300" spans="2:10" ht="26.1" customHeight="1" outlineLevel="1" thickBot="1">
      <c r="B300" s="215" t="s">
        <v>4447</v>
      </c>
      <c r="C300" s="817">
        <v>2000</v>
      </c>
      <c r="D300" s="770">
        <v>20</v>
      </c>
      <c r="E300" s="770"/>
      <c r="F300" s="770"/>
      <c r="G300" s="770"/>
      <c r="H300" s="770"/>
      <c r="I300" s="771"/>
      <c r="J300" s="217" t="s">
        <v>5970</v>
      </c>
    </row>
    <row r="301" spans="2:10" s="814" customFormat="1" ht="12.95" customHeight="1" outlineLevel="1">
      <c r="B301" s="812" t="s">
        <v>4437</v>
      </c>
      <c r="C301" s="813">
        <f t="shared" ref="C301:I301" si="9">SUM(C282:C300)</f>
        <v>63800</v>
      </c>
      <c r="D301" s="813">
        <f t="shared" si="9"/>
        <v>67</v>
      </c>
      <c r="E301" s="813">
        <f t="shared" si="9"/>
        <v>37</v>
      </c>
      <c r="F301" s="813">
        <f t="shared" si="9"/>
        <v>80</v>
      </c>
      <c r="G301" s="813">
        <f t="shared" si="9"/>
        <v>10</v>
      </c>
      <c r="H301" s="813">
        <f t="shared" si="9"/>
        <v>5</v>
      </c>
      <c r="I301" s="813">
        <f t="shared" si="9"/>
        <v>7</v>
      </c>
    </row>
    <row r="302" spans="2:10" ht="5.0999999999999996" customHeight="1" outlineLevel="1"/>
    <row r="303" spans="2:10" ht="12.95" customHeight="1" outlineLevel="1">
      <c r="B303" s="2960" t="s">
        <v>6069</v>
      </c>
      <c r="C303" s="2960"/>
      <c r="D303" s="2960"/>
      <c r="E303" s="2960"/>
      <c r="F303" s="2960"/>
      <c r="G303" s="2960"/>
      <c r="H303" s="2960"/>
      <c r="I303" s="2960"/>
      <c r="J303" s="2960"/>
    </row>
    <row r="304" spans="2:10" ht="12.95" customHeight="1" outlineLevel="1">
      <c r="B304" s="2960" t="s">
        <v>6062</v>
      </c>
      <c r="C304" s="2960"/>
      <c r="D304" s="2960"/>
      <c r="E304" s="2960"/>
      <c r="F304" s="2960"/>
      <c r="G304" s="2960"/>
      <c r="H304" s="2960"/>
      <c r="I304" s="2960"/>
      <c r="J304" s="2960"/>
    </row>
    <row r="305" spans="2:11" ht="12.95" customHeight="1" outlineLevel="1">
      <c r="B305" s="2960" t="s">
        <v>6083</v>
      </c>
      <c r="C305" s="2960"/>
      <c r="D305" s="2960"/>
      <c r="E305" s="2960"/>
      <c r="F305" s="2960"/>
      <c r="G305" s="2960"/>
      <c r="H305" s="2960"/>
      <c r="I305" s="2960"/>
      <c r="J305" s="2960"/>
    </row>
    <row r="306" spans="2:11" ht="12.95" customHeight="1" outlineLevel="1">
      <c r="B306" s="2960" t="s">
        <v>4450</v>
      </c>
      <c r="C306" s="2960"/>
      <c r="D306" s="2960"/>
      <c r="E306" s="2960"/>
      <c r="F306" s="2960"/>
      <c r="G306" s="2960"/>
      <c r="H306" s="2960"/>
      <c r="I306" s="2960"/>
      <c r="J306" s="2960"/>
    </row>
    <row r="307" spans="2:11" ht="5.0999999999999996" customHeight="1">
      <c r="B307" s="703"/>
      <c r="C307" s="703"/>
      <c r="D307" s="703"/>
      <c r="E307" s="703"/>
      <c r="F307" s="703"/>
      <c r="G307" s="703"/>
      <c r="H307" s="703"/>
      <c r="I307" s="703"/>
      <c r="J307" s="703"/>
    </row>
    <row r="308" spans="2:11" ht="12.95" customHeight="1">
      <c r="B308" s="3863" t="s">
        <v>4510</v>
      </c>
      <c r="C308" s="3863"/>
      <c r="D308" s="3863"/>
      <c r="E308" s="3863"/>
      <c r="F308" s="3863"/>
      <c r="G308" s="3863"/>
      <c r="H308" s="3863"/>
      <c r="I308" s="3863"/>
      <c r="J308" s="3863"/>
    </row>
    <row r="309" spans="2:11" ht="5.0999999999999996" customHeight="1" thickBot="1">
      <c r="B309" s="733"/>
      <c r="C309" s="733"/>
      <c r="D309" s="733"/>
      <c r="E309" s="733"/>
      <c r="F309" s="733"/>
      <c r="G309" s="733"/>
      <c r="H309" s="733"/>
      <c r="I309" s="733"/>
      <c r="J309" s="733"/>
    </row>
    <row r="310" spans="2:11" ht="12.95" customHeight="1">
      <c r="B310" s="3127" t="s">
        <v>2042</v>
      </c>
      <c r="C310" s="3122" t="s">
        <v>1544</v>
      </c>
      <c r="D310" s="3121"/>
      <c r="E310" s="3121"/>
      <c r="F310" s="3121"/>
      <c r="G310" s="3121"/>
      <c r="H310" s="3121"/>
      <c r="I310" s="3117"/>
      <c r="J310" s="3127" t="s">
        <v>355</v>
      </c>
    </row>
    <row r="311" spans="2:11" ht="12.95" customHeight="1" thickBot="1">
      <c r="B311" s="3128"/>
      <c r="C311" s="824" t="s">
        <v>2568</v>
      </c>
      <c r="D311" s="825" t="s">
        <v>2569</v>
      </c>
      <c r="E311" s="825" t="s">
        <v>2571</v>
      </c>
      <c r="F311" s="825" t="s">
        <v>2570</v>
      </c>
      <c r="G311" s="825" t="s">
        <v>2572</v>
      </c>
      <c r="H311" s="825" t="s">
        <v>1766</v>
      </c>
      <c r="I311" s="826" t="s">
        <v>1767</v>
      </c>
      <c r="J311" s="3882"/>
    </row>
    <row r="312" spans="2:11" ht="12.95" customHeight="1">
      <c r="B312" s="804" t="s">
        <v>2156</v>
      </c>
      <c r="C312" s="815">
        <f t="shared" ref="C312:I312" si="10">C56+C24-C23</f>
        <v>111000</v>
      </c>
      <c r="D312" s="765">
        <f t="shared" si="10"/>
        <v>147</v>
      </c>
      <c r="E312" s="765">
        <f t="shared" si="10"/>
        <v>42</v>
      </c>
      <c r="F312" s="765">
        <f t="shared" si="10"/>
        <v>122</v>
      </c>
      <c r="G312" s="765">
        <f t="shared" si="10"/>
        <v>42</v>
      </c>
      <c r="H312" s="765">
        <f t="shared" si="10"/>
        <v>47</v>
      </c>
      <c r="I312" s="766">
        <f t="shared" si="10"/>
        <v>42</v>
      </c>
      <c r="J312" s="805" t="s">
        <v>5813</v>
      </c>
      <c r="K312" s="819"/>
    </row>
    <row r="313" spans="2:11" ht="12.95" customHeight="1">
      <c r="B313" s="198" t="s">
        <v>893</v>
      </c>
      <c r="C313" s="218">
        <f t="shared" ref="C313:I313" si="11">C24+C88</f>
        <v>106000</v>
      </c>
      <c r="D313" s="801">
        <f t="shared" si="11"/>
        <v>127</v>
      </c>
      <c r="E313" s="801">
        <f t="shared" si="11"/>
        <v>30</v>
      </c>
      <c r="F313" s="801">
        <f t="shared" si="11"/>
        <v>142</v>
      </c>
      <c r="G313" s="801">
        <f t="shared" si="11"/>
        <v>30</v>
      </c>
      <c r="H313" s="222">
        <f t="shared" si="11"/>
        <v>95</v>
      </c>
      <c r="I313" s="802">
        <f t="shared" si="11"/>
        <v>45</v>
      </c>
      <c r="J313" s="200" t="s">
        <v>5814</v>
      </c>
    </row>
    <row r="314" spans="2:11" ht="26.1" customHeight="1">
      <c r="B314" s="194" t="s">
        <v>2141</v>
      </c>
      <c r="C314" s="816">
        <f t="shared" ref="C314:I314" si="12">C24+C120</f>
        <v>111800</v>
      </c>
      <c r="D314" s="767">
        <f t="shared" si="12"/>
        <v>135</v>
      </c>
      <c r="E314" s="767">
        <f t="shared" si="12"/>
        <v>48</v>
      </c>
      <c r="F314" s="767">
        <f t="shared" si="12"/>
        <v>135</v>
      </c>
      <c r="G314" s="767">
        <f t="shared" si="12"/>
        <v>43</v>
      </c>
      <c r="H314" s="767">
        <f t="shared" si="12"/>
        <v>49</v>
      </c>
      <c r="I314" s="821">
        <f t="shared" si="12"/>
        <v>89</v>
      </c>
      <c r="J314" s="806" t="s">
        <v>5815</v>
      </c>
    </row>
    <row r="315" spans="2:11" ht="12.95" customHeight="1">
      <c r="B315" s="198" t="s">
        <v>625</v>
      </c>
      <c r="C315" s="218">
        <f t="shared" ref="C315:I315" si="13">C24+C150</f>
        <v>97400</v>
      </c>
      <c r="D315" s="801">
        <f t="shared" si="13"/>
        <v>145</v>
      </c>
      <c r="E315" s="801">
        <f t="shared" si="13"/>
        <v>60</v>
      </c>
      <c r="F315" s="801">
        <f t="shared" si="13"/>
        <v>135</v>
      </c>
      <c r="G315" s="801">
        <f t="shared" si="13"/>
        <v>50</v>
      </c>
      <c r="H315" s="801">
        <f t="shared" si="13"/>
        <v>45</v>
      </c>
      <c r="I315" s="802">
        <f t="shared" si="13"/>
        <v>45</v>
      </c>
      <c r="J315" s="200"/>
    </row>
    <row r="316" spans="2:11" ht="12.95" customHeight="1">
      <c r="B316" s="194" t="s">
        <v>626</v>
      </c>
      <c r="C316" s="816">
        <f t="shared" ref="C316:I316" si="14">C24+C180</f>
        <v>112400</v>
      </c>
      <c r="D316" s="767">
        <f t="shared" si="14"/>
        <v>142</v>
      </c>
      <c r="E316" s="767">
        <f t="shared" si="14"/>
        <v>40</v>
      </c>
      <c r="F316" s="767">
        <f t="shared" si="14"/>
        <v>142</v>
      </c>
      <c r="G316" s="820">
        <f t="shared" si="14"/>
        <v>82</v>
      </c>
      <c r="H316" s="767">
        <f t="shared" si="14"/>
        <v>32</v>
      </c>
      <c r="I316" s="768">
        <f t="shared" si="14"/>
        <v>45</v>
      </c>
      <c r="J316" s="806" t="s">
        <v>5816</v>
      </c>
    </row>
    <row r="317" spans="2:11" ht="12.95" customHeight="1">
      <c r="B317" s="198" t="s">
        <v>2557</v>
      </c>
      <c r="C317" s="223">
        <f t="shared" ref="C317:I317" si="15">C24+C210</f>
        <v>115300</v>
      </c>
      <c r="D317" s="224">
        <f t="shared" si="15"/>
        <v>120</v>
      </c>
      <c r="E317" s="222">
        <f t="shared" si="15"/>
        <v>86</v>
      </c>
      <c r="F317" s="801">
        <f t="shared" si="15"/>
        <v>125</v>
      </c>
      <c r="G317" s="801">
        <f t="shared" si="15"/>
        <v>51</v>
      </c>
      <c r="H317" s="801">
        <f t="shared" si="15"/>
        <v>28</v>
      </c>
      <c r="I317" s="802">
        <f t="shared" si="15"/>
        <v>36</v>
      </c>
      <c r="J317" s="200" t="s">
        <v>5817</v>
      </c>
    </row>
    <row r="318" spans="2:11" ht="26.1" customHeight="1">
      <c r="B318" s="194" t="s">
        <v>628</v>
      </c>
      <c r="C318" s="816">
        <f t="shared" ref="C318:I318" si="16">C24+C240-C23-C22</f>
        <v>92400</v>
      </c>
      <c r="D318" s="820">
        <f t="shared" si="16"/>
        <v>185</v>
      </c>
      <c r="E318" s="767">
        <f t="shared" si="16"/>
        <v>29</v>
      </c>
      <c r="F318" s="753">
        <f t="shared" si="16"/>
        <v>105</v>
      </c>
      <c r="G318" s="767">
        <f t="shared" si="16"/>
        <v>49</v>
      </c>
      <c r="H318" s="753">
        <f t="shared" si="16"/>
        <v>10</v>
      </c>
      <c r="I318" s="759">
        <f t="shared" si="16"/>
        <v>10</v>
      </c>
      <c r="J318" s="806" t="s">
        <v>5818</v>
      </c>
      <c r="K318" s="819"/>
    </row>
    <row r="319" spans="2:11" ht="39" customHeight="1">
      <c r="B319" s="198" t="s">
        <v>627</v>
      </c>
      <c r="C319" s="225">
        <f t="shared" ref="C319:I319" si="17">C24+C272-C23-C22</f>
        <v>92200</v>
      </c>
      <c r="D319" s="801">
        <f t="shared" si="17"/>
        <v>157</v>
      </c>
      <c r="E319" s="224">
        <f t="shared" si="17"/>
        <v>10</v>
      </c>
      <c r="F319" s="222">
        <f t="shared" si="17"/>
        <v>152</v>
      </c>
      <c r="G319" s="224">
        <f t="shared" si="17"/>
        <v>10</v>
      </c>
      <c r="H319" s="801">
        <f t="shared" si="17"/>
        <v>60</v>
      </c>
      <c r="I319" s="802">
        <f t="shared" si="17"/>
        <v>15</v>
      </c>
      <c r="J319" s="200" t="s">
        <v>5819</v>
      </c>
      <c r="K319" s="819"/>
    </row>
    <row r="320" spans="2:11" ht="12.95" customHeight="1" thickBot="1">
      <c r="B320" s="215" t="s">
        <v>2259</v>
      </c>
      <c r="C320" s="817">
        <f t="shared" ref="C320:I320" si="18">C24+C301</f>
        <v>101800</v>
      </c>
      <c r="D320" s="770">
        <f t="shared" si="18"/>
        <v>137</v>
      </c>
      <c r="E320" s="770">
        <f t="shared" si="18"/>
        <v>65</v>
      </c>
      <c r="F320" s="770">
        <f t="shared" si="18"/>
        <v>140</v>
      </c>
      <c r="G320" s="770">
        <f t="shared" si="18"/>
        <v>38</v>
      </c>
      <c r="H320" s="770">
        <f t="shared" si="18"/>
        <v>33</v>
      </c>
      <c r="I320" s="771">
        <f t="shared" si="18"/>
        <v>35</v>
      </c>
      <c r="J320" s="217"/>
    </row>
  </sheetData>
  <sheetProtection autoFilter="0"/>
  <mergeCells count="92">
    <mergeCell ref="I15:I16"/>
    <mergeCell ref="C1:J1"/>
    <mergeCell ref="B122:J122"/>
    <mergeCell ref="B123:J123"/>
    <mergeCell ref="B124:J124"/>
    <mergeCell ref="B3:J3"/>
    <mergeCell ref="B5:J5"/>
    <mergeCell ref="B30:J30"/>
    <mergeCell ref="C6:I6"/>
    <mergeCell ref="B6:B7"/>
    <mergeCell ref="J6:J7"/>
    <mergeCell ref="B27:J27"/>
    <mergeCell ref="B28:J28"/>
    <mergeCell ref="B26:J26"/>
    <mergeCell ref="B15:B16"/>
    <mergeCell ref="C15:C16"/>
    <mergeCell ref="B152:J152"/>
    <mergeCell ref="B66:B67"/>
    <mergeCell ref="C66:I66"/>
    <mergeCell ref="J66:J67"/>
    <mergeCell ref="B98:B99"/>
    <mergeCell ref="C98:I98"/>
    <mergeCell ref="J98:J99"/>
    <mergeCell ref="B90:J90"/>
    <mergeCell ref="B91:J91"/>
    <mergeCell ref="B92:J92"/>
    <mergeCell ref="B93:J93"/>
    <mergeCell ref="B94:J94"/>
    <mergeCell ref="B153:J153"/>
    <mergeCell ref="B304:J304"/>
    <mergeCell ref="B305:J305"/>
    <mergeCell ref="B306:J306"/>
    <mergeCell ref="B245:J245"/>
    <mergeCell ref="B246:J246"/>
    <mergeCell ref="B274:J274"/>
    <mergeCell ref="B275:J275"/>
    <mergeCell ref="B276:J276"/>
    <mergeCell ref="B250:B251"/>
    <mergeCell ref="C250:I250"/>
    <mergeCell ref="B155:B157"/>
    <mergeCell ref="B185:B187"/>
    <mergeCell ref="B215:B217"/>
    <mergeCell ref="B247:B249"/>
    <mergeCell ref="B277:B279"/>
    <mergeCell ref="B310:B311"/>
    <mergeCell ref="C310:I310"/>
    <mergeCell ref="J310:J311"/>
    <mergeCell ref="J34:J35"/>
    <mergeCell ref="J250:J251"/>
    <mergeCell ref="B280:B281"/>
    <mergeCell ref="C280:I280"/>
    <mergeCell ref="J280:J281"/>
    <mergeCell ref="B188:B189"/>
    <mergeCell ref="C188:I188"/>
    <mergeCell ref="J188:J189"/>
    <mergeCell ref="B218:B219"/>
    <mergeCell ref="C218:I218"/>
    <mergeCell ref="J218:J219"/>
    <mergeCell ref="B128:B129"/>
    <mergeCell ref="C128:I128"/>
    <mergeCell ref="B308:J308"/>
    <mergeCell ref="J128:J129"/>
    <mergeCell ref="B158:B159"/>
    <mergeCell ref="C158:I158"/>
    <mergeCell ref="J158:J159"/>
    <mergeCell ref="B154:J154"/>
    <mergeCell ref="B182:J182"/>
    <mergeCell ref="B183:J183"/>
    <mergeCell ref="B184:J184"/>
    <mergeCell ref="B212:J212"/>
    <mergeCell ref="B213:J213"/>
    <mergeCell ref="B214:J214"/>
    <mergeCell ref="B242:J242"/>
    <mergeCell ref="B243:J243"/>
    <mergeCell ref="B244:J244"/>
    <mergeCell ref="B303:J303"/>
    <mergeCell ref="D15:D16"/>
    <mergeCell ref="E15:E16"/>
    <mergeCell ref="F15:F16"/>
    <mergeCell ref="G15:G16"/>
    <mergeCell ref="H15:H16"/>
    <mergeCell ref="B31:B33"/>
    <mergeCell ref="B63:B65"/>
    <mergeCell ref="B95:B97"/>
    <mergeCell ref="B125:B127"/>
    <mergeCell ref="B62:J62"/>
    <mergeCell ref="B58:J58"/>
    <mergeCell ref="B59:J59"/>
    <mergeCell ref="B60:J60"/>
    <mergeCell ref="B61:J61"/>
    <mergeCell ref="B34:B35"/>
    <mergeCell ref="C34:I34"/>
  </mergeCells>
  <phoneticPr fontId="9" type="noConversion"/>
  <hyperlinks>
    <hyperlink ref="B1" location="Index!A1" display="Назад"/>
    <hyperlink ref="J16" location="'6.5'!A1" display="&gt;&gt; Подробнее о Гильдии воров"/>
    <hyperlink ref="B18" location="'6.4'!A1" display="Рынок"/>
    <hyperlink ref="B114" location="'6.4'!A1" display="Торговец артефактами*"/>
    <hyperlink ref="B179" location="'6.4'!A1" display="Торговец артефактами***"/>
    <hyperlink ref="B297" location="'6.4'!A1" display="Торговец артефактами*"/>
    <hyperlink ref="J269" location="'4.5'!A1" display="Позволяет продавать существ из армии героя за ресурсы (см.раздел 4.5)."/>
  </hyperlinks>
  <printOptions horizontalCentered="1"/>
  <pageMargins left="0.74803149606299213" right="0.74803149606299213" top="0.98425196850393704" bottom="0.98425196850393704" header="0.51181102362204722" footer="0.51181102362204722"/>
  <pageSetup paperSize="9" scale="95" orientation="landscape" r:id="rId1"/>
  <headerFooter alignWithMargins="0"/>
  <rowBreaks count="11" manualBreakCount="11">
    <brk id="16" max="9" man="1"/>
    <brk id="29" max="9" man="1"/>
    <brk id="62" max="9" man="1"/>
    <brk id="94" max="9" man="1"/>
    <brk id="124" max="9" man="1"/>
    <brk id="154" max="9" man="1"/>
    <brk id="184" max="9" man="1"/>
    <brk id="214" max="9" man="1"/>
    <brk id="246" max="9" man="1"/>
    <brk id="276" max="9" man="1"/>
    <brk id="306" max="9" man="1"/>
  </rowBreaks>
  <drawing r:id="rId2"/>
</worksheet>
</file>

<file path=xl/worksheets/sheet68.xml><?xml version="1.0" encoding="utf-8"?>
<worksheet xmlns="http://schemas.openxmlformats.org/spreadsheetml/2006/main" xmlns:r="http://schemas.openxmlformats.org/officeDocument/2006/relationships">
  <sheetPr>
    <outlinePr summaryBelow="0"/>
  </sheetPr>
  <dimension ref="B1:M149"/>
  <sheetViews>
    <sheetView zoomScaleNormal="100" workbookViewId="0">
      <pane ySplit="4" topLeftCell="A5" activePane="bottomLeft" state="frozen"/>
      <selection pane="bottomLeft" activeCell="B1" sqref="B1"/>
    </sheetView>
  </sheetViews>
  <sheetFormatPr defaultRowHeight="12.95" customHeight="1" outlineLevelRow="1"/>
  <cols>
    <col min="1" max="1" width="3.7109375" style="292" customWidth="1"/>
    <col min="2" max="2" width="23.42578125" style="292" bestFit="1" customWidth="1"/>
    <col min="3" max="3" width="4" style="684" bestFit="1" customWidth="1"/>
    <col min="4" max="4" width="11.5703125" style="292" bestFit="1" customWidth="1"/>
    <col min="5" max="9" width="7.7109375" style="292" customWidth="1"/>
    <col min="10" max="11" width="11.7109375" style="292" customWidth="1"/>
    <col min="12" max="12" width="15.7109375" style="292" bestFit="1" customWidth="1"/>
    <col min="13" max="13" width="4.5703125" style="292" bestFit="1" customWidth="1"/>
    <col min="14" max="16384" width="9.140625" style="292"/>
  </cols>
  <sheetData>
    <row r="1" spans="2:13" ht="12.95" customHeight="1">
      <c r="B1" s="313" t="s">
        <v>2706</v>
      </c>
      <c r="C1" s="3074" t="s">
        <v>8269</v>
      </c>
      <c r="D1" s="3074"/>
      <c r="E1" s="3074"/>
      <c r="F1" s="3074"/>
      <c r="G1" s="3074"/>
      <c r="H1" s="3074"/>
      <c r="I1" s="3074"/>
      <c r="J1" s="3074"/>
      <c r="K1" s="3074"/>
      <c r="L1" s="3074"/>
      <c r="M1" s="3074"/>
    </row>
    <row r="2" spans="2:13" ht="5.0999999999999996" customHeight="1"/>
    <row r="3" spans="2:13" ht="12.95" customHeight="1">
      <c r="B3" s="2978" t="s">
        <v>4512</v>
      </c>
      <c r="C3" s="2978"/>
      <c r="D3" s="2978"/>
      <c r="E3" s="2978"/>
      <c r="F3" s="2978"/>
      <c r="G3" s="2978"/>
      <c r="H3" s="2978"/>
      <c r="I3" s="2978"/>
      <c r="J3" s="2978"/>
      <c r="K3" s="2978"/>
      <c r="L3" s="2978"/>
      <c r="M3" s="2978"/>
    </row>
    <row r="4" spans="2:13" ht="5.0999999999999996" customHeight="1"/>
    <row r="5" spans="2:13" ht="90.95" customHeight="1">
      <c r="B5" s="3134" t="s">
        <v>9241</v>
      </c>
      <c r="C5" s="3134"/>
      <c r="D5" s="3134"/>
      <c r="E5" s="3134"/>
      <c r="F5" s="3134"/>
      <c r="G5" s="3134"/>
      <c r="H5" s="3134"/>
      <c r="I5" s="3134"/>
      <c r="J5" s="3134"/>
      <c r="K5" s="3134"/>
      <c r="L5" s="3134"/>
      <c r="M5" s="3134"/>
    </row>
    <row r="6" spans="2:13" ht="5.0999999999999996" customHeight="1" thickBot="1"/>
    <row r="7" spans="2:13" ht="12.95" customHeight="1">
      <c r="B7" s="3865" t="s">
        <v>2042</v>
      </c>
      <c r="C7" s="2963" t="s">
        <v>1051</v>
      </c>
      <c r="D7" s="2977" t="s">
        <v>310</v>
      </c>
      <c r="E7" s="3865" t="s">
        <v>1544</v>
      </c>
      <c r="F7" s="3121"/>
      <c r="G7" s="3121"/>
      <c r="H7" s="3121"/>
      <c r="I7" s="3121"/>
      <c r="J7" s="3121"/>
      <c r="K7" s="3117"/>
      <c r="L7" s="3713" t="s">
        <v>4513</v>
      </c>
      <c r="M7" s="3713" t="s">
        <v>1050</v>
      </c>
    </row>
    <row r="8" spans="2:13" ht="12.95" customHeight="1" thickBot="1">
      <c r="B8" s="3917"/>
      <c r="C8" s="3916"/>
      <c r="D8" s="3899"/>
      <c r="E8" s="772" t="s">
        <v>2568</v>
      </c>
      <c r="F8" s="689" t="s">
        <v>2569</v>
      </c>
      <c r="G8" s="689" t="s">
        <v>2571</v>
      </c>
      <c r="H8" s="689" t="s">
        <v>2570</v>
      </c>
      <c r="I8" s="689" t="s">
        <v>2572</v>
      </c>
      <c r="J8" s="689" t="s">
        <v>1766</v>
      </c>
      <c r="K8" s="688" t="s">
        <v>1767</v>
      </c>
      <c r="L8" s="3714"/>
      <c r="M8" s="3714"/>
    </row>
    <row r="9" spans="2:13" s="387" customFormat="1" ht="12" thickBot="1">
      <c r="B9" s="773"/>
      <c r="C9" s="774"/>
      <c r="D9" s="775"/>
      <c r="E9" s="776"/>
      <c r="F9" s="777"/>
      <c r="G9" s="777"/>
      <c r="H9" s="777"/>
      <c r="I9" s="777"/>
      <c r="J9" s="777"/>
      <c r="K9" s="778"/>
      <c r="L9" s="779"/>
      <c r="M9" s="779"/>
    </row>
    <row r="10" spans="2:13" ht="12.95" customHeight="1">
      <c r="B10" s="321" t="s">
        <v>1282</v>
      </c>
      <c r="C10" s="744">
        <v>1</v>
      </c>
      <c r="D10" s="780" t="s">
        <v>2156</v>
      </c>
      <c r="E10" s="747">
        <v>5500</v>
      </c>
      <c r="F10" s="748">
        <v>20</v>
      </c>
      <c r="G10" s="749">
        <v>0</v>
      </c>
      <c r="H10" s="750">
        <v>30</v>
      </c>
      <c r="I10" s="749">
        <v>0</v>
      </c>
      <c r="J10" s="749">
        <v>0</v>
      </c>
      <c r="K10" s="751">
        <v>0</v>
      </c>
      <c r="L10" s="507">
        <f>F10+H10+(G10+I10+J10+K10)*2</f>
        <v>50</v>
      </c>
      <c r="M10" s="507">
        <v>2</v>
      </c>
    </row>
    <row r="11" spans="2:13" ht="12.95" customHeight="1" outlineLevel="1">
      <c r="B11" s="289" t="s">
        <v>4514</v>
      </c>
      <c r="C11" s="42" t="s">
        <v>4581</v>
      </c>
      <c r="D11" s="250" t="s">
        <v>2156</v>
      </c>
      <c r="E11" s="686">
        <v>6500</v>
      </c>
      <c r="F11" s="224">
        <v>20</v>
      </c>
      <c r="G11" s="191">
        <v>0</v>
      </c>
      <c r="H11" s="783">
        <v>35</v>
      </c>
      <c r="I11" s="191">
        <v>0</v>
      </c>
      <c r="J11" s="191">
        <v>0</v>
      </c>
      <c r="K11" s="29">
        <v>0</v>
      </c>
      <c r="L11" s="784">
        <f>F11+H11+(G11+I11+J11+K11)*2</f>
        <v>55</v>
      </c>
      <c r="M11" s="784">
        <v>3</v>
      </c>
    </row>
    <row r="12" spans="2:13" ht="12.95" customHeight="1" outlineLevel="1">
      <c r="B12" s="323" t="s">
        <v>4439</v>
      </c>
      <c r="C12" s="745">
        <v>2</v>
      </c>
      <c r="D12" s="781" t="s">
        <v>2156</v>
      </c>
      <c r="E12" s="752">
        <v>6500</v>
      </c>
      <c r="F12" s="753">
        <v>25</v>
      </c>
      <c r="G12" s="196">
        <v>0</v>
      </c>
      <c r="H12" s="754">
        <v>35</v>
      </c>
      <c r="I12" s="196">
        <v>0</v>
      </c>
      <c r="J12" s="196">
        <v>0</v>
      </c>
      <c r="K12" s="197">
        <v>0</v>
      </c>
      <c r="L12" s="755">
        <f t="shared" ref="L12:L75" si="0">F12+H12+(G12+I12+J12+K12)*2</f>
        <v>60</v>
      </c>
      <c r="M12" s="755">
        <v>3</v>
      </c>
    </row>
    <row r="13" spans="2:13" ht="12.95" customHeight="1" outlineLevel="1">
      <c r="B13" s="289" t="s">
        <v>4515</v>
      </c>
      <c r="C13" s="42" t="s">
        <v>4582</v>
      </c>
      <c r="D13" s="250" t="s">
        <v>2156</v>
      </c>
      <c r="E13" s="686">
        <v>7500</v>
      </c>
      <c r="F13" s="191">
        <v>30</v>
      </c>
      <c r="G13" s="224">
        <v>0</v>
      </c>
      <c r="H13" s="783">
        <v>40</v>
      </c>
      <c r="I13" s="191">
        <v>0</v>
      </c>
      <c r="J13" s="191">
        <v>0</v>
      </c>
      <c r="K13" s="29">
        <v>0</v>
      </c>
      <c r="L13" s="784">
        <f t="shared" si="0"/>
        <v>70</v>
      </c>
      <c r="M13" s="784">
        <v>4</v>
      </c>
    </row>
    <row r="14" spans="2:13" ht="12.95" customHeight="1" outlineLevel="1">
      <c r="B14" s="323" t="s">
        <v>1284</v>
      </c>
      <c r="C14" s="745">
        <v>3</v>
      </c>
      <c r="D14" s="781" t="s">
        <v>2156</v>
      </c>
      <c r="E14" s="756">
        <v>9500</v>
      </c>
      <c r="F14" s="753">
        <v>25</v>
      </c>
      <c r="G14" s="753">
        <v>0</v>
      </c>
      <c r="H14" s="754">
        <v>40</v>
      </c>
      <c r="I14" s="753">
        <v>0</v>
      </c>
      <c r="J14" s="196">
        <v>0</v>
      </c>
      <c r="K14" s="197">
        <v>0</v>
      </c>
      <c r="L14" s="757">
        <f t="shared" si="0"/>
        <v>65</v>
      </c>
      <c r="M14" s="757">
        <v>5</v>
      </c>
    </row>
    <row r="15" spans="2:13" ht="12.95" customHeight="1" outlineLevel="1">
      <c r="B15" s="289" t="s">
        <v>4516</v>
      </c>
      <c r="C15" s="42" t="s">
        <v>4583</v>
      </c>
      <c r="D15" s="250" t="s">
        <v>2156</v>
      </c>
      <c r="E15" s="686">
        <v>10500</v>
      </c>
      <c r="F15" s="224">
        <v>25</v>
      </c>
      <c r="G15" s="224">
        <v>0</v>
      </c>
      <c r="H15" s="783">
        <v>45</v>
      </c>
      <c r="I15" s="224">
        <v>0</v>
      </c>
      <c r="J15" s="191">
        <v>0</v>
      </c>
      <c r="K15" s="29">
        <v>0</v>
      </c>
      <c r="L15" s="784">
        <f t="shared" si="0"/>
        <v>70</v>
      </c>
      <c r="M15" s="785">
        <v>6</v>
      </c>
    </row>
    <row r="16" spans="2:13" ht="12.95" customHeight="1" outlineLevel="1">
      <c r="B16" s="323" t="s">
        <v>1144</v>
      </c>
      <c r="C16" s="745">
        <v>4</v>
      </c>
      <c r="D16" s="781" t="s">
        <v>2156</v>
      </c>
      <c r="E16" s="752">
        <v>8500</v>
      </c>
      <c r="F16" s="753">
        <v>25</v>
      </c>
      <c r="G16" s="753">
        <v>0</v>
      </c>
      <c r="H16" s="196">
        <v>35</v>
      </c>
      <c r="I16" s="753">
        <v>0</v>
      </c>
      <c r="J16" s="753">
        <v>0</v>
      </c>
      <c r="K16" s="197">
        <v>0</v>
      </c>
      <c r="L16" s="758">
        <f t="shared" si="0"/>
        <v>60</v>
      </c>
      <c r="M16" s="758">
        <v>4</v>
      </c>
    </row>
    <row r="17" spans="2:13" ht="12.95" customHeight="1" outlineLevel="1">
      <c r="B17" s="289" t="s">
        <v>4517</v>
      </c>
      <c r="C17" s="42" t="s">
        <v>4584</v>
      </c>
      <c r="D17" s="250" t="s">
        <v>2156</v>
      </c>
      <c r="E17" s="686">
        <v>10500</v>
      </c>
      <c r="F17" s="224">
        <v>25</v>
      </c>
      <c r="G17" s="224">
        <v>0</v>
      </c>
      <c r="H17" s="191">
        <v>40</v>
      </c>
      <c r="I17" s="224">
        <v>0</v>
      </c>
      <c r="J17" s="191">
        <v>5</v>
      </c>
      <c r="K17" s="786">
        <v>0</v>
      </c>
      <c r="L17" s="787">
        <f t="shared" si="0"/>
        <v>75</v>
      </c>
      <c r="M17" s="787">
        <v>5</v>
      </c>
    </row>
    <row r="18" spans="2:13" ht="12.95" customHeight="1" outlineLevel="1">
      <c r="B18" s="323" t="s">
        <v>311</v>
      </c>
      <c r="C18" s="745">
        <v>5</v>
      </c>
      <c r="D18" s="781" t="s">
        <v>2156</v>
      </c>
      <c r="E18" s="756">
        <v>13500</v>
      </c>
      <c r="F18" s="196">
        <v>35</v>
      </c>
      <c r="G18" s="754">
        <v>2</v>
      </c>
      <c r="H18" s="196">
        <v>45</v>
      </c>
      <c r="I18" s="754">
        <v>2</v>
      </c>
      <c r="J18" s="196">
        <v>2</v>
      </c>
      <c r="K18" s="197">
        <v>2</v>
      </c>
      <c r="L18" s="755">
        <f t="shared" si="0"/>
        <v>96</v>
      </c>
      <c r="M18" s="755">
        <v>6</v>
      </c>
    </row>
    <row r="19" spans="2:13" ht="12.95" customHeight="1" outlineLevel="1">
      <c r="B19" s="289" t="s">
        <v>4518</v>
      </c>
      <c r="C19" s="42" t="s">
        <v>4585</v>
      </c>
      <c r="D19" s="250" t="s">
        <v>2156</v>
      </c>
      <c r="E19" s="686">
        <v>14500</v>
      </c>
      <c r="F19" s="191">
        <v>37</v>
      </c>
      <c r="G19" s="191">
        <v>4</v>
      </c>
      <c r="H19" s="191">
        <v>47</v>
      </c>
      <c r="I19" s="191">
        <v>4</v>
      </c>
      <c r="J19" s="191">
        <v>4</v>
      </c>
      <c r="K19" s="29">
        <v>4</v>
      </c>
      <c r="L19" s="784">
        <f t="shared" si="0"/>
        <v>116</v>
      </c>
      <c r="M19" s="784">
        <v>7</v>
      </c>
    </row>
    <row r="20" spans="2:13" ht="12.95" customHeight="1" outlineLevel="1">
      <c r="B20" s="323" t="s">
        <v>1145</v>
      </c>
      <c r="C20" s="745">
        <v>6</v>
      </c>
      <c r="D20" s="781" t="s">
        <v>2156</v>
      </c>
      <c r="E20" s="752">
        <v>15500</v>
      </c>
      <c r="F20" s="754">
        <v>55</v>
      </c>
      <c r="G20" s="753">
        <v>0</v>
      </c>
      <c r="H20" s="196">
        <v>35</v>
      </c>
      <c r="I20" s="753">
        <v>0</v>
      </c>
      <c r="J20" s="753">
        <v>0</v>
      </c>
      <c r="K20" s="759">
        <v>0</v>
      </c>
      <c r="L20" s="755">
        <f t="shared" si="0"/>
        <v>90</v>
      </c>
      <c r="M20" s="755">
        <v>6</v>
      </c>
    </row>
    <row r="21" spans="2:13" ht="12.95" customHeight="1" outlineLevel="1">
      <c r="B21" s="289" t="s">
        <v>4519</v>
      </c>
      <c r="C21" s="42" t="s">
        <v>4586</v>
      </c>
      <c r="D21" s="250" t="s">
        <v>2156</v>
      </c>
      <c r="E21" s="686">
        <v>18500</v>
      </c>
      <c r="F21" s="783">
        <v>65</v>
      </c>
      <c r="G21" s="224">
        <v>0</v>
      </c>
      <c r="H21" s="191">
        <v>35</v>
      </c>
      <c r="I21" s="224">
        <v>0</v>
      </c>
      <c r="J21" s="224">
        <v>0</v>
      </c>
      <c r="K21" s="786">
        <v>0</v>
      </c>
      <c r="L21" s="787">
        <f t="shared" si="0"/>
        <v>100</v>
      </c>
      <c r="M21" s="784">
        <v>7</v>
      </c>
    </row>
    <row r="22" spans="2:13" ht="12.95" customHeight="1" outlineLevel="1">
      <c r="B22" s="323" t="s">
        <v>1079</v>
      </c>
      <c r="C22" s="745">
        <v>7</v>
      </c>
      <c r="D22" s="781" t="s">
        <v>2156</v>
      </c>
      <c r="E22" s="752">
        <v>33500</v>
      </c>
      <c r="F22" s="753">
        <v>35</v>
      </c>
      <c r="G22" s="196">
        <v>12</v>
      </c>
      <c r="H22" s="753">
        <v>45</v>
      </c>
      <c r="I22" s="196">
        <v>12</v>
      </c>
      <c r="J22" s="196">
        <v>12</v>
      </c>
      <c r="K22" s="197">
        <v>12</v>
      </c>
      <c r="L22" s="755">
        <f t="shared" si="0"/>
        <v>176</v>
      </c>
      <c r="M22" s="755">
        <v>7</v>
      </c>
    </row>
    <row r="23" spans="2:13" ht="12.95" customHeight="1" outlineLevel="1" thickBot="1">
      <c r="B23" s="319" t="s">
        <v>4520</v>
      </c>
      <c r="C23" s="189" t="s">
        <v>4587</v>
      </c>
      <c r="D23" s="788" t="s">
        <v>2156</v>
      </c>
      <c r="E23" s="789">
        <v>53500</v>
      </c>
      <c r="F23" s="790">
        <v>35</v>
      </c>
      <c r="G23" s="187">
        <v>22</v>
      </c>
      <c r="H23" s="790">
        <v>45</v>
      </c>
      <c r="I23" s="187">
        <v>22</v>
      </c>
      <c r="J23" s="187">
        <v>22</v>
      </c>
      <c r="K23" s="188">
        <v>22</v>
      </c>
      <c r="L23" s="100">
        <f t="shared" si="0"/>
        <v>256</v>
      </c>
      <c r="M23" s="100">
        <v>8</v>
      </c>
    </row>
    <row r="24" spans="2:13" ht="12.95" customHeight="1">
      <c r="B24" s="321" t="s">
        <v>885</v>
      </c>
      <c r="C24" s="744">
        <v>1</v>
      </c>
      <c r="D24" s="780" t="s">
        <v>893</v>
      </c>
      <c r="E24" s="747">
        <v>5500</v>
      </c>
      <c r="F24" s="750">
        <v>30</v>
      </c>
      <c r="G24" s="749">
        <v>0</v>
      </c>
      <c r="H24" s="748">
        <v>20</v>
      </c>
      <c r="I24" s="749">
        <v>0</v>
      </c>
      <c r="J24" s="749">
        <v>0</v>
      </c>
      <c r="K24" s="751">
        <v>0</v>
      </c>
      <c r="L24" s="507">
        <f t="shared" si="0"/>
        <v>50</v>
      </c>
      <c r="M24" s="507">
        <v>2</v>
      </c>
    </row>
    <row r="25" spans="2:13" ht="12.95" customHeight="1" outlineLevel="1">
      <c r="B25" s="289" t="s">
        <v>4552</v>
      </c>
      <c r="C25" s="42" t="s">
        <v>4581</v>
      </c>
      <c r="D25" s="250" t="s">
        <v>893</v>
      </c>
      <c r="E25" s="686">
        <v>6500</v>
      </c>
      <c r="F25" s="191">
        <v>35</v>
      </c>
      <c r="G25" s="191">
        <v>0</v>
      </c>
      <c r="H25" s="224">
        <v>20</v>
      </c>
      <c r="I25" s="191">
        <v>0</v>
      </c>
      <c r="J25" s="191">
        <v>0</v>
      </c>
      <c r="K25" s="29">
        <v>0</v>
      </c>
      <c r="L25" s="784">
        <f t="shared" si="0"/>
        <v>55</v>
      </c>
      <c r="M25" s="784">
        <v>3</v>
      </c>
    </row>
    <row r="26" spans="2:13" ht="12.95" customHeight="1" outlineLevel="1">
      <c r="B26" s="323" t="s">
        <v>886</v>
      </c>
      <c r="C26" s="745">
        <v>2</v>
      </c>
      <c r="D26" s="781" t="s">
        <v>893</v>
      </c>
      <c r="E26" s="752">
        <v>6500</v>
      </c>
      <c r="F26" s="754">
        <v>35</v>
      </c>
      <c r="G26" s="196">
        <v>0</v>
      </c>
      <c r="H26" s="753">
        <v>20</v>
      </c>
      <c r="I26" s="196">
        <v>0</v>
      </c>
      <c r="J26" s="196">
        <v>0</v>
      </c>
      <c r="K26" s="197">
        <v>0</v>
      </c>
      <c r="L26" s="755">
        <f t="shared" si="0"/>
        <v>55</v>
      </c>
      <c r="M26" s="755">
        <v>3</v>
      </c>
    </row>
    <row r="27" spans="2:13" ht="12.95" customHeight="1" outlineLevel="1">
      <c r="B27" s="289" t="s">
        <v>4521</v>
      </c>
      <c r="C27" s="42" t="s">
        <v>4582</v>
      </c>
      <c r="D27" s="250" t="s">
        <v>893</v>
      </c>
      <c r="E27" s="686">
        <v>7500</v>
      </c>
      <c r="F27" s="191">
        <v>40</v>
      </c>
      <c r="G27" s="224">
        <v>0</v>
      </c>
      <c r="H27" s="224">
        <v>20</v>
      </c>
      <c r="I27" s="191">
        <v>0</v>
      </c>
      <c r="J27" s="191">
        <v>0</v>
      </c>
      <c r="K27" s="29">
        <v>0</v>
      </c>
      <c r="L27" s="784">
        <f t="shared" si="0"/>
        <v>60</v>
      </c>
      <c r="M27" s="784">
        <v>4</v>
      </c>
    </row>
    <row r="28" spans="2:13" ht="12.95" customHeight="1" outlineLevel="1">
      <c r="B28" s="323" t="s">
        <v>887</v>
      </c>
      <c r="C28" s="745">
        <v>3</v>
      </c>
      <c r="D28" s="781" t="s">
        <v>893</v>
      </c>
      <c r="E28" s="752">
        <v>7000</v>
      </c>
      <c r="F28" s="754">
        <v>40</v>
      </c>
      <c r="G28" s="753">
        <v>0</v>
      </c>
      <c r="H28" s="753">
        <v>20</v>
      </c>
      <c r="I28" s="753">
        <v>0</v>
      </c>
      <c r="J28" s="196">
        <v>0</v>
      </c>
      <c r="K28" s="197">
        <v>0</v>
      </c>
      <c r="L28" s="758">
        <f t="shared" si="0"/>
        <v>60</v>
      </c>
      <c r="M28" s="758">
        <v>3</v>
      </c>
    </row>
    <row r="29" spans="2:13" ht="12.95" customHeight="1" outlineLevel="1">
      <c r="B29" s="289" t="s">
        <v>4557</v>
      </c>
      <c r="C29" s="42" t="s">
        <v>4583</v>
      </c>
      <c r="D29" s="250" t="s">
        <v>893</v>
      </c>
      <c r="E29" s="686">
        <v>8500</v>
      </c>
      <c r="F29" s="783">
        <v>50</v>
      </c>
      <c r="G29" s="224">
        <v>0</v>
      </c>
      <c r="H29" s="191">
        <v>20</v>
      </c>
      <c r="I29" s="224">
        <v>0</v>
      </c>
      <c r="J29" s="191">
        <v>0</v>
      </c>
      <c r="K29" s="29">
        <v>0</v>
      </c>
      <c r="L29" s="784">
        <f t="shared" si="0"/>
        <v>70</v>
      </c>
      <c r="M29" s="787">
        <v>4</v>
      </c>
    </row>
    <row r="30" spans="2:13" ht="12.95" customHeight="1" outlineLevel="1">
      <c r="B30" s="323" t="s">
        <v>888</v>
      </c>
      <c r="C30" s="745">
        <v>4</v>
      </c>
      <c r="D30" s="781" t="s">
        <v>893</v>
      </c>
      <c r="E30" s="752">
        <v>9000</v>
      </c>
      <c r="F30" s="196">
        <v>40</v>
      </c>
      <c r="G30" s="753">
        <v>0</v>
      </c>
      <c r="H30" s="753">
        <v>20</v>
      </c>
      <c r="I30" s="753">
        <v>0</v>
      </c>
      <c r="J30" s="754">
        <v>10</v>
      </c>
      <c r="K30" s="197">
        <v>0</v>
      </c>
      <c r="L30" s="757">
        <f t="shared" si="0"/>
        <v>80</v>
      </c>
      <c r="M30" s="758">
        <v>4</v>
      </c>
    </row>
    <row r="31" spans="2:13" ht="12.95" customHeight="1" outlineLevel="1">
      <c r="B31" s="289" t="s">
        <v>4522</v>
      </c>
      <c r="C31" s="42" t="s">
        <v>4584</v>
      </c>
      <c r="D31" s="250" t="s">
        <v>893</v>
      </c>
      <c r="E31" s="686">
        <v>11000</v>
      </c>
      <c r="F31" s="191">
        <v>40</v>
      </c>
      <c r="G31" s="224">
        <v>0</v>
      </c>
      <c r="H31" s="224">
        <v>20</v>
      </c>
      <c r="I31" s="224">
        <v>0</v>
      </c>
      <c r="J31" s="783">
        <v>15</v>
      </c>
      <c r="K31" s="786">
        <v>0</v>
      </c>
      <c r="L31" s="784">
        <f t="shared" si="0"/>
        <v>90</v>
      </c>
      <c r="M31" s="787">
        <v>5</v>
      </c>
    </row>
    <row r="32" spans="2:13" ht="12.95" customHeight="1" outlineLevel="1">
      <c r="B32" s="323" t="s">
        <v>896</v>
      </c>
      <c r="C32" s="745">
        <v>5</v>
      </c>
      <c r="D32" s="781" t="s">
        <v>893</v>
      </c>
      <c r="E32" s="752">
        <v>9500</v>
      </c>
      <c r="F32" s="754">
        <v>40</v>
      </c>
      <c r="G32" s="753">
        <v>0</v>
      </c>
      <c r="H32" s="753">
        <v>20</v>
      </c>
      <c r="I32" s="753">
        <v>0</v>
      </c>
      <c r="J32" s="753">
        <v>0</v>
      </c>
      <c r="K32" s="759">
        <v>0</v>
      </c>
      <c r="L32" s="758">
        <f t="shared" si="0"/>
        <v>60</v>
      </c>
      <c r="M32" s="758">
        <v>4</v>
      </c>
    </row>
    <row r="33" spans="2:13" ht="12.95" customHeight="1" outlineLevel="1">
      <c r="B33" s="1730" t="s">
        <v>4558</v>
      </c>
      <c r="C33" s="42" t="s">
        <v>4585</v>
      </c>
      <c r="D33" s="250" t="s">
        <v>893</v>
      </c>
      <c r="E33" s="1752">
        <v>11000</v>
      </c>
      <c r="F33" s="1750">
        <v>40</v>
      </c>
      <c r="G33" s="224">
        <v>0</v>
      </c>
      <c r="H33" s="224">
        <v>20</v>
      </c>
      <c r="I33" s="224">
        <v>0</v>
      </c>
      <c r="J33" s="224">
        <v>0</v>
      </c>
      <c r="K33" s="786">
        <v>0</v>
      </c>
      <c r="L33" s="1763">
        <f t="shared" si="0"/>
        <v>60</v>
      </c>
      <c r="M33" s="1763">
        <v>5</v>
      </c>
    </row>
    <row r="34" spans="2:13" ht="12.95" customHeight="1" outlineLevel="1">
      <c r="B34" s="323" t="s">
        <v>897</v>
      </c>
      <c r="C34" s="745">
        <v>6</v>
      </c>
      <c r="D34" s="781" t="s">
        <v>893</v>
      </c>
      <c r="E34" s="752">
        <v>15500</v>
      </c>
      <c r="F34" s="196">
        <v>45</v>
      </c>
      <c r="G34" s="753">
        <v>0</v>
      </c>
      <c r="H34" s="196">
        <v>25</v>
      </c>
      <c r="I34" s="753">
        <v>0</v>
      </c>
      <c r="J34" s="196">
        <v>10</v>
      </c>
      <c r="K34" s="760">
        <v>10</v>
      </c>
      <c r="L34" s="755">
        <f t="shared" si="0"/>
        <v>110</v>
      </c>
      <c r="M34" s="755">
        <v>6</v>
      </c>
    </row>
    <row r="35" spans="2:13" ht="12.95" customHeight="1" outlineLevel="1">
      <c r="B35" s="289" t="s">
        <v>4559</v>
      </c>
      <c r="C35" s="42" t="s">
        <v>4586</v>
      </c>
      <c r="D35" s="250" t="s">
        <v>893</v>
      </c>
      <c r="E35" s="686">
        <v>18500</v>
      </c>
      <c r="F35" s="191">
        <v>45</v>
      </c>
      <c r="G35" s="224">
        <v>0</v>
      </c>
      <c r="H35" s="191">
        <v>25</v>
      </c>
      <c r="I35" s="224">
        <v>0</v>
      </c>
      <c r="J35" s="191">
        <v>10</v>
      </c>
      <c r="K35" s="791">
        <v>15</v>
      </c>
      <c r="L35" s="784">
        <f t="shared" si="0"/>
        <v>120</v>
      </c>
      <c r="M35" s="784">
        <v>7</v>
      </c>
    </row>
    <row r="36" spans="2:13" ht="12.95" customHeight="1" outlineLevel="1">
      <c r="B36" s="323" t="s">
        <v>2276</v>
      </c>
      <c r="C36" s="745">
        <v>7</v>
      </c>
      <c r="D36" s="781" t="s">
        <v>893</v>
      </c>
      <c r="E36" s="752">
        <v>28500</v>
      </c>
      <c r="F36" s="196">
        <v>55</v>
      </c>
      <c r="G36" s="196">
        <v>4</v>
      </c>
      <c r="H36" s="196">
        <v>65</v>
      </c>
      <c r="I36" s="196">
        <v>4</v>
      </c>
      <c r="J36" s="754">
        <v>34</v>
      </c>
      <c r="K36" s="197">
        <v>14</v>
      </c>
      <c r="L36" s="755">
        <f t="shared" si="0"/>
        <v>232</v>
      </c>
      <c r="M36" s="755">
        <v>9</v>
      </c>
    </row>
    <row r="37" spans="2:13" ht="12.95" customHeight="1" outlineLevel="1" thickBot="1">
      <c r="B37" s="319" t="s">
        <v>4553</v>
      </c>
      <c r="C37" s="189" t="s">
        <v>4587</v>
      </c>
      <c r="D37" s="788" t="s">
        <v>893</v>
      </c>
      <c r="E37" s="687">
        <v>49500</v>
      </c>
      <c r="F37" s="187">
        <v>60</v>
      </c>
      <c r="G37" s="187">
        <v>10</v>
      </c>
      <c r="H37" s="792">
        <v>100</v>
      </c>
      <c r="I37" s="187">
        <v>10</v>
      </c>
      <c r="J37" s="792">
        <v>60</v>
      </c>
      <c r="K37" s="188">
        <v>20</v>
      </c>
      <c r="L37" s="100">
        <f t="shared" si="0"/>
        <v>360</v>
      </c>
      <c r="M37" s="100">
        <v>11</v>
      </c>
    </row>
    <row r="38" spans="2:13" ht="12.95" customHeight="1">
      <c r="B38" s="2926" t="s">
        <v>967</v>
      </c>
      <c r="C38" s="744">
        <v>1</v>
      </c>
      <c r="D38" s="780" t="s">
        <v>2141</v>
      </c>
      <c r="E38" s="761">
        <v>5300</v>
      </c>
      <c r="F38" s="2921">
        <v>25</v>
      </c>
      <c r="G38" s="2921">
        <v>0</v>
      </c>
      <c r="H38" s="2921">
        <v>25</v>
      </c>
      <c r="I38" s="2921">
        <v>0</v>
      </c>
      <c r="J38" s="2921">
        <v>0</v>
      </c>
      <c r="K38" s="2922">
        <v>0</v>
      </c>
      <c r="L38" s="507">
        <f t="shared" si="0"/>
        <v>50</v>
      </c>
      <c r="M38" s="507">
        <v>2</v>
      </c>
    </row>
    <row r="39" spans="2:13" ht="12.95" customHeight="1" outlineLevel="1">
      <c r="B39" s="2910" t="s">
        <v>4560</v>
      </c>
      <c r="C39" s="42" t="s">
        <v>4581</v>
      </c>
      <c r="D39" s="250" t="s">
        <v>2141</v>
      </c>
      <c r="E39" s="2917">
        <v>6300</v>
      </c>
      <c r="F39" s="2919">
        <v>25</v>
      </c>
      <c r="G39" s="2919">
        <v>0</v>
      </c>
      <c r="H39" s="2919">
        <v>25</v>
      </c>
      <c r="I39" s="2919">
        <v>0</v>
      </c>
      <c r="J39" s="2919">
        <v>0</v>
      </c>
      <c r="K39" s="2914">
        <v>0</v>
      </c>
      <c r="L39" s="787">
        <f t="shared" si="0"/>
        <v>50</v>
      </c>
      <c r="M39" s="784">
        <v>3</v>
      </c>
    </row>
    <row r="40" spans="2:13" ht="12.95" customHeight="1" outlineLevel="1">
      <c r="B40" s="2911" t="s">
        <v>968</v>
      </c>
      <c r="C40" s="745">
        <v>2</v>
      </c>
      <c r="D40" s="781" t="s">
        <v>2141</v>
      </c>
      <c r="E40" s="2924">
        <v>6300</v>
      </c>
      <c r="F40" s="753">
        <v>25</v>
      </c>
      <c r="G40" s="2920">
        <v>0</v>
      </c>
      <c r="H40" s="754">
        <v>35</v>
      </c>
      <c r="I40" s="2920">
        <v>0</v>
      </c>
      <c r="J40" s="2920">
        <v>0</v>
      </c>
      <c r="K40" s="2916">
        <v>0</v>
      </c>
      <c r="L40" s="755">
        <f t="shared" si="0"/>
        <v>60</v>
      </c>
      <c r="M40" s="755">
        <v>3</v>
      </c>
    </row>
    <row r="41" spans="2:13" ht="12.95" customHeight="1" outlineLevel="1">
      <c r="B41" s="2910" t="s">
        <v>4523</v>
      </c>
      <c r="C41" s="42" t="s">
        <v>4582</v>
      </c>
      <c r="D41" s="250" t="s">
        <v>2141</v>
      </c>
      <c r="E41" s="2917">
        <v>7800</v>
      </c>
      <c r="F41" s="224">
        <v>25</v>
      </c>
      <c r="G41" s="224">
        <v>0</v>
      </c>
      <c r="H41" s="783">
        <v>40</v>
      </c>
      <c r="I41" s="2919">
        <v>0</v>
      </c>
      <c r="J41" s="2919">
        <v>0</v>
      </c>
      <c r="K41" s="2914">
        <v>0</v>
      </c>
      <c r="L41" s="784">
        <f t="shared" si="0"/>
        <v>65</v>
      </c>
      <c r="M41" s="784">
        <v>4</v>
      </c>
    </row>
    <row r="42" spans="2:13" ht="12.95" customHeight="1" outlineLevel="1">
      <c r="B42" s="2911" t="s">
        <v>1573</v>
      </c>
      <c r="C42" s="745">
        <v>3</v>
      </c>
      <c r="D42" s="781" t="s">
        <v>2141</v>
      </c>
      <c r="E42" s="2924">
        <v>7300</v>
      </c>
      <c r="F42" s="2920">
        <v>30</v>
      </c>
      <c r="G42" s="753">
        <v>0</v>
      </c>
      <c r="H42" s="2920">
        <v>30</v>
      </c>
      <c r="I42" s="753">
        <v>0</v>
      </c>
      <c r="J42" s="2920">
        <v>0</v>
      </c>
      <c r="K42" s="2916">
        <v>0</v>
      </c>
      <c r="L42" s="758">
        <f t="shared" si="0"/>
        <v>60</v>
      </c>
      <c r="M42" s="758">
        <v>3</v>
      </c>
    </row>
    <row r="43" spans="2:13" ht="12.95" customHeight="1" outlineLevel="1">
      <c r="B43" s="2910" t="s">
        <v>4561</v>
      </c>
      <c r="C43" s="42" t="s">
        <v>4583</v>
      </c>
      <c r="D43" s="250" t="s">
        <v>2141</v>
      </c>
      <c r="E43" s="2917">
        <v>9300</v>
      </c>
      <c r="F43" s="2919">
        <v>35</v>
      </c>
      <c r="G43" s="783">
        <v>5</v>
      </c>
      <c r="H43" s="2919">
        <v>35</v>
      </c>
      <c r="I43" s="224">
        <v>0</v>
      </c>
      <c r="J43" s="2919">
        <v>0</v>
      </c>
      <c r="K43" s="2914">
        <v>0</v>
      </c>
      <c r="L43" s="785">
        <f t="shared" si="0"/>
        <v>80</v>
      </c>
      <c r="M43" s="787">
        <v>4</v>
      </c>
    </row>
    <row r="44" spans="2:13" ht="12.95" customHeight="1" outlineLevel="1">
      <c r="B44" s="2911" t="s">
        <v>969</v>
      </c>
      <c r="C44" s="745">
        <v>4</v>
      </c>
      <c r="D44" s="781" t="s">
        <v>2141</v>
      </c>
      <c r="E44" s="756">
        <v>10300</v>
      </c>
      <c r="F44" s="2920">
        <v>35</v>
      </c>
      <c r="G44" s="753">
        <v>0</v>
      </c>
      <c r="H44" s="754">
        <v>45</v>
      </c>
      <c r="I44" s="753">
        <v>0</v>
      </c>
      <c r="J44" s="753">
        <v>0</v>
      </c>
      <c r="K44" s="2916">
        <v>0</v>
      </c>
      <c r="L44" s="757">
        <f t="shared" si="0"/>
        <v>80</v>
      </c>
      <c r="M44" s="757">
        <v>6</v>
      </c>
    </row>
    <row r="45" spans="2:13" ht="12.95" customHeight="1" outlineLevel="1">
      <c r="B45" s="2910" t="s">
        <v>4562</v>
      </c>
      <c r="C45" s="42" t="s">
        <v>4584</v>
      </c>
      <c r="D45" s="250" t="s">
        <v>2141</v>
      </c>
      <c r="E45" s="2917">
        <v>11800</v>
      </c>
      <c r="F45" s="2919">
        <v>40</v>
      </c>
      <c r="G45" s="2919">
        <v>5</v>
      </c>
      <c r="H45" s="783">
        <v>50</v>
      </c>
      <c r="I45" s="783">
        <v>5</v>
      </c>
      <c r="J45" s="2919">
        <v>5</v>
      </c>
      <c r="K45" s="2914">
        <v>5</v>
      </c>
      <c r="L45" s="785">
        <f t="shared" si="0"/>
        <v>130</v>
      </c>
      <c r="M45" s="785">
        <v>8</v>
      </c>
    </row>
    <row r="46" spans="2:13" ht="12.95" customHeight="1" outlineLevel="1">
      <c r="B46" s="2911" t="s">
        <v>970</v>
      </c>
      <c r="C46" s="745">
        <v>5</v>
      </c>
      <c r="D46" s="781" t="s">
        <v>2141</v>
      </c>
      <c r="E46" s="2924">
        <v>13300</v>
      </c>
      <c r="F46" s="754">
        <v>40</v>
      </c>
      <c r="G46" s="753">
        <v>0</v>
      </c>
      <c r="H46" s="754">
        <v>50</v>
      </c>
      <c r="I46" s="753">
        <v>0</v>
      </c>
      <c r="J46" s="754">
        <v>6</v>
      </c>
      <c r="K46" s="2916">
        <v>6</v>
      </c>
      <c r="L46" s="757">
        <f t="shared" si="0"/>
        <v>114</v>
      </c>
      <c r="M46" s="757">
        <v>7</v>
      </c>
    </row>
    <row r="47" spans="2:13" ht="12.95" customHeight="1" outlineLevel="1">
      <c r="B47" s="2910" t="s">
        <v>4524</v>
      </c>
      <c r="C47" s="42" t="s">
        <v>4585</v>
      </c>
      <c r="D47" s="250" t="s">
        <v>2141</v>
      </c>
      <c r="E47" s="2917">
        <v>15300</v>
      </c>
      <c r="F47" s="2919">
        <v>45</v>
      </c>
      <c r="G47" s="224">
        <v>0</v>
      </c>
      <c r="H47" s="783">
        <v>50</v>
      </c>
      <c r="I47" s="224">
        <v>0</v>
      </c>
      <c r="J47" s="783">
        <v>6</v>
      </c>
      <c r="K47" s="2914">
        <v>6</v>
      </c>
      <c r="L47" s="784">
        <f t="shared" si="0"/>
        <v>119</v>
      </c>
      <c r="M47" s="785">
        <v>8</v>
      </c>
    </row>
    <row r="48" spans="2:13" ht="12.95" customHeight="1" outlineLevel="1">
      <c r="B48" s="2911" t="s">
        <v>971</v>
      </c>
      <c r="C48" s="745">
        <v>6</v>
      </c>
      <c r="D48" s="781" t="s">
        <v>2141</v>
      </c>
      <c r="E48" s="2924">
        <v>14300</v>
      </c>
      <c r="F48" s="2920">
        <v>40</v>
      </c>
      <c r="G48" s="2920">
        <v>2</v>
      </c>
      <c r="H48" s="2920">
        <v>50</v>
      </c>
      <c r="I48" s="2920">
        <v>2</v>
      </c>
      <c r="J48" s="2920">
        <v>2</v>
      </c>
      <c r="K48" s="2916">
        <v>2</v>
      </c>
      <c r="L48" s="755">
        <f t="shared" si="0"/>
        <v>106</v>
      </c>
      <c r="M48" s="755">
        <v>7</v>
      </c>
    </row>
    <row r="49" spans="2:13" ht="12.95" customHeight="1" outlineLevel="1">
      <c r="B49" s="2910" t="s">
        <v>4525</v>
      </c>
      <c r="C49" s="42" t="s">
        <v>4586</v>
      </c>
      <c r="D49" s="250" t="s">
        <v>2141</v>
      </c>
      <c r="E49" s="2917">
        <v>17300</v>
      </c>
      <c r="F49" s="2919">
        <v>40</v>
      </c>
      <c r="G49" s="2919">
        <v>5</v>
      </c>
      <c r="H49" s="2919">
        <v>50</v>
      </c>
      <c r="I49" s="2919">
        <v>5</v>
      </c>
      <c r="J49" s="2919">
        <v>5</v>
      </c>
      <c r="K49" s="2914">
        <v>5</v>
      </c>
      <c r="L49" s="784">
        <f t="shared" si="0"/>
        <v>130</v>
      </c>
      <c r="M49" s="784">
        <v>8</v>
      </c>
    </row>
    <row r="50" spans="2:13" ht="12.95" customHeight="1" outlineLevel="1">
      <c r="B50" s="2911" t="s">
        <v>1325</v>
      </c>
      <c r="C50" s="745">
        <v>7</v>
      </c>
      <c r="D50" s="781" t="s">
        <v>2141</v>
      </c>
      <c r="E50" s="2924">
        <v>19300</v>
      </c>
      <c r="F50" s="2920">
        <v>50</v>
      </c>
      <c r="G50" s="2920">
        <v>2</v>
      </c>
      <c r="H50" s="2920">
        <v>60</v>
      </c>
      <c r="I50" s="2920">
        <v>2</v>
      </c>
      <c r="J50" s="2920">
        <v>2</v>
      </c>
      <c r="K50" s="2916">
        <v>12</v>
      </c>
      <c r="L50" s="755">
        <f t="shared" si="0"/>
        <v>146</v>
      </c>
      <c r="M50" s="755">
        <v>9</v>
      </c>
    </row>
    <row r="51" spans="2:13" ht="12.95" customHeight="1" outlineLevel="1" thickBot="1">
      <c r="B51" s="2923" t="s">
        <v>4526</v>
      </c>
      <c r="C51" s="189" t="s">
        <v>4587</v>
      </c>
      <c r="D51" s="788" t="s">
        <v>2141</v>
      </c>
      <c r="E51" s="2918">
        <v>44300</v>
      </c>
      <c r="F51" s="2912">
        <v>55</v>
      </c>
      <c r="G51" s="2912">
        <v>2</v>
      </c>
      <c r="H51" s="2912">
        <v>65</v>
      </c>
      <c r="I51" s="2912">
        <v>2</v>
      </c>
      <c r="J51" s="2912">
        <v>2</v>
      </c>
      <c r="K51" s="2928">
        <v>42</v>
      </c>
      <c r="L51" s="100">
        <f t="shared" si="0"/>
        <v>216</v>
      </c>
      <c r="M51" s="100">
        <v>10</v>
      </c>
    </row>
    <row r="52" spans="2:13" ht="12.95" customHeight="1">
      <c r="B52" s="321" t="s">
        <v>2118</v>
      </c>
      <c r="C52" s="744">
        <v>1</v>
      </c>
      <c r="D52" s="780" t="s">
        <v>625</v>
      </c>
      <c r="E52" s="761">
        <v>5400</v>
      </c>
      <c r="F52" s="749">
        <v>25</v>
      </c>
      <c r="G52" s="749">
        <v>0</v>
      </c>
      <c r="H52" s="749">
        <v>25</v>
      </c>
      <c r="I52" s="749">
        <v>0</v>
      </c>
      <c r="J52" s="749">
        <v>0</v>
      </c>
      <c r="K52" s="751">
        <v>0</v>
      </c>
      <c r="L52" s="507">
        <f t="shared" si="0"/>
        <v>50</v>
      </c>
      <c r="M52" s="507">
        <v>2</v>
      </c>
    </row>
    <row r="53" spans="2:13" ht="12.95" customHeight="1" outlineLevel="1">
      <c r="B53" s="289" t="s">
        <v>4527</v>
      </c>
      <c r="C53" s="42" t="s">
        <v>4581</v>
      </c>
      <c r="D53" s="250" t="s">
        <v>625</v>
      </c>
      <c r="E53" s="686">
        <v>6400</v>
      </c>
      <c r="F53" s="191">
        <v>30</v>
      </c>
      <c r="G53" s="191">
        <v>0</v>
      </c>
      <c r="H53" s="191">
        <v>30</v>
      </c>
      <c r="I53" s="191">
        <v>0</v>
      </c>
      <c r="J53" s="191">
        <v>0</v>
      </c>
      <c r="K53" s="29">
        <v>0</v>
      </c>
      <c r="L53" s="784">
        <f t="shared" si="0"/>
        <v>60</v>
      </c>
      <c r="M53" s="784">
        <v>3</v>
      </c>
    </row>
    <row r="54" spans="2:13" ht="12.95" customHeight="1" outlineLevel="1">
      <c r="B54" s="323" t="s">
        <v>1770</v>
      </c>
      <c r="C54" s="745">
        <v>2</v>
      </c>
      <c r="D54" s="781" t="s">
        <v>625</v>
      </c>
      <c r="E54" s="752">
        <v>6400</v>
      </c>
      <c r="F54" s="753">
        <v>25</v>
      </c>
      <c r="G54" s="196">
        <v>0</v>
      </c>
      <c r="H54" s="196">
        <v>30</v>
      </c>
      <c r="I54" s="196">
        <v>0</v>
      </c>
      <c r="J54" s="196">
        <v>0</v>
      </c>
      <c r="K54" s="197">
        <v>0</v>
      </c>
      <c r="L54" s="755">
        <f t="shared" si="0"/>
        <v>55</v>
      </c>
      <c r="M54" s="755">
        <v>3</v>
      </c>
    </row>
    <row r="55" spans="2:13" ht="12.95" customHeight="1" outlineLevel="1">
      <c r="B55" s="289" t="s">
        <v>4569</v>
      </c>
      <c r="C55" s="42" t="s">
        <v>4582</v>
      </c>
      <c r="D55" s="250" t="s">
        <v>625</v>
      </c>
      <c r="E55" s="686">
        <v>7400</v>
      </c>
      <c r="F55" s="191">
        <v>30</v>
      </c>
      <c r="G55" s="224">
        <v>0</v>
      </c>
      <c r="H55" s="191">
        <v>35</v>
      </c>
      <c r="I55" s="191">
        <v>0</v>
      </c>
      <c r="J55" s="191">
        <v>0</v>
      </c>
      <c r="K55" s="29">
        <v>0</v>
      </c>
      <c r="L55" s="784">
        <f t="shared" si="0"/>
        <v>65</v>
      </c>
      <c r="M55" s="784">
        <v>4</v>
      </c>
    </row>
    <row r="56" spans="2:13" ht="12.95" customHeight="1" outlineLevel="1">
      <c r="B56" s="323" t="s">
        <v>1771</v>
      </c>
      <c r="C56" s="745">
        <v>3</v>
      </c>
      <c r="D56" s="781" t="s">
        <v>625</v>
      </c>
      <c r="E56" s="752">
        <v>6900</v>
      </c>
      <c r="F56" s="196">
        <v>30</v>
      </c>
      <c r="G56" s="753">
        <v>0</v>
      </c>
      <c r="H56" s="196">
        <v>30</v>
      </c>
      <c r="I56" s="753">
        <v>0</v>
      </c>
      <c r="J56" s="196">
        <v>0</v>
      </c>
      <c r="K56" s="197">
        <v>0</v>
      </c>
      <c r="L56" s="758">
        <f t="shared" si="0"/>
        <v>60</v>
      </c>
      <c r="M56" s="758">
        <v>3</v>
      </c>
    </row>
    <row r="57" spans="2:13" ht="12.95" customHeight="1" outlineLevel="1">
      <c r="B57" s="289" t="s">
        <v>4528</v>
      </c>
      <c r="C57" s="42" t="s">
        <v>4583</v>
      </c>
      <c r="D57" s="250" t="s">
        <v>625</v>
      </c>
      <c r="E57" s="686">
        <v>8400</v>
      </c>
      <c r="F57" s="191">
        <v>30</v>
      </c>
      <c r="G57" s="783">
        <v>5</v>
      </c>
      <c r="H57" s="191">
        <v>30</v>
      </c>
      <c r="I57" s="224">
        <v>0</v>
      </c>
      <c r="J57" s="191">
        <v>0</v>
      </c>
      <c r="K57" s="29">
        <v>0</v>
      </c>
      <c r="L57" s="784">
        <f t="shared" si="0"/>
        <v>70</v>
      </c>
      <c r="M57" s="787">
        <v>4</v>
      </c>
    </row>
    <row r="58" spans="2:13" ht="12.95" customHeight="1" outlineLevel="1">
      <c r="B58" s="323" t="s">
        <v>1772</v>
      </c>
      <c r="C58" s="745">
        <v>4</v>
      </c>
      <c r="D58" s="781" t="s">
        <v>625</v>
      </c>
      <c r="E58" s="752">
        <v>8400</v>
      </c>
      <c r="F58" s="196">
        <v>30</v>
      </c>
      <c r="G58" s="753">
        <v>0</v>
      </c>
      <c r="H58" s="196">
        <v>35</v>
      </c>
      <c r="I58" s="753">
        <v>0</v>
      </c>
      <c r="J58" s="753">
        <v>0</v>
      </c>
      <c r="K58" s="197">
        <v>0</v>
      </c>
      <c r="L58" s="755">
        <f t="shared" si="0"/>
        <v>65</v>
      </c>
      <c r="M58" s="758">
        <v>4</v>
      </c>
    </row>
    <row r="59" spans="2:13" ht="12.95" customHeight="1" outlineLevel="1">
      <c r="B59" s="289" t="s">
        <v>4570</v>
      </c>
      <c r="C59" s="42" t="s">
        <v>4584</v>
      </c>
      <c r="D59" s="250" t="s">
        <v>625</v>
      </c>
      <c r="E59" s="686">
        <v>13400</v>
      </c>
      <c r="F59" s="191">
        <v>40</v>
      </c>
      <c r="G59" s="224">
        <v>0</v>
      </c>
      <c r="H59" s="191">
        <v>40</v>
      </c>
      <c r="I59" s="224">
        <v>0</v>
      </c>
      <c r="J59" s="191">
        <v>10</v>
      </c>
      <c r="K59" s="791">
        <v>10</v>
      </c>
      <c r="L59" s="784">
        <f t="shared" si="0"/>
        <v>120</v>
      </c>
      <c r="M59" s="784">
        <v>7</v>
      </c>
    </row>
    <row r="60" spans="2:13" ht="12.95" customHeight="1" outlineLevel="1">
      <c r="B60" s="323" t="s">
        <v>1773</v>
      </c>
      <c r="C60" s="745">
        <v>5</v>
      </c>
      <c r="D60" s="781" t="s">
        <v>625</v>
      </c>
      <c r="E60" s="752">
        <v>8400</v>
      </c>
      <c r="F60" s="753">
        <v>30</v>
      </c>
      <c r="G60" s="753">
        <v>0</v>
      </c>
      <c r="H60" s="196">
        <v>35</v>
      </c>
      <c r="I60" s="753">
        <v>0</v>
      </c>
      <c r="J60" s="753">
        <v>0</v>
      </c>
      <c r="K60" s="759">
        <v>0</v>
      </c>
      <c r="L60" s="755">
        <f t="shared" si="0"/>
        <v>65</v>
      </c>
      <c r="M60" s="755">
        <v>6</v>
      </c>
    </row>
    <row r="61" spans="2:13" ht="12.95" customHeight="1" outlineLevel="1">
      <c r="B61" s="289" t="s">
        <v>4529</v>
      </c>
      <c r="C61" s="42" t="s">
        <v>4585</v>
      </c>
      <c r="D61" s="250" t="s">
        <v>625</v>
      </c>
      <c r="E61" s="795">
        <v>10400</v>
      </c>
      <c r="F61" s="224">
        <v>30</v>
      </c>
      <c r="G61" s="224">
        <v>0</v>
      </c>
      <c r="H61" s="191">
        <v>40</v>
      </c>
      <c r="I61" s="191">
        <v>5</v>
      </c>
      <c r="J61" s="224">
        <v>0</v>
      </c>
      <c r="K61" s="786">
        <v>0</v>
      </c>
      <c r="L61" s="784">
        <f t="shared" si="0"/>
        <v>80</v>
      </c>
      <c r="M61" s="784">
        <v>7</v>
      </c>
    </row>
    <row r="62" spans="2:13" ht="12.95" customHeight="1" outlineLevel="1">
      <c r="B62" s="323" t="s">
        <v>1774</v>
      </c>
      <c r="C62" s="745">
        <v>6</v>
      </c>
      <c r="D62" s="781" t="s">
        <v>625</v>
      </c>
      <c r="E62" s="752">
        <v>16400</v>
      </c>
      <c r="F62" s="196">
        <v>45</v>
      </c>
      <c r="G62" s="753">
        <v>0</v>
      </c>
      <c r="H62" s="196">
        <v>50</v>
      </c>
      <c r="I62" s="753">
        <v>0</v>
      </c>
      <c r="J62" s="753">
        <v>0</v>
      </c>
      <c r="K62" s="759">
        <v>0</v>
      </c>
      <c r="L62" s="755">
        <f t="shared" si="0"/>
        <v>95</v>
      </c>
      <c r="M62" s="755">
        <v>7</v>
      </c>
    </row>
    <row r="63" spans="2:13" ht="12.95" customHeight="1" outlineLevel="1">
      <c r="B63" s="289" t="s">
        <v>4530</v>
      </c>
      <c r="C63" s="42" t="s">
        <v>4586</v>
      </c>
      <c r="D63" s="250" t="s">
        <v>625</v>
      </c>
      <c r="E63" s="686">
        <v>19400</v>
      </c>
      <c r="F63" s="191">
        <v>50</v>
      </c>
      <c r="G63" s="191">
        <v>2</v>
      </c>
      <c r="H63" s="191">
        <v>55</v>
      </c>
      <c r="I63" s="191">
        <v>2</v>
      </c>
      <c r="J63" s="191">
        <v>2</v>
      </c>
      <c r="K63" s="29">
        <v>2</v>
      </c>
      <c r="L63" s="784">
        <f t="shared" si="0"/>
        <v>121</v>
      </c>
      <c r="M63" s="784">
        <v>8</v>
      </c>
    </row>
    <row r="64" spans="2:13" ht="12.95" customHeight="1" outlineLevel="1">
      <c r="B64" s="323" t="s">
        <v>1775</v>
      </c>
      <c r="C64" s="745">
        <v>7</v>
      </c>
      <c r="D64" s="781" t="s">
        <v>625</v>
      </c>
      <c r="E64" s="752">
        <v>26400</v>
      </c>
      <c r="F64" s="196">
        <v>50</v>
      </c>
      <c r="G64" s="196">
        <v>5</v>
      </c>
      <c r="H64" s="196">
        <v>55</v>
      </c>
      <c r="I64" s="196">
        <v>5</v>
      </c>
      <c r="J64" s="196">
        <v>5</v>
      </c>
      <c r="K64" s="197">
        <v>5</v>
      </c>
      <c r="L64" s="755">
        <f t="shared" si="0"/>
        <v>145</v>
      </c>
      <c r="M64" s="755">
        <v>8</v>
      </c>
    </row>
    <row r="65" spans="2:13" ht="12.95" customHeight="1" outlineLevel="1" thickBot="1">
      <c r="B65" s="319" t="s">
        <v>4531</v>
      </c>
      <c r="C65" s="189" t="s">
        <v>4587</v>
      </c>
      <c r="D65" s="788" t="s">
        <v>625</v>
      </c>
      <c r="E65" s="687">
        <v>41400</v>
      </c>
      <c r="F65" s="187">
        <v>55</v>
      </c>
      <c r="G65" s="187">
        <v>5</v>
      </c>
      <c r="H65" s="187">
        <v>60</v>
      </c>
      <c r="I65" s="187">
        <v>5</v>
      </c>
      <c r="J65" s="187">
        <v>5</v>
      </c>
      <c r="K65" s="188">
        <v>25</v>
      </c>
      <c r="L65" s="100">
        <f t="shared" si="0"/>
        <v>195</v>
      </c>
      <c r="M65" s="100">
        <v>9</v>
      </c>
    </row>
    <row r="66" spans="2:13" ht="12.95" customHeight="1">
      <c r="B66" s="2926" t="s">
        <v>492</v>
      </c>
      <c r="C66" s="744">
        <v>1</v>
      </c>
      <c r="D66" s="780" t="s">
        <v>626</v>
      </c>
      <c r="E66" s="761">
        <v>5400</v>
      </c>
      <c r="F66" s="750">
        <v>30</v>
      </c>
      <c r="G66" s="2921">
        <v>0</v>
      </c>
      <c r="H66" s="748">
        <v>20</v>
      </c>
      <c r="I66" s="2921">
        <v>0</v>
      </c>
      <c r="J66" s="2921">
        <v>0</v>
      </c>
      <c r="K66" s="2922">
        <v>0</v>
      </c>
      <c r="L66" s="507">
        <f t="shared" si="0"/>
        <v>50</v>
      </c>
      <c r="M66" s="507">
        <v>2</v>
      </c>
    </row>
    <row r="67" spans="2:13" ht="12.95" customHeight="1" outlineLevel="1">
      <c r="B67" s="2910" t="s">
        <v>4532</v>
      </c>
      <c r="C67" s="42" t="s">
        <v>4581</v>
      </c>
      <c r="D67" s="250" t="s">
        <v>626</v>
      </c>
      <c r="E67" s="2917">
        <v>6400</v>
      </c>
      <c r="F67" s="2919">
        <v>35</v>
      </c>
      <c r="G67" s="2919">
        <v>0</v>
      </c>
      <c r="H67" s="224">
        <v>20</v>
      </c>
      <c r="I67" s="2919">
        <v>0</v>
      </c>
      <c r="J67" s="2919">
        <v>0</v>
      </c>
      <c r="K67" s="2914">
        <v>0</v>
      </c>
      <c r="L67" s="784">
        <f t="shared" si="0"/>
        <v>55</v>
      </c>
      <c r="M67" s="784">
        <v>3</v>
      </c>
    </row>
    <row r="68" spans="2:13" ht="12.95" customHeight="1" outlineLevel="1">
      <c r="B68" s="2911" t="s">
        <v>493</v>
      </c>
      <c r="C68" s="745">
        <v>2</v>
      </c>
      <c r="D68" s="781" t="s">
        <v>626</v>
      </c>
      <c r="E68" s="2924">
        <v>6400</v>
      </c>
      <c r="F68" s="2920">
        <v>30</v>
      </c>
      <c r="G68" s="2920">
        <v>0</v>
      </c>
      <c r="H68" s="753">
        <v>20</v>
      </c>
      <c r="I68" s="2920">
        <v>0</v>
      </c>
      <c r="J68" s="2920">
        <v>0</v>
      </c>
      <c r="K68" s="2916">
        <v>0</v>
      </c>
      <c r="L68" s="758">
        <f t="shared" si="0"/>
        <v>50</v>
      </c>
      <c r="M68" s="755">
        <v>3</v>
      </c>
    </row>
    <row r="69" spans="2:13" ht="12.95" customHeight="1" outlineLevel="1">
      <c r="B69" s="2910" t="s">
        <v>4533</v>
      </c>
      <c r="C69" s="42" t="s">
        <v>4582</v>
      </c>
      <c r="D69" s="250" t="s">
        <v>626</v>
      </c>
      <c r="E69" s="2917">
        <v>7400</v>
      </c>
      <c r="F69" s="2919">
        <v>30</v>
      </c>
      <c r="G69" s="224">
        <v>0</v>
      </c>
      <c r="H69" s="224">
        <v>20</v>
      </c>
      <c r="I69" s="783">
        <v>2</v>
      </c>
      <c r="J69" s="783">
        <v>2</v>
      </c>
      <c r="K69" s="2914">
        <v>0</v>
      </c>
      <c r="L69" s="1763">
        <f t="shared" si="0"/>
        <v>58</v>
      </c>
      <c r="M69" s="28">
        <v>4</v>
      </c>
    </row>
    <row r="70" spans="2:13" ht="12.95" customHeight="1" outlineLevel="1">
      <c r="B70" s="2911" t="s">
        <v>1160</v>
      </c>
      <c r="C70" s="745">
        <v>3</v>
      </c>
      <c r="D70" s="781" t="s">
        <v>626</v>
      </c>
      <c r="E70" s="2924">
        <v>6400</v>
      </c>
      <c r="F70" s="2920">
        <v>31</v>
      </c>
      <c r="G70" s="2920">
        <v>1</v>
      </c>
      <c r="H70" s="2920">
        <v>21</v>
      </c>
      <c r="I70" s="2920">
        <v>1</v>
      </c>
      <c r="J70" s="754">
        <v>1</v>
      </c>
      <c r="K70" s="760">
        <v>1</v>
      </c>
      <c r="L70" s="758">
        <f t="shared" si="0"/>
        <v>60</v>
      </c>
      <c r="M70" s="758">
        <v>3</v>
      </c>
    </row>
    <row r="71" spans="2:13" ht="12.95" customHeight="1" outlineLevel="1">
      <c r="B71" s="2910" t="s">
        <v>4534</v>
      </c>
      <c r="C71" s="42" t="s">
        <v>4583</v>
      </c>
      <c r="D71" s="250" t="s">
        <v>626</v>
      </c>
      <c r="E71" s="795">
        <v>7400</v>
      </c>
      <c r="F71" s="2919">
        <v>32</v>
      </c>
      <c r="G71" s="2919">
        <v>2</v>
      </c>
      <c r="H71" s="2919">
        <v>22</v>
      </c>
      <c r="I71" s="2919">
        <v>2</v>
      </c>
      <c r="J71" s="783">
        <v>2</v>
      </c>
      <c r="K71" s="791">
        <v>2</v>
      </c>
      <c r="L71" s="784">
        <f t="shared" si="0"/>
        <v>70</v>
      </c>
      <c r="M71" s="787">
        <v>4</v>
      </c>
    </row>
    <row r="72" spans="2:13" ht="12.95" customHeight="1" outlineLevel="1">
      <c r="B72" s="2911" t="s">
        <v>1161</v>
      </c>
      <c r="C72" s="745">
        <v>4</v>
      </c>
      <c r="D72" s="781" t="s">
        <v>626</v>
      </c>
      <c r="E72" s="2924">
        <v>9400</v>
      </c>
      <c r="F72" s="2920">
        <v>36</v>
      </c>
      <c r="G72" s="2920">
        <v>1</v>
      </c>
      <c r="H72" s="2920">
        <v>31</v>
      </c>
      <c r="I72" s="2920">
        <v>1</v>
      </c>
      <c r="J72" s="2920">
        <v>1</v>
      </c>
      <c r="K72" s="760">
        <v>1</v>
      </c>
      <c r="L72" s="755">
        <f t="shared" si="0"/>
        <v>75</v>
      </c>
      <c r="M72" s="755">
        <v>5</v>
      </c>
    </row>
    <row r="73" spans="2:13" ht="12.95" customHeight="1" outlineLevel="1">
      <c r="B73" s="2910" t="s">
        <v>4563</v>
      </c>
      <c r="C73" s="42" t="s">
        <v>4584</v>
      </c>
      <c r="D73" s="250" t="s">
        <v>626</v>
      </c>
      <c r="E73" s="2917">
        <v>10900</v>
      </c>
      <c r="F73" s="2919">
        <v>41</v>
      </c>
      <c r="G73" s="2919">
        <v>1</v>
      </c>
      <c r="H73" s="2919">
        <v>31</v>
      </c>
      <c r="I73" s="2919">
        <v>1</v>
      </c>
      <c r="J73" s="2919">
        <v>1</v>
      </c>
      <c r="K73" s="2914">
        <v>1</v>
      </c>
      <c r="L73" s="784">
        <f t="shared" si="0"/>
        <v>80</v>
      </c>
      <c r="M73" s="784">
        <v>6</v>
      </c>
    </row>
    <row r="74" spans="2:13" ht="12.95" customHeight="1" outlineLevel="1">
      <c r="B74" s="2911" t="s">
        <v>1163</v>
      </c>
      <c r="C74" s="745">
        <v>5</v>
      </c>
      <c r="D74" s="781" t="s">
        <v>626</v>
      </c>
      <c r="E74" s="2924">
        <v>13400</v>
      </c>
      <c r="F74" s="2920">
        <v>36</v>
      </c>
      <c r="G74" s="2920">
        <v>1</v>
      </c>
      <c r="H74" s="2920">
        <v>41</v>
      </c>
      <c r="I74" s="2920">
        <v>1</v>
      </c>
      <c r="J74" s="2920">
        <v>1</v>
      </c>
      <c r="K74" s="760">
        <v>11</v>
      </c>
      <c r="L74" s="755">
        <f t="shared" si="0"/>
        <v>105</v>
      </c>
      <c r="M74" s="755">
        <v>6</v>
      </c>
    </row>
    <row r="75" spans="2:13" ht="12.95" customHeight="1" outlineLevel="1">
      <c r="B75" s="2910" t="s">
        <v>4535</v>
      </c>
      <c r="C75" s="42" t="s">
        <v>4585</v>
      </c>
      <c r="D75" s="250" t="s">
        <v>626</v>
      </c>
      <c r="E75" s="2917">
        <v>16400</v>
      </c>
      <c r="F75" s="2919">
        <v>36</v>
      </c>
      <c r="G75" s="2919">
        <v>1</v>
      </c>
      <c r="H75" s="2919">
        <v>46</v>
      </c>
      <c r="I75" s="2919">
        <v>1</v>
      </c>
      <c r="J75" s="2919">
        <v>1</v>
      </c>
      <c r="K75" s="791">
        <v>16</v>
      </c>
      <c r="L75" s="784">
        <f t="shared" si="0"/>
        <v>120</v>
      </c>
      <c r="M75" s="784">
        <v>7</v>
      </c>
    </row>
    <row r="76" spans="2:13" ht="12.95" customHeight="1" outlineLevel="1">
      <c r="B76" s="2911" t="s">
        <v>155</v>
      </c>
      <c r="C76" s="745">
        <v>6</v>
      </c>
      <c r="D76" s="781" t="s">
        <v>626</v>
      </c>
      <c r="E76" s="2924">
        <v>14400</v>
      </c>
      <c r="F76" s="2920">
        <v>41</v>
      </c>
      <c r="G76" s="754">
        <v>6</v>
      </c>
      <c r="H76" s="2920">
        <v>36</v>
      </c>
      <c r="I76" s="754">
        <v>6</v>
      </c>
      <c r="J76" s="2920">
        <v>1</v>
      </c>
      <c r="K76" s="2916">
        <v>1</v>
      </c>
      <c r="L76" s="755">
        <f t="shared" ref="L76:L135" si="1">F76+H76+(G76+I76+J76+K76)*2</f>
        <v>105</v>
      </c>
      <c r="M76" s="755">
        <v>6</v>
      </c>
    </row>
    <row r="77" spans="2:13" ht="12.95" customHeight="1" outlineLevel="1">
      <c r="B77" s="2910" t="s">
        <v>4571</v>
      </c>
      <c r="C77" s="42" t="s">
        <v>4586</v>
      </c>
      <c r="D77" s="250" t="s">
        <v>626</v>
      </c>
      <c r="E77" s="2917">
        <v>17400</v>
      </c>
      <c r="F77" s="2919">
        <v>46</v>
      </c>
      <c r="G77" s="783">
        <v>11</v>
      </c>
      <c r="H77" s="2919">
        <v>41</v>
      </c>
      <c r="I77" s="783">
        <v>11</v>
      </c>
      <c r="J77" s="2919">
        <v>1</v>
      </c>
      <c r="K77" s="2914">
        <v>1</v>
      </c>
      <c r="L77" s="784">
        <f t="shared" si="1"/>
        <v>135</v>
      </c>
      <c r="M77" s="784">
        <v>7</v>
      </c>
    </row>
    <row r="78" spans="2:13" ht="12.95" customHeight="1" outlineLevel="1">
      <c r="B78" s="2911" t="s">
        <v>1162</v>
      </c>
      <c r="C78" s="745">
        <v>7</v>
      </c>
      <c r="D78" s="781" t="s">
        <v>626</v>
      </c>
      <c r="E78" s="756">
        <v>36400</v>
      </c>
      <c r="F78" s="2920">
        <v>66</v>
      </c>
      <c r="G78" s="2920">
        <v>10</v>
      </c>
      <c r="H78" s="2920">
        <v>71</v>
      </c>
      <c r="I78" s="754">
        <v>30</v>
      </c>
      <c r="J78" s="2920">
        <v>5</v>
      </c>
      <c r="K78" s="760">
        <v>15</v>
      </c>
      <c r="L78" s="757">
        <f t="shared" si="1"/>
        <v>257</v>
      </c>
      <c r="M78" s="757">
        <v>10</v>
      </c>
    </row>
    <row r="79" spans="2:13" ht="12.95" customHeight="1" outlineLevel="1" thickBot="1">
      <c r="B79" s="2923" t="s">
        <v>4564</v>
      </c>
      <c r="C79" s="189" t="s">
        <v>4587</v>
      </c>
      <c r="D79" s="788" t="s">
        <v>626</v>
      </c>
      <c r="E79" s="2918">
        <v>52400</v>
      </c>
      <c r="F79" s="2912">
        <v>86</v>
      </c>
      <c r="G79" s="2912">
        <v>16</v>
      </c>
      <c r="H79" s="2912">
        <v>91</v>
      </c>
      <c r="I79" s="792">
        <v>56</v>
      </c>
      <c r="J79" s="2912">
        <v>11</v>
      </c>
      <c r="K79" s="2913">
        <v>21</v>
      </c>
      <c r="L79" s="2929">
        <f t="shared" si="1"/>
        <v>385</v>
      </c>
      <c r="M79" s="2930">
        <v>12</v>
      </c>
    </row>
    <row r="80" spans="2:13" ht="12.95" customHeight="1">
      <c r="B80" s="321" t="s">
        <v>2351</v>
      </c>
      <c r="C80" s="744">
        <v>1</v>
      </c>
      <c r="D80" s="780" t="s">
        <v>2557</v>
      </c>
      <c r="E80" s="761">
        <v>5300</v>
      </c>
      <c r="F80" s="749">
        <v>25</v>
      </c>
      <c r="G80" s="749">
        <v>0</v>
      </c>
      <c r="H80" s="749">
        <v>25</v>
      </c>
      <c r="I80" s="749">
        <v>0</v>
      </c>
      <c r="J80" s="749">
        <v>0</v>
      </c>
      <c r="K80" s="751">
        <v>0</v>
      </c>
      <c r="L80" s="507">
        <f t="shared" si="1"/>
        <v>50</v>
      </c>
      <c r="M80" s="507">
        <v>2</v>
      </c>
    </row>
    <row r="81" spans="2:13" ht="12.75" customHeight="1" outlineLevel="1">
      <c r="B81" s="289" t="s">
        <v>4536</v>
      </c>
      <c r="C81" s="42" t="s">
        <v>4581</v>
      </c>
      <c r="D81" s="250" t="s">
        <v>2557</v>
      </c>
      <c r="E81" s="686">
        <v>6300</v>
      </c>
      <c r="F81" s="191">
        <v>25</v>
      </c>
      <c r="G81" s="191">
        <v>0</v>
      </c>
      <c r="H81" s="191">
        <v>25</v>
      </c>
      <c r="I81" s="191">
        <v>0</v>
      </c>
      <c r="J81" s="191">
        <v>0</v>
      </c>
      <c r="K81" s="29">
        <v>0</v>
      </c>
      <c r="L81" s="787">
        <f t="shared" si="1"/>
        <v>50</v>
      </c>
      <c r="M81" s="784">
        <v>3</v>
      </c>
    </row>
    <row r="82" spans="2:13" ht="12.95" customHeight="1" outlineLevel="1">
      <c r="B82" s="323" t="s">
        <v>2354</v>
      </c>
      <c r="C82" s="745">
        <v>2</v>
      </c>
      <c r="D82" s="781" t="s">
        <v>2557</v>
      </c>
      <c r="E82" s="752">
        <v>6300</v>
      </c>
      <c r="F82" s="753">
        <v>25</v>
      </c>
      <c r="G82" s="196">
        <v>0</v>
      </c>
      <c r="H82" s="196">
        <v>30</v>
      </c>
      <c r="I82" s="196">
        <v>0</v>
      </c>
      <c r="J82" s="196">
        <v>0</v>
      </c>
      <c r="K82" s="197">
        <v>0</v>
      </c>
      <c r="L82" s="755">
        <f t="shared" si="1"/>
        <v>55</v>
      </c>
      <c r="M82" s="755">
        <v>3</v>
      </c>
    </row>
    <row r="83" spans="2:13" ht="12.95" customHeight="1" outlineLevel="1">
      <c r="B83" s="289" t="s">
        <v>4537</v>
      </c>
      <c r="C83" s="42" t="s">
        <v>4582</v>
      </c>
      <c r="D83" s="250" t="s">
        <v>2557</v>
      </c>
      <c r="E83" s="795">
        <v>7300</v>
      </c>
      <c r="F83" s="224">
        <v>25</v>
      </c>
      <c r="G83" s="783">
        <v>5</v>
      </c>
      <c r="H83" s="191">
        <v>30</v>
      </c>
      <c r="I83" s="191">
        <v>0</v>
      </c>
      <c r="J83" s="191">
        <v>0</v>
      </c>
      <c r="K83" s="29">
        <v>0</v>
      </c>
      <c r="L83" s="784">
        <f t="shared" si="1"/>
        <v>65</v>
      </c>
      <c r="M83" s="784">
        <v>4</v>
      </c>
    </row>
    <row r="84" spans="2:13" ht="12.95" customHeight="1" outlineLevel="1">
      <c r="B84" s="323" t="s">
        <v>2352</v>
      </c>
      <c r="C84" s="745">
        <v>3</v>
      </c>
      <c r="D84" s="781" t="s">
        <v>2557</v>
      </c>
      <c r="E84" s="752">
        <v>6800</v>
      </c>
      <c r="F84" s="196">
        <v>35</v>
      </c>
      <c r="G84" s="753">
        <v>0</v>
      </c>
      <c r="H84" s="196">
        <v>25</v>
      </c>
      <c r="I84" s="753">
        <v>0</v>
      </c>
      <c r="J84" s="196">
        <v>0</v>
      </c>
      <c r="K84" s="197">
        <v>0</v>
      </c>
      <c r="L84" s="758">
        <f t="shared" si="1"/>
        <v>60</v>
      </c>
      <c r="M84" s="758">
        <v>3</v>
      </c>
    </row>
    <row r="85" spans="2:13" ht="12.95" customHeight="1" outlineLevel="1">
      <c r="B85" s="289" t="s">
        <v>4554</v>
      </c>
      <c r="C85" s="42" t="s">
        <v>4583</v>
      </c>
      <c r="D85" s="250" t="s">
        <v>2557</v>
      </c>
      <c r="E85" s="686">
        <v>8300</v>
      </c>
      <c r="F85" s="191">
        <v>35</v>
      </c>
      <c r="G85" s="224">
        <v>0</v>
      </c>
      <c r="H85" s="191">
        <v>25</v>
      </c>
      <c r="I85" s="783">
        <v>5</v>
      </c>
      <c r="J85" s="191">
        <v>0</v>
      </c>
      <c r="K85" s="29">
        <v>0</v>
      </c>
      <c r="L85" s="784">
        <f t="shared" si="1"/>
        <v>70</v>
      </c>
      <c r="M85" s="787">
        <v>4</v>
      </c>
    </row>
    <row r="86" spans="2:13" ht="12.95" customHeight="1" outlineLevel="1">
      <c r="B86" s="323" t="s">
        <v>2353</v>
      </c>
      <c r="C86" s="745">
        <v>4</v>
      </c>
      <c r="D86" s="781" t="s">
        <v>2557</v>
      </c>
      <c r="E86" s="752">
        <v>8300</v>
      </c>
      <c r="F86" s="196">
        <v>30</v>
      </c>
      <c r="G86" s="753">
        <v>0</v>
      </c>
      <c r="H86" s="196">
        <v>35</v>
      </c>
      <c r="I86" s="753">
        <v>0</v>
      </c>
      <c r="J86" s="753">
        <v>0</v>
      </c>
      <c r="K86" s="197">
        <v>0</v>
      </c>
      <c r="L86" s="755">
        <f t="shared" si="1"/>
        <v>65</v>
      </c>
      <c r="M86" s="758">
        <v>4</v>
      </c>
    </row>
    <row r="87" spans="2:13" ht="12.95" customHeight="1" outlineLevel="1">
      <c r="B87" s="289" t="s">
        <v>4555</v>
      </c>
      <c r="C87" s="42" t="s">
        <v>4584</v>
      </c>
      <c r="D87" s="250" t="s">
        <v>2557</v>
      </c>
      <c r="E87" s="795">
        <v>10300</v>
      </c>
      <c r="F87" s="191">
        <v>35</v>
      </c>
      <c r="G87" s="224">
        <v>0</v>
      </c>
      <c r="H87" s="191">
        <v>40</v>
      </c>
      <c r="I87" s="224">
        <v>0</v>
      </c>
      <c r="J87" s="224">
        <v>0</v>
      </c>
      <c r="K87" s="786">
        <v>0</v>
      </c>
      <c r="L87" s="787">
        <f t="shared" si="1"/>
        <v>75</v>
      </c>
      <c r="M87" s="787">
        <v>5</v>
      </c>
    </row>
    <row r="88" spans="2:13" ht="12.95" customHeight="1" outlineLevel="1">
      <c r="B88" s="323" t="s">
        <v>2355</v>
      </c>
      <c r="C88" s="745">
        <v>5</v>
      </c>
      <c r="D88" s="781" t="s">
        <v>2557</v>
      </c>
      <c r="E88" s="752">
        <v>11300</v>
      </c>
      <c r="F88" s="753">
        <v>30</v>
      </c>
      <c r="G88" s="753">
        <v>0</v>
      </c>
      <c r="H88" s="196">
        <v>35</v>
      </c>
      <c r="I88" s="753">
        <v>0</v>
      </c>
      <c r="J88" s="753">
        <v>0</v>
      </c>
      <c r="K88" s="759">
        <v>0</v>
      </c>
      <c r="L88" s="755">
        <f t="shared" si="1"/>
        <v>65</v>
      </c>
      <c r="M88" s="755">
        <v>5</v>
      </c>
    </row>
    <row r="89" spans="2:13" ht="12.95" customHeight="1" outlineLevel="1">
      <c r="B89" s="289" t="s">
        <v>4538</v>
      </c>
      <c r="C89" s="42" t="s">
        <v>4585</v>
      </c>
      <c r="D89" s="250" t="s">
        <v>2557</v>
      </c>
      <c r="E89" s="797">
        <v>17300</v>
      </c>
      <c r="F89" s="191">
        <v>40</v>
      </c>
      <c r="G89" s="783">
        <v>9</v>
      </c>
      <c r="H89" s="191">
        <v>45</v>
      </c>
      <c r="I89" s="783">
        <v>9</v>
      </c>
      <c r="J89" s="191">
        <v>4</v>
      </c>
      <c r="K89" s="29">
        <v>4</v>
      </c>
      <c r="L89" s="785">
        <f t="shared" si="1"/>
        <v>137</v>
      </c>
      <c r="M89" s="785">
        <v>8</v>
      </c>
    </row>
    <row r="90" spans="2:13" ht="12.95" customHeight="1" outlineLevel="1">
      <c r="B90" s="323" t="s">
        <v>2356</v>
      </c>
      <c r="C90" s="745">
        <v>6</v>
      </c>
      <c r="D90" s="781" t="s">
        <v>2557</v>
      </c>
      <c r="E90" s="752">
        <v>14300</v>
      </c>
      <c r="F90" s="753">
        <v>35</v>
      </c>
      <c r="G90" s="196">
        <v>3</v>
      </c>
      <c r="H90" s="196">
        <v>50</v>
      </c>
      <c r="I90" s="196">
        <v>3</v>
      </c>
      <c r="J90" s="753">
        <v>0</v>
      </c>
      <c r="K90" s="197">
        <v>3</v>
      </c>
      <c r="L90" s="755">
        <f t="shared" si="1"/>
        <v>103</v>
      </c>
      <c r="M90" s="755">
        <v>6</v>
      </c>
    </row>
    <row r="91" spans="2:13" ht="12.95" customHeight="1" outlineLevel="1">
      <c r="B91" s="289" t="s">
        <v>4572</v>
      </c>
      <c r="C91" s="42" t="s">
        <v>4586</v>
      </c>
      <c r="D91" s="250" t="s">
        <v>2557</v>
      </c>
      <c r="E91" s="686">
        <v>17300</v>
      </c>
      <c r="F91" s="224">
        <v>35</v>
      </c>
      <c r="G91" s="191">
        <v>8</v>
      </c>
      <c r="H91" s="191">
        <v>60</v>
      </c>
      <c r="I91" s="191">
        <v>8</v>
      </c>
      <c r="J91" s="224">
        <v>0</v>
      </c>
      <c r="K91" s="29">
        <v>8</v>
      </c>
      <c r="L91" s="784">
        <f t="shared" si="1"/>
        <v>143</v>
      </c>
      <c r="M91" s="784">
        <v>7</v>
      </c>
    </row>
    <row r="92" spans="2:13" ht="12.95" customHeight="1" outlineLevel="1">
      <c r="B92" s="323" t="s">
        <v>2357</v>
      </c>
      <c r="C92" s="745">
        <v>7</v>
      </c>
      <c r="D92" s="781" t="s">
        <v>2557</v>
      </c>
      <c r="E92" s="752">
        <v>32300</v>
      </c>
      <c r="F92" s="196">
        <v>45</v>
      </c>
      <c r="G92" s="754">
        <v>23</v>
      </c>
      <c r="H92" s="196">
        <v>60</v>
      </c>
      <c r="I92" s="196">
        <v>3</v>
      </c>
      <c r="J92" s="753">
        <v>0</v>
      </c>
      <c r="K92" s="197">
        <v>3</v>
      </c>
      <c r="L92" s="755">
        <f t="shared" si="1"/>
        <v>163</v>
      </c>
      <c r="M92" s="755">
        <v>8</v>
      </c>
    </row>
    <row r="93" spans="2:13" ht="12.95" customHeight="1" outlineLevel="1" thickBot="1">
      <c r="B93" s="319" t="s">
        <v>4539</v>
      </c>
      <c r="C93" s="189" t="s">
        <v>4587</v>
      </c>
      <c r="D93" s="788" t="s">
        <v>2557</v>
      </c>
      <c r="E93" s="687">
        <v>52300</v>
      </c>
      <c r="F93" s="187">
        <v>50</v>
      </c>
      <c r="G93" s="792">
        <v>43</v>
      </c>
      <c r="H93" s="187">
        <v>65</v>
      </c>
      <c r="I93" s="187">
        <v>3</v>
      </c>
      <c r="J93" s="790">
        <v>0</v>
      </c>
      <c r="K93" s="188">
        <v>3</v>
      </c>
      <c r="L93" s="100">
        <f t="shared" si="1"/>
        <v>213</v>
      </c>
      <c r="M93" s="100">
        <v>9</v>
      </c>
    </row>
    <row r="94" spans="2:13" ht="12.95" customHeight="1">
      <c r="B94" s="2926" t="s">
        <v>1996</v>
      </c>
      <c r="C94" s="744">
        <v>1</v>
      </c>
      <c r="D94" s="780" t="s">
        <v>628</v>
      </c>
      <c r="E94" s="761">
        <v>5400</v>
      </c>
      <c r="F94" s="750">
        <v>30</v>
      </c>
      <c r="G94" s="2921">
        <v>0</v>
      </c>
      <c r="H94" s="748">
        <v>20</v>
      </c>
      <c r="I94" s="2921">
        <v>0</v>
      </c>
      <c r="J94" s="2921">
        <v>0</v>
      </c>
      <c r="K94" s="2922">
        <v>0</v>
      </c>
      <c r="L94" s="507">
        <f t="shared" si="1"/>
        <v>50</v>
      </c>
      <c r="M94" s="507">
        <v>2</v>
      </c>
    </row>
    <row r="95" spans="2:13" ht="12.75" customHeight="1" outlineLevel="1">
      <c r="B95" s="2910" t="s">
        <v>4565</v>
      </c>
      <c r="C95" s="42" t="s">
        <v>4581</v>
      </c>
      <c r="D95" s="250" t="s">
        <v>628</v>
      </c>
      <c r="E95" s="797">
        <v>6900</v>
      </c>
      <c r="F95" s="783">
        <v>45</v>
      </c>
      <c r="G95" s="2919">
        <v>0</v>
      </c>
      <c r="H95" s="224">
        <v>20</v>
      </c>
      <c r="I95" s="2919">
        <v>0</v>
      </c>
      <c r="J95" s="2919">
        <v>0</v>
      </c>
      <c r="K95" s="2914">
        <v>0</v>
      </c>
      <c r="L95" s="785">
        <f t="shared" si="1"/>
        <v>65</v>
      </c>
      <c r="M95" s="785">
        <v>4</v>
      </c>
    </row>
    <row r="96" spans="2:13" ht="12.95" customHeight="1" outlineLevel="1">
      <c r="B96" s="2911" t="s">
        <v>1997</v>
      </c>
      <c r="C96" s="745">
        <v>2</v>
      </c>
      <c r="D96" s="781" t="s">
        <v>628</v>
      </c>
      <c r="E96" s="2924">
        <v>6400</v>
      </c>
      <c r="F96" s="754">
        <v>35</v>
      </c>
      <c r="G96" s="2920">
        <v>0</v>
      </c>
      <c r="H96" s="753">
        <v>20</v>
      </c>
      <c r="I96" s="2920">
        <v>0</v>
      </c>
      <c r="J96" s="2920">
        <v>0</v>
      </c>
      <c r="K96" s="2916">
        <v>0</v>
      </c>
      <c r="L96" s="755">
        <f t="shared" si="1"/>
        <v>55</v>
      </c>
      <c r="M96" s="755">
        <v>3</v>
      </c>
    </row>
    <row r="97" spans="2:13" ht="12.95" customHeight="1" outlineLevel="1">
      <c r="B97" s="2910" t="s">
        <v>4573</v>
      </c>
      <c r="C97" s="42" t="s">
        <v>4582</v>
      </c>
      <c r="D97" s="250" t="s">
        <v>628</v>
      </c>
      <c r="E97" s="2917">
        <v>7400</v>
      </c>
      <c r="F97" s="2919">
        <v>40</v>
      </c>
      <c r="G97" s="224">
        <v>0</v>
      </c>
      <c r="H97" s="224">
        <v>20</v>
      </c>
      <c r="I97" s="2919">
        <v>0</v>
      </c>
      <c r="J97" s="2919">
        <v>0</v>
      </c>
      <c r="K97" s="2914">
        <v>0</v>
      </c>
      <c r="L97" s="784">
        <f t="shared" si="1"/>
        <v>60</v>
      </c>
      <c r="M97" s="784">
        <v>4</v>
      </c>
    </row>
    <row r="98" spans="2:13" ht="12.95" customHeight="1" outlineLevel="1">
      <c r="B98" s="2911" t="s">
        <v>1971</v>
      </c>
      <c r="C98" s="745">
        <v>3</v>
      </c>
      <c r="D98" s="781" t="s">
        <v>628</v>
      </c>
      <c r="E98" s="2924">
        <v>6400</v>
      </c>
      <c r="F98" s="2920">
        <v>35</v>
      </c>
      <c r="G98" s="754">
        <v>2</v>
      </c>
      <c r="H98" s="753">
        <v>20</v>
      </c>
      <c r="I98" s="754">
        <v>2</v>
      </c>
      <c r="J98" s="2920">
        <v>0</v>
      </c>
      <c r="K98" s="2916">
        <v>0</v>
      </c>
      <c r="L98" s="755">
        <f t="shared" si="1"/>
        <v>63</v>
      </c>
      <c r="M98" s="758">
        <v>3</v>
      </c>
    </row>
    <row r="99" spans="2:13" ht="12.95" customHeight="1" outlineLevel="1">
      <c r="B99" s="2910" t="s">
        <v>4540</v>
      </c>
      <c r="C99" s="42" t="s">
        <v>4583</v>
      </c>
      <c r="D99" s="250" t="s">
        <v>628</v>
      </c>
      <c r="E99" s="795">
        <v>7400</v>
      </c>
      <c r="F99" s="2919">
        <v>35</v>
      </c>
      <c r="G99" s="2919">
        <v>4</v>
      </c>
      <c r="H99" s="224">
        <v>20</v>
      </c>
      <c r="I99" s="2919">
        <v>4</v>
      </c>
      <c r="J99" s="2919">
        <v>0</v>
      </c>
      <c r="K99" s="2914">
        <v>0</v>
      </c>
      <c r="L99" s="784">
        <f t="shared" si="1"/>
        <v>71</v>
      </c>
      <c r="M99" s="787">
        <v>4</v>
      </c>
    </row>
    <row r="100" spans="2:13" ht="12.95" customHeight="1" outlineLevel="1">
      <c r="B100" s="2911" t="s">
        <v>1285</v>
      </c>
      <c r="C100" s="745">
        <v>4</v>
      </c>
      <c r="D100" s="781" t="s">
        <v>628</v>
      </c>
      <c r="E100" s="2924">
        <v>8400</v>
      </c>
      <c r="F100" s="2920">
        <v>40</v>
      </c>
      <c r="G100" s="754">
        <v>2</v>
      </c>
      <c r="H100" s="2920">
        <v>30</v>
      </c>
      <c r="I100" s="754">
        <v>2</v>
      </c>
      <c r="J100" s="753">
        <v>0</v>
      </c>
      <c r="K100" s="2916">
        <v>0</v>
      </c>
      <c r="L100" s="755">
        <f t="shared" si="1"/>
        <v>78</v>
      </c>
      <c r="M100" s="758">
        <v>4</v>
      </c>
    </row>
    <row r="101" spans="2:13" ht="12.95" customHeight="1" outlineLevel="1">
      <c r="B101" s="2910" t="s">
        <v>4566</v>
      </c>
      <c r="C101" s="42" t="s">
        <v>4584</v>
      </c>
      <c r="D101" s="250" t="s">
        <v>628</v>
      </c>
      <c r="E101" s="2917">
        <v>10400</v>
      </c>
      <c r="F101" s="2919">
        <v>45</v>
      </c>
      <c r="G101" s="2919">
        <v>2</v>
      </c>
      <c r="H101" s="2919">
        <v>35</v>
      </c>
      <c r="I101" s="2919">
        <v>2</v>
      </c>
      <c r="J101" s="224">
        <v>0</v>
      </c>
      <c r="K101" s="786">
        <v>0</v>
      </c>
      <c r="L101" s="784">
        <f t="shared" si="1"/>
        <v>88</v>
      </c>
      <c r="M101" s="787">
        <v>5</v>
      </c>
    </row>
    <row r="102" spans="2:13" ht="12.95" customHeight="1" outlineLevel="1">
      <c r="B102" s="2911" t="s">
        <v>2576</v>
      </c>
      <c r="C102" s="745">
        <v>5</v>
      </c>
      <c r="D102" s="781" t="s">
        <v>628</v>
      </c>
      <c r="E102" s="762">
        <v>7400</v>
      </c>
      <c r="F102" s="754">
        <v>40</v>
      </c>
      <c r="G102" s="2920">
        <v>2</v>
      </c>
      <c r="H102" s="753">
        <v>20</v>
      </c>
      <c r="I102" s="2920">
        <v>2</v>
      </c>
      <c r="J102" s="753">
        <v>0</v>
      </c>
      <c r="K102" s="759">
        <v>0</v>
      </c>
      <c r="L102" s="755">
        <f t="shared" si="1"/>
        <v>68</v>
      </c>
      <c r="M102" s="755">
        <v>5</v>
      </c>
    </row>
    <row r="103" spans="2:13" ht="12.95" customHeight="1" outlineLevel="1">
      <c r="B103" s="2910" t="s">
        <v>4574</v>
      </c>
      <c r="C103" s="42" t="s">
        <v>4585</v>
      </c>
      <c r="D103" s="250" t="s">
        <v>628</v>
      </c>
      <c r="E103" s="2917">
        <v>14900</v>
      </c>
      <c r="F103" s="783">
        <v>50</v>
      </c>
      <c r="G103" s="2919">
        <v>2</v>
      </c>
      <c r="H103" s="2919">
        <v>30</v>
      </c>
      <c r="I103" s="2919">
        <v>2</v>
      </c>
      <c r="J103" s="224">
        <v>0</v>
      </c>
      <c r="K103" s="786">
        <v>0</v>
      </c>
      <c r="L103" s="784">
        <f t="shared" si="1"/>
        <v>88</v>
      </c>
      <c r="M103" s="785">
        <v>8</v>
      </c>
    </row>
    <row r="104" spans="2:13" ht="12.95" customHeight="1" outlineLevel="1">
      <c r="B104" s="2911" t="s">
        <v>2577</v>
      </c>
      <c r="C104" s="745">
        <v>6</v>
      </c>
      <c r="D104" s="781" t="s">
        <v>628</v>
      </c>
      <c r="E104" s="762">
        <v>9900</v>
      </c>
      <c r="F104" s="2920">
        <v>50</v>
      </c>
      <c r="G104" s="753">
        <v>0</v>
      </c>
      <c r="H104" s="753">
        <v>20</v>
      </c>
      <c r="I104" s="753">
        <v>0</v>
      </c>
      <c r="J104" s="753">
        <v>0</v>
      </c>
      <c r="K104" s="759">
        <v>0</v>
      </c>
      <c r="L104" s="758">
        <f t="shared" si="1"/>
        <v>70</v>
      </c>
      <c r="M104" s="758">
        <v>4</v>
      </c>
    </row>
    <row r="105" spans="2:13" ht="12.95" customHeight="1" outlineLevel="1">
      <c r="B105" s="2910" t="s">
        <v>4575</v>
      </c>
      <c r="C105" s="42" t="s">
        <v>4586</v>
      </c>
      <c r="D105" s="250" t="s">
        <v>628</v>
      </c>
      <c r="E105" s="795">
        <v>12900</v>
      </c>
      <c r="F105" s="2919">
        <v>60</v>
      </c>
      <c r="G105" s="2919">
        <v>10</v>
      </c>
      <c r="H105" s="224">
        <v>20</v>
      </c>
      <c r="I105" s="224">
        <v>0</v>
      </c>
      <c r="J105" s="224">
        <v>0</v>
      </c>
      <c r="K105" s="786">
        <v>0</v>
      </c>
      <c r="L105" s="1763">
        <f t="shared" si="1"/>
        <v>100</v>
      </c>
      <c r="M105" s="1763">
        <v>5</v>
      </c>
    </row>
    <row r="106" spans="2:13" ht="12.95" customHeight="1" outlineLevel="1">
      <c r="B106" s="2911" t="s">
        <v>2578</v>
      </c>
      <c r="C106" s="745">
        <v>7</v>
      </c>
      <c r="D106" s="781" t="s">
        <v>628</v>
      </c>
      <c r="E106" s="2924">
        <v>34700</v>
      </c>
      <c r="F106" s="754">
        <v>135</v>
      </c>
      <c r="G106" s="2920">
        <v>2</v>
      </c>
      <c r="H106" s="754">
        <v>80</v>
      </c>
      <c r="I106" s="2920">
        <v>12</v>
      </c>
      <c r="J106" s="753">
        <v>0</v>
      </c>
      <c r="K106" s="759">
        <v>0</v>
      </c>
      <c r="L106" s="755">
        <f t="shared" si="1"/>
        <v>243</v>
      </c>
      <c r="M106" s="755">
        <v>7</v>
      </c>
    </row>
    <row r="107" spans="2:13" ht="12.95" customHeight="1" outlineLevel="1" thickBot="1">
      <c r="B107" s="2923" t="s">
        <v>4541</v>
      </c>
      <c r="C107" s="189" t="s">
        <v>4587</v>
      </c>
      <c r="D107" s="788" t="s">
        <v>628</v>
      </c>
      <c r="E107" s="2918">
        <v>49700</v>
      </c>
      <c r="F107" s="792">
        <v>145</v>
      </c>
      <c r="G107" s="2912">
        <v>2</v>
      </c>
      <c r="H107" s="2912">
        <v>90</v>
      </c>
      <c r="I107" s="2912">
        <v>32</v>
      </c>
      <c r="J107" s="790">
        <v>0</v>
      </c>
      <c r="K107" s="799">
        <v>0</v>
      </c>
      <c r="L107" s="100">
        <f t="shared" si="1"/>
        <v>303</v>
      </c>
      <c r="M107" s="100">
        <v>8</v>
      </c>
    </row>
    <row r="108" spans="2:13" ht="12.95" customHeight="1">
      <c r="B108" s="321" t="s">
        <v>1233</v>
      </c>
      <c r="C108" s="744">
        <v>1</v>
      </c>
      <c r="D108" s="780" t="s">
        <v>627</v>
      </c>
      <c r="E108" s="763">
        <v>5200</v>
      </c>
      <c r="F108" s="749">
        <v>25</v>
      </c>
      <c r="G108" s="749">
        <v>0</v>
      </c>
      <c r="H108" s="749">
        <v>25</v>
      </c>
      <c r="I108" s="749">
        <v>0</v>
      </c>
      <c r="J108" s="749">
        <v>0</v>
      </c>
      <c r="K108" s="751">
        <v>0</v>
      </c>
      <c r="L108" s="507">
        <f t="shared" si="1"/>
        <v>50</v>
      </c>
      <c r="M108" s="507">
        <v>2</v>
      </c>
    </row>
    <row r="109" spans="2:13" ht="12.95" customHeight="1" outlineLevel="1">
      <c r="B109" s="289" t="s">
        <v>4556</v>
      </c>
      <c r="C109" s="42" t="s">
        <v>4581</v>
      </c>
      <c r="D109" s="250" t="s">
        <v>627</v>
      </c>
      <c r="E109" s="795">
        <v>6200</v>
      </c>
      <c r="F109" s="191">
        <v>30</v>
      </c>
      <c r="G109" s="191">
        <v>0</v>
      </c>
      <c r="H109" s="191">
        <v>30</v>
      </c>
      <c r="I109" s="191">
        <v>0</v>
      </c>
      <c r="J109" s="191">
        <v>0</v>
      </c>
      <c r="K109" s="29">
        <v>0</v>
      </c>
      <c r="L109" s="784">
        <f t="shared" si="1"/>
        <v>60</v>
      </c>
      <c r="M109" s="784">
        <v>3</v>
      </c>
    </row>
    <row r="110" spans="2:13" ht="12.95" customHeight="1" outlineLevel="1">
      <c r="B110" s="323" t="s">
        <v>1234</v>
      </c>
      <c r="C110" s="745">
        <v>2</v>
      </c>
      <c r="D110" s="781" t="s">
        <v>627</v>
      </c>
      <c r="E110" s="762">
        <v>6200</v>
      </c>
      <c r="F110" s="754">
        <v>35</v>
      </c>
      <c r="G110" s="196">
        <v>0</v>
      </c>
      <c r="H110" s="196">
        <v>30</v>
      </c>
      <c r="I110" s="196">
        <v>0</v>
      </c>
      <c r="J110" s="196">
        <v>0</v>
      </c>
      <c r="K110" s="197">
        <v>0</v>
      </c>
      <c r="L110" s="757">
        <f t="shared" si="1"/>
        <v>65</v>
      </c>
      <c r="M110" s="755">
        <v>3</v>
      </c>
    </row>
    <row r="111" spans="2:13" ht="12.95" customHeight="1" outlineLevel="1">
      <c r="B111" s="289" t="s">
        <v>4542</v>
      </c>
      <c r="C111" s="42" t="s">
        <v>4582</v>
      </c>
      <c r="D111" s="250" t="s">
        <v>627</v>
      </c>
      <c r="E111" s="686">
        <v>8200</v>
      </c>
      <c r="F111" s="783">
        <v>45</v>
      </c>
      <c r="G111" s="224">
        <v>0</v>
      </c>
      <c r="H111" s="783">
        <v>40</v>
      </c>
      <c r="I111" s="191">
        <v>0</v>
      </c>
      <c r="J111" s="191">
        <v>0</v>
      </c>
      <c r="K111" s="29">
        <v>0</v>
      </c>
      <c r="L111" s="785">
        <f t="shared" si="1"/>
        <v>85</v>
      </c>
      <c r="M111" s="785">
        <v>5</v>
      </c>
    </row>
    <row r="112" spans="2:13" ht="12.95" customHeight="1" outlineLevel="1">
      <c r="B112" s="323" t="s">
        <v>437</v>
      </c>
      <c r="C112" s="745">
        <v>3</v>
      </c>
      <c r="D112" s="781" t="s">
        <v>627</v>
      </c>
      <c r="E112" s="762">
        <v>6200</v>
      </c>
      <c r="F112" s="196">
        <v>30</v>
      </c>
      <c r="G112" s="753">
        <v>0</v>
      </c>
      <c r="H112" s="196">
        <v>30</v>
      </c>
      <c r="I112" s="753">
        <v>0</v>
      </c>
      <c r="J112" s="196">
        <v>0</v>
      </c>
      <c r="K112" s="197">
        <v>0</v>
      </c>
      <c r="L112" s="758">
        <f t="shared" si="1"/>
        <v>60</v>
      </c>
      <c r="M112" s="758">
        <v>3</v>
      </c>
    </row>
    <row r="113" spans="2:13" ht="12.95" customHeight="1" outlineLevel="1">
      <c r="B113" s="289" t="s">
        <v>4567</v>
      </c>
      <c r="C113" s="42" t="s">
        <v>4583</v>
      </c>
      <c r="D113" s="250" t="s">
        <v>627</v>
      </c>
      <c r="E113" s="686">
        <v>8200</v>
      </c>
      <c r="F113" s="191">
        <v>37</v>
      </c>
      <c r="G113" s="224">
        <v>0</v>
      </c>
      <c r="H113" s="191">
        <v>32</v>
      </c>
      <c r="I113" s="224">
        <v>0</v>
      </c>
      <c r="J113" s="191">
        <v>0</v>
      </c>
      <c r="K113" s="29">
        <v>0</v>
      </c>
      <c r="L113" s="787">
        <f t="shared" si="1"/>
        <v>69</v>
      </c>
      <c r="M113" s="784">
        <v>5</v>
      </c>
    </row>
    <row r="114" spans="2:13" ht="12.95" customHeight="1" outlineLevel="1">
      <c r="B114" s="323" t="s">
        <v>438</v>
      </c>
      <c r="C114" s="745">
        <v>4</v>
      </c>
      <c r="D114" s="781" t="s">
        <v>627</v>
      </c>
      <c r="E114" s="762">
        <v>8200</v>
      </c>
      <c r="F114" s="754">
        <v>50</v>
      </c>
      <c r="G114" s="753">
        <v>0</v>
      </c>
      <c r="H114" s="196">
        <v>30</v>
      </c>
      <c r="I114" s="753">
        <v>0</v>
      </c>
      <c r="J114" s="753">
        <v>0</v>
      </c>
      <c r="K114" s="197">
        <v>0</v>
      </c>
      <c r="L114" s="757">
        <f t="shared" si="1"/>
        <v>80</v>
      </c>
      <c r="M114" s="758">
        <v>4</v>
      </c>
    </row>
    <row r="115" spans="2:13" ht="12.95" customHeight="1" outlineLevel="1">
      <c r="B115" s="289" t="s">
        <v>4543</v>
      </c>
      <c r="C115" s="42" t="s">
        <v>4584</v>
      </c>
      <c r="D115" s="250" t="s">
        <v>627</v>
      </c>
      <c r="E115" s="686">
        <v>12200</v>
      </c>
      <c r="F115" s="783">
        <v>60</v>
      </c>
      <c r="G115" s="224">
        <v>0</v>
      </c>
      <c r="H115" s="191">
        <v>40</v>
      </c>
      <c r="I115" s="224">
        <v>0</v>
      </c>
      <c r="J115" s="224">
        <v>0</v>
      </c>
      <c r="K115" s="29">
        <v>5</v>
      </c>
      <c r="L115" s="784">
        <f t="shared" si="1"/>
        <v>110</v>
      </c>
      <c r="M115" s="784">
        <v>6</v>
      </c>
    </row>
    <row r="116" spans="2:13" ht="12.95" customHeight="1" outlineLevel="1">
      <c r="B116" s="323" t="s">
        <v>439</v>
      </c>
      <c r="C116" s="745">
        <v>5</v>
      </c>
      <c r="D116" s="781" t="s">
        <v>627</v>
      </c>
      <c r="E116" s="752">
        <v>8700</v>
      </c>
      <c r="F116" s="196">
        <v>35</v>
      </c>
      <c r="G116" s="753">
        <v>0</v>
      </c>
      <c r="H116" s="196">
        <v>40</v>
      </c>
      <c r="I116" s="753">
        <v>0</v>
      </c>
      <c r="J116" s="753">
        <v>0</v>
      </c>
      <c r="K116" s="759">
        <v>0</v>
      </c>
      <c r="L116" s="755">
        <f t="shared" si="1"/>
        <v>75</v>
      </c>
      <c r="M116" s="758">
        <v>4</v>
      </c>
    </row>
    <row r="117" spans="2:13" ht="12.95" customHeight="1" outlineLevel="1">
      <c r="B117" s="289" t="s">
        <v>4576</v>
      </c>
      <c r="C117" s="42" t="s">
        <v>4585</v>
      </c>
      <c r="D117" s="250" t="s">
        <v>627</v>
      </c>
      <c r="E117" s="686">
        <v>10700</v>
      </c>
      <c r="F117" s="191">
        <v>40</v>
      </c>
      <c r="G117" s="224">
        <v>0</v>
      </c>
      <c r="H117" s="191">
        <v>45</v>
      </c>
      <c r="I117" s="224">
        <v>0</v>
      </c>
      <c r="J117" s="224">
        <v>0</v>
      </c>
      <c r="K117" s="786">
        <v>0</v>
      </c>
      <c r="L117" s="784">
        <f t="shared" si="1"/>
        <v>85</v>
      </c>
      <c r="M117" s="787">
        <v>5</v>
      </c>
    </row>
    <row r="118" spans="2:13" ht="12.95" customHeight="1" outlineLevel="1">
      <c r="B118" s="323" t="s">
        <v>440</v>
      </c>
      <c r="C118" s="745">
        <v>6</v>
      </c>
      <c r="D118" s="781" t="s">
        <v>627</v>
      </c>
      <c r="E118" s="752">
        <v>11700</v>
      </c>
      <c r="F118" s="196">
        <v>50</v>
      </c>
      <c r="G118" s="753">
        <v>0</v>
      </c>
      <c r="H118" s="196">
        <v>50</v>
      </c>
      <c r="I118" s="753">
        <v>0</v>
      </c>
      <c r="J118" s="754">
        <v>20</v>
      </c>
      <c r="K118" s="759">
        <v>0</v>
      </c>
      <c r="L118" s="757">
        <f t="shared" si="1"/>
        <v>140</v>
      </c>
      <c r="M118" s="755">
        <v>5</v>
      </c>
    </row>
    <row r="119" spans="2:13" ht="12.95" customHeight="1" outlineLevel="1">
      <c r="B119" s="289" t="s">
        <v>4568</v>
      </c>
      <c r="C119" s="42" t="s">
        <v>4586</v>
      </c>
      <c r="D119" s="250" t="s">
        <v>627</v>
      </c>
      <c r="E119" s="686">
        <v>14700</v>
      </c>
      <c r="F119" s="191">
        <v>55</v>
      </c>
      <c r="G119" s="224">
        <v>0</v>
      </c>
      <c r="H119" s="191">
        <v>55</v>
      </c>
      <c r="I119" s="224">
        <v>0</v>
      </c>
      <c r="J119" s="783">
        <v>20</v>
      </c>
      <c r="K119" s="786">
        <v>0</v>
      </c>
      <c r="L119" s="784">
        <f t="shared" si="1"/>
        <v>150</v>
      </c>
      <c r="M119" s="784">
        <v>6</v>
      </c>
    </row>
    <row r="120" spans="2:13" ht="12.95" customHeight="1" outlineLevel="1">
      <c r="B120" s="323" t="s">
        <v>441</v>
      </c>
      <c r="C120" s="745">
        <v>7</v>
      </c>
      <c r="D120" s="781" t="s">
        <v>627</v>
      </c>
      <c r="E120" s="762">
        <v>18700</v>
      </c>
      <c r="F120" s="196">
        <v>45</v>
      </c>
      <c r="G120" s="753">
        <v>0</v>
      </c>
      <c r="H120" s="196">
        <v>50</v>
      </c>
      <c r="I120" s="753">
        <v>0</v>
      </c>
      <c r="J120" s="196">
        <v>10</v>
      </c>
      <c r="K120" s="759">
        <v>0</v>
      </c>
      <c r="L120" s="758">
        <f t="shared" si="1"/>
        <v>115</v>
      </c>
      <c r="M120" s="758">
        <v>5</v>
      </c>
    </row>
    <row r="121" spans="2:13" ht="12.95" customHeight="1" outlineLevel="1" thickBot="1">
      <c r="B121" s="319" t="s">
        <v>4544</v>
      </c>
      <c r="C121" s="189" t="s">
        <v>4587</v>
      </c>
      <c r="D121" s="788" t="s">
        <v>627</v>
      </c>
      <c r="E121" s="798">
        <v>33700</v>
      </c>
      <c r="F121" s="187">
        <v>55</v>
      </c>
      <c r="G121" s="790">
        <v>0</v>
      </c>
      <c r="H121" s="187">
        <v>60</v>
      </c>
      <c r="I121" s="790">
        <v>0</v>
      </c>
      <c r="J121" s="187">
        <v>30</v>
      </c>
      <c r="K121" s="799">
        <v>0</v>
      </c>
      <c r="L121" s="800">
        <f t="shared" si="1"/>
        <v>175</v>
      </c>
      <c r="M121" s="800">
        <v>6</v>
      </c>
    </row>
    <row r="122" spans="2:13" ht="12.95" customHeight="1">
      <c r="B122" s="328" t="s">
        <v>1547</v>
      </c>
      <c r="C122" s="746">
        <v>1</v>
      </c>
      <c r="D122" s="782" t="s">
        <v>2259</v>
      </c>
      <c r="E122" s="423">
        <v>5300</v>
      </c>
      <c r="F122" s="212">
        <v>25</v>
      </c>
      <c r="G122" s="212">
        <v>0</v>
      </c>
      <c r="H122" s="212">
        <v>25</v>
      </c>
      <c r="I122" s="212">
        <v>0</v>
      </c>
      <c r="J122" s="212">
        <v>0</v>
      </c>
      <c r="K122" s="213">
        <v>0</v>
      </c>
      <c r="L122" s="755">
        <f t="shared" si="1"/>
        <v>50</v>
      </c>
      <c r="M122" s="755">
        <v>2</v>
      </c>
    </row>
    <row r="123" spans="2:13" ht="12.95" customHeight="1" outlineLevel="1">
      <c r="B123" s="289" t="s">
        <v>4545</v>
      </c>
      <c r="C123" s="42" t="s">
        <v>4581</v>
      </c>
      <c r="D123" s="250" t="s">
        <v>2259</v>
      </c>
      <c r="E123" s="686">
        <v>6300</v>
      </c>
      <c r="F123" s="191">
        <v>25</v>
      </c>
      <c r="G123" s="191">
        <v>0</v>
      </c>
      <c r="H123" s="191">
        <v>25</v>
      </c>
      <c r="I123" s="191">
        <v>0</v>
      </c>
      <c r="J123" s="191">
        <v>0</v>
      </c>
      <c r="K123" s="29">
        <v>0</v>
      </c>
      <c r="L123" s="787">
        <f t="shared" si="1"/>
        <v>50</v>
      </c>
      <c r="M123" s="784">
        <v>3</v>
      </c>
    </row>
    <row r="124" spans="2:13" ht="12.95" customHeight="1" outlineLevel="1">
      <c r="B124" s="323" t="s">
        <v>1548</v>
      </c>
      <c r="C124" s="745">
        <v>2</v>
      </c>
      <c r="D124" s="781" t="s">
        <v>2259</v>
      </c>
      <c r="E124" s="756">
        <v>8800</v>
      </c>
      <c r="F124" s="196">
        <v>30</v>
      </c>
      <c r="G124" s="196">
        <v>0</v>
      </c>
      <c r="H124" s="754">
        <v>35</v>
      </c>
      <c r="I124" s="196">
        <v>0</v>
      </c>
      <c r="J124" s="196">
        <v>0</v>
      </c>
      <c r="K124" s="197">
        <v>0</v>
      </c>
      <c r="L124" s="757">
        <f t="shared" si="1"/>
        <v>65</v>
      </c>
      <c r="M124" s="757">
        <v>4</v>
      </c>
    </row>
    <row r="125" spans="2:13" ht="12.95" customHeight="1" outlineLevel="1">
      <c r="B125" s="289" t="s">
        <v>4546</v>
      </c>
      <c r="C125" s="42" t="s">
        <v>4582</v>
      </c>
      <c r="D125" s="250" t="s">
        <v>2259</v>
      </c>
      <c r="E125" s="797">
        <v>10300</v>
      </c>
      <c r="F125" s="191">
        <v>32</v>
      </c>
      <c r="G125" s="191">
        <v>2</v>
      </c>
      <c r="H125" s="191">
        <v>35</v>
      </c>
      <c r="I125" s="191">
        <v>0</v>
      </c>
      <c r="J125" s="191">
        <v>0</v>
      </c>
      <c r="K125" s="791">
        <v>2</v>
      </c>
      <c r="L125" s="784">
        <f t="shared" si="1"/>
        <v>75</v>
      </c>
      <c r="M125" s="785">
        <v>5</v>
      </c>
    </row>
    <row r="126" spans="2:13" ht="12.95" customHeight="1" outlineLevel="1">
      <c r="B126" s="323" t="s">
        <v>1828</v>
      </c>
      <c r="C126" s="745">
        <v>3</v>
      </c>
      <c r="D126" s="781" t="s">
        <v>2259</v>
      </c>
      <c r="E126" s="752">
        <v>8800</v>
      </c>
      <c r="F126" s="196">
        <v>30</v>
      </c>
      <c r="G126" s="753">
        <v>0</v>
      </c>
      <c r="H126" s="196">
        <v>35</v>
      </c>
      <c r="I126" s="753">
        <v>0</v>
      </c>
      <c r="J126" s="196">
        <v>0</v>
      </c>
      <c r="K126" s="197">
        <v>0</v>
      </c>
      <c r="L126" s="757">
        <f t="shared" si="1"/>
        <v>65</v>
      </c>
      <c r="M126" s="755">
        <v>4</v>
      </c>
    </row>
    <row r="127" spans="2:13" ht="12.95" customHeight="1" outlineLevel="1">
      <c r="B127" s="289" t="s">
        <v>4547</v>
      </c>
      <c r="C127" s="42" t="s">
        <v>4583</v>
      </c>
      <c r="D127" s="250" t="s">
        <v>2259</v>
      </c>
      <c r="E127" s="797">
        <v>10800</v>
      </c>
      <c r="F127" s="191">
        <v>30</v>
      </c>
      <c r="G127" s="783">
        <v>5</v>
      </c>
      <c r="H127" s="191">
        <v>40</v>
      </c>
      <c r="I127" s="224">
        <v>0</v>
      </c>
      <c r="J127" s="191">
        <v>0</v>
      </c>
      <c r="K127" s="29">
        <v>0</v>
      </c>
      <c r="L127" s="785">
        <f t="shared" si="1"/>
        <v>80</v>
      </c>
      <c r="M127" s="784">
        <v>5</v>
      </c>
    </row>
    <row r="128" spans="2:13" ht="12.95" customHeight="1" outlineLevel="1">
      <c r="B128" s="323" t="s">
        <v>1829</v>
      </c>
      <c r="C128" s="745">
        <v>4</v>
      </c>
      <c r="D128" s="781" t="s">
        <v>2259</v>
      </c>
      <c r="E128" s="752">
        <v>10800</v>
      </c>
      <c r="F128" s="196">
        <v>35</v>
      </c>
      <c r="G128" s="753">
        <v>0</v>
      </c>
      <c r="H128" s="196">
        <v>40</v>
      </c>
      <c r="I128" s="753">
        <v>0</v>
      </c>
      <c r="J128" s="753">
        <v>0</v>
      </c>
      <c r="K128" s="197">
        <v>0</v>
      </c>
      <c r="L128" s="755">
        <f t="shared" si="1"/>
        <v>75</v>
      </c>
      <c r="M128" s="755">
        <v>5</v>
      </c>
    </row>
    <row r="129" spans="2:13" ht="12.95" customHeight="1" outlineLevel="1">
      <c r="B129" s="289" t="s">
        <v>4548</v>
      </c>
      <c r="C129" s="42" t="s">
        <v>4584</v>
      </c>
      <c r="D129" s="250" t="s">
        <v>2259</v>
      </c>
      <c r="E129" s="797">
        <v>14300</v>
      </c>
      <c r="F129" s="191">
        <v>37</v>
      </c>
      <c r="G129" s="783">
        <v>7</v>
      </c>
      <c r="H129" s="191">
        <v>45</v>
      </c>
      <c r="I129" s="224">
        <v>0</v>
      </c>
      <c r="J129" s="224">
        <v>0</v>
      </c>
      <c r="K129" s="29">
        <v>2</v>
      </c>
      <c r="L129" s="784">
        <f t="shared" si="1"/>
        <v>100</v>
      </c>
      <c r="M129" s="784">
        <v>7</v>
      </c>
    </row>
    <row r="130" spans="2:13" ht="12.95" customHeight="1" outlineLevel="1">
      <c r="B130" s="323" t="s">
        <v>1830</v>
      </c>
      <c r="C130" s="745">
        <v>5</v>
      </c>
      <c r="D130" s="781" t="s">
        <v>2259</v>
      </c>
      <c r="E130" s="752">
        <v>10800</v>
      </c>
      <c r="F130" s="753">
        <v>30</v>
      </c>
      <c r="G130" s="753">
        <v>0</v>
      </c>
      <c r="H130" s="196">
        <v>45</v>
      </c>
      <c r="I130" s="753">
        <v>0</v>
      </c>
      <c r="J130" s="753">
        <v>0</v>
      </c>
      <c r="K130" s="759">
        <v>0</v>
      </c>
      <c r="L130" s="755">
        <f t="shared" si="1"/>
        <v>75</v>
      </c>
      <c r="M130" s="755">
        <v>5</v>
      </c>
    </row>
    <row r="131" spans="2:13" ht="12.95" customHeight="1" outlineLevel="1">
      <c r="B131" s="289" t="s">
        <v>4549</v>
      </c>
      <c r="C131" s="42" t="s">
        <v>4585</v>
      </c>
      <c r="D131" s="250" t="s">
        <v>2259</v>
      </c>
      <c r="E131" s="686">
        <v>11800</v>
      </c>
      <c r="F131" s="224">
        <v>30</v>
      </c>
      <c r="G131" s="224">
        <v>0</v>
      </c>
      <c r="H131" s="191">
        <v>45</v>
      </c>
      <c r="I131" s="191">
        <v>5</v>
      </c>
      <c r="J131" s="224">
        <v>0</v>
      </c>
      <c r="K131" s="786">
        <v>0</v>
      </c>
      <c r="L131" s="784">
        <f t="shared" si="1"/>
        <v>85</v>
      </c>
      <c r="M131" s="784">
        <v>6</v>
      </c>
    </row>
    <row r="132" spans="2:13" ht="12.95" customHeight="1" outlineLevel="1">
      <c r="B132" s="323" t="s">
        <v>2654</v>
      </c>
      <c r="C132" s="745">
        <v>6</v>
      </c>
      <c r="D132" s="781" t="s">
        <v>2259</v>
      </c>
      <c r="E132" s="756">
        <v>17300</v>
      </c>
      <c r="F132" s="196">
        <v>40</v>
      </c>
      <c r="G132" s="196">
        <v>2</v>
      </c>
      <c r="H132" s="754">
        <v>60</v>
      </c>
      <c r="I132" s="196">
        <v>2</v>
      </c>
      <c r="J132" s="196">
        <v>2</v>
      </c>
      <c r="K132" s="197">
        <v>2</v>
      </c>
      <c r="L132" s="755">
        <f t="shared" si="1"/>
        <v>116</v>
      </c>
      <c r="M132" s="757">
        <v>8</v>
      </c>
    </row>
    <row r="133" spans="2:13" ht="12.95" customHeight="1" outlineLevel="1">
      <c r="B133" s="289" t="s">
        <v>4550</v>
      </c>
      <c r="C133" s="42" t="s">
        <v>4586</v>
      </c>
      <c r="D133" s="250" t="s">
        <v>2259</v>
      </c>
      <c r="E133" s="797">
        <v>21300</v>
      </c>
      <c r="F133" s="191">
        <v>45</v>
      </c>
      <c r="G133" s="191">
        <v>9</v>
      </c>
      <c r="H133" s="783">
        <v>65</v>
      </c>
      <c r="I133" s="191">
        <v>9</v>
      </c>
      <c r="J133" s="191">
        <v>9</v>
      </c>
      <c r="K133" s="29">
        <v>9</v>
      </c>
      <c r="L133" s="785">
        <f t="shared" si="1"/>
        <v>182</v>
      </c>
      <c r="M133" s="785">
        <v>10</v>
      </c>
    </row>
    <row r="134" spans="2:13" ht="12.95" customHeight="1" outlineLevel="1">
      <c r="B134" s="323" t="s">
        <v>2655</v>
      </c>
      <c r="C134" s="745">
        <v>7</v>
      </c>
      <c r="D134" s="781" t="s">
        <v>2259</v>
      </c>
      <c r="E134" s="752">
        <v>27300</v>
      </c>
      <c r="F134" s="196">
        <v>50</v>
      </c>
      <c r="G134" s="196">
        <v>12</v>
      </c>
      <c r="H134" s="196">
        <v>70</v>
      </c>
      <c r="I134" s="196">
        <v>2</v>
      </c>
      <c r="J134" s="196">
        <v>2</v>
      </c>
      <c r="K134" s="197">
        <v>2</v>
      </c>
      <c r="L134" s="755">
        <f t="shared" si="1"/>
        <v>156</v>
      </c>
      <c r="M134" s="755">
        <v>9</v>
      </c>
    </row>
    <row r="135" spans="2:13" ht="12.95" customHeight="1" outlineLevel="1" thickBot="1">
      <c r="B135" s="319" t="s">
        <v>4551</v>
      </c>
      <c r="C135" s="189" t="s">
        <v>4587</v>
      </c>
      <c r="D135" s="788" t="s">
        <v>2259</v>
      </c>
      <c r="E135" s="687">
        <v>37300</v>
      </c>
      <c r="F135" s="187">
        <v>60</v>
      </c>
      <c r="G135" s="187">
        <v>22</v>
      </c>
      <c r="H135" s="187">
        <v>80</v>
      </c>
      <c r="I135" s="187">
        <v>2</v>
      </c>
      <c r="J135" s="187">
        <v>2</v>
      </c>
      <c r="K135" s="188">
        <v>2</v>
      </c>
      <c r="L135" s="100">
        <f t="shared" si="1"/>
        <v>196</v>
      </c>
      <c r="M135" s="100">
        <v>10</v>
      </c>
    </row>
    <row r="136" spans="2:13" ht="5.0999999999999996" customHeight="1"/>
    <row r="137" spans="2:13" ht="51.95" customHeight="1">
      <c r="B137" s="3134" t="s">
        <v>4577</v>
      </c>
      <c r="C137" s="3134"/>
      <c r="D137" s="3134"/>
      <c r="E137" s="3134"/>
      <c r="F137" s="3134"/>
      <c r="G137" s="3134"/>
      <c r="H137" s="3134"/>
      <c r="I137" s="3134"/>
      <c r="J137" s="3134"/>
      <c r="K137" s="3134"/>
      <c r="L137" s="3134"/>
      <c r="M137" s="3134"/>
    </row>
    <row r="138" spans="2:13" ht="26.1" customHeight="1" thickBot="1">
      <c r="B138" s="3134" t="s">
        <v>4578</v>
      </c>
      <c r="C138" s="3134"/>
      <c r="D138" s="3134"/>
      <c r="E138" s="3134"/>
      <c r="F138" s="3134"/>
      <c r="G138" s="3134"/>
      <c r="H138" s="3134"/>
      <c r="I138" s="3134"/>
      <c r="J138" s="3134"/>
      <c r="K138" s="3134"/>
      <c r="L138" s="3134"/>
      <c r="M138" s="3134"/>
    </row>
    <row r="139" spans="2:13" ht="12.95" customHeight="1">
      <c r="B139" s="3415" t="s">
        <v>310</v>
      </c>
      <c r="C139" s="3416"/>
      <c r="D139" s="3887" t="s">
        <v>760</v>
      </c>
      <c r="E139" s="3888"/>
      <c r="F139" s="3889"/>
    </row>
    <row r="140" spans="2:13" ht="12.95" customHeight="1" thickBot="1">
      <c r="B140" s="3912"/>
      <c r="C140" s="3913"/>
      <c r="D140" s="683" t="s">
        <v>4579</v>
      </c>
      <c r="E140" s="3911" t="s">
        <v>4580</v>
      </c>
      <c r="F140" s="3118"/>
    </row>
    <row r="141" spans="2:13" ht="12.95" customHeight="1">
      <c r="B141" s="3900" t="s">
        <v>627</v>
      </c>
      <c r="C141" s="3901"/>
      <c r="D141" s="764">
        <v>5</v>
      </c>
      <c r="E141" s="3914">
        <v>6</v>
      </c>
      <c r="F141" s="3915"/>
    </row>
    <row r="142" spans="2:13" ht="12.95" customHeight="1">
      <c r="B142" s="3909" t="s">
        <v>2156</v>
      </c>
      <c r="C142" s="3910"/>
      <c r="D142" s="230">
        <v>7</v>
      </c>
      <c r="E142" s="3898">
        <v>8</v>
      </c>
      <c r="F142" s="3693"/>
    </row>
    <row r="143" spans="2:13" ht="12.95" customHeight="1">
      <c r="B143" s="3907" t="s">
        <v>628</v>
      </c>
      <c r="C143" s="3908"/>
      <c r="D143" s="429">
        <v>7</v>
      </c>
      <c r="E143" s="3904">
        <v>8</v>
      </c>
      <c r="F143" s="3695"/>
    </row>
    <row r="144" spans="2:13" ht="12.95" customHeight="1">
      <c r="B144" s="3909" t="s">
        <v>2141</v>
      </c>
      <c r="C144" s="3910"/>
      <c r="D144" s="230">
        <v>8</v>
      </c>
      <c r="E144" s="3898">
        <v>9</v>
      </c>
      <c r="F144" s="3693"/>
    </row>
    <row r="145" spans="2:6" ht="12.95" customHeight="1">
      <c r="B145" s="3907" t="s">
        <v>625</v>
      </c>
      <c r="C145" s="3908"/>
      <c r="D145" s="429">
        <v>8</v>
      </c>
      <c r="E145" s="3904">
        <v>9</v>
      </c>
      <c r="F145" s="3695"/>
    </row>
    <row r="146" spans="2:6" ht="12.95" customHeight="1">
      <c r="B146" s="3909" t="s">
        <v>2557</v>
      </c>
      <c r="C146" s="3910"/>
      <c r="D146" s="230">
        <v>8</v>
      </c>
      <c r="E146" s="3898">
        <v>9</v>
      </c>
      <c r="F146" s="3693"/>
    </row>
    <row r="147" spans="2:6" ht="12.95" customHeight="1">
      <c r="B147" s="3907" t="s">
        <v>893</v>
      </c>
      <c r="C147" s="3908"/>
      <c r="D147" s="429">
        <v>9</v>
      </c>
      <c r="E147" s="3904">
        <v>11</v>
      </c>
      <c r="F147" s="3695"/>
    </row>
    <row r="148" spans="2:6" ht="12.95" customHeight="1">
      <c r="B148" s="3909" t="s">
        <v>2259</v>
      </c>
      <c r="C148" s="3910"/>
      <c r="D148" s="230">
        <v>9</v>
      </c>
      <c r="E148" s="3898">
        <v>10</v>
      </c>
      <c r="F148" s="3693"/>
    </row>
    <row r="149" spans="2:6" ht="12.95" customHeight="1" thickBot="1">
      <c r="B149" s="3905" t="s">
        <v>626</v>
      </c>
      <c r="C149" s="3906"/>
      <c r="D149" s="769">
        <v>10</v>
      </c>
      <c r="E149" s="3902">
        <v>12</v>
      </c>
      <c r="F149" s="3903"/>
    </row>
  </sheetData>
  <sheetProtection autoFilter="0"/>
  <autoFilter ref="B9:M135"/>
  <mergeCells count="32">
    <mergeCell ref="C1:M1"/>
    <mergeCell ref="E145:F145"/>
    <mergeCell ref="E143:F143"/>
    <mergeCell ref="E140:F140"/>
    <mergeCell ref="B139:C140"/>
    <mergeCell ref="E141:F141"/>
    <mergeCell ref="B143:C143"/>
    <mergeCell ref="E144:F144"/>
    <mergeCell ref="B145:C145"/>
    <mergeCell ref="B144:C144"/>
    <mergeCell ref="B3:M3"/>
    <mergeCell ref="C7:C8"/>
    <mergeCell ref="B142:C142"/>
    <mergeCell ref="B7:B8"/>
    <mergeCell ref="B5:M5"/>
    <mergeCell ref="B138:M138"/>
    <mergeCell ref="E149:F149"/>
    <mergeCell ref="E147:F147"/>
    <mergeCell ref="B149:C149"/>
    <mergeCell ref="E148:F148"/>
    <mergeCell ref="E146:F146"/>
    <mergeCell ref="B147:C147"/>
    <mergeCell ref="B148:C148"/>
    <mergeCell ref="B146:C146"/>
    <mergeCell ref="E142:F142"/>
    <mergeCell ref="B137:M137"/>
    <mergeCell ref="D7:D8"/>
    <mergeCell ref="M7:M8"/>
    <mergeCell ref="B141:C141"/>
    <mergeCell ref="L7:L8"/>
    <mergeCell ref="E7:K7"/>
    <mergeCell ref="D139:F139"/>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5" manualBreakCount="5">
    <brk id="23" max="12" man="1"/>
    <brk id="51" max="12" man="1"/>
    <brk id="79" max="12" man="1"/>
    <brk id="107" max="12" man="1"/>
    <brk id="135" max="12" man="1"/>
  </rowBreaks>
</worksheet>
</file>

<file path=xl/worksheets/sheet69.xml><?xml version="1.0" encoding="utf-8"?>
<worksheet xmlns="http://schemas.openxmlformats.org/spreadsheetml/2006/main" xmlns:r="http://schemas.openxmlformats.org/officeDocument/2006/relationships">
  <dimension ref="B1:M22"/>
  <sheetViews>
    <sheetView zoomScaleNormal="100" workbookViewId="0">
      <pane ySplit="3" topLeftCell="A4" activePane="bottomLeft" state="frozen"/>
      <selection pane="bottomLeft" activeCell="B1" sqref="B1:C1"/>
    </sheetView>
  </sheetViews>
  <sheetFormatPr defaultRowHeight="12.75"/>
  <cols>
    <col min="1" max="1" width="3.7109375" style="17" customWidth="1"/>
    <col min="2" max="2" width="6.7109375" style="17" customWidth="1"/>
    <col min="3" max="3" width="15.7109375" style="17" customWidth="1"/>
    <col min="4" max="4" width="4.28515625" style="17" customWidth="1"/>
    <col min="5" max="5" width="15.7109375" style="17" customWidth="1"/>
    <col min="6" max="6" width="4.28515625" style="17" customWidth="1"/>
    <col min="7" max="7" width="15.7109375" style="17" customWidth="1"/>
    <col min="8" max="8" width="4.28515625" style="17" customWidth="1"/>
    <col min="9" max="9" width="15.7109375" style="17" customWidth="1"/>
    <col min="10" max="10" width="4.28515625" style="17" customWidth="1"/>
    <col min="11" max="11" width="15.7109375" style="17" customWidth="1"/>
    <col min="12" max="12" width="4.28515625" style="17" customWidth="1"/>
    <col min="13" max="13" width="15.7109375" style="17" customWidth="1"/>
    <col min="14" max="16384" width="9.140625" style="17"/>
  </cols>
  <sheetData>
    <row r="1" spans="2:13">
      <c r="B1" s="3920" t="s">
        <v>2706</v>
      </c>
      <c r="C1" s="3920"/>
      <c r="D1" s="2941" t="s">
        <v>8269</v>
      </c>
      <c r="E1" s="2941"/>
      <c r="F1" s="2941"/>
      <c r="G1" s="2941"/>
      <c r="H1" s="2941"/>
      <c r="I1" s="2941"/>
      <c r="J1" s="2941"/>
      <c r="K1" s="2941"/>
      <c r="L1" s="2941"/>
      <c r="M1" s="2941"/>
    </row>
    <row r="2" spans="2:13" s="288" customFormat="1" ht="5.0999999999999996" customHeight="1">
      <c r="B2" s="735"/>
      <c r="C2" s="735"/>
      <c r="D2" s="738"/>
      <c r="E2" s="738"/>
      <c r="F2" s="738"/>
      <c r="G2" s="738"/>
      <c r="H2" s="738"/>
      <c r="I2" s="738"/>
      <c r="J2" s="738"/>
      <c r="K2" s="738"/>
      <c r="L2" s="738"/>
      <c r="M2" s="738"/>
    </row>
    <row r="3" spans="2:13" ht="12.75" customHeight="1">
      <c r="B3" s="3921" t="s">
        <v>4588</v>
      </c>
      <c r="C3" s="3921"/>
      <c r="D3" s="3921"/>
      <c r="E3" s="3921"/>
      <c r="F3" s="3921"/>
      <c r="G3" s="3921"/>
      <c r="H3" s="3921"/>
      <c r="I3" s="3921"/>
      <c r="J3" s="3921"/>
      <c r="K3" s="3921"/>
      <c r="L3" s="3921"/>
      <c r="M3" s="3921"/>
    </row>
    <row r="4" spans="2:13" ht="5.0999999999999996" customHeight="1" thickBot="1"/>
    <row r="5" spans="2:13" ht="26.1" customHeight="1" thickBot="1">
      <c r="E5" s="19" t="s">
        <v>2404</v>
      </c>
      <c r="G5" s="18" t="s">
        <v>684</v>
      </c>
      <c r="I5" s="20" t="s">
        <v>212</v>
      </c>
      <c r="J5" s="21"/>
      <c r="K5" s="18" t="s">
        <v>5807</v>
      </c>
    </row>
    <row r="6" spans="2:13" ht="13.5" thickBot="1"/>
    <row r="7" spans="2:13" ht="26.1" customHeight="1" thickBot="1">
      <c r="C7" s="18" t="s">
        <v>340</v>
      </c>
      <c r="E7" s="22" t="s">
        <v>213</v>
      </c>
      <c r="G7" s="22" t="s">
        <v>2156</v>
      </c>
      <c r="I7" s="22" t="s">
        <v>627</v>
      </c>
      <c r="J7" s="21"/>
      <c r="K7" s="18" t="s">
        <v>341</v>
      </c>
    </row>
    <row r="8" spans="2:13" ht="13.5" customHeight="1" thickBot="1"/>
    <row r="9" spans="2:13" ht="26.1" customHeight="1" thickBot="1">
      <c r="C9" s="19" t="s">
        <v>876</v>
      </c>
      <c r="E9" s="22" t="s">
        <v>214</v>
      </c>
      <c r="G9" s="22" t="s">
        <v>2402</v>
      </c>
      <c r="I9" s="22" t="s">
        <v>2403</v>
      </c>
      <c r="K9" s="18" t="s">
        <v>489</v>
      </c>
    </row>
    <row r="10" spans="2:13" ht="13.5" thickBot="1"/>
    <row r="11" spans="2:13" ht="26.1" customHeight="1" thickBot="1">
      <c r="C11" s="23" t="s">
        <v>1764</v>
      </c>
      <c r="G11" s="19" t="s">
        <v>2405</v>
      </c>
      <c r="K11" s="25" t="s">
        <v>4606</v>
      </c>
    </row>
    <row r="12" spans="2:13" ht="13.5" thickBot="1"/>
    <row r="13" spans="2:13" ht="26.1" customHeight="1" thickBot="1">
      <c r="C13" s="23" t="s">
        <v>1763</v>
      </c>
      <c r="I13" s="24" t="s">
        <v>1282</v>
      </c>
      <c r="K13" s="24" t="s">
        <v>4439</v>
      </c>
      <c r="M13" s="25" t="s">
        <v>4607</v>
      </c>
    </row>
    <row r="14" spans="2:13" ht="13.5" thickBot="1"/>
    <row r="15" spans="2:13" ht="26.1" customHeight="1" thickBot="1">
      <c r="C15" s="23" t="s">
        <v>352</v>
      </c>
      <c r="E15" s="23" t="s">
        <v>381</v>
      </c>
      <c r="G15" s="24" t="s">
        <v>1144</v>
      </c>
      <c r="I15" s="24" t="s">
        <v>1284</v>
      </c>
      <c r="K15" s="25" t="s">
        <v>4608</v>
      </c>
    </row>
    <row r="16" spans="2:13" ht="13.5" thickBot="1"/>
    <row r="17" spans="3:13" ht="26.1" customHeight="1" thickBot="1">
      <c r="C17" s="24" t="s">
        <v>1079</v>
      </c>
      <c r="E17" s="24" t="s">
        <v>311</v>
      </c>
      <c r="K17" s="18" t="s">
        <v>339</v>
      </c>
    </row>
    <row r="18" spans="3:13" ht="13.5" thickBot="1"/>
    <row r="19" spans="3:13" ht="27" customHeight="1" thickBot="1">
      <c r="C19" s="25" t="s">
        <v>4611</v>
      </c>
      <c r="E19" s="25" t="s">
        <v>4610</v>
      </c>
      <c r="G19" s="18" t="s">
        <v>342</v>
      </c>
      <c r="I19" s="25" t="s">
        <v>4609</v>
      </c>
    </row>
    <row r="20" spans="3:13" ht="13.5" thickBot="1"/>
    <row r="21" spans="3:13" ht="26.1" customHeight="1" thickBot="1">
      <c r="G21" s="24" t="s">
        <v>1145</v>
      </c>
      <c r="I21" s="25" t="s">
        <v>4612</v>
      </c>
    </row>
    <row r="22" spans="3:13" ht="27" customHeight="1">
      <c r="C22" s="3918" t="s">
        <v>10001</v>
      </c>
      <c r="D22" s="3918"/>
      <c r="E22" s="3918"/>
      <c r="F22" s="3918"/>
      <c r="K22" s="3919" t="s">
        <v>4671</v>
      </c>
      <c r="L22" s="3919"/>
      <c r="M22" s="3919"/>
    </row>
  </sheetData>
  <sheetProtection autoFilter="0"/>
  <mergeCells count="5">
    <mergeCell ref="C22:F22"/>
    <mergeCell ref="K22:M22"/>
    <mergeCell ref="B1:C1"/>
    <mergeCell ref="B3:M3"/>
    <mergeCell ref="D1:M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105" orientation="landscape" r:id="rId1"/>
  <headerFooter alignWithMargins="0"/>
  <drawing r:id="rId2"/>
</worksheet>
</file>

<file path=xl/worksheets/sheet70.xml><?xml version="1.0" encoding="utf-8"?>
<worksheet xmlns="http://schemas.openxmlformats.org/spreadsheetml/2006/main" xmlns:r="http://schemas.openxmlformats.org/officeDocument/2006/relationships">
  <dimension ref="B1:M23"/>
  <sheetViews>
    <sheetView zoomScaleNormal="100" workbookViewId="0">
      <pane ySplit="3" topLeftCell="A4" activePane="bottomLeft" state="frozen"/>
      <selection pane="bottomLeft" activeCell="B1" sqref="B1:C1"/>
    </sheetView>
  </sheetViews>
  <sheetFormatPr defaultRowHeight="12.75"/>
  <cols>
    <col min="1" max="1" width="3.7109375" style="17" customWidth="1"/>
    <col min="2" max="2" width="6.7109375" style="17" customWidth="1"/>
    <col min="3" max="3" width="15.7109375" style="17" customWidth="1"/>
    <col min="4" max="4" width="4.28515625" style="17" customWidth="1"/>
    <col min="5" max="5" width="15.7109375" style="17" customWidth="1"/>
    <col min="6" max="6" width="4.28515625" style="17" customWidth="1"/>
    <col min="7" max="7" width="15.7109375" style="17" customWidth="1"/>
    <col min="8" max="8" width="4.28515625" style="17" customWidth="1"/>
    <col min="9" max="9" width="15.7109375" style="17" customWidth="1"/>
    <col min="10" max="10" width="4.28515625" style="17" customWidth="1"/>
    <col min="11" max="11" width="15.7109375" style="17" customWidth="1"/>
    <col min="12" max="12" width="4.28515625" style="17" customWidth="1"/>
    <col min="13" max="13" width="15.7109375" style="17" customWidth="1"/>
    <col min="14" max="16384" width="9.140625" style="17"/>
  </cols>
  <sheetData>
    <row r="1" spans="2:13">
      <c r="B1" s="3920" t="s">
        <v>2706</v>
      </c>
      <c r="C1" s="3920"/>
      <c r="D1" s="2941" t="s">
        <v>8269</v>
      </c>
      <c r="E1" s="2941"/>
      <c r="F1" s="2941"/>
      <c r="G1" s="2941"/>
      <c r="H1" s="2941"/>
      <c r="I1" s="2941"/>
      <c r="J1" s="2941"/>
      <c r="K1" s="2941"/>
      <c r="L1" s="2941"/>
      <c r="M1" s="2941"/>
    </row>
    <row r="2" spans="2:13" s="288" customFormat="1" ht="5.0999999999999996" customHeight="1">
      <c r="B2" s="735"/>
      <c r="C2" s="735"/>
      <c r="D2" s="738"/>
      <c r="E2" s="738"/>
      <c r="F2" s="738"/>
      <c r="G2" s="738"/>
      <c r="H2" s="738"/>
      <c r="I2" s="738"/>
      <c r="J2" s="738"/>
      <c r="K2" s="738"/>
      <c r="L2" s="738"/>
      <c r="M2" s="738"/>
    </row>
    <row r="3" spans="2:13" ht="12.75" customHeight="1">
      <c r="B3" s="3921" t="s">
        <v>4591</v>
      </c>
      <c r="C3" s="3921"/>
      <c r="D3" s="3921"/>
      <c r="E3" s="3921"/>
      <c r="F3" s="3921"/>
      <c r="G3" s="3921"/>
      <c r="H3" s="3921"/>
      <c r="I3" s="3921"/>
      <c r="J3" s="3921"/>
      <c r="K3" s="3921"/>
      <c r="L3" s="3921"/>
      <c r="M3" s="3921"/>
    </row>
    <row r="4" spans="2:13" ht="5.0999999999999996" customHeight="1" thickBot="1"/>
    <row r="5" spans="2:13" ht="26.1" customHeight="1" thickBot="1">
      <c r="C5" s="18" t="s">
        <v>340</v>
      </c>
      <c r="E5" s="19" t="s">
        <v>2404</v>
      </c>
      <c r="G5" s="20" t="s">
        <v>212</v>
      </c>
      <c r="I5" s="18" t="s">
        <v>5806</v>
      </c>
      <c r="J5" s="21"/>
      <c r="M5" s="23" t="s">
        <v>381</v>
      </c>
    </row>
    <row r="6" spans="2:13" ht="13.5" thickBot="1"/>
    <row r="7" spans="2:13" ht="26.1" customHeight="1" thickBot="1">
      <c r="C7" s="19" t="s">
        <v>876</v>
      </c>
      <c r="E7" s="22" t="s">
        <v>213</v>
      </c>
      <c r="J7" s="21"/>
    </row>
    <row r="8" spans="2:13" ht="13.5" customHeight="1" thickBot="1"/>
    <row r="9" spans="2:13" ht="26.25" thickBot="1">
      <c r="C9" s="19" t="s">
        <v>2405</v>
      </c>
      <c r="E9" s="22" t="s">
        <v>214</v>
      </c>
      <c r="G9" s="22" t="s">
        <v>627</v>
      </c>
      <c r="I9" s="22" t="s">
        <v>2403</v>
      </c>
      <c r="K9" s="18" t="s">
        <v>843</v>
      </c>
    </row>
    <row r="10" spans="2:13" ht="13.5" thickBot="1"/>
    <row r="11" spans="2:13" ht="26.1" customHeight="1" thickBot="1">
      <c r="E11" s="22" t="s">
        <v>2402</v>
      </c>
      <c r="G11" s="22" t="s">
        <v>2156</v>
      </c>
      <c r="J11" s="21"/>
      <c r="K11" s="18" t="s">
        <v>2394</v>
      </c>
    </row>
    <row r="12" spans="2:13" ht="13.5" thickBot="1"/>
    <row r="13" spans="2:13" ht="26.1" customHeight="1" thickBot="1">
      <c r="C13" s="25" t="s">
        <v>4613</v>
      </c>
      <c r="E13" s="24" t="s">
        <v>887</v>
      </c>
      <c r="I13" s="24" t="s">
        <v>885</v>
      </c>
      <c r="K13" s="25" t="s">
        <v>4614</v>
      </c>
    </row>
    <row r="14" spans="2:13" ht="13.5" thickBot="1"/>
    <row r="15" spans="2:13" ht="27" customHeight="1" thickBot="1">
      <c r="C15" s="25" t="s">
        <v>5296</v>
      </c>
      <c r="G15" s="18" t="s">
        <v>2280</v>
      </c>
      <c r="I15" s="24" t="s">
        <v>886</v>
      </c>
      <c r="K15" s="25" t="s">
        <v>4615</v>
      </c>
    </row>
    <row r="16" spans="2:13" ht="13.5" thickBot="1"/>
    <row r="17" spans="3:13" ht="26.1" customHeight="1" thickBot="1">
      <c r="E17" s="24" t="s">
        <v>2457</v>
      </c>
      <c r="G17" s="25" t="s">
        <v>4616</v>
      </c>
      <c r="I17" s="18" t="s">
        <v>2281</v>
      </c>
      <c r="K17" s="18" t="s">
        <v>2277</v>
      </c>
    </row>
    <row r="18" spans="3:13" ht="13.5" thickBot="1"/>
    <row r="19" spans="3:13" ht="26.25" thickBot="1">
      <c r="C19" s="24" t="s">
        <v>888</v>
      </c>
      <c r="E19" s="24" t="s">
        <v>897</v>
      </c>
      <c r="G19" s="24" t="s">
        <v>2276</v>
      </c>
      <c r="M19" s="23" t="s">
        <v>352</v>
      </c>
    </row>
    <row r="20" spans="3:13" ht="13.5" thickBot="1"/>
    <row r="21" spans="3:13" ht="26.1" customHeight="1" thickBot="1">
      <c r="E21" s="25" t="s">
        <v>4617</v>
      </c>
      <c r="G21" s="25" t="s">
        <v>4618</v>
      </c>
      <c r="I21" s="23" t="s">
        <v>1763</v>
      </c>
      <c r="K21" s="23" t="s">
        <v>1764</v>
      </c>
      <c r="M21" s="23" t="s">
        <v>1765</v>
      </c>
    </row>
    <row r="22" spans="3:13" ht="5.0999999999999996" customHeight="1"/>
    <row r="23" spans="3:13" ht="28.5" customHeight="1">
      <c r="C23" s="3918" t="s">
        <v>10001</v>
      </c>
      <c r="D23" s="3918"/>
      <c r="E23" s="3918"/>
      <c r="F23" s="3918"/>
      <c r="K23" s="3919" t="s">
        <v>4671</v>
      </c>
      <c r="L23" s="3919"/>
      <c r="M23" s="3919"/>
    </row>
  </sheetData>
  <sheetProtection autoFilter="0"/>
  <mergeCells count="5">
    <mergeCell ref="C23:F23"/>
    <mergeCell ref="K23:M23"/>
    <mergeCell ref="B1:C1"/>
    <mergeCell ref="B3:M3"/>
    <mergeCell ref="D1:M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105" orientation="landscape" r:id="rId1"/>
  <headerFooter alignWithMargins="0"/>
  <drawing r:id="rId2"/>
</worksheet>
</file>

<file path=xl/worksheets/sheet71.xml><?xml version="1.0" encoding="utf-8"?>
<worksheet xmlns="http://schemas.openxmlformats.org/spreadsheetml/2006/main" xmlns:r="http://schemas.openxmlformats.org/officeDocument/2006/relationships">
  <dimension ref="B1:M22"/>
  <sheetViews>
    <sheetView zoomScaleNormal="100" workbookViewId="0">
      <pane ySplit="3" topLeftCell="A4" activePane="bottomLeft" state="frozen"/>
      <selection pane="bottomLeft" activeCell="B1" sqref="B1:C1"/>
    </sheetView>
  </sheetViews>
  <sheetFormatPr defaultRowHeight="12.75"/>
  <cols>
    <col min="1" max="1" width="3.7109375" style="4" customWidth="1"/>
    <col min="2" max="2" width="6.7109375" style="4" customWidth="1"/>
    <col min="3" max="3" width="15.7109375" style="4" customWidth="1"/>
    <col min="4" max="4" width="4.28515625" style="4" customWidth="1"/>
    <col min="5" max="5" width="15.7109375" style="4" customWidth="1"/>
    <col min="6" max="6" width="4.28515625" style="4" customWidth="1"/>
    <col min="7" max="7" width="15.7109375" style="4" customWidth="1"/>
    <col min="8" max="8" width="4.28515625" style="4" customWidth="1"/>
    <col min="9" max="9" width="15.7109375" style="4" customWidth="1"/>
    <col min="10" max="10" width="4.28515625" style="4" customWidth="1"/>
    <col min="11" max="11" width="15.7109375" style="4" customWidth="1"/>
    <col min="12" max="12" width="4.28515625" style="4" customWidth="1"/>
    <col min="13" max="13" width="15.7109375" style="4" customWidth="1"/>
    <col min="14" max="14" width="4.28515625" style="4" customWidth="1"/>
    <col min="15" max="15" width="15.7109375" style="4" customWidth="1"/>
    <col min="16" max="16384" width="9.140625" style="4"/>
  </cols>
  <sheetData>
    <row r="1" spans="2:13">
      <c r="B1" s="3924" t="s">
        <v>2706</v>
      </c>
      <c r="C1" s="3924"/>
      <c r="D1" s="3926" t="s">
        <v>8269</v>
      </c>
      <c r="E1" s="3926"/>
      <c r="F1" s="3926"/>
      <c r="G1" s="3926"/>
      <c r="H1" s="3926"/>
      <c r="I1" s="3926"/>
      <c r="J1" s="3926"/>
      <c r="K1" s="3926"/>
      <c r="L1" s="3926"/>
      <c r="M1" s="3926"/>
    </row>
    <row r="2" spans="2:13" s="61" customFormat="1" ht="5.0999999999999996" customHeight="1">
      <c r="B2" s="739"/>
      <c r="C2" s="739"/>
      <c r="D2" s="740"/>
      <c r="E2" s="740"/>
      <c r="F2" s="740"/>
      <c r="G2" s="740"/>
      <c r="H2" s="740"/>
      <c r="I2" s="740"/>
      <c r="J2" s="740"/>
      <c r="K2" s="740"/>
      <c r="L2" s="740"/>
      <c r="M2" s="740"/>
    </row>
    <row r="3" spans="2:13" ht="12.75" customHeight="1">
      <c r="B3" s="3925" t="s">
        <v>4593</v>
      </c>
      <c r="C3" s="3925"/>
      <c r="D3" s="3925"/>
      <c r="E3" s="3925"/>
      <c r="F3" s="3925"/>
      <c r="G3" s="3925"/>
      <c r="H3" s="3925"/>
      <c r="I3" s="3925"/>
      <c r="J3" s="3925"/>
      <c r="K3" s="3925"/>
      <c r="L3" s="3925"/>
      <c r="M3" s="3925"/>
    </row>
    <row r="4" spans="2:13" ht="5.0999999999999996" customHeight="1" thickBot="1"/>
    <row r="5" spans="2:13" ht="26.1" customHeight="1" thickBot="1">
      <c r="C5" s="6" t="s">
        <v>1641</v>
      </c>
      <c r="E5" s="5" t="s">
        <v>2404</v>
      </c>
      <c r="G5" s="7" t="s">
        <v>212</v>
      </c>
      <c r="I5" s="6" t="s">
        <v>123</v>
      </c>
      <c r="K5" s="6" t="s">
        <v>5598</v>
      </c>
      <c r="L5" s="8"/>
      <c r="M5" s="10" t="s">
        <v>1765</v>
      </c>
    </row>
    <row r="6" spans="2:13" ht="13.5" thickBot="1"/>
    <row r="7" spans="2:13" ht="26.1" customHeight="1" thickBot="1">
      <c r="C7" s="5" t="s">
        <v>876</v>
      </c>
      <c r="E7" s="9" t="s">
        <v>213</v>
      </c>
      <c r="G7" s="9" t="s">
        <v>627</v>
      </c>
      <c r="K7" s="9" t="s">
        <v>2403</v>
      </c>
      <c r="L7" s="8"/>
      <c r="M7" s="10" t="s">
        <v>1764</v>
      </c>
    </row>
    <row r="8" spans="2:13" ht="13.5" customHeight="1" thickBot="1"/>
    <row r="9" spans="2:13" ht="26.1" customHeight="1" thickBot="1">
      <c r="C9" s="6" t="s">
        <v>340</v>
      </c>
      <c r="E9" s="9" t="s">
        <v>214</v>
      </c>
      <c r="G9" s="9" t="s">
        <v>2156</v>
      </c>
      <c r="I9" s="6" t="s">
        <v>124</v>
      </c>
      <c r="M9" s="10" t="s">
        <v>1763</v>
      </c>
    </row>
    <row r="10" spans="2:13" ht="13.5" thickBot="1"/>
    <row r="11" spans="2:13" ht="26.1" customHeight="1" thickBot="1">
      <c r="C11" s="5" t="s">
        <v>2405</v>
      </c>
      <c r="E11" s="9" t="s">
        <v>2402</v>
      </c>
      <c r="G11" s="10" t="s">
        <v>381</v>
      </c>
      <c r="L11" s="8"/>
      <c r="M11" s="10" t="s">
        <v>352</v>
      </c>
    </row>
    <row r="12" spans="2:13" ht="13.5" thickBot="1"/>
    <row r="13" spans="2:13" ht="26.1" customHeight="1" thickBot="1">
      <c r="E13" s="6" t="s">
        <v>122</v>
      </c>
    </row>
    <row r="14" spans="2:13" ht="13.5" thickBot="1"/>
    <row r="15" spans="2:13" ht="26.1" customHeight="1" thickBot="1">
      <c r="C15" s="12"/>
      <c r="D15" s="12"/>
      <c r="E15" s="11" t="s">
        <v>4622</v>
      </c>
      <c r="F15" s="12"/>
      <c r="G15" s="12"/>
      <c r="H15" s="12"/>
      <c r="I15" s="11" t="s">
        <v>4621</v>
      </c>
      <c r="J15" s="12"/>
      <c r="K15" s="12"/>
      <c r="L15" s="12"/>
      <c r="M15" s="12"/>
    </row>
    <row r="16" spans="2:13" ht="13.5" thickBot="1">
      <c r="C16" s="12"/>
      <c r="D16" s="12"/>
      <c r="E16" s="12"/>
      <c r="F16" s="12"/>
      <c r="G16" s="12"/>
      <c r="H16" s="12"/>
      <c r="I16" s="12"/>
      <c r="J16" s="12"/>
      <c r="K16" s="12"/>
      <c r="L16" s="12"/>
      <c r="M16" s="12"/>
    </row>
    <row r="17" spans="3:13" ht="26.1" customHeight="1" thickBot="1">
      <c r="C17" s="11" t="s">
        <v>4623</v>
      </c>
      <c r="D17" s="12"/>
      <c r="E17" s="13" t="s">
        <v>970</v>
      </c>
      <c r="F17" s="12"/>
      <c r="G17" s="13" t="s">
        <v>969</v>
      </c>
      <c r="H17" s="12"/>
      <c r="I17" s="13" t="s">
        <v>1573</v>
      </c>
      <c r="J17" s="12"/>
      <c r="K17" s="13" t="s">
        <v>967</v>
      </c>
      <c r="L17" s="12"/>
      <c r="M17" s="11" t="s">
        <v>4619</v>
      </c>
    </row>
    <row r="18" spans="3:13" ht="13.5" thickBot="1">
      <c r="C18" s="12"/>
      <c r="D18" s="12"/>
      <c r="E18" s="12"/>
      <c r="F18" s="12"/>
      <c r="G18" s="12"/>
      <c r="H18" s="12"/>
      <c r="I18" s="12"/>
      <c r="J18" s="12"/>
      <c r="K18" s="12"/>
      <c r="L18" s="12"/>
      <c r="M18" s="12"/>
    </row>
    <row r="19" spans="3:13" ht="27" customHeight="1" thickBot="1">
      <c r="C19" s="11" t="s">
        <v>4625</v>
      </c>
      <c r="D19" s="12"/>
      <c r="E19" s="13" t="s">
        <v>1325</v>
      </c>
      <c r="F19" s="12"/>
      <c r="G19" s="13" t="s">
        <v>971</v>
      </c>
      <c r="H19" s="12"/>
      <c r="I19" s="13" t="s">
        <v>968</v>
      </c>
      <c r="J19" s="12"/>
      <c r="K19" s="11" t="s">
        <v>4620</v>
      </c>
      <c r="L19" s="12"/>
    </row>
    <row r="20" spans="3:13" ht="13.5" thickBot="1">
      <c r="C20" s="12"/>
      <c r="D20" s="12"/>
      <c r="E20" s="12"/>
      <c r="F20" s="12"/>
      <c r="G20" s="12"/>
      <c r="H20" s="12"/>
      <c r="I20" s="12"/>
      <c r="J20" s="12"/>
      <c r="K20" s="12"/>
      <c r="L20" s="12"/>
      <c r="M20" s="12"/>
    </row>
    <row r="21" spans="3:13" ht="26.1" customHeight="1" thickBot="1">
      <c r="C21" s="12"/>
      <c r="D21" s="12"/>
      <c r="E21" s="12"/>
      <c r="F21" s="12"/>
      <c r="G21" s="11" t="s">
        <v>4624</v>
      </c>
      <c r="H21" s="12"/>
      <c r="I21" s="14" t="s">
        <v>2757</v>
      </c>
      <c r="J21" s="12"/>
      <c r="L21" s="12"/>
      <c r="M21" s="12"/>
    </row>
    <row r="22" spans="3:13" ht="27.75" customHeight="1">
      <c r="C22" s="3922" t="s">
        <v>10001</v>
      </c>
      <c r="D22" s="3922"/>
      <c r="E22" s="3922"/>
      <c r="F22" s="3922"/>
      <c r="K22" s="3923" t="s">
        <v>4671</v>
      </c>
      <c r="L22" s="3923"/>
      <c r="M22" s="3923"/>
    </row>
  </sheetData>
  <sheetProtection autoFilter="0"/>
  <mergeCells count="5">
    <mergeCell ref="C22:F22"/>
    <mergeCell ref="K22:M22"/>
    <mergeCell ref="B1:C1"/>
    <mergeCell ref="B3:M3"/>
    <mergeCell ref="D1:M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105" orientation="landscape" r:id="rId1"/>
  <headerFooter alignWithMargins="0"/>
  <drawing r:id="rId2"/>
</worksheet>
</file>

<file path=xl/worksheets/sheet72.xml><?xml version="1.0" encoding="utf-8"?>
<worksheet xmlns="http://schemas.openxmlformats.org/spreadsheetml/2006/main" xmlns:r="http://schemas.openxmlformats.org/officeDocument/2006/relationships">
  <dimension ref="B1:M23"/>
  <sheetViews>
    <sheetView zoomScaleNormal="100" workbookViewId="0">
      <pane ySplit="3" topLeftCell="A4" activePane="bottomLeft" state="frozen"/>
      <selection pane="bottomLeft"/>
    </sheetView>
  </sheetViews>
  <sheetFormatPr defaultRowHeight="12.75"/>
  <cols>
    <col min="1" max="1" width="3.7109375" style="17" customWidth="1"/>
    <col min="2" max="2" width="6.7109375" style="17" customWidth="1"/>
    <col min="3" max="3" width="15.7109375" style="17" customWidth="1"/>
    <col min="4" max="4" width="4.28515625" style="17" customWidth="1"/>
    <col min="5" max="5" width="15.7109375" style="17" customWidth="1"/>
    <col min="6" max="6" width="4.28515625" style="17" customWidth="1"/>
    <col min="7" max="7" width="15.7109375" style="17" customWidth="1"/>
    <col min="8" max="8" width="4.28515625" style="17" customWidth="1"/>
    <col min="9" max="9" width="15.7109375" style="17" customWidth="1"/>
    <col min="10" max="10" width="4.28515625" style="17" customWidth="1"/>
    <col min="11" max="11" width="15.7109375" style="17" customWidth="1"/>
    <col min="12" max="12" width="4.28515625" style="17" customWidth="1"/>
    <col min="13" max="13" width="15.7109375" style="17" customWidth="1"/>
    <col min="14" max="14" width="4.28515625" style="17" customWidth="1"/>
    <col min="15" max="15" width="15.7109375" style="17" customWidth="1"/>
    <col min="16" max="16384" width="9.140625" style="17"/>
  </cols>
  <sheetData>
    <row r="1" spans="2:13">
      <c r="B1" s="3920" t="s">
        <v>2706</v>
      </c>
      <c r="C1" s="3920"/>
      <c r="D1" s="2941" t="s">
        <v>8269</v>
      </c>
      <c r="E1" s="2941"/>
      <c r="F1" s="2941"/>
      <c r="G1" s="2941"/>
      <c r="H1" s="2941"/>
      <c r="I1" s="2941"/>
      <c r="J1" s="2941"/>
      <c r="K1" s="2941"/>
      <c r="L1" s="2941"/>
      <c r="M1" s="2941"/>
    </row>
    <row r="2" spans="2:13" s="288" customFormat="1" ht="5.0999999999999996" customHeight="1">
      <c r="B2" s="735"/>
      <c r="C2" s="735"/>
      <c r="D2" s="738"/>
      <c r="E2" s="738"/>
      <c r="F2" s="738"/>
      <c r="G2" s="738"/>
      <c r="H2" s="738"/>
      <c r="I2" s="738"/>
      <c r="J2" s="738"/>
      <c r="K2" s="738"/>
      <c r="L2" s="738"/>
      <c r="M2" s="738"/>
    </row>
    <row r="3" spans="2:13" ht="12.75" customHeight="1">
      <c r="B3" s="3921" t="s">
        <v>4595</v>
      </c>
      <c r="C3" s="3921"/>
      <c r="D3" s="3921"/>
      <c r="E3" s="3921"/>
      <c r="F3" s="3921"/>
      <c r="G3" s="3921"/>
      <c r="H3" s="3921"/>
      <c r="I3" s="3921"/>
      <c r="J3" s="3921"/>
      <c r="K3" s="3921"/>
      <c r="L3" s="3921"/>
      <c r="M3" s="3921"/>
    </row>
    <row r="4" spans="2:13" ht="5.0999999999999996" customHeight="1" thickBot="1"/>
    <row r="5" spans="2:13" ht="26.1" customHeight="1" thickBot="1">
      <c r="C5" s="18" t="s">
        <v>341</v>
      </c>
      <c r="E5" s="19" t="s">
        <v>2404</v>
      </c>
      <c r="G5" s="20" t="s">
        <v>212</v>
      </c>
      <c r="I5" s="18" t="s">
        <v>2525</v>
      </c>
      <c r="K5" s="18" t="s">
        <v>10117</v>
      </c>
      <c r="L5" s="21"/>
      <c r="M5" s="23" t="s">
        <v>1765</v>
      </c>
    </row>
    <row r="6" spans="2:13" ht="13.5" thickBot="1"/>
    <row r="7" spans="2:13" ht="26.1" customHeight="1" thickBot="1">
      <c r="C7" s="19" t="s">
        <v>876</v>
      </c>
      <c r="E7" s="22" t="s">
        <v>213</v>
      </c>
      <c r="G7" s="22" t="s">
        <v>627</v>
      </c>
      <c r="K7" s="22" t="s">
        <v>2403</v>
      </c>
      <c r="L7" s="21"/>
      <c r="M7" s="23" t="s">
        <v>1764</v>
      </c>
    </row>
    <row r="8" spans="2:13" ht="13.5" customHeight="1" thickBot="1"/>
    <row r="9" spans="2:13" ht="26.1" customHeight="1" thickBot="1">
      <c r="C9" s="18" t="s">
        <v>340</v>
      </c>
      <c r="E9" s="22" t="s">
        <v>214</v>
      </c>
      <c r="G9" s="22" t="s">
        <v>2156</v>
      </c>
      <c r="M9" s="23" t="s">
        <v>1763</v>
      </c>
    </row>
    <row r="10" spans="2:13" ht="13.5" thickBot="1"/>
    <row r="11" spans="2:13" ht="26.1" customHeight="1" thickBot="1">
      <c r="C11" s="19" t="s">
        <v>2405</v>
      </c>
      <c r="E11" s="22" t="s">
        <v>2402</v>
      </c>
      <c r="G11" s="23" t="s">
        <v>381</v>
      </c>
      <c r="L11" s="21"/>
      <c r="M11" s="23" t="s">
        <v>352</v>
      </c>
    </row>
    <row r="12" spans="2:13" ht="13.5" thickBot="1"/>
    <row r="13" spans="2:13" ht="26.1" customHeight="1" thickBot="1">
      <c r="G13" s="18" t="s">
        <v>4626</v>
      </c>
    </row>
    <row r="14" spans="2:13" ht="13.5" thickBot="1"/>
    <row r="15" spans="2:13" ht="26.1" customHeight="1" thickBot="1">
      <c r="G15" s="25" t="s">
        <v>4630</v>
      </c>
      <c r="I15" s="25" t="s">
        <v>4628</v>
      </c>
      <c r="M15" s="25" t="s">
        <v>4627</v>
      </c>
    </row>
    <row r="16" spans="2:13" ht="13.5" thickBot="1"/>
    <row r="17" spans="3:13" ht="26.1" customHeight="1" thickBot="1">
      <c r="C17" s="25" t="s">
        <v>4631</v>
      </c>
      <c r="E17" s="743" t="s">
        <v>776</v>
      </c>
      <c r="I17" s="743" t="s">
        <v>1770</v>
      </c>
      <c r="K17" s="743" t="s">
        <v>2118</v>
      </c>
    </row>
    <row r="18" spans="3:13" ht="13.5" thickBot="1"/>
    <row r="19" spans="3:13" ht="27" customHeight="1" thickBot="1">
      <c r="C19" s="25" t="s">
        <v>4632</v>
      </c>
      <c r="E19" s="743" t="s">
        <v>1774</v>
      </c>
      <c r="G19" s="743" t="s">
        <v>1772</v>
      </c>
      <c r="K19" s="743" t="s">
        <v>1771</v>
      </c>
      <c r="M19" s="18" t="s">
        <v>2526</v>
      </c>
    </row>
    <row r="20" spans="3:13" ht="13.5" thickBot="1"/>
    <row r="21" spans="3:13" ht="26.1" customHeight="1" thickBot="1">
      <c r="C21" s="25" t="s">
        <v>4633</v>
      </c>
      <c r="E21" s="743" t="s">
        <v>1775</v>
      </c>
      <c r="K21" s="25" t="s">
        <v>4629</v>
      </c>
      <c r="M21" s="18" t="s">
        <v>2527</v>
      </c>
    </row>
    <row r="22" spans="3:13" ht="5.0999999999999996" customHeight="1"/>
    <row r="23" spans="3:13" ht="29.25" customHeight="1">
      <c r="C23" s="3918" t="s">
        <v>10001</v>
      </c>
      <c r="D23" s="3918"/>
      <c r="E23" s="3918"/>
      <c r="F23" s="3918"/>
      <c r="K23" s="3919" t="s">
        <v>4671</v>
      </c>
      <c r="L23" s="3919"/>
      <c r="M23" s="3919"/>
    </row>
  </sheetData>
  <sheetProtection autoFilter="0"/>
  <mergeCells count="5">
    <mergeCell ref="C23:F23"/>
    <mergeCell ref="K23:M23"/>
    <mergeCell ref="B1:C1"/>
    <mergeCell ref="B3:M3"/>
    <mergeCell ref="D1:M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105" orientation="landscape" r:id="rId1"/>
  <headerFooter alignWithMargins="0"/>
  <drawing r:id="rId2"/>
</worksheet>
</file>

<file path=xl/worksheets/sheet73.xml><?xml version="1.0" encoding="utf-8"?>
<worksheet xmlns="http://schemas.openxmlformats.org/spreadsheetml/2006/main" xmlns:r="http://schemas.openxmlformats.org/officeDocument/2006/relationships">
  <dimension ref="B1:M25"/>
  <sheetViews>
    <sheetView zoomScaleNormal="100" workbookViewId="0">
      <pane ySplit="3" topLeftCell="A4" activePane="bottomLeft" state="frozen"/>
      <selection pane="bottomLeft" activeCell="B1" sqref="B1:C1"/>
    </sheetView>
  </sheetViews>
  <sheetFormatPr defaultRowHeight="12.75"/>
  <cols>
    <col min="1" max="1" width="3.7109375" style="17" customWidth="1"/>
    <col min="2" max="2" width="6.7109375" style="17" customWidth="1"/>
    <col min="3" max="3" width="15.7109375" style="17" customWidth="1"/>
    <col min="4" max="4" width="4.28515625" style="17" customWidth="1"/>
    <col min="5" max="5" width="15.7109375" style="17" customWidth="1"/>
    <col min="6" max="6" width="4.28515625" style="17" customWidth="1"/>
    <col min="7" max="7" width="15.7109375" style="17" customWidth="1"/>
    <col min="8" max="8" width="4.28515625" style="17" customWidth="1"/>
    <col min="9" max="9" width="15.7109375" style="17" customWidth="1"/>
    <col min="10" max="10" width="4.28515625" style="17" customWidth="1"/>
    <col min="11" max="11" width="15.7109375" style="17" customWidth="1"/>
    <col min="12" max="12" width="4.28515625" style="17" customWidth="1"/>
    <col min="13" max="13" width="15.7109375" style="17" customWidth="1"/>
    <col min="14" max="16384" width="9.140625" style="17"/>
  </cols>
  <sheetData>
    <row r="1" spans="2:13">
      <c r="B1" s="3920" t="s">
        <v>2706</v>
      </c>
      <c r="C1" s="3920"/>
      <c r="D1" s="2941" t="s">
        <v>8269</v>
      </c>
      <c r="E1" s="2941"/>
      <c r="F1" s="2941"/>
      <c r="G1" s="2941"/>
      <c r="H1" s="2941"/>
      <c r="I1" s="2941"/>
      <c r="J1" s="2941"/>
      <c r="K1" s="2941"/>
      <c r="L1" s="2941"/>
      <c r="M1" s="2941"/>
    </row>
    <row r="2" spans="2:13" s="288" customFormat="1" ht="5.0999999999999996" customHeight="1">
      <c r="B2" s="735"/>
      <c r="C2" s="735"/>
      <c r="D2" s="738"/>
      <c r="E2" s="738"/>
      <c r="F2" s="738"/>
      <c r="G2" s="738"/>
      <c r="H2" s="738"/>
      <c r="I2" s="738"/>
      <c r="J2" s="738"/>
      <c r="K2" s="738"/>
      <c r="L2" s="738"/>
      <c r="M2" s="738"/>
    </row>
    <row r="3" spans="2:13" ht="12.75" customHeight="1">
      <c r="B3" s="3921" t="s">
        <v>4597</v>
      </c>
      <c r="C3" s="3921"/>
      <c r="D3" s="3921"/>
      <c r="E3" s="3921"/>
      <c r="F3" s="3921"/>
      <c r="G3" s="3921"/>
      <c r="H3" s="3921"/>
      <c r="I3" s="3921"/>
      <c r="J3" s="3921"/>
      <c r="K3" s="3921"/>
      <c r="L3" s="3921"/>
      <c r="M3" s="3921"/>
    </row>
    <row r="4" spans="2:13" ht="5.0999999999999996" customHeight="1" thickBot="1"/>
    <row r="5" spans="2:13" ht="26.1" customHeight="1" thickBot="1">
      <c r="C5" s="18" t="s">
        <v>340</v>
      </c>
      <c r="E5" s="19" t="s">
        <v>2404</v>
      </c>
      <c r="G5" s="20" t="s">
        <v>212</v>
      </c>
      <c r="I5" s="18" t="s">
        <v>5805</v>
      </c>
      <c r="J5" s="21"/>
      <c r="K5" s="18" t="s">
        <v>1723</v>
      </c>
      <c r="M5" s="23" t="s">
        <v>381</v>
      </c>
    </row>
    <row r="6" spans="2:13" ht="13.5" thickBot="1"/>
    <row r="7" spans="2:13" ht="26.1" customHeight="1" thickBot="1">
      <c r="C7" s="19" t="s">
        <v>876</v>
      </c>
      <c r="E7" s="22" t="s">
        <v>213</v>
      </c>
      <c r="J7" s="21"/>
    </row>
    <row r="8" spans="2:13" ht="13.5" customHeight="1" thickBot="1"/>
    <row r="9" spans="2:13" ht="26.1" customHeight="1" thickBot="1">
      <c r="C9" s="18" t="s">
        <v>1641</v>
      </c>
      <c r="E9" s="22" t="s">
        <v>214</v>
      </c>
      <c r="G9" s="22" t="s">
        <v>627</v>
      </c>
      <c r="I9" s="22" t="s">
        <v>2403</v>
      </c>
      <c r="K9" s="18" t="s">
        <v>1722</v>
      </c>
    </row>
    <row r="10" spans="2:13" ht="13.5" thickBot="1"/>
    <row r="11" spans="2:13" ht="26.1" customHeight="1" thickBot="1">
      <c r="C11" s="19" t="s">
        <v>2405</v>
      </c>
      <c r="E11" s="22" t="s">
        <v>2402</v>
      </c>
      <c r="G11" s="22" t="s">
        <v>2156</v>
      </c>
      <c r="J11" s="21"/>
      <c r="K11" s="18" t="s">
        <v>1724</v>
      </c>
    </row>
    <row r="12" spans="2:13" ht="13.5" thickBot="1"/>
    <row r="13" spans="2:13" ht="26.1" customHeight="1" thickBot="1">
      <c r="G13" s="18" t="s">
        <v>1725</v>
      </c>
    </row>
    <row r="14" spans="2:13" ht="13.5" thickBot="1"/>
    <row r="15" spans="2:13" ht="26.1" customHeight="1" thickBot="1">
      <c r="E15" s="25" t="s">
        <v>4638</v>
      </c>
      <c r="G15" s="24" t="s">
        <v>1160</v>
      </c>
      <c r="I15" s="24" t="s">
        <v>492</v>
      </c>
      <c r="K15" s="25" t="s">
        <v>4640</v>
      </c>
    </row>
    <row r="16" spans="2:13" ht="13.5" thickBot="1"/>
    <row r="17" spans="3:13" ht="27" customHeight="1" thickBot="1">
      <c r="E17" s="25" t="s">
        <v>4637</v>
      </c>
      <c r="G17" s="24" t="s">
        <v>1161</v>
      </c>
      <c r="I17" s="24" t="s">
        <v>493</v>
      </c>
      <c r="K17" s="25" t="s">
        <v>4639</v>
      </c>
    </row>
    <row r="18" spans="3:13" ht="13.5" thickBot="1"/>
    <row r="19" spans="3:13" ht="26.1" customHeight="1" thickBot="1">
      <c r="C19" s="25" t="s">
        <v>4635</v>
      </c>
      <c r="E19" s="24" t="s">
        <v>155</v>
      </c>
      <c r="G19" s="24" t="s">
        <v>1163</v>
      </c>
      <c r="I19" s="25" t="s">
        <v>4636</v>
      </c>
    </row>
    <row r="20" spans="3:13" ht="13.5" thickBot="1"/>
    <row r="21" spans="3:13" ht="26.1" customHeight="1" thickBot="1">
      <c r="G21" s="24" t="s">
        <v>1162</v>
      </c>
      <c r="M21" s="23" t="s">
        <v>352</v>
      </c>
    </row>
    <row r="22" spans="3:13" ht="13.5" thickBot="1"/>
    <row r="23" spans="3:13" ht="26.1" customHeight="1" thickBot="1">
      <c r="C23" s="3919" t="s">
        <v>4671</v>
      </c>
      <c r="D23" s="3919"/>
      <c r="E23" s="3919"/>
      <c r="G23" s="25" t="s">
        <v>4634</v>
      </c>
      <c r="I23" s="23" t="s">
        <v>1763</v>
      </c>
      <c r="K23" s="23" t="s">
        <v>1764</v>
      </c>
      <c r="M23" s="23" t="s">
        <v>1765</v>
      </c>
    </row>
    <row r="24" spans="3:13">
      <c r="C24" s="3927" t="s">
        <v>10001</v>
      </c>
      <c r="D24" s="3927"/>
      <c r="E24" s="3927"/>
    </row>
    <row r="25" spans="3:13" ht="12.75" customHeight="1">
      <c r="F25" s="679"/>
    </row>
  </sheetData>
  <sheetProtection autoFilter="0"/>
  <mergeCells count="5">
    <mergeCell ref="C24:E24"/>
    <mergeCell ref="C23:E23"/>
    <mergeCell ref="B1:C1"/>
    <mergeCell ref="B3:M3"/>
    <mergeCell ref="D1:M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105" orientation="landscape" r:id="rId1"/>
  <headerFooter alignWithMargins="0"/>
  <drawing r:id="rId2"/>
</worksheet>
</file>

<file path=xl/worksheets/sheet74.xml><?xml version="1.0" encoding="utf-8"?>
<worksheet xmlns="http://schemas.openxmlformats.org/spreadsheetml/2006/main" xmlns:r="http://schemas.openxmlformats.org/officeDocument/2006/relationships">
  <dimension ref="B1:M24"/>
  <sheetViews>
    <sheetView zoomScaleNormal="100" workbookViewId="0">
      <pane ySplit="3" topLeftCell="A4" activePane="bottomLeft" state="frozen"/>
      <selection pane="bottomLeft" activeCell="B1" sqref="B1:C1"/>
    </sheetView>
  </sheetViews>
  <sheetFormatPr defaultRowHeight="12.75"/>
  <cols>
    <col min="1" max="1" width="3.7109375" style="17" customWidth="1"/>
    <col min="2" max="2" width="6.7109375" style="17" customWidth="1"/>
    <col min="3" max="3" width="15.7109375" style="17" customWidth="1"/>
    <col min="4" max="4" width="4.28515625" style="17" customWidth="1"/>
    <col min="5" max="5" width="15.7109375" style="17" customWidth="1"/>
    <col min="6" max="6" width="4.28515625" style="17" customWidth="1"/>
    <col min="7" max="7" width="15.7109375" style="17" customWidth="1"/>
    <col min="8" max="8" width="4.28515625" style="17" customWidth="1"/>
    <col min="9" max="9" width="15.7109375" style="17" customWidth="1"/>
    <col min="10" max="10" width="4.28515625" style="17" customWidth="1"/>
    <col min="11" max="11" width="15.7109375" style="17" customWidth="1"/>
    <col min="12" max="12" width="4.28515625" style="17" customWidth="1"/>
    <col min="13" max="13" width="15.7109375" style="17" customWidth="1"/>
    <col min="14" max="16384" width="9.140625" style="17"/>
  </cols>
  <sheetData>
    <row r="1" spans="2:13">
      <c r="B1" s="3920" t="s">
        <v>2706</v>
      </c>
      <c r="C1" s="3920"/>
      <c r="D1" s="2941" t="s">
        <v>8269</v>
      </c>
      <c r="E1" s="2941"/>
      <c r="F1" s="2941"/>
      <c r="G1" s="2941"/>
      <c r="H1" s="2941"/>
      <c r="I1" s="2941"/>
      <c r="J1" s="2941"/>
      <c r="K1" s="2941"/>
      <c r="L1" s="2941"/>
      <c r="M1" s="2941"/>
    </row>
    <row r="2" spans="2:13" s="288" customFormat="1" ht="5.0999999999999996" customHeight="1">
      <c r="B2" s="735"/>
      <c r="C2" s="735"/>
      <c r="D2" s="738"/>
      <c r="E2" s="738"/>
      <c r="F2" s="738"/>
      <c r="G2" s="738"/>
      <c r="H2" s="738"/>
      <c r="I2" s="738"/>
      <c r="J2" s="738"/>
      <c r="K2" s="738"/>
      <c r="L2" s="738"/>
      <c r="M2" s="738"/>
    </row>
    <row r="3" spans="2:13" ht="12.75" customHeight="1">
      <c r="B3" s="3921" t="s">
        <v>4599</v>
      </c>
      <c r="C3" s="3921"/>
      <c r="D3" s="3921"/>
      <c r="E3" s="3921"/>
      <c r="F3" s="3921"/>
      <c r="G3" s="3921"/>
      <c r="H3" s="3921"/>
      <c r="I3" s="3921"/>
      <c r="J3" s="3921"/>
      <c r="K3" s="3921"/>
      <c r="L3" s="3921"/>
      <c r="M3" s="3921"/>
    </row>
    <row r="4" spans="2:13" ht="5.0999999999999996" customHeight="1" thickBot="1"/>
    <row r="5" spans="2:13" ht="26.1" customHeight="1" thickBot="1">
      <c r="C5" s="18" t="s">
        <v>340</v>
      </c>
      <c r="E5" s="19" t="s">
        <v>2404</v>
      </c>
      <c r="G5" s="20" t="s">
        <v>212</v>
      </c>
      <c r="I5" s="18" t="s">
        <v>1177</v>
      </c>
      <c r="K5" s="18" t="s">
        <v>5804</v>
      </c>
      <c r="L5" s="21"/>
    </row>
    <row r="6" spans="2:13" ht="13.5" thickBot="1"/>
    <row r="7" spans="2:13" ht="26.1" customHeight="1" thickBot="1">
      <c r="C7" s="19" t="s">
        <v>876</v>
      </c>
      <c r="E7" s="22" t="s">
        <v>213</v>
      </c>
      <c r="G7" s="22" t="s">
        <v>627</v>
      </c>
      <c r="K7" s="22" t="s">
        <v>2403</v>
      </c>
      <c r="L7" s="21"/>
      <c r="M7" s="18" t="s">
        <v>1181</v>
      </c>
    </row>
    <row r="8" spans="2:13" ht="13.5" customHeight="1" thickBot="1"/>
    <row r="9" spans="2:13" ht="26.1" customHeight="1" thickBot="1">
      <c r="C9" s="19" t="s">
        <v>2405</v>
      </c>
      <c r="E9" s="22" t="s">
        <v>214</v>
      </c>
      <c r="G9" s="22" t="s">
        <v>2156</v>
      </c>
    </row>
    <row r="10" spans="2:13" ht="13.5" thickBot="1"/>
    <row r="11" spans="2:13" ht="26.1" customHeight="1" thickBot="1">
      <c r="C11" s="23" t="s">
        <v>381</v>
      </c>
      <c r="E11" s="18" t="s">
        <v>458</v>
      </c>
      <c r="G11" s="22" t="s">
        <v>2402</v>
      </c>
      <c r="L11" s="21"/>
    </row>
    <row r="12" spans="2:13" ht="13.5" thickBot="1"/>
    <row r="13" spans="2:13" ht="26.1" customHeight="1" thickBot="1">
      <c r="G13" s="25" t="s">
        <v>4643</v>
      </c>
      <c r="I13" s="25" t="s">
        <v>4644</v>
      </c>
      <c r="M13" s="18" t="s">
        <v>1178</v>
      </c>
    </row>
    <row r="14" spans="2:13" ht="13.5" thickBot="1"/>
    <row r="15" spans="2:13" ht="26.1" customHeight="1" thickBot="1">
      <c r="I15" s="24" t="s">
        <v>2352</v>
      </c>
      <c r="K15" s="24" t="s">
        <v>2351</v>
      </c>
      <c r="M15" s="25" t="s">
        <v>4647</v>
      </c>
    </row>
    <row r="16" spans="2:13" ht="13.5" thickBot="1"/>
    <row r="17" spans="3:13" ht="27" customHeight="1" thickBot="1">
      <c r="E17" s="24" t="s">
        <v>2357</v>
      </c>
      <c r="G17" s="24" t="s">
        <v>2356</v>
      </c>
      <c r="I17" s="18" t="s">
        <v>1179</v>
      </c>
    </row>
    <row r="18" spans="3:13" ht="13.5" thickBot="1"/>
    <row r="19" spans="3:13" ht="26.1" customHeight="1" thickBot="1">
      <c r="E19" s="25" t="s">
        <v>4641</v>
      </c>
      <c r="G19" s="24" t="s">
        <v>2355</v>
      </c>
      <c r="I19" s="24" t="s">
        <v>2353</v>
      </c>
      <c r="K19" s="24" t="s">
        <v>2354</v>
      </c>
      <c r="M19" s="25" t="s">
        <v>4646</v>
      </c>
    </row>
    <row r="20" spans="3:13" ht="13.5" thickBot="1"/>
    <row r="21" spans="3:13" ht="26.1" customHeight="1" thickBot="1">
      <c r="C21" s="23" t="s">
        <v>352</v>
      </c>
      <c r="E21" s="25" t="s">
        <v>4642</v>
      </c>
      <c r="I21" s="25" t="s">
        <v>4645</v>
      </c>
    </row>
    <row r="22" spans="3:13" ht="13.5" thickBot="1"/>
    <row r="23" spans="3:13" ht="26.1" customHeight="1" thickBot="1">
      <c r="C23" s="23" t="s">
        <v>1763</v>
      </c>
      <c r="E23" s="23" t="s">
        <v>1764</v>
      </c>
      <c r="G23" s="23" t="s">
        <v>1765</v>
      </c>
      <c r="K23" s="3919" t="s">
        <v>4671</v>
      </c>
      <c r="L23" s="3919"/>
      <c r="M23" s="3919"/>
    </row>
    <row r="24" spans="3:13">
      <c r="C24" s="3927" t="s">
        <v>10001</v>
      </c>
      <c r="D24" s="3927"/>
      <c r="E24" s="3927"/>
    </row>
  </sheetData>
  <sheetProtection autoFilter="0"/>
  <mergeCells count="5">
    <mergeCell ref="K23:M23"/>
    <mergeCell ref="C24:E24"/>
    <mergeCell ref="B1:C1"/>
    <mergeCell ref="B3:M3"/>
    <mergeCell ref="D1:M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105" orientation="landscape" r:id="rId1"/>
  <headerFooter alignWithMargins="0"/>
  <drawing r:id="rId2"/>
</worksheet>
</file>

<file path=xl/worksheets/sheet75.xml><?xml version="1.0" encoding="utf-8"?>
<worksheet xmlns="http://schemas.openxmlformats.org/spreadsheetml/2006/main" xmlns:r="http://schemas.openxmlformats.org/officeDocument/2006/relationships">
  <dimension ref="B1:M26"/>
  <sheetViews>
    <sheetView zoomScaleNormal="100" workbookViewId="0">
      <pane ySplit="3" topLeftCell="A4" activePane="bottomLeft" state="frozen"/>
      <selection pane="bottomLeft" activeCell="B1" sqref="B1:C1"/>
    </sheetView>
  </sheetViews>
  <sheetFormatPr defaultRowHeight="12.75"/>
  <cols>
    <col min="1" max="1" width="3.7109375" style="17" customWidth="1"/>
    <col min="2" max="2" width="6.7109375" style="17" customWidth="1"/>
    <col min="3" max="3" width="15.7109375" style="17" customWidth="1"/>
    <col min="4" max="4" width="4.28515625" style="17" customWidth="1"/>
    <col min="5" max="5" width="15.7109375" style="17" customWidth="1"/>
    <col min="6" max="6" width="4.28515625" style="17" customWidth="1"/>
    <col min="7" max="7" width="15.7109375" style="17" customWidth="1"/>
    <col min="8" max="8" width="4.28515625" style="17" customWidth="1"/>
    <col min="9" max="9" width="15.7109375" style="17" customWidth="1"/>
    <col min="10" max="10" width="4.28515625" style="17" customWidth="1"/>
    <col min="11" max="11" width="15.7109375" style="17" customWidth="1"/>
    <col min="12" max="12" width="4.28515625" style="17" customWidth="1"/>
    <col min="13" max="13" width="15.7109375" style="17" customWidth="1"/>
    <col min="14" max="16384" width="9.140625" style="17"/>
  </cols>
  <sheetData>
    <row r="1" spans="2:13">
      <c r="B1" s="3920" t="s">
        <v>2706</v>
      </c>
      <c r="C1" s="3920"/>
      <c r="D1" s="2941" t="s">
        <v>8269</v>
      </c>
      <c r="E1" s="2941"/>
      <c r="F1" s="2941"/>
      <c r="G1" s="2941"/>
      <c r="H1" s="2941"/>
      <c r="I1" s="2941"/>
      <c r="J1" s="2941"/>
      <c r="K1" s="2941"/>
      <c r="L1" s="2941"/>
      <c r="M1" s="2941"/>
    </row>
    <row r="2" spans="2:13" s="288" customFormat="1" ht="5.0999999999999996" customHeight="1">
      <c r="B2" s="735"/>
      <c r="C2" s="735"/>
      <c r="D2" s="738"/>
      <c r="E2" s="738"/>
      <c r="F2" s="738"/>
      <c r="G2" s="738"/>
      <c r="H2" s="738"/>
      <c r="I2" s="738"/>
      <c r="J2" s="738"/>
      <c r="K2" s="738"/>
      <c r="L2" s="738"/>
      <c r="M2" s="738"/>
    </row>
    <row r="3" spans="2:13" ht="12.75" customHeight="1">
      <c r="B3" s="3921" t="s">
        <v>4600</v>
      </c>
      <c r="C3" s="3921"/>
      <c r="D3" s="3921"/>
      <c r="E3" s="3921"/>
      <c r="F3" s="3921"/>
      <c r="G3" s="3921"/>
      <c r="H3" s="3921"/>
      <c r="I3" s="3921"/>
      <c r="J3" s="3921"/>
      <c r="K3" s="3921"/>
      <c r="L3" s="3921"/>
      <c r="M3" s="3921"/>
    </row>
    <row r="4" spans="2:13" ht="5.0999999999999996" customHeight="1" thickBot="1"/>
    <row r="5" spans="2:13" ht="26.1" customHeight="1" thickBot="1">
      <c r="C5" s="23" t="s">
        <v>1763</v>
      </c>
      <c r="E5" s="22" t="s">
        <v>2402</v>
      </c>
      <c r="G5" s="22" t="s">
        <v>2156</v>
      </c>
      <c r="I5" s="22" t="s">
        <v>627</v>
      </c>
      <c r="K5" s="22" t="s">
        <v>2403</v>
      </c>
      <c r="L5" s="21"/>
      <c r="M5" s="20" t="s">
        <v>212</v>
      </c>
    </row>
    <row r="6" spans="2:13" ht="13.5" thickBot="1"/>
    <row r="7" spans="2:13" ht="26.1" customHeight="1" thickBot="1">
      <c r="C7" s="23" t="s">
        <v>352</v>
      </c>
      <c r="G7" s="18" t="s">
        <v>609</v>
      </c>
      <c r="I7" s="18" t="s">
        <v>611</v>
      </c>
      <c r="L7" s="21"/>
      <c r="M7" s="18" t="s">
        <v>4655</v>
      </c>
    </row>
    <row r="8" spans="2:13" ht="13.5" customHeight="1" thickBot="1"/>
    <row r="9" spans="2:13" ht="26.1" customHeight="1" thickBot="1">
      <c r="C9" s="23" t="s">
        <v>381</v>
      </c>
      <c r="E9" s="22" t="s">
        <v>214</v>
      </c>
      <c r="G9" s="22" t="s">
        <v>213</v>
      </c>
      <c r="I9" s="18" t="s">
        <v>608</v>
      </c>
      <c r="M9" s="18" t="s">
        <v>341</v>
      </c>
    </row>
    <row r="10" spans="2:13" ht="13.5" thickBot="1"/>
    <row r="11" spans="2:13" ht="26.1" customHeight="1" thickBot="1">
      <c r="C11" s="19" t="s">
        <v>2405</v>
      </c>
      <c r="E11" s="19" t="s">
        <v>876</v>
      </c>
      <c r="G11" s="19" t="s">
        <v>2404</v>
      </c>
      <c r="I11" s="25" t="s">
        <v>4648</v>
      </c>
      <c r="K11" s="24" t="s">
        <v>1996</v>
      </c>
      <c r="L11" s="21"/>
      <c r="M11" s="18" t="s">
        <v>610</v>
      </c>
    </row>
    <row r="13" spans="2:13" ht="13.5" thickBot="1"/>
    <row r="14" spans="2:13" ht="26.1" customHeight="1" thickBot="1">
      <c r="E14" s="18" t="s">
        <v>340</v>
      </c>
      <c r="G14" s="25" t="s">
        <v>4650</v>
      </c>
      <c r="I14" s="24" t="s">
        <v>1971</v>
      </c>
      <c r="K14" s="24" t="s">
        <v>1997</v>
      </c>
      <c r="M14" s="25" t="s">
        <v>4649</v>
      </c>
    </row>
    <row r="16" spans="2:13" ht="13.5" thickBot="1"/>
    <row r="17" spans="3:13" ht="27" customHeight="1" thickBot="1">
      <c r="E17" s="25" t="s">
        <v>4652</v>
      </c>
      <c r="K17" s="24" t="s">
        <v>2576</v>
      </c>
    </row>
    <row r="18" spans="3:13" ht="13.5" thickBot="1"/>
    <row r="19" spans="3:13" ht="26.1" customHeight="1" thickBot="1">
      <c r="G19" s="25" t="s">
        <v>4651</v>
      </c>
      <c r="I19" s="24" t="s">
        <v>1285</v>
      </c>
      <c r="K19" s="24" t="s">
        <v>2578</v>
      </c>
      <c r="M19" s="24" t="s">
        <v>2577</v>
      </c>
    </row>
    <row r="20" spans="3:13" ht="13.5" thickBot="1"/>
    <row r="21" spans="3:13" ht="26.1" customHeight="1" thickBot="1">
      <c r="E21" s="3919" t="s">
        <v>4671</v>
      </c>
      <c r="F21" s="3919"/>
      <c r="G21" s="3919"/>
      <c r="K21" s="25" t="s">
        <v>4654</v>
      </c>
      <c r="M21" s="25" t="s">
        <v>4653</v>
      </c>
    </row>
    <row r="22" spans="3:13">
      <c r="C22" s="3927" t="s">
        <v>10001</v>
      </c>
      <c r="D22" s="3927"/>
      <c r="E22" s="3927"/>
    </row>
    <row r="26" spans="3:13" ht="12.75" customHeight="1">
      <c r="F26" s="679"/>
    </row>
  </sheetData>
  <sheetProtection autoFilter="0"/>
  <mergeCells count="5">
    <mergeCell ref="C22:E22"/>
    <mergeCell ref="E21:G21"/>
    <mergeCell ref="B1:C1"/>
    <mergeCell ref="B3:M3"/>
    <mergeCell ref="D1:M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105" orientation="landscape" r:id="rId1"/>
  <headerFooter alignWithMargins="0"/>
  <drawing r:id="rId2"/>
</worksheet>
</file>

<file path=xl/worksheets/sheet76.xml><?xml version="1.0" encoding="utf-8"?>
<worksheet xmlns="http://schemas.openxmlformats.org/spreadsheetml/2006/main" xmlns:r="http://schemas.openxmlformats.org/officeDocument/2006/relationships">
  <dimension ref="B1:M26"/>
  <sheetViews>
    <sheetView zoomScaleNormal="100" workbookViewId="0">
      <pane ySplit="3" topLeftCell="A4" activePane="bottomLeft" state="frozen"/>
      <selection pane="bottomLeft" activeCell="B1" sqref="B1:C1"/>
    </sheetView>
  </sheetViews>
  <sheetFormatPr defaultRowHeight="12.75"/>
  <cols>
    <col min="1" max="1" width="3.7109375" style="17" customWidth="1"/>
    <col min="2" max="2" width="6.7109375" style="17" customWidth="1"/>
    <col min="3" max="3" width="15.7109375" style="17" customWidth="1"/>
    <col min="4" max="4" width="4.28515625" style="17" customWidth="1"/>
    <col min="5" max="5" width="15.7109375" style="17" customWidth="1"/>
    <col min="6" max="6" width="4.28515625" style="17" customWidth="1"/>
    <col min="7" max="7" width="15.7109375" style="17" customWidth="1"/>
    <col min="8" max="8" width="4.28515625" style="17" customWidth="1"/>
    <col min="9" max="9" width="15.7109375" style="17" customWidth="1"/>
    <col min="10" max="10" width="4.28515625" style="17" customWidth="1"/>
    <col min="11" max="11" width="15.7109375" style="17" customWidth="1"/>
    <col min="12" max="12" width="4.28515625" style="17" customWidth="1"/>
    <col min="13" max="13" width="15.7109375" style="17" customWidth="1"/>
    <col min="14" max="16384" width="9.140625" style="17"/>
  </cols>
  <sheetData>
    <row r="1" spans="2:13">
      <c r="B1" s="3920" t="s">
        <v>2706</v>
      </c>
      <c r="C1" s="3920"/>
      <c r="D1" s="2941" t="s">
        <v>8269</v>
      </c>
      <c r="E1" s="2941"/>
      <c r="F1" s="2941"/>
      <c r="G1" s="2941"/>
      <c r="H1" s="2941"/>
      <c r="I1" s="2941"/>
      <c r="J1" s="2941"/>
      <c r="K1" s="2941"/>
    </row>
    <row r="2" spans="2:13" s="288" customFormat="1" ht="5.0999999999999996" customHeight="1">
      <c r="B2" s="735"/>
      <c r="C2" s="735"/>
      <c r="D2" s="738"/>
      <c r="E2" s="738"/>
      <c r="F2" s="738"/>
      <c r="G2" s="738"/>
      <c r="H2" s="738"/>
      <c r="I2" s="738"/>
      <c r="J2" s="738"/>
      <c r="K2" s="738"/>
    </row>
    <row r="3" spans="2:13" ht="12.75" customHeight="1">
      <c r="B3" s="3928" t="s">
        <v>4603</v>
      </c>
      <c r="C3" s="3928"/>
      <c r="D3" s="3928"/>
      <c r="E3" s="3928"/>
      <c r="F3" s="3928"/>
      <c r="G3" s="3928"/>
      <c r="H3" s="3928"/>
      <c r="I3" s="3928"/>
      <c r="J3" s="3928"/>
      <c r="K3" s="3928"/>
      <c r="L3" s="741"/>
      <c r="M3" s="741"/>
    </row>
    <row r="4" spans="2:13" ht="5.0999999999999996" customHeight="1" thickBot="1"/>
    <row r="5" spans="2:13" ht="26.1" customHeight="1" thickBot="1">
      <c r="C5" s="18" t="s">
        <v>340</v>
      </c>
      <c r="E5" s="22" t="s">
        <v>2156</v>
      </c>
      <c r="G5" s="22" t="s">
        <v>627</v>
      </c>
      <c r="I5" s="22" t="s">
        <v>2403</v>
      </c>
      <c r="J5" s="21"/>
      <c r="K5" s="18" t="s">
        <v>153</v>
      </c>
    </row>
    <row r="6" spans="2:13" ht="13.5" thickBot="1"/>
    <row r="7" spans="2:13" ht="26.1" customHeight="1" thickBot="1">
      <c r="C7" s="19" t="s">
        <v>876</v>
      </c>
      <c r="E7" s="22" t="s">
        <v>2402</v>
      </c>
      <c r="G7" s="19" t="s">
        <v>2404</v>
      </c>
      <c r="J7" s="21"/>
      <c r="K7" s="18" t="s">
        <v>152</v>
      </c>
    </row>
    <row r="8" spans="2:13" ht="13.5" customHeight="1" thickBot="1"/>
    <row r="9" spans="2:13" ht="26.1" customHeight="1" thickBot="1">
      <c r="C9" s="742" t="s">
        <v>154</v>
      </c>
      <c r="E9" s="22" t="s">
        <v>214</v>
      </c>
      <c r="G9" s="22" t="s">
        <v>213</v>
      </c>
      <c r="K9" s="20" t="s">
        <v>212</v>
      </c>
    </row>
    <row r="10" spans="2:13" ht="13.5" thickBot="1"/>
    <row r="11" spans="2:13" ht="26.1" customHeight="1" thickBot="1">
      <c r="E11" s="19" t="s">
        <v>2405</v>
      </c>
      <c r="G11" s="18" t="s">
        <v>1546</v>
      </c>
      <c r="J11" s="21"/>
      <c r="K11" s="18" t="s">
        <v>1545</v>
      </c>
    </row>
    <row r="12" spans="2:13" ht="13.5" thickBot="1"/>
    <row r="13" spans="2:13" ht="26.1" customHeight="1" thickBot="1">
      <c r="E13" s="25" t="s">
        <v>4662</v>
      </c>
      <c r="G13" s="24" t="s">
        <v>437</v>
      </c>
      <c r="I13" s="24" t="s">
        <v>1233</v>
      </c>
      <c r="K13" s="25" t="s">
        <v>4661</v>
      </c>
    </row>
    <row r="14" spans="2:13" ht="13.5" thickBot="1"/>
    <row r="15" spans="2:13" ht="26.1" customHeight="1" thickBot="1">
      <c r="C15" s="23" t="s">
        <v>381</v>
      </c>
      <c r="E15" s="25" t="s">
        <v>4659</v>
      </c>
      <c r="G15" s="24" t="s">
        <v>438</v>
      </c>
      <c r="I15" s="24" t="s">
        <v>1234</v>
      </c>
      <c r="K15" s="25" t="s">
        <v>4660</v>
      </c>
    </row>
    <row r="16" spans="2:13" ht="13.5" thickBot="1"/>
    <row r="17" spans="3:11" ht="27" customHeight="1" thickBot="1">
      <c r="C17" s="23" t="s">
        <v>352</v>
      </c>
      <c r="G17" s="24" t="s">
        <v>440</v>
      </c>
      <c r="I17" s="24" t="s">
        <v>439</v>
      </c>
      <c r="K17" s="25" t="s">
        <v>4658</v>
      </c>
    </row>
    <row r="18" spans="3:11" ht="13.5" thickBot="1"/>
    <row r="19" spans="3:11" ht="26.1" customHeight="1" thickBot="1">
      <c r="C19" s="23" t="s">
        <v>1763</v>
      </c>
      <c r="E19" s="18" t="s">
        <v>5803</v>
      </c>
      <c r="G19" s="25" t="s">
        <v>4657</v>
      </c>
      <c r="I19" s="24" t="s">
        <v>441</v>
      </c>
      <c r="K19" s="25" t="s">
        <v>4656</v>
      </c>
    </row>
    <row r="21" spans="3:11" ht="26.1" customHeight="1">
      <c r="C21" s="3927" t="s">
        <v>10001</v>
      </c>
      <c r="D21" s="3927"/>
      <c r="E21" s="3927"/>
      <c r="I21" s="3919" t="s">
        <v>4671</v>
      </c>
      <c r="J21" s="3919"/>
      <c r="K21" s="3919"/>
    </row>
    <row r="26" spans="3:11" ht="12.75" customHeight="1">
      <c r="F26" s="679"/>
    </row>
  </sheetData>
  <sheetProtection autoFilter="0"/>
  <mergeCells count="5">
    <mergeCell ref="C21:E21"/>
    <mergeCell ref="I21:K21"/>
    <mergeCell ref="B1:C1"/>
    <mergeCell ref="B3:K3"/>
    <mergeCell ref="D1:K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120" orientation="landscape" r:id="rId1"/>
  <headerFooter alignWithMargins="0"/>
  <drawing r:id="rId2"/>
</worksheet>
</file>

<file path=xl/worksheets/sheet77.xml><?xml version="1.0" encoding="utf-8"?>
<worksheet xmlns="http://schemas.openxmlformats.org/spreadsheetml/2006/main" xmlns:r="http://schemas.openxmlformats.org/officeDocument/2006/relationships">
  <dimension ref="B1:M24"/>
  <sheetViews>
    <sheetView zoomScaleNormal="100" workbookViewId="0">
      <pane ySplit="3" topLeftCell="A4" activePane="bottomLeft" state="frozen"/>
      <selection pane="bottomLeft"/>
    </sheetView>
  </sheetViews>
  <sheetFormatPr defaultRowHeight="12.75"/>
  <cols>
    <col min="1" max="1" width="3.7109375" style="17" customWidth="1"/>
    <col min="2" max="2" width="6.7109375" style="17" customWidth="1"/>
    <col min="3" max="3" width="15.7109375" style="17" customWidth="1"/>
    <col min="4" max="4" width="4.28515625" style="17" customWidth="1"/>
    <col min="5" max="5" width="15.7109375" style="17" customWidth="1"/>
    <col min="6" max="6" width="4.28515625" style="17" customWidth="1"/>
    <col min="7" max="7" width="15.7109375" style="17" customWidth="1"/>
    <col min="8" max="8" width="4.28515625" style="17" customWidth="1"/>
    <col min="9" max="9" width="15.7109375" style="17" customWidth="1"/>
    <col min="10" max="10" width="4.28515625" style="17" customWidth="1"/>
    <col min="11" max="11" width="15.7109375" style="17" customWidth="1"/>
    <col min="12" max="12" width="4.28515625" style="17" customWidth="1"/>
    <col min="13" max="13" width="15.7109375" style="17" customWidth="1"/>
    <col min="14" max="16384" width="9.140625" style="17"/>
  </cols>
  <sheetData>
    <row r="1" spans="2:13">
      <c r="B1" s="3920" t="s">
        <v>2706</v>
      </c>
      <c r="C1" s="3920"/>
      <c r="D1" s="2941" t="s">
        <v>8269</v>
      </c>
      <c r="E1" s="2941"/>
      <c r="F1" s="2941"/>
      <c r="G1" s="2941"/>
      <c r="H1" s="2941"/>
      <c r="I1" s="2941"/>
      <c r="J1" s="2941"/>
      <c r="K1" s="2941"/>
      <c r="L1" s="2941"/>
      <c r="M1" s="2941"/>
    </row>
    <row r="2" spans="2:13" s="288" customFormat="1" ht="5.0999999999999996" customHeight="1">
      <c r="B2" s="735"/>
      <c r="C2" s="735"/>
      <c r="D2" s="738"/>
      <c r="E2" s="738"/>
      <c r="F2" s="738"/>
      <c r="G2" s="738"/>
      <c r="H2" s="738"/>
      <c r="I2" s="738"/>
      <c r="J2" s="738"/>
      <c r="K2" s="738"/>
      <c r="L2" s="738"/>
      <c r="M2" s="738"/>
    </row>
    <row r="3" spans="2:13" ht="12.75" customHeight="1">
      <c r="B3" s="3921" t="s">
        <v>4605</v>
      </c>
      <c r="C3" s="3921"/>
      <c r="D3" s="3921"/>
      <c r="E3" s="3921"/>
      <c r="F3" s="3921"/>
      <c r="G3" s="3921"/>
      <c r="H3" s="3921"/>
      <c r="I3" s="3921"/>
      <c r="J3" s="3921"/>
      <c r="K3" s="3921"/>
      <c r="L3" s="3921"/>
      <c r="M3" s="3921"/>
    </row>
    <row r="4" spans="2:13" ht="5.0999999999999996" customHeight="1" thickBot="1"/>
    <row r="5" spans="2:13" ht="26.1" customHeight="1" thickBot="1">
      <c r="C5" s="18" t="s">
        <v>340</v>
      </c>
      <c r="E5" s="19" t="s">
        <v>2404</v>
      </c>
      <c r="I5" s="20" t="s">
        <v>212</v>
      </c>
      <c r="L5" s="21"/>
      <c r="M5" s="18" t="s">
        <v>5802</v>
      </c>
    </row>
    <row r="6" spans="2:13" ht="13.5" thickBot="1"/>
    <row r="7" spans="2:13" ht="26.1" customHeight="1" thickBot="1">
      <c r="C7" s="19" t="s">
        <v>876</v>
      </c>
      <c r="E7" s="22" t="s">
        <v>213</v>
      </c>
      <c r="G7" s="22" t="s">
        <v>2156</v>
      </c>
      <c r="I7" s="22" t="s">
        <v>627</v>
      </c>
      <c r="K7" s="22" t="s">
        <v>2403</v>
      </c>
      <c r="L7" s="21"/>
    </row>
    <row r="8" spans="2:13" ht="13.5" customHeight="1" thickBot="1"/>
    <row r="9" spans="2:13" ht="26.1" customHeight="1" thickBot="1">
      <c r="C9" s="18" t="s">
        <v>1641</v>
      </c>
      <c r="E9" s="22" t="s">
        <v>214</v>
      </c>
      <c r="G9" s="22" t="s">
        <v>2402</v>
      </c>
    </row>
    <row r="10" spans="2:13" ht="13.5" thickBot="1"/>
    <row r="11" spans="2:13" ht="26.1" customHeight="1" thickBot="1">
      <c r="C11" s="19" t="s">
        <v>2405</v>
      </c>
      <c r="E11" s="23" t="s">
        <v>381</v>
      </c>
      <c r="I11" s="18" t="s">
        <v>2671</v>
      </c>
      <c r="L11" s="21"/>
      <c r="M11" s="18" t="s">
        <v>2672</v>
      </c>
    </row>
    <row r="12" spans="2:13" ht="13.5" thickBot="1"/>
    <row r="13" spans="2:13" ht="26.1" customHeight="1" thickBot="1">
      <c r="E13" s="24" t="s">
        <v>1828</v>
      </c>
      <c r="K13" s="24" t="s">
        <v>1547</v>
      </c>
      <c r="M13" s="25" t="s">
        <v>4663</v>
      </c>
    </row>
    <row r="14" spans="2:13" ht="13.5" thickBot="1"/>
    <row r="15" spans="2:13" ht="26.1" customHeight="1" thickBot="1">
      <c r="E15" s="25" t="s">
        <v>4666</v>
      </c>
      <c r="I15" s="24" t="s">
        <v>1548</v>
      </c>
      <c r="K15" s="25" t="s">
        <v>4664</v>
      </c>
    </row>
    <row r="16" spans="2:13" ht="13.5" thickBot="1"/>
    <row r="17" spans="3:13" ht="27" customHeight="1" thickBot="1">
      <c r="E17" s="25" t="s">
        <v>4667</v>
      </c>
      <c r="G17" s="24" t="s">
        <v>1830</v>
      </c>
    </row>
    <row r="18" spans="3:13" ht="13.5" thickBot="1"/>
    <row r="19" spans="3:13" ht="26.1" customHeight="1" thickBot="1">
      <c r="C19" s="23" t="s">
        <v>352</v>
      </c>
      <c r="E19" s="25" t="s">
        <v>4668</v>
      </c>
      <c r="G19" s="24" t="s">
        <v>2654</v>
      </c>
      <c r="I19" s="24" t="s">
        <v>331</v>
      </c>
      <c r="K19" s="25" t="s">
        <v>4665</v>
      </c>
    </row>
    <row r="20" spans="3:13" ht="13.5" thickBot="1"/>
    <row r="21" spans="3:13" ht="26.1" customHeight="1" thickBot="1">
      <c r="C21" s="23" t="s">
        <v>1763</v>
      </c>
      <c r="G21" s="24" t="s">
        <v>5586</v>
      </c>
      <c r="I21" s="25" t="s">
        <v>4669</v>
      </c>
    </row>
    <row r="22" spans="3:13" ht="13.5" thickBot="1"/>
    <row r="23" spans="3:13" ht="26.1" customHeight="1" thickBot="1">
      <c r="C23" s="23" t="s">
        <v>1764</v>
      </c>
      <c r="E23" s="23" t="s">
        <v>1765</v>
      </c>
      <c r="K23" s="3919" t="s">
        <v>4670</v>
      </c>
      <c r="L23" s="3919"/>
      <c r="M23" s="3919"/>
    </row>
    <row r="24" spans="3:13" ht="12.75" customHeight="1">
      <c r="C24" s="3927" t="s">
        <v>10001</v>
      </c>
      <c r="D24" s="3927"/>
      <c r="E24" s="3927"/>
      <c r="F24" s="679"/>
    </row>
  </sheetData>
  <sheetProtection autoFilter="0"/>
  <mergeCells count="5">
    <mergeCell ref="C24:E24"/>
    <mergeCell ref="K23:M23"/>
    <mergeCell ref="B1:C1"/>
    <mergeCell ref="B3:M3"/>
    <mergeCell ref="D1:M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105" orientation="landscape" r:id="rId1"/>
  <headerFooter alignWithMargins="0"/>
  <drawing r:id="rId2"/>
</worksheet>
</file>

<file path=xl/worksheets/sheet78.xml><?xml version="1.0" encoding="utf-8"?>
<worksheet xmlns="http://schemas.openxmlformats.org/spreadsheetml/2006/main" xmlns:r="http://schemas.openxmlformats.org/officeDocument/2006/relationships">
  <dimension ref="B1:N34"/>
  <sheetViews>
    <sheetView zoomScaleNormal="100" workbookViewId="0">
      <pane ySplit="4" topLeftCell="A5" activePane="bottomLeft" state="frozen"/>
      <selection pane="bottomLeft" activeCell="B1" sqref="B1:C1"/>
    </sheetView>
  </sheetViews>
  <sheetFormatPr defaultRowHeight="12.95" customHeight="1"/>
  <cols>
    <col min="1" max="1" width="3.7109375" style="292" customWidth="1"/>
    <col min="2" max="2" width="13.5703125" style="292" bestFit="1" customWidth="1"/>
    <col min="3" max="3" width="9" style="292" bestFit="1" customWidth="1"/>
    <col min="4" max="4" width="10.42578125" style="292" bestFit="1" customWidth="1"/>
    <col min="5" max="5" width="10.140625" style="292" bestFit="1" customWidth="1"/>
    <col min="6" max="6" width="9" style="292" bestFit="1" customWidth="1"/>
    <col min="7" max="7" width="11.28515625" style="292" bestFit="1" customWidth="1"/>
    <col min="8" max="8" width="10.140625" style="292" bestFit="1" customWidth="1"/>
    <col min="9" max="9" width="9.85546875" style="292" bestFit="1" customWidth="1"/>
    <col min="10" max="10" width="9.7109375" style="292" bestFit="1" customWidth="1"/>
    <col min="11" max="11" width="8.5703125" style="292" bestFit="1" customWidth="1"/>
    <col min="12" max="12" width="9.85546875" style="292" bestFit="1" customWidth="1"/>
    <col min="13" max="13" width="9.7109375" style="292" bestFit="1" customWidth="1"/>
    <col min="14" max="14" width="7.7109375" style="292" bestFit="1" customWidth="1"/>
    <col min="15" max="16384" width="9.140625" style="292"/>
  </cols>
  <sheetData>
    <row r="1" spans="2:14" ht="12.95" customHeight="1">
      <c r="B1" s="3129" t="s">
        <v>2706</v>
      </c>
      <c r="C1" s="3129"/>
      <c r="D1" s="3074" t="s">
        <v>8269</v>
      </c>
      <c r="E1" s="3074"/>
      <c r="F1" s="3074"/>
      <c r="G1" s="3074"/>
      <c r="H1" s="3074"/>
      <c r="I1" s="3074"/>
      <c r="J1" s="3074"/>
      <c r="K1" s="3074"/>
      <c r="L1" s="3074"/>
      <c r="M1" s="3074"/>
      <c r="N1" s="3074"/>
    </row>
    <row r="2" spans="2:14" ht="5.0999999999999996" customHeight="1"/>
    <row r="3" spans="2:14" ht="12.95" customHeight="1">
      <c r="B3" s="2978" t="s">
        <v>3389</v>
      </c>
      <c r="C3" s="2978"/>
      <c r="D3" s="2978"/>
      <c r="E3" s="2978"/>
      <c r="F3" s="2978"/>
      <c r="G3" s="2978"/>
      <c r="H3" s="2978"/>
      <c r="I3" s="2978"/>
      <c r="J3" s="2978"/>
      <c r="K3" s="2978"/>
      <c r="L3" s="2978"/>
      <c r="M3" s="2978"/>
      <c r="N3" s="2978"/>
    </row>
    <row r="4" spans="2:14" ht="5.0999999999999996" customHeight="1">
      <c r="B4" s="1006"/>
      <c r="C4" s="1006"/>
      <c r="D4" s="1006"/>
      <c r="E4" s="1006"/>
      <c r="F4" s="1006"/>
      <c r="G4" s="1006"/>
      <c r="H4" s="1006"/>
      <c r="I4" s="1006"/>
      <c r="J4" s="1006"/>
      <c r="K4" s="1006"/>
      <c r="L4" s="1006"/>
      <c r="M4" s="1006"/>
      <c r="N4" s="1006"/>
    </row>
    <row r="5" spans="2:14" ht="39" customHeight="1">
      <c r="B5" s="2960" t="s">
        <v>9242</v>
      </c>
      <c r="C5" s="2960"/>
      <c r="D5" s="2960"/>
      <c r="E5" s="2960"/>
      <c r="F5" s="2960"/>
      <c r="G5" s="2960"/>
      <c r="H5" s="2960"/>
      <c r="I5" s="2960"/>
      <c r="J5" s="2960"/>
      <c r="K5" s="2960"/>
      <c r="L5" s="2960"/>
      <c r="M5" s="2960"/>
      <c r="N5" s="2960"/>
    </row>
    <row r="6" spans="2:14" ht="26.1" customHeight="1">
      <c r="B6" s="2960" t="s">
        <v>9243</v>
      </c>
      <c r="C6" s="2960"/>
      <c r="D6" s="2960"/>
      <c r="E6" s="2960"/>
      <c r="F6" s="2960"/>
      <c r="G6" s="2960"/>
      <c r="H6" s="2960"/>
      <c r="I6" s="2960"/>
      <c r="J6" s="2960"/>
      <c r="K6" s="2960"/>
      <c r="L6" s="2960"/>
      <c r="M6" s="2960"/>
      <c r="N6" s="2960"/>
    </row>
    <row r="7" spans="2:14" ht="5.0999999999999996" customHeight="1">
      <c r="B7" s="1007"/>
      <c r="C7" s="1007"/>
      <c r="D7" s="1007"/>
      <c r="E7" s="1007"/>
      <c r="F7" s="1007"/>
      <c r="G7" s="1007"/>
      <c r="H7" s="1007"/>
      <c r="I7" s="1007"/>
      <c r="J7" s="1007"/>
      <c r="K7" s="1007"/>
      <c r="L7" s="1007"/>
      <c r="M7" s="1007"/>
      <c r="N7" s="1007"/>
    </row>
    <row r="8" spans="2:14" ht="12.95" customHeight="1">
      <c r="B8" s="3000" t="s">
        <v>9244</v>
      </c>
      <c r="C8" s="3000"/>
      <c r="D8" s="3000"/>
      <c r="E8" s="3000"/>
      <c r="F8" s="3000"/>
      <c r="G8" s="3000"/>
      <c r="H8" s="3000"/>
      <c r="I8" s="3000"/>
      <c r="J8" s="3000"/>
      <c r="K8" s="3000"/>
      <c r="L8" s="3000"/>
      <c r="M8" s="3000"/>
      <c r="N8" s="3000"/>
    </row>
    <row r="9" spans="2:14" ht="12.95" customHeight="1">
      <c r="B9" s="3000" t="s">
        <v>9245</v>
      </c>
      <c r="C9" s="3000"/>
      <c r="D9" s="3000"/>
      <c r="E9" s="3000"/>
      <c r="F9" s="3000"/>
      <c r="G9" s="3000"/>
      <c r="H9" s="3000"/>
      <c r="I9" s="3000"/>
      <c r="J9" s="3000"/>
      <c r="K9" s="3000"/>
      <c r="L9" s="3000"/>
      <c r="M9" s="3000"/>
      <c r="N9" s="1007"/>
    </row>
    <row r="10" spans="2:14" ht="26.1" customHeight="1">
      <c r="B10" s="2960" t="s">
        <v>9246</v>
      </c>
      <c r="C10" s="2960"/>
      <c r="D10" s="2960"/>
      <c r="E10" s="2960"/>
      <c r="F10" s="2960"/>
      <c r="G10" s="2960"/>
      <c r="H10" s="2960"/>
      <c r="I10" s="2960"/>
      <c r="J10" s="2960"/>
      <c r="K10" s="2960"/>
      <c r="L10" s="2960"/>
      <c r="M10" s="2960"/>
      <c r="N10" s="2960"/>
    </row>
    <row r="11" spans="2:14" ht="5.0999999999999996" customHeight="1" thickBot="1"/>
    <row r="12" spans="2:14" s="1011" customFormat="1" ht="12.95" customHeight="1" thickBot="1">
      <c r="B12" s="3936" t="s">
        <v>3419</v>
      </c>
      <c r="C12" s="3933" t="s">
        <v>2206</v>
      </c>
      <c r="D12" s="3934"/>
      <c r="E12" s="3934"/>
      <c r="F12" s="3934"/>
      <c r="G12" s="3934"/>
      <c r="H12" s="3934"/>
      <c r="I12" s="3934"/>
      <c r="J12" s="3934"/>
      <c r="K12" s="3934"/>
      <c r="L12" s="3934"/>
      <c r="M12" s="3934"/>
      <c r="N12" s="3935"/>
    </row>
    <row r="13" spans="2:14" s="1011" customFormat="1" ht="12.95" customHeight="1" thickBot="1">
      <c r="B13" s="3937"/>
      <c r="C13" s="3933" t="s">
        <v>3391</v>
      </c>
      <c r="D13" s="3934"/>
      <c r="E13" s="3934"/>
      <c r="F13" s="3934"/>
      <c r="G13" s="3934"/>
      <c r="H13" s="3935"/>
      <c r="I13" s="3933" t="s">
        <v>3392</v>
      </c>
      <c r="J13" s="3934"/>
      <c r="K13" s="3934"/>
      <c r="L13" s="3934"/>
      <c r="M13" s="3934"/>
      <c r="N13" s="3935"/>
    </row>
    <row r="14" spans="2:14" s="1011" customFormat="1" ht="12.95" customHeight="1" thickBot="1">
      <c r="B14" s="3938"/>
      <c r="C14" s="3929" t="s">
        <v>2632</v>
      </c>
      <c r="D14" s="3930"/>
      <c r="E14" s="3931"/>
      <c r="F14" s="3929" t="s">
        <v>2633</v>
      </c>
      <c r="G14" s="3930"/>
      <c r="H14" s="3932"/>
      <c r="I14" s="3929" t="s">
        <v>2632</v>
      </c>
      <c r="J14" s="3930"/>
      <c r="K14" s="3932"/>
      <c r="L14" s="3939" t="s">
        <v>2633</v>
      </c>
      <c r="M14" s="3930"/>
      <c r="N14" s="3932"/>
    </row>
    <row r="15" spans="2:14" s="1011" customFormat="1" ht="12.95" customHeight="1">
      <c r="B15" s="1369">
        <v>1</v>
      </c>
      <c r="C15" s="2069" t="s">
        <v>3393</v>
      </c>
      <c r="D15" s="2070" t="s">
        <v>1798</v>
      </c>
      <c r="E15" s="2071" t="s">
        <v>1799</v>
      </c>
      <c r="F15" s="2072" t="s">
        <v>3402</v>
      </c>
      <c r="G15" s="2070" t="s">
        <v>3407</v>
      </c>
      <c r="H15" s="2071" t="s">
        <v>3409</v>
      </c>
      <c r="I15" s="2069" t="s">
        <v>3411</v>
      </c>
      <c r="J15" s="2070" t="s">
        <v>648</v>
      </c>
      <c r="K15" s="2071" t="s">
        <v>646</v>
      </c>
      <c r="L15" s="2072" t="s">
        <v>3413</v>
      </c>
      <c r="M15" s="2070" t="s">
        <v>199</v>
      </c>
      <c r="N15" s="2071" t="s">
        <v>200</v>
      </c>
    </row>
    <row r="16" spans="2:14" s="1011" customFormat="1" ht="12.95" customHeight="1">
      <c r="B16" s="116">
        <v>2</v>
      </c>
      <c r="C16" s="2073" t="s">
        <v>3401</v>
      </c>
      <c r="D16" s="540" t="s">
        <v>2292</v>
      </c>
      <c r="E16" s="542" t="s">
        <v>1231</v>
      </c>
      <c r="F16" s="539" t="s">
        <v>3406</v>
      </c>
      <c r="G16" s="540" t="s">
        <v>3408</v>
      </c>
      <c r="H16" s="542" t="s">
        <v>3410</v>
      </c>
      <c r="I16" s="2073" t="s">
        <v>3412</v>
      </c>
      <c r="J16" s="540" t="s">
        <v>2210</v>
      </c>
      <c r="K16" s="542" t="s">
        <v>2209</v>
      </c>
      <c r="L16" s="539" t="s">
        <v>3414</v>
      </c>
      <c r="M16" s="540" t="s">
        <v>2212</v>
      </c>
      <c r="N16" s="542" t="s">
        <v>2211</v>
      </c>
    </row>
    <row r="17" spans="2:14" s="1011" customFormat="1" ht="12.95" customHeight="1">
      <c r="B17" s="1370">
        <v>3</v>
      </c>
      <c r="C17" s="2074" t="s">
        <v>3400</v>
      </c>
      <c r="D17" s="2075" t="s">
        <v>2292</v>
      </c>
      <c r="E17" s="2076" t="s">
        <v>500</v>
      </c>
      <c r="F17" s="2077" t="s">
        <v>3393</v>
      </c>
      <c r="G17" s="2075" t="s">
        <v>1798</v>
      </c>
      <c r="H17" s="2076" t="s">
        <v>1799</v>
      </c>
      <c r="I17" s="2074" t="s">
        <v>3413</v>
      </c>
      <c r="J17" s="2075" t="s">
        <v>199</v>
      </c>
      <c r="K17" s="2076" t="s">
        <v>200</v>
      </c>
      <c r="L17" s="2077" t="s">
        <v>3416</v>
      </c>
      <c r="M17" s="2075" t="s">
        <v>647</v>
      </c>
      <c r="N17" s="2076" t="s">
        <v>2211</v>
      </c>
    </row>
    <row r="18" spans="2:14" s="1011" customFormat="1" ht="12.95" customHeight="1">
      <c r="B18" s="116">
        <v>4</v>
      </c>
      <c r="C18" s="2073" t="s">
        <v>3399</v>
      </c>
      <c r="D18" s="540" t="s">
        <v>1230</v>
      </c>
      <c r="E18" s="542" t="s">
        <v>501</v>
      </c>
      <c r="F18" s="539" t="s">
        <v>3405</v>
      </c>
      <c r="G18" s="540" t="s">
        <v>1560</v>
      </c>
      <c r="H18" s="542" t="s">
        <v>1559</v>
      </c>
      <c r="I18" s="2073" t="s">
        <v>2064</v>
      </c>
      <c r="J18" s="540" t="s">
        <v>497</v>
      </c>
      <c r="K18" s="542" t="s">
        <v>1794</v>
      </c>
      <c r="L18" s="539" t="s">
        <v>3418</v>
      </c>
      <c r="M18" s="540" t="s">
        <v>499</v>
      </c>
      <c r="N18" s="542" t="s">
        <v>1795</v>
      </c>
    </row>
    <row r="19" spans="2:14" s="1011" customFormat="1" ht="12.95" customHeight="1">
      <c r="B19" s="1370">
        <v>5</v>
      </c>
      <c r="C19" s="2074" t="s">
        <v>3398</v>
      </c>
      <c r="D19" s="2075" t="s">
        <v>1230</v>
      </c>
      <c r="E19" s="2076" t="s">
        <v>502</v>
      </c>
      <c r="F19" s="2077" t="s">
        <v>3401</v>
      </c>
      <c r="G19" s="2075" t="s">
        <v>2292</v>
      </c>
      <c r="H19" s="2076" t="s">
        <v>1231</v>
      </c>
      <c r="I19" s="2074" t="s">
        <v>3414</v>
      </c>
      <c r="J19" s="2075" t="s">
        <v>2212</v>
      </c>
      <c r="K19" s="2076" t="s">
        <v>2211</v>
      </c>
      <c r="L19" s="2077" t="s">
        <v>3420</v>
      </c>
      <c r="M19" s="2075" t="s">
        <v>1796</v>
      </c>
      <c r="N19" s="2076" t="s">
        <v>1795</v>
      </c>
    </row>
    <row r="20" spans="2:14" s="1011" customFormat="1" ht="12.95" customHeight="1">
      <c r="B20" s="116">
        <v>6</v>
      </c>
      <c r="C20" s="2073" t="s">
        <v>3397</v>
      </c>
      <c r="D20" s="540" t="s">
        <v>2208</v>
      </c>
      <c r="E20" s="542" t="s">
        <v>502</v>
      </c>
      <c r="F20" s="539" t="s">
        <v>3404</v>
      </c>
      <c r="G20" s="540" t="s">
        <v>2292</v>
      </c>
      <c r="H20" s="542" t="s">
        <v>1232</v>
      </c>
      <c r="I20" s="2073" t="s">
        <v>3415</v>
      </c>
      <c r="J20" s="540" t="s">
        <v>498</v>
      </c>
      <c r="K20" s="542" t="s">
        <v>2211</v>
      </c>
      <c r="L20" s="539" t="s">
        <v>3421</v>
      </c>
      <c r="M20" s="540" t="s">
        <v>1796</v>
      </c>
      <c r="N20" s="542" t="s">
        <v>2207</v>
      </c>
    </row>
    <row r="21" spans="2:14" s="1011" customFormat="1" ht="12.95" customHeight="1">
      <c r="B21" s="1370">
        <v>7</v>
      </c>
      <c r="C21" s="2074" t="s">
        <v>3396</v>
      </c>
      <c r="D21" s="2075" t="s">
        <v>2208</v>
      </c>
      <c r="E21" s="2076" t="s">
        <v>502</v>
      </c>
      <c r="F21" s="2077" t="s">
        <v>3400</v>
      </c>
      <c r="G21" s="2075" t="s">
        <v>2292</v>
      </c>
      <c r="H21" s="2076" t="s">
        <v>500</v>
      </c>
      <c r="I21" s="2074" t="s">
        <v>3416</v>
      </c>
      <c r="J21" s="2075" t="s">
        <v>647</v>
      </c>
      <c r="K21" s="2076" t="s">
        <v>2211</v>
      </c>
      <c r="L21" s="2077" t="s">
        <v>3422</v>
      </c>
      <c r="M21" s="2075" t="s">
        <v>1796</v>
      </c>
      <c r="N21" s="2076" t="s">
        <v>2207</v>
      </c>
    </row>
    <row r="22" spans="2:14" s="1011" customFormat="1" ht="12.95" customHeight="1">
      <c r="B22" s="116">
        <v>8</v>
      </c>
      <c r="C22" s="2073" t="s">
        <v>3395</v>
      </c>
      <c r="D22" s="540" t="s">
        <v>2208</v>
      </c>
      <c r="E22" s="542" t="s">
        <v>1793</v>
      </c>
      <c r="F22" s="539" t="s">
        <v>3403</v>
      </c>
      <c r="G22" s="540" t="s">
        <v>1230</v>
      </c>
      <c r="H22" s="542" t="s">
        <v>501</v>
      </c>
      <c r="I22" s="2073" t="s">
        <v>3417</v>
      </c>
      <c r="J22" s="540" t="s">
        <v>499</v>
      </c>
      <c r="K22" s="542" t="s">
        <v>1795</v>
      </c>
      <c r="L22" s="539" t="s">
        <v>3423</v>
      </c>
      <c r="M22" s="540" t="s">
        <v>1797</v>
      </c>
      <c r="N22" s="542" t="s">
        <v>2207</v>
      </c>
    </row>
    <row r="23" spans="2:14" s="1011" customFormat="1" ht="12.95" customHeight="1" thickBot="1">
      <c r="B23" s="1371">
        <v>9</v>
      </c>
      <c r="C23" s="2078" t="s">
        <v>3394</v>
      </c>
      <c r="D23" s="2079" t="s">
        <v>2208</v>
      </c>
      <c r="E23" s="2080" t="s">
        <v>1793</v>
      </c>
      <c r="F23" s="2081" t="s">
        <v>3399</v>
      </c>
      <c r="G23" s="2079" t="s">
        <v>1230</v>
      </c>
      <c r="H23" s="2080" t="s">
        <v>501</v>
      </c>
      <c r="I23" s="2082" t="s">
        <v>3418</v>
      </c>
      <c r="J23" s="2079" t="s">
        <v>499</v>
      </c>
      <c r="K23" s="2080" t="s">
        <v>1795</v>
      </c>
      <c r="L23" s="2081" t="s">
        <v>3424</v>
      </c>
      <c r="M23" s="2079" t="s">
        <v>1797</v>
      </c>
      <c r="N23" s="2080" t="s">
        <v>2207</v>
      </c>
    </row>
    <row r="24" spans="2:14" ht="5.0999999999999996" customHeight="1"/>
    <row r="25" spans="2:14" ht="12.95" customHeight="1">
      <c r="B25" s="2960" t="s">
        <v>9247</v>
      </c>
      <c r="C25" s="2960"/>
      <c r="D25" s="2960"/>
      <c r="E25" s="2960"/>
      <c r="F25" s="2960"/>
      <c r="G25" s="2960"/>
      <c r="H25" s="2960"/>
      <c r="I25" s="2960"/>
      <c r="J25" s="2960"/>
      <c r="K25" s="2960"/>
      <c r="L25" s="2960"/>
      <c r="M25" s="2960"/>
      <c r="N25" s="2960"/>
    </row>
    <row r="26" spans="2:14" ht="5.0999999999999996" customHeight="1"/>
    <row r="27" spans="2:14" ht="12.95" customHeight="1">
      <c r="B27" s="3102" t="s">
        <v>9248</v>
      </c>
      <c r="C27" s="3102"/>
      <c r="D27" s="3102"/>
      <c r="E27" s="3102"/>
      <c r="F27" s="3102"/>
      <c r="G27" s="3102"/>
      <c r="H27" s="3102"/>
      <c r="I27" s="3102"/>
      <c r="J27" s="3102"/>
      <c r="K27" s="3102"/>
      <c r="L27" s="3102"/>
      <c r="M27" s="3102"/>
      <c r="N27" s="3102"/>
    </row>
    <row r="28" spans="2:14" ht="12.95" customHeight="1" thickBot="1">
      <c r="B28" s="2960" t="s">
        <v>9249</v>
      </c>
      <c r="C28" s="2960"/>
      <c r="D28" s="2960"/>
      <c r="E28" s="2960"/>
      <c r="F28" s="2960"/>
      <c r="G28" s="2960"/>
      <c r="H28" s="2960"/>
      <c r="I28" s="2960"/>
      <c r="J28" s="2960"/>
      <c r="K28" s="2960"/>
      <c r="L28" s="2960"/>
      <c r="M28" s="2960"/>
      <c r="N28" s="2960"/>
    </row>
    <row r="29" spans="2:14" ht="12.95" customHeight="1" thickBot="1">
      <c r="B29" s="3522" t="s">
        <v>3894</v>
      </c>
      <c r="C29" s="3523"/>
      <c r="D29" s="3568"/>
      <c r="E29" s="3664" t="s">
        <v>2206</v>
      </c>
      <c r="F29" s="3649"/>
      <c r="G29" s="3649"/>
      <c r="H29" s="3649"/>
      <c r="I29" s="3649"/>
      <c r="J29" s="3650"/>
      <c r="K29" s="1051"/>
      <c r="L29" s="1051"/>
      <c r="M29" s="1051"/>
      <c r="N29" s="1051"/>
    </row>
    <row r="30" spans="2:14" ht="12.95" customHeight="1">
      <c r="B30" s="3947" t="s">
        <v>3895</v>
      </c>
      <c r="C30" s="3948"/>
      <c r="D30" s="3949"/>
      <c r="E30" s="3950" t="s">
        <v>3398</v>
      </c>
      <c r="F30" s="3951"/>
      <c r="G30" s="3951" t="s">
        <v>1230</v>
      </c>
      <c r="H30" s="3951"/>
      <c r="I30" s="3951" t="s">
        <v>502</v>
      </c>
      <c r="J30" s="3955"/>
      <c r="K30" s="1056"/>
      <c r="L30" s="1056"/>
      <c r="M30" s="1056"/>
      <c r="N30" s="1056"/>
    </row>
    <row r="31" spans="2:14" ht="12.95" customHeight="1">
      <c r="B31" s="3944" t="s">
        <v>3896</v>
      </c>
      <c r="C31" s="3945"/>
      <c r="D31" s="3946"/>
      <c r="E31" s="3952" t="s">
        <v>3401</v>
      </c>
      <c r="F31" s="3953"/>
      <c r="G31" s="3953" t="s">
        <v>2292</v>
      </c>
      <c r="H31" s="3953"/>
      <c r="I31" s="3953" t="s">
        <v>1231</v>
      </c>
      <c r="J31" s="3956"/>
      <c r="K31" s="1056"/>
      <c r="L31" s="1056"/>
      <c r="M31" s="1056"/>
      <c r="N31" s="1056"/>
    </row>
    <row r="32" spans="2:14" ht="12.95" customHeight="1">
      <c r="B32" s="3608" t="s">
        <v>3897</v>
      </c>
      <c r="C32" s="3609"/>
      <c r="D32" s="3943"/>
      <c r="E32" s="3954" t="s">
        <v>3414</v>
      </c>
      <c r="F32" s="3904"/>
      <c r="G32" s="3904" t="s">
        <v>2212</v>
      </c>
      <c r="H32" s="3904"/>
      <c r="I32" s="3904" t="s">
        <v>2211</v>
      </c>
      <c r="J32" s="3695"/>
      <c r="K32" s="431"/>
      <c r="L32" s="431"/>
      <c r="M32" s="431"/>
      <c r="N32" s="431"/>
    </row>
    <row r="33" spans="2:14" ht="12.95" customHeight="1" thickBot="1">
      <c r="B33" s="3940" t="s">
        <v>3898</v>
      </c>
      <c r="C33" s="3941"/>
      <c r="D33" s="3942"/>
      <c r="E33" s="3879" t="s">
        <v>3420</v>
      </c>
      <c r="F33" s="3631"/>
      <c r="G33" s="3631" t="s">
        <v>1796</v>
      </c>
      <c r="H33" s="3631"/>
      <c r="I33" s="3631" t="s">
        <v>1795</v>
      </c>
      <c r="J33" s="3632"/>
      <c r="K33" s="431"/>
      <c r="L33" s="431"/>
      <c r="M33" s="431"/>
      <c r="N33" s="431"/>
    </row>
    <row r="34" spans="2:14" ht="12.95" customHeight="1">
      <c r="B34" s="3601" t="s">
        <v>9250</v>
      </c>
      <c r="C34" s="3601"/>
      <c r="D34" s="3601"/>
      <c r="E34" s="3601"/>
      <c r="F34" s="3601"/>
      <c r="G34" s="3601"/>
      <c r="H34" s="3601"/>
      <c r="I34" s="3601"/>
      <c r="J34" s="3601"/>
      <c r="K34" s="3601"/>
      <c r="L34" s="3601"/>
      <c r="M34" s="3601"/>
      <c r="N34" s="3601"/>
    </row>
  </sheetData>
  <sheetProtection autoFilter="0"/>
  <mergeCells count="38">
    <mergeCell ref="B34:N34"/>
    <mergeCell ref="B28:N28"/>
    <mergeCell ref="G30:H30"/>
    <mergeCell ref="G31:H31"/>
    <mergeCell ref="G32:H32"/>
    <mergeCell ref="G33:H33"/>
    <mergeCell ref="I30:J30"/>
    <mergeCell ref="I31:J31"/>
    <mergeCell ref="I32:J32"/>
    <mergeCell ref="I33:J33"/>
    <mergeCell ref="B27:N27"/>
    <mergeCell ref="B33:D33"/>
    <mergeCell ref="B32:D32"/>
    <mergeCell ref="B31:D31"/>
    <mergeCell ref="B30:D30"/>
    <mergeCell ref="B29:D29"/>
    <mergeCell ref="E29:J29"/>
    <mergeCell ref="E30:F30"/>
    <mergeCell ref="E31:F31"/>
    <mergeCell ref="E32:F32"/>
    <mergeCell ref="E33:F33"/>
    <mergeCell ref="B25:N25"/>
    <mergeCell ref="B9:M9"/>
    <mergeCell ref="C14:E14"/>
    <mergeCell ref="F14:H14"/>
    <mergeCell ref="C13:H13"/>
    <mergeCell ref="B12:B14"/>
    <mergeCell ref="I13:N13"/>
    <mergeCell ref="I14:K14"/>
    <mergeCell ref="L14:N14"/>
    <mergeCell ref="C12:N12"/>
    <mergeCell ref="B1:C1"/>
    <mergeCell ref="B5:N5"/>
    <mergeCell ref="B6:N6"/>
    <mergeCell ref="B10:N10"/>
    <mergeCell ref="B3:N3"/>
    <mergeCell ref="B8:N8"/>
    <mergeCell ref="D1:N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orientation="landscape" r:id="rId1"/>
  <headerFooter alignWithMargins="0"/>
  <drawing r:id="rId2"/>
</worksheet>
</file>

<file path=xl/worksheets/sheet79.xml><?xml version="1.0" encoding="utf-8"?>
<worksheet xmlns="http://schemas.openxmlformats.org/spreadsheetml/2006/main" xmlns:r="http://schemas.openxmlformats.org/officeDocument/2006/relationships">
  <dimension ref="B1:J28"/>
  <sheetViews>
    <sheetView zoomScaleNormal="100" workbookViewId="0">
      <pane ySplit="5" topLeftCell="A6" activePane="bottomLeft" state="frozen"/>
      <selection pane="bottomLeft"/>
    </sheetView>
  </sheetViews>
  <sheetFormatPr defaultRowHeight="12.95" customHeight="1"/>
  <cols>
    <col min="1" max="1" width="3.7109375" style="292" customWidth="1"/>
    <col min="2" max="2" width="32" style="292" bestFit="1" customWidth="1"/>
    <col min="3" max="3" width="7.5703125" style="736" bestFit="1" customWidth="1"/>
    <col min="4" max="4" width="7.28515625" style="292" bestFit="1" customWidth="1"/>
    <col min="5" max="5" width="5.7109375" style="292" bestFit="1" customWidth="1"/>
    <col min="6" max="6" width="5.42578125" style="292" bestFit="1" customWidth="1"/>
    <col min="7" max="7" width="5.28515625" style="292" bestFit="1" customWidth="1"/>
    <col min="8" max="8" width="10.140625" style="292" bestFit="1" customWidth="1"/>
    <col min="9" max="9" width="10.5703125" style="292" bestFit="1" customWidth="1"/>
    <col min="10" max="10" width="43.85546875" style="292" bestFit="1" customWidth="1"/>
    <col min="11" max="16384" width="9.140625" style="292"/>
  </cols>
  <sheetData>
    <row r="1" spans="2:10" ht="12.95" customHeight="1">
      <c r="B1" s="313" t="s">
        <v>2706</v>
      </c>
      <c r="C1" s="3892" t="s">
        <v>8269</v>
      </c>
      <c r="D1" s="3892"/>
      <c r="E1" s="3892"/>
      <c r="F1" s="3892"/>
      <c r="G1" s="3892"/>
      <c r="H1" s="3892"/>
      <c r="I1" s="3892"/>
      <c r="J1" s="3892"/>
    </row>
    <row r="2" spans="2:10" ht="5.0999999999999996" customHeight="1"/>
    <row r="3" spans="2:10" ht="12.95" customHeight="1">
      <c r="B3" s="2978" t="s">
        <v>5338</v>
      </c>
      <c r="C3" s="2978"/>
      <c r="D3" s="2978"/>
      <c r="E3" s="2978"/>
      <c r="F3" s="2978"/>
      <c r="G3" s="2978"/>
      <c r="H3" s="2978"/>
      <c r="I3" s="2978"/>
      <c r="J3" s="2978"/>
    </row>
    <row r="4" spans="2:10" s="387" customFormat="1" ht="11.25">
      <c r="B4" s="2979" t="s">
        <v>6006</v>
      </c>
      <c r="C4" s="2979"/>
      <c r="D4" s="2979"/>
      <c r="E4" s="2979"/>
      <c r="F4" s="2979"/>
      <c r="G4" s="2979"/>
      <c r="H4" s="2979"/>
      <c r="I4" s="2979"/>
      <c r="J4" s="2979"/>
    </row>
    <row r="5" spans="2:10" ht="5.0999999999999996" customHeight="1">
      <c r="B5" s="685"/>
      <c r="C5" s="685"/>
      <c r="D5" s="685"/>
      <c r="E5" s="685"/>
      <c r="F5" s="685"/>
      <c r="G5" s="685"/>
      <c r="H5" s="685"/>
      <c r="I5" s="685"/>
      <c r="J5" s="685"/>
    </row>
    <row r="6" spans="2:10" ht="26.1" customHeight="1" thickBot="1">
      <c r="B6" s="2960" t="s">
        <v>10118</v>
      </c>
      <c r="C6" s="2960"/>
      <c r="D6" s="2960"/>
      <c r="E6" s="2960"/>
      <c r="F6" s="2960"/>
      <c r="G6" s="2960"/>
      <c r="H6" s="2960"/>
      <c r="I6" s="2960"/>
      <c r="J6" s="2960"/>
    </row>
    <row r="7" spans="2:10" ht="12.95" customHeight="1" thickBot="1">
      <c r="B7" s="172" t="s">
        <v>4435</v>
      </c>
      <c r="C7" s="3570" t="s">
        <v>4436</v>
      </c>
      <c r="D7" s="3523"/>
      <c r="E7" s="3523"/>
      <c r="F7" s="3523"/>
      <c r="G7" s="3523"/>
      <c r="H7" s="3523"/>
      <c r="I7" s="3523"/>
      <c r="J7" s="3524"/>
    </row>
    <row r="8" spans="2:10" ht="26.1" customHeight="1">
      <c r="B8" s="589" t="s">
        <v>5071</v>
      </c>
      <c r="C8" s="3676" t="s">
        <v>5072</v>
      </c>
      <c r="D8" s="3677"/>
      <c r="E8" s="3677"/>
      <c r="F8" s="3677"/>
      <c r="G8" s="3677"/>
      <c r="H8" s="3677"/>
      <c r="I8" s="3677"/>
      <c r="J8" s="3678"/>
    </row>
    <row r="9" spans="2:10" ht="12.95" customHeight="1">
      <c r="B9" s="680">
        <v>1</v>
      </c>
      <c r="C9" s="3958" t="s">
        <v>5342</v>
      </c>
      <c r="D9" s="3823"/>
      <c r="E9" s="3823"/>
      <c r="F9" s="3823"/>
      <c r="G9" s="3823"/>
      <c r="H9" s="3823"/>
      <c r="I9" s="3823"/>
      <c r="J9" s="3824"/>
    </row>
    <row r="10" spans="2:10" ht="12.95" customHeight="1">
      <c r="B10" s="592">
        <v>2</v>
      </c>
      <c r="C10" s="3531" t="s">
        <v>5343</v>
      </c>
      <c r="D10" s="3673"/>
      <c r="E10" s="3673"/>
      <c r="F10" s="3673"/>
      <c r="G10" s="3673"/>
      <c r="H10" s="3673"/>
      <c r="I10" s="3673"/>
      <c r="J10" s="3674"/>
    </row>
    <row r="11" spans="2:10" ht="39" customHeight="1">
      <c r="B11" s="113">
        <v>3</v>
      </c>
      <c r="C11" s="3535" t="s">
        <v>5344</v>
      </c>
      <c r="D11" s="3679"/>
      <c r="E11" s="3679"/>
      <c r="F11" s="3679"/>
      <c r="G11" s="3679"/>
      <c r="H11" s="3679"/>
      <c r="I11" s="3679"/>
      <c r="J11" s="3680"/>
    </row>
    <row r="12" spans="2:10" ht="26.1" customHeight="1">
      <c r="B12" s="592">
        <v>4</v>
      </c>
      <c r="C12" s="3531" t="s">
        <v>5346</v>
      </c>
      <c r="D12" s="3673"/>
      <c r="E12" s="3673"/>
      <c r="F12" s="3673"/>
      <c r="G12" s="3673"/>
      <c r="H12" s="3673"/>
      <c r="I12" s="3673"/>
      <c r="J12" s="3674"/>
    </row>
    <row r="13" spans="2:10" ht="12.95" customHeight="1" thickBot="1">
      <c r="B13" s="109" t="s">
        <v>5345</v>
      </c>
      <c r="C13" s="3533" t="s">
        <v>5347</v>
      </c>
      <c r="D13" s="3804"/>
      <c r="E13" s="3804"/>
      <c r="F13" s="3804"/>
      <c r="G13" s="3804"/>
      <c r="H13" s="3804"/>
      <c r="I13" s="3804"/>
      <c r="J13" s="3959"/>
    </row>
    <row r="14" spans="2:10" ht="5.0999999999999996" customHeight="1"/>
    <row r="15" spans="2:10" ht="12.95" customHeight="1">
      <c r="B15" s="2960" t="s">
        <v>9251</v>
      </c>
      <c r="C15" s="2960"/>
      <c r="D15" s="2960"/>
      <c r="E15" s="2960"/>
      <c r="F15" s="2960"/>
      <c r="G15" s="2960"/>
      <c r="H15" s="2960"/>
      <c r="I15" s="2960"/>
      <c r="J15" s="2960"/>
    </row>
    <row r="16" spans="2:10" ht="5.0999999999999996" customHeight="1">
      <c r="B16" s="681"/>
      <c r="C16" s="681"/>
      <c r="D16" s="681"/>
      <c r="E16" s="681"/>
      <c r="F16" s="681"/>
      <c r="G16" s="681"/>
      <c r="H16" s="681"/>
      <c r="I16" s="681"/>
      <c r="J16" s="681"/>
    </row>
    <row r="17" spans="2:10" ht="12.95" customHeight="1">
      <c r="B17" s="2960" t="s">
        <v>9252</v>
      </c>
      <c r="C17" s="2960"/>
      <c r="D17" s="2960"/>
      <c r="E17" s="2960"/>
      <c r="F17" s="2960"/>
      <c r="G17" s="2960"/>
      <c r="H17" s="2960"/>
      <c r="I17" s="2960"/>
      <c r="J17" s="2960"/>
    </row>
    <row r="18" spans="2:10" ht="26.1" customHeight="1">
      <c r="B18" s="3957" t="s">
        <v>5414</v>
      </c>
      <c r="C18" s="3957"/>
      <c r="D18" s="3957"/>
      <c r="E18" s="3957"/>
      <c r="F18" s="3957"/>
      <c r="G18" s="3957"/>
      <c r="H18" s="3957"/>
      <c r="I18" s="3957"/>
      <c r="J18" s="3957"/>
    </row>
    <row r="19" spans="2:10" ht="5.0999999999999996" customHeight="1">
      <c r="B19" s="287"/>
      <c r="C19" s="287"/>
      <c r="D19" s="287"/>
      <c r="E19" s="287"/>
      <c r="F19" s="287"/>
      <c r="G19" s="287"/>
      <c r="H19" s="287"/>
      <c r="I19" s="287"/>
      <c r="J19" s="287"/>
    </row>
    <row r="20" spans="2:10" ht="26.1" customHeight="1">
      <c r="B20" s="2960" t="s">
        <v>9253</v>
      </c>
      <c r="C20" s="2960"/>
      <c r="D20" s="2960"/>
      <c r="E20" s="2960"/>
      <c r="F20" s="2960"/>
      <c r="G20" s="2960"/>
      <c r="H20" s="2960"/>
      <c r="I20" s="2960"/>
      <c r="J20" s="2960"/>
    </row>
    <row r="21" spans="2:10" ht="12.95" customHeight="1">
      <c r="B21" s="2960" t="s">
        <v>9254</v>
      </c>
      <c r="C21" s="2960"/>
      <c r="D21" s="2960"/>
      <c r="E21" s="2960"/>
      <c r="F21" s="2960"/>
      <c r="G21" s="2960"/>
      <c r="H21" s="2960"/>
      <c r="I21" s="2960"/>
      <c r="J21" s="2960"/>
    </row>
    <row r="22" spans="2:10" ht="12.95" customHeight="1">
      <c r="B22" s="2960" t="s">
        <v>9255</v>
      </c>
      <c r="C22" s="2960"/>
      <c r="D22" s="2960"/>
      <c r="E22" s="2960"/>
      <c r="F22" s="2960"/>
      <c r="G22" s="2960"/>
      <c r="H22" s="2960"/>
      <c r="I22" s="2960"/>
      <c r="J22" s="2960"/>
    </row>
    <row r="23" spans="2:10" ht="5.0999999999999996" customHeight="1"/>
    <row r="24" spans="2:10" ht="26.1" customHeight="1" thickBot="1">
      <c r="B24" s="2960" t="s">
        <v>9256</v>
      </c>
      <c r="C24" s="2960"/>
      <c r="D24" s="2960"/>
      <c r="E24" s="2960"/>
      <c r="F24" s="2960"/>
      <c r="G24" s="2960"/>
      <c r="H24" s="2960"/>
      <c r="I24" s="2960"/>
      <c r="J24" s="2960"/>
    </row>
    <row r="25" spans="2:10" ht="12.95" customHeight="1" thickBot="1">
      <c r="B25" s="172" t="s">
        <v>4435</v>
      </c>
      <c r="C25" s="3570" t="s">
        <v>5801</v>
      </c>
      <c r="D25" s="3523"/>
      <c r="E25" s="3523"/>
      <c r="F25" s="3523"/>
      <c r="G25" s="3523"/>
      <c r="H25" s="3523"/>
      <c r="I25" s="3523"/>
      <c r="J25" s="3524"/>
    </row>
    <row r="26" spans="2:10" ht="12.95" customHeight="1">
      <c r="B26" s="589">
        <v>0</v>
      </c>
      <c r="C26" s="3676" t="s">
        <v>5411</v>
      </c>
      <c r="D26" s="3677"/>
      <c r="E26" s="3677"/>
      <c r="F26" s="3677"/>
      <c r="G26" s="3677"/>
      <c r="H26" s="3677"/>
      <c r="I26" s="3677"/>
      <c r="J26" s="3678"/>
    </row>
    <row r="27" spans="2:10" ht="12.95" customHeight="1">
      <c r="B27" s="680">
        <v>1</v>
      </c>
      <c r="C27" s="3958" t="s">
        <v>5412</v>
      </c>
      <c r="D27" s="3823"/>
      <c r="E27" s="3823"/>
      <c r="F27" s="3823"/>
      <c r="G27" s="3823"/>
      <c r="H27" s="3823"/>
      <c r="I27" s="3823"/>
      <c r="J27" s="3824"/>
    </row>
    <row r="28" spans="2:10" ht="12.95" customHeight="1" thickBot="1">
      <c r="B28" s="594">
        <v>2</v>
      </c>
      <c r="C28" s="3683" t="s">
        <v>5413</v>
      </c>
      <c r="D28" s="3684"/>
      <c r="E28" s="3684"/>
      <c r="F28" s="3684"/>
      <c r="G28" s="3684"/>
      <c r="H28" s="3684"/>
      <c r="I28" s="3684"/>
      <c r="J28" s="3685"/>
    </row>
  </sheetData>
  <sheetProtection autoFilter="0"/>
  <mergeCells count="22">
    <mergeCell ref="C1:J1"/>
    <mergeCell ref="B3:J3"/>
    <mergeCell ref="B6:J6"/>
    <mergeCell ref="B15:J15"/>
    <mergeCell ref="C13:J13"/>
    <mergeCell ref="C7:J7"/>
    <mergeCell ref="C8:J8"/>
    <mergeCell ref="C9:J9"/>
    <mergeCell ref="C10:J10"/>
    <mergeCell ref="C11:J11"/>
    <mergeCell ref="C12:J12"/>
    <mergeCell ref="B4:J4"/>
    <mergeCell ref="B24:J24"/>
    <mergeCell ref="C25:J25"/>
    <mergeCell ref="C26:J26"/>
    <mergeCell ref="C27:J27"/>
    <mergeCell ref="C28:J28"/>
    <mergeCell ref="B17:J17"/>
    <mergeCell ref="B18:J18"/>
    <mergeCell ref="B20:J20"/>
    <mergeCell ref="B21:J21"/>
    <mergeCell ref="B22:J22"/>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worksheet>
</file>

<file path=xl/worksheets/sheet80.xml><?xml version="1.0" encoding="utf-8"?>
<worksheet xmlns="http://schemas.openxmlformats.org/spreadsheetml/2006/main" xmlns:r="http://schemas.openxmlformats.org/officeDocument/2006/relationships">
  <dimension ref="B1:R36"/>
  <sheetViews>
    <sheetView zoomScaleNormal="100" workbookViewId="0">
      <pane ySplit="5" topLeftCell="A6" activePane="bottomLeft" state="frozen"/>
      <selection pane="bottomLeft"/>
    </sheetView>
  </sheetViews>
  <sheetFormatPr defaultRowHeight="12.95" customHeight="1"/>
  <cols>
    <col min="1" max="1" width="3.7109375" style="681" customWidth="1"/>
    <col min="2" max="2" width="9.140625" style="681"/>
    <col min="3" max="3" width="15.140625" style="681" customWidth="1"/>
    <col min="4" max="4" width="52.5703125" style="681" customWidth="1"/>
    <col min="5" max="5" width="58.28515625" style="681" customWidth="1"/>
    <col min="6" max="16384" width="9.140625" style="681"/>
  </cols>
  <sheetData>
    <row r="1" spans="2:18" ht="12.95" customHeight="1">
      <c r="B1" s="3252" t="s">
        <v>2706</v>
      </c>
      <c r="C1" s="3252"/>
      <c r="D1" s="3195" t="s">
        <v>8269</v>
      </c>
      <c r="E1" s="3195"/>
    </row>
    <row r="2" spans="2:18" ht="5.0999999999999996" customHeight="1">
      <c r="B2" s="697"/>
    </row>
    <row r="3" spans="2:18" ht="12.95" customHeight="1">
      <c r="B3" s="698"/>
      <c r="C3" s="3075" t="s">
        <v>4682</v>
      </c>
      <c r="D3" s="3075"/>
      <c r="E3" s="3075"/>
      <c r="P3" s="699"/>
      <c r="Q3" s="699"/>
      <c r="R3" s="699"/>
    </row>
    <row r="4" spans="2:18" s="702" customFormat="1" ht="11.25">
      <c r="C4" s="3130" t="s">
        <v>5800</v>
      </c>
      <c r="D4" s="3962"/>
      <c r="E4" s="3962"/>
    </row>
    <row r="5" spans="2:18" ht="5.0999999999999996" customHeight="1"/>
    <row r="6" spans="2:18" ht="51.95" customHeight="1">
      <c r="C6" s="2980" t="s">
        <v>9257</v>
      </c>
      <c r="D6" s="2960"/>
      <c r="E6" s="2960"/>
    </row>
    <row r="7" spans="2:18" ht="5.0999999999999996" customHeight="1">
      <c r="C7" s="292"/>
    </row>
    <row r="8" spans="2:18" s="700" customFormat="1" ht="12.95" customHeight="1">
      <c r="D8" s="701" t="s">
        <v>300</v>
      </c>
    </row>
    <row r="9" spans="2:18" ht="5.0999999999999996" customHeight="1">
      <c r="C9" s="292"/>
    </row>
    <row r="10" spans="2:18" ht="65.099999999999994" customHeight="1">
      <c r="C10" s="2980" t="s">
        <v>9258</v>
      </c>
      <c r="D10" s="2960"/>
      <c r="E10" s="2960"/>
    </row>
    <row r="11" spans="2:18" ht="51.95" customHeight="1">
      <c r="C11" s="2980" t="s">
        <v>9259</v>
      </c>
      <c r="D11" s="2960"/>
      <c r="E11" s="2960"/>
    </row>
    <row r="12" spans="2:18" ht="65.099999999999994" customHeight="1">
      <c r="C12" s="2980" t="s">
        <v>9260</v>
      </c>
      <c r="D12" s="2960"/>
      <c r="E12" s="2960"/>
    </row>
    <row r="13" spans="2:18" ht="51.95" customHeight="1">
      <c r="C13" s="2980" t="s">
        <v>9261</v>
      </c>
      <c r="D13" s="2960"/>
      <c r="E13" s="2960"/>
    </row>
    <row r="14" spans="2:18" ht="5.0999999999999996" customHeight="1"/>
    <row r="15" spans="2:18" s="700" customFormat="1" ht="12.95" customHeight="1">
      <c r="D15" s="701" t="s">
        <v>4683</v>
      </c>
    </row>
    <row r="16" spans="2:18" ht="5.0999999999999996" customHeight="1">
      <c r="C16" s="292"/>
    </row>
    <row r="17" spans="3:5" ht="12.95" customHeight="1">
      <c r="C17" s="3961" t="s">
        <v>5796</v>
      </c>
      <c r="D17" s="2960"/>
      <c r="E17" s="2960"/>
    </row>
    <row r="18" spans="3:5" ht="12.95" customHeight="1">
      <c r="C18" s="3961" t="s">
        <v>5797</v>
      </c>
      <c r="D18" s="2960"/>
      <c r="E18" s="2960"/>
    </row>
    <row r="19" spans="3:5" ht="12.95" customHeight="1">
      <c r="C19" s="3961" t="s">
        <v>5798</v>
      </c>
      <c r="D19" s="2960"/>
      <c r="E19" s="2960"/>
    </row>
    <row r="20" spans="3:5" ht="12.95" customHeight="1">
      <c r="C20" s="3961" t="s">
        <v>5799</v>
      </c>
      <c r="D20" s="2960"/>
      <c r="E20" s="2960"/>
    </row>
    <row r="21" spans="3:5" ht="26.1" customHeight="1">
      <c r="C21" s="3961" t="s">
        <v>1271</v>
      </c>
      <c r="D21" s="2960"/>
      <c r="E21" s="2960"/>
    </row>
    <row r="22" spans="3:5" ht="39" customHeight="1">
      <c r="C22" s="3961" t="s">
        <v>5158</v>
      </c>
      <c r="D22" s="2960"/>
      <c r="E22" s="2960"/>
    </row>
    <row r="23" spans="3:5" ht="5.0999999999999996" customHeight="1"/>
    <row r="24" spans="3:5" s="700" customFormat="1" ht="12.95" customHeight="1">
      <c r="D24" s="701" t="s">
        <v>1091</v>
      </c>
    </row>
    <row r="25" spans="3:5" ht="5.0999999999999996" customHeight="1">
      <c r="C25" s="292"/>
    </row>
    <row r="26" spans="3:5" ht="78" customHeight="1">
      <c r="C26" s="2980" t="s">
        <v>10119</v>
      </c>
      <c r="D26" s="2960"/>
      <c r="E26" s="2960"/>
    </row>
    <row r="27" spans="3:5" ht="65.099999999999994" customHeight="1">
      <c r="C27" s="2960" t="s">
        <v>9262</v>
      </c>
      <c r="D27" s="2960"/>
      <c r="E27" s="2960"/>
    </row>
    <row r="28" spans="3:5" ht="117" customHeight="1">
      <c r="C28" s="2960" t="s">
        <v>9263</v>
      </c>
      <c r="D28" s="2960"/>
      <c r="E28" s="2960"/>
    </row>
    <row r="29" spans="3:5" ht="129.94999999999999" customHeight="1">
      <c r="C29" s="2960" t="s">
        <v>9264</v>
      </c>
      <c r="D29" s="2960"/>
      <c r="E29" s="2960"/>
    </row>
    <row r="30" spans="3:5" ht="117" customHeight="1">
      <c r="C30" s="2960" t="s">
        <v>9265</v>
      </c>
      <c r="D30" s="2960"/>
      <c r="E30" s="2960"/>
    </row>
    <row r="31" spans="3:5" ht="129.94999999999999" customHeight="1">
      <c r="C31" s="2960" t="s">
        <v>9266</v>
      </c>
      <c r="D31" s="2960"/>
      <c r="E31" s="2960"/>
    </row>
    <row r="32" spans="3:5" ht="5.0999999999999996" customHeight="1">
      <c r="C32" s="2960"/>
      <c r="D32" s="2960"/>
      <c r="E32" s="2960"/>
    </row>
    <row r="33" spans="2:5" ht="129.94999999999999" customHeight="1">
      <c r="C33" s="2980" t="s">
        <v>9291</v>
      </c>
      <c r="D33" s="2960"/>
      <c r="E33" s="2960"/>
    </row>
    <row r="34" spans="2:5" ht="129.94999999999999" customHeight="1">
      <c r="C34" s="2960" t="s">
        <v>9267</v>
      </c>
      <c r="D34" s="2960"/>
      <c r="E34" s="2960"/>
    </row>
    <row r="35" spans="2:5" ht="51.95" customHeight="1">
      <c r="C35" s="2960" t="s">
        <v>9268</v>
      </c>
      <c r="D35" s="2960"/>
      <c r="E35" s="2960"/>
    </row>
    <row r="36" spans="2:5" ht="35.1" customHeight="1">
      <c r="B36" s="666"/>
      <c r="C36" s="682" t="s">
        <v>1652</v>
      </c>
      <c r="D36" s="3960" t="s">
        <v>1064</v>
      </c>
      <c r="E36" s="3960"/>
    </row>
  </sheetData>
  <sheetProtection autoFilter="0"/>
  <mergeCells count="26">
    <mergeCell ref="D1:E1"/>
    <mergeCell ref="B1:C1"/>
    <mergeCell ref="D36:E36"/>
    <mergeCell ref="C13:E13"/>
    <mergeCell ref="C17:E17"/>
    <mergeCell ref="C4:E4"/>
    <mergeCell ref="C22:E22"/>
    <mergeCell ref="C18:E18"/>
    <mergeCell ref="C19:E19"/>
    <mergeCell ref="C20:E20"/>
    <mergeCell ref="C21:E21"/>
    <mergeCell ref="C12:E12"/>
    <mergeCell ref="C27:E27"/>
    <mergeCell ref="C28:E28"/>
    <mergeCell ref="C29:E29"/>
    <mergeCell ref="C34:E34"/>
    <mergeCell ref="C35:E35"/>
    <mergeCell ref="C30:E30"/>
    <mergeCell ref="C31:E31"/>
    <mergeCell ref="C32:E32"/>
    <mergeCell ref="C33:E33"/>
    <mergeCell ref="C3:E3"/>
    <mergeCell ref="C6:E6"/>
    <mergeCell ref="C10:E10"/>
    <mergeCell ref="C11:E11"/>
    <mergeCell ref="C26:E26"/>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3" orientation="landscape" r:id="rId1"/>
  <headerFooter alignWithMargins="0"/>
  <rowBreaks count="1" manualBreakCount="1">
    <brk id="22" max="4" man="1"/>
  </rowBreaks>
  <drawing r:id="rId2"/>
</worksheet>
</file>

<file path=xl/worksheets/sheet81.xml><?xml version="1.0" encoding="utf-8"?>
<worksheet xmlns="http://schemas.openxmlformats.org/spreadsheetml/2006/main" xmlns:r="http://schemas.openxmlformats.org/officeDocument/2006/relationships">
  <dimension ref="B1:R35"/>
  <sheetViews>
    <sheetView zoomScaleNormal="100" workbookViewId="0">
      <pane ySplit="5" topLeftCell="A6" activePane="bottomLeft" state="frozen"/>
      <selection pane="bottomLeft" activeCell="B1" sqref="B1:C1"/>
    </sheetView>
  </sheetViews>
  <sheetFormatPr defaultRowHeight="12.95" customHeight="1"/>
  <cols>
    <col min="1" max="1" width="3.7109375" style="681" customWidth="1"/>
    <col min="2" max="2" width="9.140625" style="681"/>
    <col min="3" max="3" width="15.140625" style="681" customWidth="1"/>
    <col min="4" max="4" width="52.5703125" style="681" customWidth="1"/>
    <col min="5" max="5" width="58.28515625" style="681" customWidth="1"/>
    <col min="6" max="16384" width="9.140625" style="681"/>
  </cols>
  <sheetData>
    <row r="1" spans="2:18" ht="12.95" customHeight="1">
      <c r="B1" s="3252" t="s">
        <v>2706</v>
      </c>
      <c r="C1" s="3252"/>
      <c r="D1" s="3195" t="s">
        <v>8269</v>
      </c>
      <c r="E1" s="3195"/>
    </row>
    <row r="2" spans="2:18" ht="5.0999999999999996" customHeight="1">
      <c r="B2" s="697"/>
    </row>
    <row r="3" spans="2:18" ht="12.95" customHeight="1">
      <c r="B3" s="698"/>
      <c r="C3" s="3075" t="s">
        <v>4684</v>
      </c>
      <c r="D3" s="3075"/>
      <c r="E3" s="3075"/>
      <c r="P3" s="699"/>
      <c r="Q3" s="699"/>
      <c r="R3" s="699"/>
    </row>
    <row r="4" spans="2:18" s="702" customFormat="1" ht="11.25">
      <c r="C4" s="3130" t="s">
        <v>5776</v>
      </c>
      <c r="D4" s="3962"/>
      <c r="E4" s="3962"/>
    </row>
    <row r="5" spans="2:18" ht="5.0999999999999996" customHeight="1"/>
    <row r="6" spans="2:18" ht="51.95" customHeight="1">
      <c r="C6" s="2980" t="s">
        <v>9269</v>
      </c>
      <c r="D6" s="2960"/>
      <c r="E6" s="2960"/>
    </row>
    <row r="7" spans="2:18" ht="5.0999999999999996" customHeight="1">
      <c r="C7" s="292"/>
    </row>
    <row r="8" spans="2:18" s="700" customFormat="1" ht="12.95" customHeight="1">
      <c r="D8" s="701" t="s">
        <v>300</v>
      </c>
    </row>
    <row r="9" spans="2:18" ht="5.0999999999999996" customHeight="1">
      <c r="C9" s="292"/>
    </row>
    <row r="10" spans="2:18" ht="104.1" customHeight="1">
      <c r="C10" s="2980" t="s">
        <v>9270</v>
      </c>
      <c r="D10" s="2960"/>
      <c r="E10" s="2960"/>
    </row>
    <row r="11" spans="2:18" ht="117" customHeight="1">
      <c r="C11" s="2980" t="s">
        <v>9271</v>
      </c>
      <c r="D11" s="2960"/>
      <c r="E11" s="2960"/>
    </row>
    <row r="12" spans="2:18" ht="39" customHeight="1">
      <c r="C12" s="2960" t="s">
        <v>9272</v>
      </c>
      <c r="D12" s="2960"/>
      <c r="E12" s="2960"/>
    </row>
    <row r="13" spans="2:18" ht="51.95" customHeight="1">
      <c r="C13" s="2980" t="s">
        <v>9273</v>
      </c>
      <c r="D13" s="2960"/>
      <c r="E13" s="2960"/>
    </row>
    <row r="14" spans="2:18" ht="90.95" customHeight="1">
      <c r="C14" s="2980" t="s">
        <v>9274</v>
      </c>
      <c r="D14" s="2960"/>
      <c r="E14" s="2960"/>
    </row>
    <row r="15" spans="2:18" ht="5.0999999999999996" customHeight="1"/>
    <row r="16" spans="2:18" s="700" customFormat="1" ht="12.95" customHeight="1">
      <c r="D16" s="701" t="s">
        <v>4683</v>
      </c>
    </row>
    <row r="17" spans="3:5" ht="5.0999999999999996" customHeight="1">
      <c r="C17" s="292"/>
    </row>
    <row r="18" spans="3:5" ht="12.95" customHeight="1">
      <c r="C18" s="3963" t="s">
        <v>5791</v>
      </c>
      <c r="D18" s="3963"/>
      <c r="E18" s="3963"/>
    </row>
    <row r="19" spans="3:5" ht="12.95" customHeight="1">
      <c r="C19" s="3963" t="s">
        <v>5792</v>
      </c>
      <c r="D19" s="3963"/>
      <c r="E19" s="3963"/>
    </row>
    <row r="20" spans="3:5" ht="12.95" customHeight="1">
      <c r="C20" s="3963" t="s">
        <v>5793</v>
      </c>
      <c r="D20" s="3963"/>
      <c r="E20" s="3963"/>
    </row>
    <row r="21" spans="3:5" ht="12.95" customHeight="1">
      <c r="C21" s="3963" t="s">
        <v>5794</v>
      </c>
      <c r="D21" s="3963"/>
      <c r="E21" s="3963"/>
    </row>
    <row r="22" spans="3:5" ht="26.1" customHeight="1">
      <c r="C22" s="3961" t="s">
        <v>1272</v>
      </c>
      <c r="D22" s="2960"/>
      <c r="E22" s="2960"/>
    </row>
    <row r="23" spans="3:5" ht="12.95" customHeight="1">
      <c r="C23" s="3963" t="s">
        <v>5795</v>
      </c>
      <c r="D23" s="3963"/>
      <c r="E23" s="3963"/>
    </row>
    <row r="24" spans="3:5" ht="5.0999999999999996" customHeight="1"/>
    <row r="25" spans="3:5" s="700" customFormat="1" ht="12.95" customHeight="1">
      <c r="D25" s="701" t="s">
        <v>1091</v>
      </c>
    </row>
    <row r="26" spans="3:5" ht="5.0999999999999996" customHeight="1">
      <c r="C26" s="292"/>
    </row>
    <row r="27" spans="3:5" ht="51.95" customHeight="1">
      <c r="C27" s="2980" t="s">
        <v>9275</v>
      </c>
      <c r="D27" s="2960"/>
      <c r="E27" s="2960"/>
    </row>
    <row r="28" spans="3:5" ht="117" customHeight="1">
      <c r="C28" s="2960" t="s">
        <v>9276</v>
      </c>
      <c r="D28" s="2960"/>
      <c r="E28" s="2960"/>
    </row>
    <row r="29" spans="3:5" ht="39" customHeight="1">
      <c r="C29" s="2960" t="s">
        <v>9277</v>
      </c>
      <c r="D29" s="2960"/>
      <c r="E29" s="2960"/>
    </row>
    <row r="30" spans="3:5" ht="117" customHeight="1">
      <c r="C30" s="2960" t="s">
        <v>9278</v>
      </c>
      <c r="D30" s="2960"/>
      <c r="E30" s="2960"/>
    </row>
    <row r="31" spans="3:5" ht="65.099999999999994" customHeight="1">
      <c r="C31" s="2980" t="s">
        <v>9279</v>
      </c>
      <c r="D31" s="2960"/>
      <c r="E31" s="2960"/>
    </row>
    <row r="32" spans="3:5" ht="39" customHeight="1">
      <c r="C32" s="2960" t="s">
        <v>9280</v>
      </c>
      <c r="D32" s="2960"/>
      <c r="E32" s="2960"/>
    </row>
    <row r="33" spans="2:5" ht="51.95" customHeight="1">
      <c r="C33" s="2960" t="s">
        <v>9281</v>
      </c>
      <c r="D33" s="2960"/>
      <c r="E33" s="2960"/>
    </row>
    <row r="34" spans="2:5" ht="104.1" customHeight="1">
      <c r="C34" s="2960" t="s">
        <v>9282</v>
      </c>
      <c r="D34" s="2960"/>
      <c r="E34" s="2960"/>
    </row>
    <row r="35" spans="2:5" ht="35.1" customHeight="1">
      <c r="B35" s="666"/>
      <c r="C35" s="682" t="s">
        <v>1652</v>
      </c>
      <c r="D35" s="3960" t="s">
        <v>1064</v>
      </c>
      <c r="E35" s="3960"/>
    </row>
  </sheetData>
  <sheetProtection autoFilter="0"/>
  <mergeCells count="25">
    <mergeCell ref="B1:C1"/>
    <mergeCell ref="C27:E27"/>
    <mergeCell ref="C22:E22"/>
    <mergeCell ref="C3:E3"/>
    <mergeCell ref="C4:E4"/>
    <mergeCell ref="C6:E6"/>
    <mergeCell ref="C10:E10"/>
    <mergeCell ref="C11:E11"/>
    <mergeCell ref="C13:E13"/>
    <mergeCell ref="C14:E14"/>
    <mergeCell ref="C12:E12"/>
    <mergeCell ref="D1:E1"/>
    <mergeCell ref="C18:E18"/>
    <mergeCell ref="C19:E19"/>
    <mergeCell ref="C20:E20"/>
    <mergeCell ref="D35:E35"/>
    <mergeCell ref="C32:E32"/>
    <mergeCell ref="C33:E33"/>
    <mergeCell ref="C34:E34"/>
    <mergeCell ref="C21:E21"/>
    <mergeCell ref="C28:E28"/>
    <mergeCell ref="C29:E29"/>
    <mergeCell ref="C30:E30"/>
    <mergeCell ref="C31:E31"/>
    <mergeCell ref="C23:E23"/>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5" orientation="landscape" r:id="rId1"/>
  <headerFooter alignWithMargins="0"/>
  <drawing r:id="rId2"/>
</worksheet>
</file>

<file path=xl/worksheets/sheet82.xml><?xml version="1.0" encoding="utf-8"?>
<worksheet xmlns="http://schemas.openxmlformats.org/spreadsheetml/2006/main" xmlns:r="http://schemas.openxmlformats.org/officeDocument/2006/relationships">
  <dimension ref="B1:R32"/>
  <sheetViews>
    <sheetView zoomScaleNormal="100" workbookViewId="0">
      <pane ySplit="5" topLeftCell="A6" activePane="bottomLeft" state="frozen"/>
      <selection pane="bottomLeft" activeCell="B1" sqref="B1:C1"/>
    </sheetView>
  </sheetViews>
  <sheetFormatPr defaultRowHeight="12.95" customHeight="1"/>
  <cols>
    <col min="1" max="1" width="3.7109375" style="526" customWidth="1"/>
    <col min="2" max="2" width="9.140625" style="526"/>
    <col min="3" max="3" width="15.140625" style="526" customWidth="1"/>
    <col min="4" max="4" width="52.5703125" style="526" customWidth="1"/>
    <col min="5" max="5" width="58.28515625" style="526" customWidth="1"/>
    <col min="6" max="16384" width="9.140625" style="526"/>
  </cols>
  <sheetData>
    <row r="1" spans="2:18" ht="12.95" customHeight="1">
      <c r="B1" s="3252" t="s">
        <v>2706</v>
      </c>
      <c r="C1" s="3252"/>
      <c r="D1" s="3195" t="s">
        <v>8269</v>
      </c>
      <c r="E1" s="3195"/>
    </row>
    <row r="2" spans="2:18" ht="5.0999999999999996" customHeight="1">
      <c r="B2" s="697"/>
    </row>
    <row r="3" spans="2:18" ht="12.95" customHeight="1">
      <c r="B3" s="698"/>
      <c r="C3" s="3075" t="s">
        <v>4685</v>
      </c>
      <c r="D3" s="3075"/>
      <c r="E3" s="3075"/>
      <c r="P3" s="699"/>
      <c r="Q3" s="699"/>
      <c r="R3" s="699"/>
    </row>
    <row r="4" spans="2:18" s="702" customFormat="1" ht="11.25">
      <c r="C4" s="3130" t="s">
        <v>5776</v>
      </c>
      <c r="D4" s="3962"/>
      <c r="E4" s="3962"/>
    </row>
    <row r="5" spans="2:18" ht="5.0999999999999996" customHeight="1"/>
    <row r="6" spans="2:18" ht="78" customHeight="1">
      <c r="C6" s="2980" t="s">
        <v>4686</v>
      </c>
      <c r="D6" s="2960"/>
      <c r="E6" s="2960"/>
    </row>
    <row r="7" spans="2:18" ht="5.0999999999999996" customHeight="1">
      <c r="C7" s="292"/>
    </row>
    <row r="8" spans="2:18" s="700" customFormat="1" ht="12.95" customHeight="1">
      <c r="D8" s="701" t="s">
        <v>300</v>
      </c>
    </row>
    <row r="9" spans="2:18" ht="129.94999999999999" customHeight="1">
      <c r="C9" s="2980" t="s">
        <v>9283</v>
      </c>
      <c r="D9" s="2960"/>
      <c r="E9" s="2960"/>
    </row>
    <row r="10" spans="2:18" ht="51.95" customHeight="1">
      <c r="C10" s="2980" t="s">
        <v>9284</v>
      </c>
      <c r="D10" s="2960"/>
      <c r="E10" s="2960"/>
    </row>
    <row r="11" spans="2:18" ht="78" customHeight="1">
      <c r="C11" s="2980" t="s">
        <v>9285</v>
      </c>
      <c r="D11" s="2960"/>
      <c r="E11" s="2960"/>
    </row>
    <row r="12" spans="2:18" ht="90.95" customHeight="1">
      <c r="C12" s="2980" t="s">
        <v>9286</v>
      </c>
      <c r="D12" s="2960"/>
      <c r="E12" s="2960"/>
    </row>
    <row r="13" spans="2:18" ht="5.0999999999999996" customHeight="1"/>
    <row r="14" spans="2:18" s="700" customFormat="1" ht="12.95" customHeight="1">
      <c r="D14" s="701" t="s">
        <v>4683</v>
      </c>
    </row>
    <row r="15" spans="2:18" ht="5.0999999999999996" customHeight="1">
      <c r="C15" s="292"/>
    </row>
    <row r="16" spans="2:18" ht="39" customHeight="1">
      <c r="C16" s="3961" t="s">
        <v>5790</v>
      </c>
      <c r="D16" s="2960"/>
      <c r="E16" s="2960"/>
    </row>
    <row r="17" spans="2:5" ht="12.95" customHeight="1">
      <c r="C17" s="3961" t="s">
        <v>5789</v>
      </c>
      <c r="D17" s="2960"/>
      <c r="E17" s="2960"/>
    </row>
    <row r="18" spans="2:5" ht="26.1" customHeight="1">
      <c r="C18" s="3961" t="s">
        <v>4687</v>
      </c>
      <c r="D18" s="2960"/>
      <c r="E18" s="2960"/>
    </row>
    <row r="19" spans="2:5" ht="26.1" customHeight="1">
      <c r="C19" s="3961" t="s">
        <v>4688</v>
      </c>
      <c r="D19" s="2960"/>
      <c r="E19" s="2960"/>
    </row>
    <row r="20" spans="2:5" ht="12.95" customHeight="1">
      <c r="C20" s="3961" t="s">
        <v>1614</v>
      </c>
      <c r="D20" s="2960"/>
      <c r="E20" s="2960"/>
    </row>
    <row r="21" spans="2:5" ht="26.1" customHeight="1">
      <c r="C21" s="3961" t="s">
        <v>4689</v>
      </c>
      <c r="D21" s="2960"/>
      <c r="E21" s="2960"/>
    </row>
    <row r="22" spans="2:5" ht="5.0999999999999996" customHeight="1"/>
    <row r="23" spans="2:5" s="700" customFormat="1" ht="12.95" customHeight="1">
      <c r="D23" s="701" t="s">
        <v>1091</v>
      </c>
    </row>
    <row r="24" spans="2:5" ht="5.0999999999999996" customHeight="1">
      <c r="C24" s="292"/>
    </row>
    <row r="25" spans="2:5" ht="104.1" customHeight="1">
      <c r="C25" s="2980" t="s">
        <v>9287</v>
      </c>
      <c r="D25" s="2960"/>
      <c r="E25" s="2960"/>
    </row>
    <row r="26" spans="2:5" ht="104.1" customHeight="1">
      <c r="C26" s="2960" t="s">
        <v>9288</v>
      </c>
      <c r="D26" s="2960"/>
      <c r="E26" s="2960"/>
    </row>
    <row r="27" spans="2:5" ht="39" customHeight="1">
      <c r="C27" s="2960" t="s">
        <v>9289</v>
      </c>
      <c r="D27" s="2960"/>
      <c r="E27" s="2960"/>
    </row>
    <row r="28" spans="2:5" ht="39" customHeight="1">
      <c r="C28" s="2980" t="s">
        <v>9290</v>
      </c>
      <c r="D28" s="2960"/>
      <c r="E28" s="2960"/>
    </row>
    <row r="29" spans="2:5" ht="51.95" customHeight="1">
      <c r="C29" s="2960" t="s">
        <v>9292</v>
      </c>
      <c r="D29" s="2960"/>
      <c r="E29" s="2960"/>
    </row>
    <row r="30" spans="2:5" ht="65.099999999999994" customHeight="1">
      <c r="C30" s="2960" t="s">
        <v>9293</v>
      </c>
      <c r="D30" s="2960"/>
      <c r="E30" s="2960"/>
    </row>
    <row r="31" spans="2:5" ht="78" customHeight="1">
      <c r="C31" s="2960" t="s">
        <v>9294</v>
      </c>
      <c r="D31" s="2960"/>
      <c r="E31" s="2960"/>
    </row>
    <row r="32" spans="2:5" ht="35.1" customHeight="1">
      <c r="B32" s="666"/>
      <c r="C32" s="527" t="s">
        <v>1652</v>
      </c>
      <c r="D32" s="3960" t="s">
        <v>1064</v>
      </c>
      <c r="E32" s="3960"/>
    </row>
  </sheetData>
  <sheetProtection autoFilter="0"/>
  <mergeCells count="23">
    <mergeCell ref="B1:C1"/>
    <mergeCell ref="C3:E3"/>
    <mergeCell ref="C4:E4"/>
    <mergeCell ref="C6:E6"/>
    <mergeCell ref="C9:E9"/>
    <mergeCell ref="D1:E1"/>
    <mergeCell ref="C10:E10"/>
    <mergeCell ref="C11:E11"/>
    <mergeCell ref="C12:E12"/>
    <mergeCell ref="C20:E20"/>
    <mergeCell ref="C16:E16"/>
    <mergeCell ref="C17:E17"/>
    <mergeCell ref="C18:E18"/>
    <mergeCell ref="C19:E19"/>
    <mergeCell ref="D32:E32"/>
    <mergeCell ref="C21:E21"/>
    <mergeCell ref="C30:E30"/>
    <mergeCell ref="C31:E31"/>
    <mergeCell ref="C25:E25"/>
    <mergeCell ref="C26:E26"/>
    <mergeCell ref="C28:E28"/>
    <mergeCell ref="C29:E29"/>
    <mergeCell ref="C27:E27"/>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95" orientation="landscape" r:id="rId1"/>
  <headerFooter alignWithMargins="0"/>
  <drawing r:id="rId2"/>
</worksheet>
</file>

<file path=xl/worksheets/sheet83.xml><?xml version="1.0" encoding="utf-8"?>
<worksheet xmlns="http://schemas.openxmlformats.org/spreadsheetml/2006/main" xmlns:r="http://schemas.openxmlformats.org/officeDocument/2006/relationships">
  <dimension ref="B1:R41"/>
  <sheetViews>
    <sheetView zoomScaleNormal="100" workbookViewId="0">
      <pane ySplit="5" topLeftCell="A6" activePane="bottomLeft" state="frozen"/>
      <selection pane="bottomLeft" activeCell="B1" sqref="B1:C1"/>
    </sheetView>
  </sheetViews>
  <sheetFormatPr defaultRowHeight="12.95" customHeight="1"/>
  <cols>
    <col min="1" max="1" width="3.7109375" style="526" customWidth="1"/>
    <col min="2" max="2" width="9.140625" style="526"/>
    <col min="3" max="3" width="15.140625" style="526" customWidth="1"/>
    <col min="4" max="4" width="52.5703125" style="526" customWidth="1"/>
    <col min="5" max="5" width="58.28515625" style="526" customWidth="1"/>
    <col min="6" max="16384" width="9.140625" style="526"/>
  </cols>
  <sheetData>
    <row r="1" spans="2:18" ht="12.95" customHeight="1">
      <c r="B1" s="3252" t="s">
        <v>2706</v>
      </c>
      <c r="C1" s="3252"/>
      <c r="D1" s="3195" t="s">
        <v>8269</v>
      </c>
      <c r="E1" s="3195"/>
    </row>
    <row r="2" spans="2:18" ht="5.0999999999999996" customHeight="1">
      <c r="B2" s="697"/>
    </row>
    <row r="3" spans="2:18" ht="12.95" customHeight="1">
      <c r="B3" s="698"/>
      <c r="C3" s="3075" t="s">
        <v>4690</v>
      </c>
      <c r="D3" s="3075"/>
      <c r="E3" s="3075"/>
      <c r="P3" s="699"/>
      <c r="Q3" s="699"/>
      <c r="R3" s="699"/>
    </row>
    <row r="4" spans="2:18" s="702" customFormat="1" ht="11.25">
      <c r="C4" s="3130" t="s">
        <v>5776</v>
      </c>
      <c r="D4" s="3962"/>
      <c r="E4" s="3962"/>
    </row>
    <row r="5" spans="2:18" ht="5.0999999999999996" customHeight="1">
      <c r="C5" s="292"/>
    </row>
    <row r="6" spans="2:18" ht="39" customHeight="1">
      <c r="C6" s="2980" t="s">
        <v>9295</v>
      </c>
      <c r="D6" s="2960"/>
      <c r="E6" s="2960"/>
    </row>
    <row r="7" spans="2:18" ht="5.0999999999999996" customHeight="1">
      <c r="C7" s="292"/>
    </row>
    <row r="8" spans="2:18" s="700" customFormat="1" ht="12.95" customHeight="1">
      <c r="D8" s="701" t="s">
        <v>300</v>
      </c>
    </row>
    <row r="9" spans="2:18" ht="5.0999999999999996" customHeight="1">
      <c r="C9" s="292"/>
    </row>
    <row r="10" spans="2:18" ht="65.099999999999994" customHeight="1">
      <c r="C10" s="2980" t="s">
        <v>9296</v>
      </c>
      <c r="D10" s="2960"/>
      <c r="E10" s="2960"/>
    </row>
    <row r="11" spans="2:18" ht="65.099999999999994" customHeight="1">
      <c r="C11" s="2960" t="s">
        <v>9297</v>
      </c>
      <c r="D11" s="2960"/>
      <c r="E11" s="2960"/>
    </row>
    <row r="12" spans="2:18" ht="65.099999999999994" customHeight="1">
      <c r="C12" s="2980" t="s">
        <v>9298</v>
      </c>
      <c r="D12" s="2960"/>
      <c r="E12" s="2960"/>
    </row>
    <row r="13" spans="2:18" ht="65.099999999999994" customHeight="1">
      <c r="C13" s="2980" t="s">
        <v>9299</v>
      </c>
      <c r="D13" s="2960"/>
      <c r="E13" s="2960"/>
    </row>
    <row r="14" spans="2:18" ht="78" customHeight="1">
      <c r="C14" s="2980" t="s">
        <v>9300</v>
      </c>
      <c r="D14" s="2960"/>
      <c r="E14" s="2960"/>
    </row>
    <row r="15" spans="2:18" ht="5.0999999999999996" customHeight="1"/>
    <row r="16" spans="2:18" s="700" customFormat="1" ht="12.95" customHeight="1">
      <c r="D16" s="701" t="s">
        <v>4683</v>
      </c>
    </row>
    <row r="17" spans="3:5" ht="5.0999999999999996" customHeight="1">
      <c r="C17" s="292"/>
    </row>
    <row r="18" spans="3:5" ht="26.1" customHeight="1">
      <c r="C18" s="2960" t="s">
        <v>9301</v>
      </c>
      <c r="D18" s="2960"/>
      <c r="E18" s="2960"/>
    </row>
    <row r="19" spans="3:5" ht="12.95" customHeight="1">
      <c r="C19" s="3961" t="s">
        <v>5787</v>
      </c>
      <c r="D19" s="2960"/>
      <c r="E19" s="2960"/>
    </row>
    <row r="20" spans="3:5" ht="12.95" customHeight="1">
      <c r="C20" s="3961" t="s">
        <v>5788</v>
      </c>
      <c r="D20" s="2960"/>
      <c r="E20" s="2960"/>
    </row>
    <row r="21" spans="3:5" ht="12.95" customHeight="1">
      <c r="C21" s="3961" t="s">
        <v>4691</v>
      </c>
      <c r="D21" s="2960"/>
      <c r="E21" s="2960"/>
    </row>
    <row r="22" spans="3:5" ht="26.1" customHeight="1">
      <c r="C22" s="3961" t="s">
        <v>4692</v>
      </c>
      <c r="D22" s="2960"/>
      <c r="E22" s="2960"/>
    </row>
    <row r="23" spans="3:5" ht="12.95" customHeight="1">
      <c r="C23" s="3961" t="s">
        <v>5159</v>
      </c>
      <c r="D23" s="2960"/>
      <c r="E23" s="2960"/>
    </row>
    <row r="24" spans="3:5" ht="26.1" customHeight="1">
      <c r="C24" s="3961" t="s">
        <v>4693</v>
      </c>
      <c r="D24" s="2960"/>
      <c r="E24" s="2960"/>
    </row>
    <row r="25" spans="3:5" ht="5.0999999999999996" customHeight="1"/>
    <row r="26" spans="3:5" s="700" customFormat="1" ht="12.95" customHeight="1">
      <c r="D26" s="701" t="s">
        <v>1091</v>
      </c>
    </row>
    <row r="27" spans="3:5" ht="5.0999999999999996" customHeight="1">
      <c r="C27" s="292"/>
    </row>
    <row r="28" spans="3:5" ht="65.099999999999994" customHeight="1">
      <c r="C28" s="2980" t="s">
        <v>9302</v>
      </c>
      <c r="D28" s="2960"/>
      <c r="E28" s="2960"/>
    </row>
    <row r="29" spans="3:5" ht="104.1" customHeight="1">
      <c r="C29" s="2960" t="s">
        <v>9303</v>
      </c>
      <c r="D29" s="2960"/>
      <c r="E29" s="2960"/>
    </row>
    <row r="30" spans="3:5" ht="65.099999999999994" customHeight="1">
      <c r="C30" s="2960" t="s">
        <v>9304</v>
      </c>
      <c r="D30" s="2960"/>
      <c r="E30" s="2960"/>
    </row>
    <row r="31" spans="3:5" ht="104.1" customHeight="1">
      <c r="C31" s="2960" t="s">
        <v>9305</v>
      </c>
      <c r="D31" s="2960"/>
      <c r="E31" s="2960"/>
    </row>
    <row r="32" spans="3:5" ht="65.099999999999994" customHeight="1">
      <c r="C32" s="2960" t="s">
        <v>9306</v>
      </c>
      <c r="D32" s="2960"/>
      <c r="E32" s="2960"/>
    </row>
    <row r="33" spans="2:5" ht="51.95" customHeight="1">
      <c r="C33" s="2960" t="s">
        <v>9307</v>
      </c>
      <c r="D33" s="2960"/>
      <c r="E33" s="2960"/>
    </row>
    <row r="34" spans="2:5" ht="51.95" customHeight="1">
      <c r="C34" s="2980" t="s">
        <v>9308</v>
      </c>
      <c r="D34" s="2960"/>
      <c r="E34" s="2960"/>
    </row>
    <row r="35" spans="2:5" ht="39" customHeight="1">
      <c r="C35" s="2960" t="s">
        <v>9309</v>
      </c>
      <c r="D35" s="2960"/>
      <c r="E35" s="2960"/>
    </row>
    <row r="36" spans="2:5" ht="78" customHeight="1">
      <c r="C36" s="2960" t="s">
        <v>9310</v>
      </c>
      <c r="D36" s="2960"/>
      <c r="E36" s="2960"/>
    </row>
    <row r="37" spans="2:5" ht="26.1" customHeight="1">
      <c r="C37" s="2960" t="s">
        <v>9311</v>
      </c>
      <c r="D37" s="2960"/>
      <c r="E37" s="2960"/>
    </row>
    <row r="38" spans="2:5" ht="65.099999999999994" customHeight="1">
      <c r="C38" s="2960" t="s">
        <v>9312</v>
      </c>
      <c r="D38" s="2960"/>
      <c r="E38" s="2960"/>
    </row>
    <row r="39" spans="2:5" ht="65.099999999999994" customHeight="1">
      <c r="C39" s="2960" t="s">
        <v>9313</v>
      </c>
      <c r="D39" s="2960"/>
      <c r="E39" s="2960"/>
    </row>
    <row r="40" spans="2:5" ht="78" customHeight="1">
      <c r="C40" s="2960" t="s">
        <v>9314</v>
      </c>
      <c r="D40" s="2960"/>
      <c r="E40" s="2960"/>
    </row>
    <row r="41" spans="2:5" ht="35.1" customHeight="1">
      <c r="B41" s="666"/>
      <c r="C41" s="527" t="s">
        <v>1652</v>
      </c>
      <c r="D41" s="3960" t="s">
        <v>1064</v>
      </c>
      <c r="E41" s="3960"/>
    </row>
  </sheetData>
  <sheetProtection autoFilter="0"/>
  <mergeCells count="31">
    <mergeCell ref="B1:C1"/>
    <mergeCell ref="C19:E19"/>
    <mergeCell ref="C13:E13"/>
    <mergeCell ref="C18:E18"/>
    <mergeCell ref="C14:E14"/>
    <mergeCell ref="C3:E3"/>
    <mergeCell ref="C4:E4"/>
    <mergeCell ref="C6:E6"/>
    <mergeCell ref="C10:E10"/>
    <mergeCell ref="C11:E11"/>
    <mergeCell ref="C12:E12"/>
    <mergeCell ref="D1:E1"/>
    <mergeCell ref="D41:E41"/>
    <mergeCell ref="C31:E31"/>
    <mergeCell ref="C32:E32"/>
    <mergeCell ref="C33:E33"/>
    <mergeCell ref="C34:E34"/>
    <mergeCell ref="C40:E40"/>
    <mergeCell ref="C38:E38"/>
    <mergeCell ref="C39:E39"/>
    <mergeCell ref="C35:E35"/>
    <mergeCell ref="C37:E37"/>
    <mergeCell ref="C30:E30"/>
    <mergeCell ref="C20:E20"/>
    <mergeCell ref="C28:E28"/>
    <mergeCell ref="C29:E29"/>
    <mergeCell ref="C36:E36"/>
    <mergeCell ref="C24:E24"/>
    <mergeCell ref="C21:E21"/>
    <mergeCell ref="C22:E22"/>
    <mergeCell ref="C23:E23"/>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95" orientation="landscape" r:id="rId1"/>
  <headerFooter alignWithMargins="0"/>
  <rowBreaks count="1" manualBreakCount="1">
    <brk id="14" max="4" man="1"/>
  </rowBreaks>
  <drawing r:id="rId2"/>
</worksheet>
</file>

<file path=xl/worksheets/sheet84.xml><?xml version="1.0" encoding="utf-8"?>
<worksheet xmlns="http://schemas.openxmlformats.org/spreadsheetml/2006/main" xmlns:r="http://schemas.openxmlformats.org/officeDocument/2006/relationships">
  <dimension ref="B1:R37"/>
  <sheetViews>
    <sheetView zoomScaleNormal="100" workbookViewId="0">
      <pane ySplit="5" topLeftCell="A6" activePane="bottomLeft" state="frozen"/>
      <selection pane="bottomLeft" activeCell="B1" sqref="B1:C1"/>
    </sheetView>
  </sheetViews>
  <sheetFormatPr defaultRowHeight="12.95" customHeight="1"/>
  <cols>
    <col min="1" max="1" width="3.7109375" style="526" customWidth="1"/>
    <col min="2" max="2" width="9.140625" style="526"/>
    <col min="3" max="3" width="15.140625" style="526" customWidth="1"/>
    <col min="4" max="4" width="52.5703125" style="526" customWidth="1"/>
    <col min="5" max="5" width="58.28515625" style="526" customWidth="1"/>
    <col min="6" max="16384" width="9.140625" style="526"/>
  </cols>
  <sheetData>
    <row r="1" spans="2:18" ht="12.95" customHeight="1">
      <c r="B1" s="3252" t="s">
        <v>2706</v>
      </c>
      <c r="C1" s="3252"/>
      <c r="D1" s="3195" t="s">
        <v>8269</v>
      </c>
      <c r="E1" s="3195"/>
    </row>
    <row r="2" spans="2:18" ht="5.0999999999999996" customHeight="1">
      <c r="B2" s="697"/>
    </row>
    <row r="3" spans="2:18" ht="12.95" customHeight="1">
      <c r="B3" s="698"/>
      <c r="C3" s="3075" t="s">
        <v>4694</v>
      </c>
      <c r="D3" s="3075"/>
      <c r="E3" s="3075"/>
      <c r="P3" s="699"/>
      <c r="Q3" s="699"/>
      <c r="R3" s="699"/>
    </row>
    <row r="4" spans="2:18" s="702" customFormat="1" ht="11.25">
      <c r="C4" s="3130" t="s">
        <v>5776</v>
      </c>
      <c r="D4" s="3962"/>
      <c r="E4" s="3962"/>
    </row>
    <row r="5" spans="2:18" ht="5.0999999999999996" customHeight="1">
      <c r="C5" s="292"/>
    </row>
    <row r="6" spans="2:18" ht="39" customHeight="1">
      <c r="C6" s="2980" t="s">
        <v>9315</v>
      </c>
      <c r="D6" s="2960"/>
      <c r="E6" s="2960"/>
    </row>
    <row r="7" spans="2:18" ht="5.0999999999999996" customHeight="1">
      <c r="C7" s="292"/>
    </row>
    <row r="8" spans="2:18" s="700" customFormat="1" ht="12.95" customHeight="1">
      <c r="D8" s="701" t="s">
        <v>300</v>
      </c>
    </row>
    <row r="9" spans="2:18" ht="5.0999999999999996" customHeight="1">
      <c r="C9" s="292"/>
    </row>
    <row r="10" spans="2:18" ht="104.1" customHeight="1">
      <c r="C10" s="2980" t="s">
        <v>9316</v>
      </c>
      <c r="D10" s="2960"/>
      <c r="E10" s="2960"/>
    </row>
    <row r="11" spans="2:18" ht="90.95" customHeight="1">
      <c r="C11" s="2980" t="s">
        <v>9317</v>
      </c>
      <c r="D11" s="2960"/>
      <c r="E11" s="2960"/>
    </row>
    <row r="12" spans="2:18" ht="65.099999999999994" customHeight="1">
      <c r="C12" s="2980" t="s">
        <v>9318</v>
      </c>
      <c r="D12" s="2960"/>
      <c r="E12" s="2960"/>
    </row>
    <row r="13" spans="2:18" ht="117" customHeight="1">
      <c r="C13" s="2980" t="s">
        <v>9319</v>
      </c>
      <c r="D13" s="2960"/>
      <c r="E13" s="2960"/>
    </row>
    <row r="14" spans="2:18" ht="5.0999999999999996" customHeight="1"/>
    <row r="15" spans="2:18" s="700" customFormat="1" ht="12.95" customHeight="1">
      <c r="D15" s="701" t="s">
        <v>4683</v>
      </c>
    </row>
    <row r="16" spans="2:18" ht="5.0999999999999996" customHeight="1">
      <c r="C16" s="292"/>
    </row>
    <row r="17" spans="3:5" ht="12.95" customHeight="1">
      <c r="C17" s="3961" t="s">
        <v>5784</v>
      </c>
      <c r="D17" s="2960"/>
      <c r="E17" s="2960"/>
    </row>
    <row r="18" spans="3:5" ht="12.95" customHeight="1">
      <c r="C18" s="3961" t="s">
        <v>5915</v>
      </c>
      <c r="D18" s="2960"/>
      <c r="E18" s="2960"/>
    </row>
    <row r="19" spans="3:5" ht="12.95" customHeight="1">
      <c r="C19" s="3961" t="s">
        <v>5785</v>
      </c>
      <c r="D19" s="2960"/>
      <c r="E19" s="2960"/>
    </row>
    <row r="20" spans="3:5" ht="12.95" customHeight="1">
      <c r="C20" s="3961" t="s">
        <v>4695</v>
      </c>
      <c r="D20" s="2960"/>
      <c r="E20" s="2960"/>
    </row>
    <row r="21" spans="3:5" ht="12.95" customHeight="1">
      <c r="C21" s="3961" t="s">
        <v>5786</v>
      </c>
      <c r="D21" s="2960"/>
      <c r="E21" s="2960"/>
    </row>
    <row r="22" spans="3:5" ht="12.95" customHeight="1">
      <c r="C22" s="3961" t="s">
        <v>2121</v>
      </c>
      <c r="D22" s="2960"/>
      <c r="E22" s="2960"/>
    </row>
    <row r="23" spans="3:5" ht="26.1" customHeight="1">
      <c r="C23" s="3961" t="s">
        <v>2122</v>
      </c>
      <c r="D23" s="2960"/>
      <c r="E23" s="2960"/>
    </row>
    <row r="24" spans="3:5" ht="5.0999999999999996" customHeight="1"/>
    <row r="25" spans="3:5" s="700" customFormat="1" ht="12.95" customHeight="1">
      <c r="C25" s="526"/>
      <c r="D25" s="701" t="s">
        <v>1091</v>
      </c>
    </row>
    <row r="26" spans="3:5" ht="5.0999999999999996" customHeight="1">
      <c r="C26" s="292"/>
    </row>
    <row r="27" spans="3:5" ht="117" customHeight="1">
      <c r="C27" s="2980" t="s">
        <v>9320</v>
      </c>
      <c r="D27" s="2960"/>
      <c r="E27" s="2960"/>
    </row>
    <row r="28" spans="3:5" ht="51.95" customHeight="1">
      <c r="C28" s="2960" t="s">
        <v>9321</v>
      </c>
      <c r="D28" s="2960"/>
      <c r="E28" s="2960"/>
    </row>
    <row r="29" spans="3:5" ht="51.95" customHeight="1">
      <c r="C29" s="2960" t="s">
        <v>9322</v>
      </c>
      <c r="D29" s="2960"/>
      <c r="E29" s="2960"/>
    </row>
    <row r="30" spans="3:5" ht="51.95" customHeight="1">
      <c r="C30" s="2960" t="s">
        <v>9323</v>
      </c>
      <c r="D30" s="2960"/>
      <c r="E30" s="2960"/>
    </row>
    <row r="31" spans="3:5" ht="51.95" customHeight="1">
      <c r="C31" s="2960" t="s">
        <v>9324</v>
      </c>
      <c r="D31" s="2960"/>
      <c r="E31" s="2960"/>
    </row>
    <row r="32" spans="3:5" ht="104.1" customHeight="1">
      <c r="C32" s="2980" t="s">
        <v>9325</v>
      </c>
      <c r="D32" s="2960"/>
      <c r="E32" s="2960"/>
    </row>
    <row r="33" spans="2:5" ht="90.95" customHeight="1">
      <c r="C33" s="2960" t="s">
        <v>9326</v>
      </c>
      <c r="D33" s="2960"/>
      <c r="E33" s="2960"/>
    </row>
    <row r="34" spans="2:5" ht="39" customHeight="1">
      <c r="C34" s="2960" t="s">
        <v>9327</v>
      </c>
      <c r="D34" s="2960"/>
      <c r="E34" s="2960"/>
    </row>
    <row r="35" spans="2:5" ht="65.099999999999994" customHeight="1">
      <c r="C35" s="2960" t="s">
        <v>9328</v>
      </c>
      <c r="D35" s="2960"/>
      <c r="E35" s="2960"/>
    </row>
    <row r="36" spans="2:5" ht="26.1" customHeight="1">
      <c r="C36" s="2960" t="s">
        <v>9329</v>
      </c>
      <c r="D36" s="2960"/>
      <c r="E36" s="2960"/>
    </row>
    <row r="37" spans="2:5" ht="35.1" customHeight="1">
      <c r="B37" s="666"/>
      <c r="C37" s="527" t="s">
        <v>1652</v>
      </c>
      <c r="D37" s="3960" t="s">
        <v>1064</v>
      </c>
      <c r="E37" s="3960"/>
    </row>
  </sheetData>
  <sheetProtection autoFilter="0"/>
  <mergeCells count="27">
    <mergeCell ref="B1:C1"/>
    <mergeCell ref="C17:E17"/>
    <mergeCell ref="C18:E18"/>
    <mergeCell ref="C30:E30"/>
    <mergeCell ref="C31:E31"/>
    <mergeCell ref="C3:E3"/>
    <mergeCell ref="C4:E4"/>
    <mergeCell ref="C10:E10"/>
    <mergeCell ref="C11:E11"/>
    <mergeCell ref="C12:E12"/>
    <mergeCell ref="D1:E1"/>
    <mergeCell ref="C36:E36"/>
    <mergeCell ref="D37:E37"/>
    <mergeCell ref="C6:E6"/>
    <mergeCell ref="C33:E33"/>
    <mergeCell ref="C34:E34"/>
    <mergeCell ref="C35:E35"/>
    <mergeCell ref="C23:E23"/>
    <mergeCell ref="C27:E27"/>
    <mergeCell ref="C28:E28"/>
    <mergeCell ref="C29:E29"/>
    <mergeCell ref="C32:E32"/>
    <mergeCell ref="C19:E19"/>
    <mergeCell ref="C20:E20"/>
    <mergeCell ref="C21:E21"/>
    <mergeCell ref="C22:E22"/>
    <mergeCell ref="C13:E13"/>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95" orientation="landscape" r:id="rId1"/>
  <headerFooter alignWithMargins="0"/>
  <drawing r:id="rId2"/>
</worksheet>
</file>

<file path=xl/worksheets/sheet85.xml><?xml version="1.0" encoding="utf-8"?>
<worksheet xmlns="http://schemas.openxmlformats.org/spreadsheetml/2006/main" xmlns:r="http://schemas.openxmlformats.org/officeDocument/2006/relationships">
  <dimension ref="B1:R33"/>
  <sheetViews>
    <sheetView zoomScaleNormal="100" workbookViewId="0">
      <pane ySplit="5" topLeftCell="A6" activePane="bottomLeft" state="frozen"/>
      <selection pane="bottomLeft" activeCell="B1" sqref="B1:C1"/>
    </sheetView>
  </sheetViews>
  <sheetFormatPr defaultRowHeight="12.95" customHeight="1"/>
  <cols>
    <col min="1" max="1" width="3.7109375" style="526" customWidth="1"/>
    <col min="2" max="2" width="9.140625" style="526"/>
    <col min="3" max="3" width="15.140625" style="526" customWidth="1"/>
    <col min="4" max="4" width="52.5703125" style="526" customWidth="1"/>
    <col min="5" max="5" width="58.28515625" style="526" customWidth="1"/>
    <col min="6" max="16384" width="9.140625" style="526"/>
  </cols>
  <sheetData>
    <row r="1" spans="2:18" ht="12.95" customHeight="1">
      <c r="B1" s="3252" t="s">
        <v>2706</v>
      </c>
      <c r="C1" s="3252"/>
      <c r="D1" s="3195" t="s">
        <v>8269</v>
      </c>
      <c r="E1" s="3195"/>
    </row>
    <row r="2" spans="2:18" ht="5.0999999999999996" customHeight="1">
      <c r="B2" s="697"/>
    </row>
    <row r="3" spans="2:18" ht="12.95" customHeight="1">
      <c r="B3" s="698"/>
      <c r="C3" s="3075" t="s">
        <v>4696</v>
      </c>
      <c r="D3" s="3075"/>
      <c r="E3" s="3075"/>
      <c r="P3" s="699"/>
      <c r="Q3" s="699"/>
      <c r="R3" s="699"/>
    </row>
    <row r="4" spans="2:18" s="702" customFormat="1" ht="11.25">
      <c r="C4" s="3130" t="s">
        <v>5776</v>
      </c>
      <c r="D4" s="3962"/>
      <c r="E4" s="3962"/>
    </row>
    <row r="5" spans="2:18" ht="5.0999999999999996" customHeight="1">
      <c r="C5" s="292"/>
    </row>
    <row r="6" spans="2:18" ht="65.099999999999994" customHeight="1">
      <c r="C6" s="2980" t="s">
        <v>9330</v>
      </c>
      <c r="D6" s="2960"/>
      <c r="E6" s="2960"/>
    </row>
    <row r="7" spans="2:18" ht="5.0999999999999996" customHeight="1">
      <c r="C7" s="292"/>
    </row>
    <row r="8" spans="2:18" s="700" customFormat="1" ht="12.95" customHeight="1">
      <c r="D8" s="701" t="s">
        <v>300</v>
      </c>
    </row>
    <row r="9" spans="2:18" ht="5.0999999999999996" customHeight="1">
      <c r="C9" s="292"/>
    </row>
    <row r="10" spans="2:18" ht="117" customHeight="1">
      <c r="C10" s="2980" t="s">
        <v>9331</v>
      </c>
      <c r="D10" s="2960"/>
      <c r="E10" s="2960"/>
    </row>
    <row r="11" spans="2:18" ht="26.1" customHeight="1">
      <c r="C11" s="2980" t="s">
        <v>9332</v>
      </c>
      <c r="D11" s="2960"/>
      <c r="E11" s="2960"/>
    </row>
    <row r="12" spans="2:18" ht="39" customHeight="1">
      <c r="C12" s="2980" t="s">
        <v>9333</v>
      </c>
      <c r="D12" s="2960"/>
      <c r="E12" s="2960"/>
    </row>
    <row r="13" spans="2:18" ht="39" customHeight="1">
      <c r="C13" s="2980" t="s">
        <v>9334</v>
      </c>
      <c r="D13" s="2960"/>
      <c r="E13" s="2960"/>
    </row>
    <row r="14" spans="2:18" ht="5.0999999999999996" customHeight="1"/>
    <row r="15" spans="2:18" s="700" customFormat="1" ht="12.95" customHeight="1">
      <c r="D15" s="701" t="s">
        <v>4683</v>
      </c>
    </row>
    <row r="16" spans="2:18" ht="5.0999999999999996" customHeight="1">
      <c r="C16" s="292"/>
    </row>
    <row r="17" spans="3:5" ht="26.1" customHeight="1">
      <c r="C17" s="3961" t="s">
        <v>4697</v>
      </c>
      <c r="D17" s="2960"/>
      <c r="E17" s="2960"/>
    </row>
    <row r="18" spans="3:5" ht="12.95" customHeight="1">
      <c r="C18" s="3961" t="s">
        <v>5160</v>
      </c>
      <c r="D18" s="2960"/>
      <c r="E18" s="2960"/>
    </row>
    <row r="19" spans="3:5" ht="12.95" customHeight="1">
      <c r="C19" s="3961" t="s">
        <v>5782</v>
      </c>
      <c r="D19" s="2960"/>
      <c r="E19" s="2960"/>
    </row>
    <row r="20" spans="3:5" ht="12.95" customHeight="1">
      <c r="C20" s="3961" t="s">
        <v>5916</v>
      </c>
      <c r="D20" s="2960"/>
      <c r="E20" s="2960"/>
    </row>
    <row r="21" spans="3:5" ht="26.1" customHeight="1">
      <c r="C21" s="3961" t="s">
        <v>5783</v>
      </c>
      <c r="D21" s="2960"/>
      <c r="E21" s="2960"/>
    </row>
    <row r="22" spans="3:5" ht="12.95" customHeight="1">
      <c r="C22" s="3961" t="s">
        <v>1618</v>
      </c>
      <c r="D22" s="2960"/>
      <c r="E22" s="2960"/>
    </row>
    <row r="23" spans="3:5" ht="5.0999999999999996" customHeight="1"/>
    <row r="24" spans="3:5" s="700" customFormat="1" ht="12.95" customHeight="1">
      <c r="C24" s="526"/>
      <c r="D24" s="701" t="s">
        <v>1091</v>
      </c>
    </row>
    <row r="25" spans="3:5" ht="5.0999999999999996" customHeight="1">
      <c r="C25" s="292"/>
    </row>
    <row r="26" spans="3:5" ht="90.95" customHeight="1">
      <c r="C26" s="2980" t="s">
        <v>9335</v>
      </c>
      <c r="D26" s="2960"/>
      <c r="E26" s="2960"/>
    </row>
    <row r="27" spans="3:5" ht="65.099999999999994" customHeight="1">
      <c r="C27" s="2960" t="s">
        <v>9336</v>
      </c>
      <c r="D27" s="2960"/>
      <c r="E27" s="2960"/>
    </row>
    <row r="28" spans="3:5" ht="104.1" customHeight="1">
      <c r="C28" s="2960" t="s">
        <v>9337</v>
      </c>
      <c r="D28" s="2960"/>
      <c r="E28" s="2960"/>
    </row>
    <row r="29" spans="3:5" ht="51.95" customHeight="1">
      <c r="C29" s="2960" t="s">
        <v>9338</v>
      </c>
      <c r="D29" s="2960"/>
      <c r="E29" s="2960"/>
    </row>
    <row r="30" spans="3:5" ht="39" customHeight="1">
      <c r="C30" s="2980" t="s">
        <v>9339</v>
      </c>
      <c r="D30" s="2960"/>
      <c r="E30" s="2960"/>
    </row>
    <row r="31" spans="3:5" ht="117" customHeight="1">
      <c r="C31" s="2960" t="s">
        <v>9340</v>
      </c>
      <c r="D31" s="2960"/>
      <c r="E31" s="2960"/>
    </row>
    <row r="32" spans="3:5" ht="104.1" customHeight="1">
      <c r="C32" s="2960" t="s">
        <v>9341</v>
      </c>
      <c r="D32" s="2960"/>
      <c r="E32" s="2960"/>
    </row>
    <row r="33" spans="2:5" ht="35.1" customHeight="1">
      <c r="B33" s="666"/>
      <c r="C33" s="527" t="s">
        <v>1652</v>
      </c>
      <c r="D33" s="3960" t="s">
        <v>1064</v>
      </c>
      <c r="E33" s="3960"/>
    </row>
  </sheetData>
  <sheetProtection autoFilter="0"/>
  <mergeCells count="23">
    <mergeCell ref="B1:C1"/>
    <mergeCell ref="C3:E3"/>
    <mergeCell ref="C4:E4"/>
    <mergeCell ref="C10:E10"/>
    <mergeCell ref="C6:E6"/>
    <mergeCell ref="D1:E1"/>
    <mergeCell ref="C11:E11"/>
    <mergeCell ref="C12:E12"/>
    <mergeCell ref="C13:E13"/>
    <mergeCell ref="C28:E28"/>
    <mergeCell ref="C17:E17"/>
    <mergeCell ref="C22:E22"/>
    <mergeCell ref="C18:E18"/>
    <mergeCell ref="C21:E21"/>
    <mergeCell ref="D33:E33"/>
    <mergeCell ref="C19:E19"/>
    <mergeCell ref="C20:E20"/>
    <mergeCell ref="C29:E29"/>
    <mergeCell ref="C32:E32"/>
    <mergeCell ref="C30:E30"/>
    <mergeCell ref="C31:E31"/>
    <mergeCell ref="C26:E26"/>
    <mergeCell ref="C27:E27"/>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95" orientation="landscape" r:id="rId1"/>
  <headerFooter alignWithMargins="0"/>
  <drawing r:id="rId2"/>
</worksheet>
</file>

<file path=xl/worksheets/sheet86.xml><?xml version="1.0" encoding="utf-8"?>
<worksheet xmlns="http://schemas.openxmlformats.org/spreadsheetml/2006/main" xmlns:r="http://schemas.openxmlformats.org/officeDocument/2006/relationships">
  <dimension ref="B1:R32"/>
  <sheetViews>
    <sheetView zoomScaleNormal="100" workbookViewId="0">
      <pane ySplit="5" topLeftCell="A6" activePane="bottomLeft" state="frozen"/>
      <selection pane="bottomLeft" activeCell="B1" sqref="B1:C1"/>
    </sheetView>
  </sheetViews>
  <sheetFormatPr defaultRowHeight="12.95" customHeight="1"/>
  <cols>
    <col min="1" max="1" width="3.7109375" style="690" customWidth="1"/>
    <col min="2" max="2" width="9.140625" style="690"/>
    <col min="3" max="3" width="15.140625" style="690" customWidth="1"/>
    <col min="4" max="4" width="52.5703125" style="690" customWidth="1"/>
    <col min="5" max="5" width="58.28515625" style="690" customWidth="1"/>
    <col min="6" max="16384" width="9.140625" style="690"/>
  </cols>
  <sheetData>
    <row r="1" spans="2:18" ht="12.95" customHeight="1">
      <c r="B1" s="3252" t="s">
        <v>2706</v>
      </c>
      <c r="C1" s="3252"/>
      <c r="D1" s="3195" t="s">
        <v>8269</v>
      </c>
      <c r="E1" s="3195"/>
    </row>
    <row r="2" spans="2:18" ht="5.0999999999999996" customHeight="1">
      <c r="B2" s="691"/>
    </row>
    <row r="3" spans="2:18" ht="12.95" customHeight="1">
      <c r="B3" s="692"/>
      <c r="C3" s="3075" t="s">
        <v>4698</v>
      </c>
      <c r="D3" s="3075"/>
      <c r="E3" s="3075"/>
      <c r="P3" s="693"/>
      <c r="Q3" s="693"/>
      <c r="R3" s="693"/>
    </row>
    <row r="4" spans="2:18" s="2681" customFormat="1" ht="12.95" customHeight="1">
      <c r="C4" s="3130" t="s">
        <v>5776</v>
      </c>
      <c r="D4" s="3962"/>
      <c r="E4" s="3962"/>
    </row>
    <row r="5" spans="2:18" ht="5.0999999999999996" customHeight="1">
      <c r="C5" s="299"/>
    </row>
    <row r="6" spans="2:18" ht="65.099999999999994" customHeight="1">
      <c r="C6" s="2980" t="s">
        <v>9342</v>
      </c>
      <c r="D6" s="2960"/>
      <c r="E6" s="2960"/>
    </row>
    <row r="7" spans="2:18" ht="5.0999999999999996" customHeight="1">
      <c r="C7" s="299"/>
    </row>
    <row r="8" spans="2:18" s="694" customFormat="1" ht="12.95" customHeight="1">
      <c r="D8" s="695" t="s">
        <v>300</v>
      </c>
    </row>
    <row r="9" spans="2:18" ht="5.0999999999999996" customHeight="1">
      <c r="C9" s="299"/>
    </row>
    <row r="10" spans="2:18" ht="51.95" customHeight="1">
      <c r="C10" s="2980" t="s">
        <v>9343</v>
      </c>
      <c r="D10" s="2960"/>
      <c r="E10" s="2960"/>
    </row>
    <row r="11" spans="2:18" ht="90.95" customHeight="1">
      <c r="C11" s="2960" t="s">
        <v>9344</v>
      </c>
      <c r="D11" s="2960"/>
      <c r="E11" s="2960"/>
    </row>
    <row r="12" spans="2:18" ht="51.95" customHeight="1">
      <c r="C12" s="2980" t="s">
        <v>9345</v>
      </c>
      <c r="D12" s="2960"/>
      <c r="E12" s="2960"/>
    </row>
    <row r="13" spans="2:18" ht="26.1" customHeight="1">
      <c r="C13" s="2980" t="s">
        <v>9346</v>
      </c>
      <c r="D13" s="2960"/>
      <c r="E13" s="2960"/>
    </row>
    <row r="14" spans="2:18" ht="39" customHeight="1">
      <c r="C14" s="2980" t="s">
        <v>9347</v>
      </c>
      <c r="D14" s="2960"/>
      <c r="E14" s="2960"/>
    </row>
    <row r="15" spans="2:18" ht="5.0999999999999996" customHeight="1"/>
    <row r="16" spans="2:18" s="694" customFormat="1" ht="12.95" customHeight="1">
      <c r="D16" s="2746" t="s">
        <v>4683</v>
      </c>
    </row>
    <row r="17" spans="2:5" ht="5.0999999999999996" customHeight="1">
      <c r="C17" s="2747"/>
      <c r="D17" s="2669"/>
      <c r="E17" s="2669"/>
    </row>
    <row r="18" spans="2:5" ht="12.95" customHeight="1">
      <c r="C18" s="3961" t="s">
        <v>4699</v>
      </c>
      <c r="D18" s="2960"/>
      <c r="E18" s="2960"/>
    </row>
    <row r="19" spans="2:5" ht="12.95" customHeight="1">
      <c r="C19" s="3961" t="s">
        <v>5777</v>
      </c>
      <c r="D19" s="2960"/>
      <c r="E19" s="2960"/>
    </row>
    <row r="20" spans="2:5" ht="26.1" customHeight="1">
      <c r="C20" s="3961" t="s">
        <v>5917</v>
      </c>
      <c r="D20" s="2960"/>
      <c r="E20" s="2960"/>
    </row>
    <row r="21" spans="2:5" ht="26.1" customHeight="1">
      <c r="C21" s="3961" t="s">
        <v>4700</v>
      </c>
      <c r="D21" s="2960"/>
      <c r="E21" s="2960"/>
    </row>
    <row r="22" spans="2:5" ht="12.95" customHeight="1">
      <c r="C22" s="3961" t="s">
        <v>5778</v>
      </c>
      <c r="D22" s="2960"/>
      <c r="E22" s="2960"/>
    </row>
    <row r="23" spans="2:5" ht="5.0999999999999996" customHeight="1">
      <c r="C23" s="2669"/>
      <c r="D23" s="2669"/>
      <c r="E23" s="2669"/>
    </row>
    <row r="24" spans="2:5" s="694" customFormat="1" ht="12.95" customHeight="1">
      <c r="C24" s="2669"/>
      <c r="D24" s="2746" t="s">
        <v>1091</v>
      </c>
    </row>
    <row r="25" spans="2:5" ht="5.0999999999999996" customHeight="1">
      <c r="C25" s="2747"/>
      <c r="D25" s="2669"/>
      <c r="E25" s="2669"/>
    </row>
    <row r="26" spans="2:5" ht="90.95" customHeight="1">
      <c r="C26" s="2980" t="s">
        <v>9348</v>
      </c>
      <c r="D26" s="2960"/>
      <c r="E26" s="2960"/>
    </row>
    <row r="27" spans="2:5" ht="51.95" customHeight="1">
      <c r="C27" s="2960" t="s">
        <v>9349</v>
      </c>
      <c r="D27" s="2960"/>
      <c r="E27" s="2960"/>
    </row>
    <row r="28" spans="2:5" ht="65.099999999999994" customHeight="1">
      <c r="C28" s="2960" t="s">
        <v>9350</v>
      </c>
      <c r="D28" s="2960"/>
      <c r="E28" s="2960"/>
    </row>
    <row r="29" spans="2:5" ht="65.099999999999994" customHeight="1">
      <c r="C29" s="2960" t="s">
        <v>9351</v>
      </c>
      <c r="D29" s="2960"/>
      <c r="E29" s="2960"/>
    </row>
    <row r="30" spans="2:5" ht="51.95" customHeight="1">
      <c r="C30" s="2980" t="s">
        <v>9352</v>
      </c>
      <c r="D30" s="2960"/>
      <c r="E30" s="2960"/>
    </row>
    <row r="31" spans="2:5" ht="78" customHeight="1">
      <c r="C31" s="2960" t="s">
        <v>9353</v>
      </c>
      <c r="D31" s="2960"/>
      <c r="E31" s="2960"/>
    </row>
    <row r="32" spans="2:5" ht="35.1" customHeight="1">
      <c r="B32" s="696"/>
      <c r="C32" s="2670" t="s">
        <v>1652</v>
      </c>
      <c r="D32" s="3960" t="s">
        <v>2081</v>
      </c>
      <c r="E32" s="3960"/>
    </row>
  </sheetData>
  <sheetProtection autoFilter="0"/>
  <mergeCells count="22">
    <mergeCell ref="B1:C1"/>
    <mergeCell ref="C19:E19"/>
    <mergeCell ref="C26:E26"/>
    <mergeCell ref="C20:E20"/>
    <mergeCell ref="C21:E21"/>
    <mergeCell ref="C22:E22"/>
    <mergeCell ref="C3:E3"/>
    <mergeCell ref="C4:E4"/>
    <mergeCell ref="C10:E10"/>
    <mergeCell ref="C18:E18"/>
    <mergeCell ref="C6:E6"/>
    <mergeCell ref="C11:E11"/>
    <mergeCell ref="C12:E12"/>
    <mergeCell ref="C13:E13"/>
    <mergeCell ref="C14:E14"/>
    <mergeCell ref="D1:E1"/>
    <mergeCell ref="C30:E30"/>
    <mergeCell ref="C31:E31"/>
    <mergeCell ref="D32:E32"/>
    <mergeCell ref="C27:E27"/>
    <mergeCell ref="C28:E28"/>
    <mergeCell ref="C29:E29"/>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scale="95" orientation="landscape" r:id="rId1"/>
  <headerFooter alignWithMargins="0"/>
  <rowBreaks count="2" manualBreakCount="2">
    <brk id="14" max="4" man="1"/>
    <brk id="29" max="4" man="1"/>
  </rowBreaks>
  <drawing r:id="rId2"/>
</worksheet>
</file>

<file path=xl/worksheets/sheet87.xml><?xml version="1.0" encoding="utf-8"?>
<worksheet xmlns="http://schemas.openxmlformats.org/spreadsheetml/2006/main" xmlns:r="http://schemas.openxmlformats.org/officeDocument/2006/relationships">
  <dimension ref="B1:R30"/>
  <sheetViews>
    <sheetView zoomScaleNormal="100" workbookViewId="0">
      <pane ySplit="5" topLeftCell="A6" activePane="bottomLeft" state="frozen"/>
      <selection pane="bottomLeft" activeCell="B1" sqref="B1:C1"/>
    </sheetView>
  </sheetViews>
  <sheetFormatPr defaultRowHeight="12.95" customHeight="1"/>
  <cols>
    <col min="1" max="1" width="3.7109375" style="526" customWidth="1"/>
    <col min="2" max="2" width="9.140625" style="526"/>
    <col min="3" max="3" width="15.140625" style="526" customWidth="1"/>
    <col min="4" max="4" width="52.5703125" style="526" customWidth="1"/>
    <col min="5" max="5" width="58.28515625" style="526" customWidth="1"/>
    <col min="6" max="16384" width="9.140625" style="526"/>
  </cols>
  <sheetData>
    <row r="1" spans="2:18" ht="12.95" customHeight="1">
      <c r="B1" s="3252" t="s">
        <v>2706</v>
      </c>
      <c r="C1" s="3252"/>
      <c r="D1" s="3195" t="s">
        <v>8269</v>
      </c>
      <c r="E1" s="3195"/>
    </row>
    <row r="2" spans="2:18" ht="5.0999999999999996" customHeight="1">
      <c r="B2" s="697"/>
    </row>
    <row r="3" spans="2:18" ht="12.95" customHeight="1">
      <c r="B3" s="698"/>
      <c r="C3" s="3075" t="s">
        <v>4701</v>
      </c>
      <c r="D3" s="3075"/>
      <c r="E3" s="3075"/>
      <c r="P3" s="699"/>
      <c r="Q3" s="699"/>
      <c r="R3" s="699"/>
    </row>
    <row r="4" spans="2:18" s="702" customFormat="1" ht="11.25">
      <c r="C4" s="3130" t="s">
        <v>5776</v>
      </c>
      <c r="D4" s="3962"/>
      <c r="E4" s="3962"/>
    </row>
    <row r="5" spans="2:18" ht="5.0999999999999996" customHeight="1">
      <c r="C5" s="292"/>
    </row>
    <row r="6" spans="2:18" ht="65.099999999999994" customHeight="1">
      <c r="C6" s="2980" t="s">
        <v>9354</v>
      </c>
      <c r="D6" s="2960"/>
      <c r="E6" s="2960"/>
    </row>
    <row r="7" spans="2:18" ht="5.0999999999999996" customHeight="1">
      <c r="C7" s="292"/>
    </row>
    <row r="8" spans="2:18" s="700" customFormat="1" ht="12.95" customHeight="1">
      <c r="D8" s="701" t="s">
        <v>300</v>
      </c>
    </row>
    <row r="9" spans="2:18" ht="5.0999999999999996" customHeight="1">
      <c r="C9" s="292"/>
    </row>
    <row r="10" spans="2:18" ht="104.1" customHeight="1">
      <c r="C10" s="2980" t="s">
        <v>9355</v>
      </c>
      <c r="D10" s="2960"/>
      <c r="E10" s="2960"/>
    </row>
    <row r="11" spans="2:18" ht="104.1" customHeight="1">
      <c r="C11" s="2980" t="s">
        <v>9356</v>
      </c>
      <c r="D11" s="2960"/>
      <c r="E11" s="2960"/>
    </row>
    <row r="12" spans="2:18" ht="39" customHeight="1">
      <c r="C12" s="2980" t="s">
        <v>9357</v>
      </c>
      <c r="D12" s="2960"/>
      <c r="E12" s="2960"/>
    </row>
    <row r="13" spans="2:18" ht="90.95" customHeight="1">
      <c r="C13" s="2980" t="s">
        <v>9358</v>
      </c>
      <c r="D13" s="2960"/>
      <c r="E13" s="2960"/>
    </row>
    <row r="14" spans="2:18" ht="5.0999999999999996" customHeight="1"/>
    <row r="15" spans="2:18" s="700" customFormat="1" ht="12.95" customHeight="1">
      <c r="D15" s="701" t="s">
        <v>4683</v>
      </c>
    </row>
    <row r="16" spans="2:18" ht="5.0999999999999996" customHeight="1">
      <c r="C16" s="292"/>
    </row>
    <row r="17" spans="2:5" ht="12.95" customHeight="1">
      <c r="C17" s="3961" t="s">
        <v>5779</v>
      </c>
      <c r="D17" s="2960"/>
      <c r="E17" s="2960"/>
    </row>
    <row r="18" spans="2:5" ht="12.95" customHeight="1">
      <c r="C18" s="3961" t="s">
        <v>5780</v>
      </c>
      <c r="D18" s="2960"/>
      <c r="E18" s="2960"/>
    </row>
    <row r="19" spans="2:5" ht="26.1" customHeight="1">
      <c r="C19" s="3961" t="s">
        <v>5781</v>
      </c>
      <c r="D19" s="2960"/>
      <c r="E19" s="2960"/>
    </row>
    <row r="20" spans="2:5" ht="12.95" customHeight="1">
      <c r="C20" s="3961" t="s">
        <v>4702</v>
      </c>
      <c r="D20" s="2960"/>
      <c r="E20" s="2960"/>
    </row>
    <row r="21" spans="2:5" ht="12.95" customHeight="1">
      <c r="C21" s="3961" t="s">
        <v>520</v>
      </c>
      <c r="D21" s="2960"/>
      <c r="E21" s="2960"/>
    </row>
    <row r="22" spans="2:5" ht="5.0999999999999996" customHeight="1"/>
    <row r="23" spans="2:5" s="700" customFormat="1" ht="12.95" customHeight="1">
      <c r="C23" s="526"/>
      <c r="D23" s="701" t="s">
        <v>1091</v>
      </c>
    </row>
    <row r="24" spans="2:5" ht="5.0999999999999996" customHeight="1">
      <c r="C24" s="292"/>
    </row>
    <row r="25" spans="2:5" ht="39" customHeight="1">
      <c r="C25" s="2980" t="s">
        <v>9359</v>
      </c>
      <c r="D25" s="2960"/>
      <c r="E25" s="2960"/>
    </row>
    <row r="26" spans="2:5" ht="65.099999999999994" customHeight="1">
      <c r="C26" s="2960" t="s">
        <v>9360</v>
      </c>
      <c r="D26" s="2960"/>
      <c r="E26" s="2960"/>
    </row>
    <row r="27" spans="2:5" ht="65.099999999999994" customHeight="1">
      <c r="C27" s="2960" t="s">
        <v>9361</v>
      </c>
      <c r="D27" s="2960"/>
      <c r="E27" s="2960"/>
    </row>
    <row r="28" spans="2:5" ht="104.1" customHeight="1">
      <c r="C28" s="2960" t="s">
        <v>9362</v>
      </c>
      <c r="D28" s="2960"/>
      <c r="E28" s="2960"/>
    </row>
    <row r="29" spans="2:5" ht="117" customHeight="1">
      <c r="C29" s="2980" t="s">
        <v>9363</v>
      </c>
      <c r="D29" s="2960"/>
      <c r="E29" s="2960"/>
    </row>
    <row r="30" spans="2:5" ht="35.1" customHeight="1">
      <c r="B30" s="666"/>
      <c r="C30" s="527" t="s">
        <v>1652</v>
      </c>
      <c r="D30" s="3960" t="s">
        <v>1064</v>
      </c>
      <c r="E30" s="3960"/>
    </row>
  </sheetData>
  <sheetProtection autoFilter="0"/>
  <mergeCells count="20">
    <mergeCell ref="C4:E4"/>
    <mergeCell ref="C10:E10"/>
    <mergeCell ref="C6:E6"/>
    <mergeCell ref="D1:E1"/>
    <mergeCell ref="B1:C1"/>
    <mergeCell ref="C3:E3"/>
    <mergeCell ref="D30:E30"/>
    <mergeCell ref="C11:E11"/>
    <mergeCell ref="C12:E12"/>
    <mergeCell ref="C13:E13"/>
    <mergeCell ref="C25:E25"/>
    <mergeCell ref="C17:E17"/>
    <mergeCell ref="C18:E18"/>
    <mergeCell ref="C19:E19"/>
    <mergeCell ref="C20:E20"/>
    <mergeCell ref="C21:E21"/>
    <mergeCell ref="C28:E28"/>
    <mergeCell ref="C29:E29"/>
    <mergeCell ref="C26:E26"/>
    <mergeCell ref="C27:E27"/>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5" orientation="landscape" r:id="rId1"/>
  <headerFooter alignWithMargins="0"/>
  <rowBreaks count="1" manualBreakCount="1">
    <brk id="13" max="4" man="1"/>
  </rowBreaks>
  <drawing r:id="rId2"/>
</worksheet>
</file>

<file path=xl/worksheets/sheet88.xml><?xml version="1.0" encoding="utf-8"?>
<worksheet xmlns="http://schemas.openxmlformats.org/spreadsheetml/2006/main" xmlns:r="http://schemas.openxmlformats.org/officeDocument/2006/relationships">
  <dimension ref="B1:R34"/>
  <sheetViews>
    <sheetView zoomScaleNormal="100" workbookViewId="0">
      <pane ySplit="5" topLeftCell="A6" activePane="bottomLeft" state="frozen"/>
      <selection pane="bottomLeft" activeCell="B1" sqref="B1:C1"/>
    </sheetView>
  </sheetViews>
  <sheetFormatPr defaultRowHeight="12.95" customHeight="1"/>
  <cols>
    <col min="1" max="1" width="3.7109375" style="2643" customWidth="1"/>
    <col min="2" max="2" width="9.140625" style="2643"/>
    <col min="3" max="3" width="15.140625" style="2643" customWidth="1"/>
    <col min="4" max="4" width="52.5703125" style="2643" customWidth="1"/>
    <col min="5" max="5" width="58.28515625" style="2643" customWidth="1"/>
    <col min="6" max="16384" width="9.140625" style="2643"/>
  </cols>
  <sheetData>
    <row r="1" spans="2:18" ht="12.95" customHeight="1">
      <c r="B1" s="3252" t="s">
        <v>2706</v>
      </c>
      <c r="C1" s="3252"/>
      <c r="D1" s="3195" t="s">
        <v>8269</v>
      </c>
      <c r="E1" s="3195"/>
    </row>
    <row r="2" spans="2:18" ht="5.0999999999999996" customHeight="1">
      <c r="B2" s="697"/>
    </row>
    <row r="3" spans="2:18" ht="12.95" customHeight="1">
      <c r="B3" s="698"/>
      <c r="C3" s="3075" t="s">
        <v>8787</v>
      </c>
      <c r="D3" s="3075"/>
      <c r="E3" s="3075"/>
      <c r="P3" s="699"/>
      <c r="Q3" s="699"/>
      <c r="R3" s="699"/>
    </row>
    <row r="4" spans="2:18" s="2650" customFormat="1" ht="11.25">
      <c r="C4" s="3130" t="s">
        <v>5776</v>
      </c>
      <c r="D4" s="3962"/>
      <c r="E4" s="3962"/>
    </row>
    <row r="5" spans="2:18" ht="5.0999999999999996" customHeight="1">
      <c r="C5" s="292"/>
    </row>
    <row r="6" spans="2:18" ht="39" customHeight="1">
      <c r="C6" s="2980" t="s">
        <v>9364</v>
      </c>
      <c r="D6" s="2960"/>
      <c r="E6" s="2960"/>
    </row>
    <row r="7" spans="2:18" ht="5.0999999999999996" customHeight="1">
      <c r="C7" s="292"/>
    </row>
    <row r="8" spans="2:18" s="700" customFormat="1" ht="12.95" customHeight="1">
      <c r="D8" s="701" t="s">
        <v>300</v>
      </c>
    </row>
    <row r="9" spans="2:18" ht="5.0999999999999996" customHeight="1">
      <c r="C9" s="292"/>
    </row>
    <row r="10" spans="2:18" ht="117" customHeight="1">
      <c r="C10" s="2980" t="s">
        <v>9365</v>
      </c>
      <c r="D10" s="2960"/>
      <c r="E10" s="2960"/>
    </row>
    <row r="11" spans="2:18" ht="65.099999999999994" customHeight="1">
      <c r="C11" s="2960" t="s">
        <v>9366</v>
      </c>
      <c r="D11" s="2960"/>
      <c r="E11" s="2960"/>
    </row>
    <row r="12" spans="2:18" ht="117" customHeight="1">
      <c r="C12" s="2980" t="s">
        <v>9367</v>
      </c>
      <c r="D12" s="2960"/>
      <c r="E12" s="2960"/>
    </row>
    <row r="13" spans="2:18" ht="39" customHeight="1">
      <c r="C13" s="2980" t="s">
        <v>9368</v>
      </c>
      <c r="D13" s="2960"/>
      <c r="E13" s="2960"/>
    </row>
    <row r="14" spans="2:18" ht="90.95" customHeight="1">
      <c r="C14" s="2980" t="s">
        <v>9369</v>
      </c>
      <c r="D14" s="2960"/>
      <c r="E14" s="2960"/>
    </row>
    <row r="15" spans="2:18" ht="5.0999999999999996" customHeight="1"/>
    <row r="16" spans="2:18" s="700" customFormat="1" ht="12.95" customHeight="1">
      <c r="D16" s="701" t="s">
        <v>4683</v>
      </c>
    </row>
    <row r="17" spans="3:5" ht="5.0999999999999996" customHeight="1">
      <c r="C17" s="292"/>
    </row>
    <row r="18" spans="3:5" ht="12.95" customHeight="1">
      <c r="C18" s="3961" t="s">
        <v>8788</v>
      </c>
      <c r="D18" s="2960"/>
      <c r="E18" s="2960"/>
    </row>
    <row r="19" spans="3:5" ht="26.1" customHeight="1">
      <c r="C19" s="3961" t="s">
        <v>8789</v>
      </c>
      <c r="D19" s="2960"/>
      <c r="E19" s="2960"/>
    </row>
    <row r="20" spans="3:5" ht="26.1" customHeight="1">
      <c r="C20" s="3961" t="s">
        <v>8790</v>
      </c>
      <c r="D20" s="2960"/>
      <c r="E20" s="2960"/>
    </row>
    <row r="21" spans="3:5" ht="26.1" customHeight="1">
      <c r="C21" s="3961" t="s">
        <v>8791</v>
      </c>
      <c r="D21" s="2960"/>
      <c r="E21" s="2960"/>
    </row>
    <row r="22" spans="3:5" ht="26.1" customHeight="1">
      <c r="C22" s="3961" t="s">
        <v>8792</v>
      </c>
      <c r="D22" s="2960"/>
      <c r="E22" s="2960"/>
    </row>
    <row r="23" spans="3:5" ht="26.1" customHeight="1">
      <c r="C23" s="3961" t="s">
        <v>8793</v>
      </c>
      <c r="D23" s="2960"/>
      <c r="E23" s="2960"/>
    </row>
    <row r="24" spans="3:5" ht="26.1" customHeight="1">
      <c r="C24" s="3961" t="s">
        <v>8794</v>
      </c>
      <c r="D24" s="2960"/>
      <c r="E24" s="2960"/>
    </row>
    <row r="25" spans="3:5" ht="5.0999999999999996" customHeight="1"/>
    <row r="26" spans="3:5" s="700" customFormat="1" ht="12.95" customHeight="1">
      <c r="C26" s="2643"/>
      <c r="D26" s="701" t="s">
        <v>1091</v>
      </c>
    </row>
    <row r="27" spans="3:5" ht="5.0999999999999996" customHeight="1">
      <c r="C27" s="292"/>
    </row>
    <row r="28" spans="3:5" ht="65.099999999999994" customHeight="1">
      <c r="C28" s="2980" t="s">
        <v>9370</v>
      </c>
      <c r="D28" s="2960"/>
      <c r="E28" s="2960"/>
    </row>
    <row r="29" spans="3:5" ht="78" customHeight="1">
      <c r="C29" s="2960" t="s">
        <v>9371</v>
      </c>
      <c r="D29" s="2960"/>
      <c r="E29" s="2960"/>
    </row>
    <row r="30" spans="3:5" ht="65.099999999999994" customHeight="1">
      <c r="C30" s="2960" t="s">
        <v>9372</v>
      </c>
      <c r="D30" s="2960"/>
      <c r="E30" s="2960"/>
    </row>
    <row r="31" spans="3:5" ht="104.1" customHeight="1">
      <c r="C31" s="2960" t="s">
        <v>9373</v>
      </c>
      <c r="D31" s="2960"/>
      <c r="E31" s="2960"/>
    </row>
    <row r="32" spans="3:5" ht="78" customHeight="1">
      <c r="C32" s="2980" t="s">
        <v>9374</v>
      </c>
      <c r="D32" s="2960"/>
      <c r="E32" s="2960"/>
    </row>
    <row r="33" spans="2:5" ht="117" customHeight="1">
      <c r="C33" s="2960" t="s">
        <v>9375</v>
      </c>
      <c r="D33" s="2960"/>
      <c r="E33" s="2960"/>
    </row>
    <row r="34" spans="2:5" ht="35.1" customHeight="1">
      <c r="B34" s="2645"/>
      <c r="C34" s="2644" t="s">
        <v>1652</v>
      </c>
      <c r="D34" s="3960" t="s">
        <v>1064</v>
      </c>
      <c r="E34" s="3960"/>
    </row>
  </sheetData>
  <sheetProtection autoFilter="0"/>
  <mergeCells count="24">
    <mergeCell ref="B1:C1"/>
    <mergeCell ref="D1:E1"/>
    <mergeCell ref="C29:E29"/>
    <mergeCell ref="C3:E3"/>
    <mergeCell ref="C4:E4"/>
    <mergeCell ref="C6:E6"/>
    <mergeCell ref="C10:E10"/>
    <mergeCell ref="C14:E14"/>
    <mergeCell ref="C22:E22"/>
    <mergeCell ref="C23:E23"/>
    <mergeCell ref="C24:E24"/>
    <mergeCell ref="C20:E20"/>
    <mergeCell ref="C21:E21"/>
    <mergeCell ref="C28:E28"/>
    <mergeCell ref="C11:E11"/>
    <mergeCell ref="C32:E32"/>
    <mergeCell ref="C33:E33"/>
    <mergeCell ref="D34:E34"/>
    <mergeCell ref="C12:E12"/>
    <mergeCell ref="C13:E13"/>
    <mergeCell ref="C18:E18"/>
    <mergeCell ref="C30:E30"/>
    <mergeCell ref="C31:E31"/>
    <mergeCell ref="C19:E19"/>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5" orientation="landscape" r:id="rId1"/>
  <headerFooter alignWithMargins="0"/>
  <rowBreaks count="1" manualBreakCount="1">
    <brk id="12" max="4" man="1"/>
  </rowBreaks>
  <drawing r:id="rId2"/>
</worksheet>
</file>

<file path=xl/worksheets/sheet89.xml><?xml version="1.0" encoding="utf-8"?>
<worksheet xmlns="http://schemas.openxmlformats.org/spreadsheetml/2006/main" xmlns:r="http://schemas.openxmlformats.org/officeDocument/2006/relationships">
  <sheetPr>
    <outlinePr summaryBelow="0"/>
  </sheetPr>
  <dimension ref="B1:E966"/>
  <sheetViews>
    <sheetView zoomScaleNormal="100" workbookViewId="0">
      <pane ySplit="4" topLeftCell="A5" activePane="bottomLeft" state="frozen"/>
      <selection pane="bottomLeft"/>
    </sheetView>
  </sheetViews>
  <sheetFormatPr defaultRowHeight="12.95" customHeight="1" outlineLevelRow="1"/>
  <cols>
    <col min="1" max="1" width="3.7109375" style="526" customWidth="1"/>
    <col min="2" max="2" width="8.42578125" style="526" customWidth="1"/>
    <col min="3" max="3" width="10.5703125" style="526" bestFit="1" customWidth="1"/>
    <col min="4" max="4" width="10.7109375" style="2581" bestFit="1" customWidth="1"/>
    <col min="5" max="5" width="100.7109375" style="526" customWidth="1"/>
    <col min="6" max="16384" width="9.140625" style="526"/>
  </cols>
  <sheetData>
    <row r="1" spans="2:5" ht="12.95" customHeight="1">
      <c r="B1" s="2582" t="s">
        <v>2706</v>
      </c>
      <c r="C1" s="3195" t="s">
        <v>8269</v>
      </c>
      <c r="D1" s="3195"/>
      <c r="E1" s="3195"/>
    </row>
    <row r="2" spans="2:5" ht="5.0999999999999996" customHeight="1"/>
    <row r="3" spans="2:5" ht="12.95" customHeight="1">
      <c r="B3" s="3075" t="s">
        <v>8664</v>
      </c>
      <c r="C3" s="3075"/>
      <c r="D3" s="3075"/>
      <c r="E3" s="3075"/>
    </row>
    <row r="4" spans="2:5" ht="5.0999999999999996" customHeight="1">
      <c r="B4" s="292"/>
    </row>
    <row r="5" spans="2:5" ht="51.95" customHeight="1">
      <c r="B5" s="2960" t="s">
        <v>9775</v>
      </c>
      <c r="C5" s="2960"/>
      <c r="D5" s="2960"/>
      <c r="E5" s="2960"/>
    </row>
    <row r="6" spans="2:5" ht="12.95" customHeight="1">
      <c r="B6" s="3984" t="s">
        <v>8280</v>
      </c>
      <c r="C6" s="3984"/>
      <c r="D6" s="3975" t="s">
        <v>8284</v>
      </c>
      <c r="E6" s="3975"/>
    </row>
    <row r="7" spans="2:5" ht="12.95" customHeight="1" outlineLevel="1">
      <c r="C7" s="2583" t="s">
        <v>7826</v>
      </c>
      <c r="D7" s="2589">
        <v>1</v>
      </c>
      <c r="E7" s="2960" t="s">
        <v>8342</v>
      </c>
    </row>
    <row r="8" spans="2:5" ht="12.95" customHeight="1" outlineLevel="1">
      <c r="C8" s="3480" t="s">
        <v>7910</v>
      </c>
      <c r="D8" s="2590" t="s">
        <v>8286</v>
      </c>
      <c r="E8" s="2960"/>
    </row>
    <row r="9" spans="2:5" ht="12.95" customHeight="1" outlineLevel="1">
      <c r="C9" s="3480"/>
      <c r="D9" s="2589">
        <v>3</v>
      </c>
      <c r="E9" s="2960"/>
    </row>
    <row r="10" spans="2:5" ht="12.95" customHeight="1" outlineLevel="1">
      <c r="C10" s="2583" t="s">
        <v>7871</v>
      </c>
      <c r="D10" s="2590" t="s">
        <v>8287</v>
      </c>
      <c r="E10" s="2581" t="s">
        <v>8291</v>
      </c>
    </row>
    <row r="11" spans="2:5" ht="12.95" customHeight="1" outlineLevel="1">
      <c r="C11" s="2583" t="s">
        <v>7872</v>
      </c>
      <c r="D11" s="2589">
        <v>5</v>
      </c>
      <c r="E11" s="2960" t="s">
        <v>8293</v>
      </c>
    </row>
    <row r="12" spans="2:5" ht="12.95" customHeight="1" outlineLevel="1">
      <c r="C12" s="2583" t="s">
        <v>7909</v>
      </c>
      <c r="D12" s="2589">
        <v>10</v>
      </c>
      <c r="E12" s="2960"/>
    </row>
    <row r="13" spans="2:5" ht="12.95" customHeight="1" outlineLevel="1">
      <c r="C13" s="2583" t="s">
        <v>8281</v>
      </c>
      <c r="D13" s="2590" t="s">
        <v>8288</v>
      </c>
      <c r="E13" s="2960"/>
    </row>
    <row r="14" spans="2:5" ht="12.95" customHeight="1" outlineLevel="1">
      <c r="C14" s="2583" t="s">
        <v>8282</v>
      </c>
      <c r="D14" s="2589">
        <v>14</v>
      </c>
      <c r="E14" s="2960"/>
    </row>
    <row r="15" spans="2:5" ht="12.95" customHeight="1" outlineLevel="1">
      <c r="C15" s="2583" t="s">
        <v>8283</v>
      </c>
      <c r="D15" s="2590" t="s">
        <v>8289</v>
      </c>
      <c r="E15" s="2960"/>
    </row>
    <row r="16" spans="2:5" ht="12.95" customHeight="1" outlineLevel="1">
      <c r="C16" s="3997"/>
      <c r="D16" s="3997"/>
      <c r="E16" s="2960"/>
    </row>
    <row r="17" spans="2:5" ht="12.95" customHeight="1" outlineLevel="1"/>
    <row r="18" spans="2:5" ht="12.95" customHeight="1" outlineLevel="1">
      <c r="B18" s="3984" t="s">
        <v>8280</v>
      </c>
      <c r="C18" s="3984"/>
      <c r="D18" s="3975" t="s">
        <v>8285</v>
      </c>
      <c r="E18" s="3975"/>
    </row>
    <row r="19" spans="2:5" ht="12.95" customHeight="1" outlineLevel="1">
      <c r="C19" s="2583" t="s">
        <v>7826</v>
      </c>
      <c r="D19" s="2589">
        <v>2</v>
      </c>
      <c r="E19" s="2960" t="s">
        <v>8339</v>
      </c>
    </row>
    <row r="20" spans="2:5" ht="12.95" customHeight="1" outlineLevel="1">
      <c r="C20" s="3480" t="s">
        <v>7910</v>
      </c>
      <c r="D20" s="2589">
        <v>2</v>
      </c>
      <c r="E20" s="2960"/>
    </row>
    <row r="21" spans="2:5" ht="12.95" customHeight="1" outlineLevel="1">
      <c r="C21" s="3480"/>
      <c r="D21" s="2589">
        <v>3</v>
      </c>
      <c r="E21" s="2581" t="s">
        <v>8292</v>
      </c>
    </row>
    <row r="22" spans="2:5" ht="12.95" customHeight="1" outlineLevel="1">
      <c r="C22" s="2583" t="s">
        <v>7871</v>
      </c>
      <c r="D22" s="2589">
        <v>6</v>
      </c>
      <c r="E22" s="2960" t="s">
        <v>8299</v>
      </c>
    </row>
    <row r="23" spans="2:5" ht="12.95" customHeight="1" outlineLevel="1">
      <c r="C23" s="2583" t="s">
        <v>7872</v>
      </c>
      <c r="D23" s="2589">
        <v>3</v>
      </c>
      <c r="E23" s="2960"/>
    </row>
    <row r="24" spans="2:5" ht="12.95" customHeight="1" outlineLevel="1">
      <c r="C24" s="2583" t="s">
        <v>7909</v>
      </c>
      <c r="D24" s="2589">
        <v>10</v>
      </c>
      <c r="E24" s="2960"/>
    </row>
    <row r="25" spans="2:5" ht="12.95" customHeight="1" outlineLevel="1">
      <c r="C25" s="2583" t="s">
        <v>8281</v>
      </c>
      <c r="D25" s="2589" t="s">
        <v>8287</v>
      </c>
      <c r="E25" s="2960"/>
    </row>
    <row r="26" spans="2:5" ht="12.95" customHeight="1" outlineLevel="1">
      <c r="C26" s="2583" t="s">
        <v>8282</v>
      </c>
      <c r="D26" s="2589">
        <v>9</v>
      </c>
      <c r="E26" s="2960"/>
    </row>
    <row r="27" spans="2:5" ht="12.95" customHeight="1" outlineLevel="1">
      <c r="C27" s="2583" t="s">
        <v>8283</v>
      </c>
      <c r="D27" s="2589" t="s">
        <v>8290</v>
      </c>
      <c r="E27" s="2960"/>
    </row>
    <row r="28" spans="2:5" ht="12.95" customHeight="1" outlineLevel="1">
      <c r="C28" s="3996"/>
      <c r="D28" s="3996"/>
      <c r="E28" s="2960"/>
    </row>
    <row r="29" spans="2:5" ht="12.95" customHeight="1" outlineLevel="1"/>
    <row r="30" spans="2:5" ht="12.95" customHeight="1" outlineLevel="1">
      <c r="B30" s="3984" t="s">
        <v>8280</v>
      </c>
      <c r="C30" s="3984"/>
      <c r="D30" s="3975" t="s">
        <v>8294</v>
      </c>
      <c r="E30" s="3975"/>
    </row>
    <row r="31" spans="2:5" ht="12.95" customHeight="1" outlineLevel="1">
      <c r="C31" s="2583" t="s">
        <v>7826</v>
      </c>
      <c r="D31" s="2589">
        <v>3</v>
      </c>
      <c r="E31" s="3798" t="s">
        <v>8340</v>
      </c>
    </row>
    <row r="32" spans="2:5" ht="12.95" customHeight="1" outlineLevel="1">
      <c r="C32" s="3480" t="s">
        <v>7910</v>
      </c>
      <c r="D32" s="2589">
        <v>3</v>
      </c>
      <c r="E32" s="3798"/>
    </row>
    <row r="33" spans="2:5" ht="12.95" customHeight="1" outlineLevel="1">
      <c r="C33" s="3480"/>
      <c r="D33" s="2589">
        <v>6</v>
      </c>
      <c r="E33" s="3798"/>
    </row>
    <row r="34" spans="2:5" ht="12.95" customHeight="1" outlineLevel="1">
      <c r="C34" s="2583" t="s">
        <v>7871</v>
      </c>
      <c r="D34" s="2589" t="s">
        <v>8295</v>
      </c>
      <c r="E34" s="2581" t="s">
        <v>8305</v>
      </c>
    </row>
    <row r="35" spans="2:5" ht="12.95" customHeight="1" outlineLevel="1">
      <c r="C35" s="2583" t="s">
        <v>7872</v>
      </c>
      <c r="D35" s="2589" t="s">
        <v>8295</v>
      </c>
      <c r="E35" s="3798" t="s">
        <v>9776</v>
      </c>
    </row>
    <row r="36" spans="2:5" ht="12.95" customHeight="1" outlineLevel="1">
      <c r="C36" s="2583" t="s">
        <v>7909</v>
      </c>
      <c r="D36" s="2589">
        <v>25</v>
      </c>
      <c r="E36" s="3798"/>
    </row>
    <row r="37" spans="2:5" ht="12.95" customHeight="1" outlineLevel="1">
      <c r="C37" s="2583" t="s">
        <v>8281</v>
      </c>
      <c r="D37" s="2589" t="s">
        <v>8296</v>
      </c>
      <c r="E37" s="3798"/>
    </row>
    <row r="38" spans="2:5" ht="12.95" customHeight="1" outlineLevel="1">
      <c r="C38" s="2583" t="s">
        <v>8282</v>
      </c>
      <c r="D38" s="2589">
        <v>7</v>
      </c>
      <c r="E38" s="3798"/>
    </row>
    <row r="39" spans="2:5" ht="12.95" customHeight="1" outlineLevel="1">
      <c r="C39" s="2583" t="s">
        <v>8283</v>
      </c>
      <c r="D39" s="2589" t="s">
        <v>8297</v>
      </c>
      <c r="E39" s="3798"/>
    </row>
    <row r="40" spans="2:5" ht="12.95" customHeight="1" outlineLevel="1">
      <c r="C40" s="3996"/>
      <c r="D40" s="3996"/>
      <c r="E40" s="3798"/>
    </row>
    <row r="41" spans="2:5" ht="12.95" customHeight="1" outlineLevel="1">
      <c r="B41" s="2581"/>
      <c r="C41" s="2581"/>
      <c r="E41" s="2581"/>
    </row>
    <row r="42" spans="2:5" ht="12.95" customHeight="1" outlineLevel="1">
      <c r="B42" s="3984" t="s">
        <v>8280</v>
      </c>
      <c r="C42" s="3984"/>
      <c r="D42" s="3975" t="s">
        <v>8298</v>
      </c>
      <c r="E42" s="3975"/>
    </row>
    <row r="43" spans="2:5" ht="12.95" customHeight="1" outlineLevel="1">
      <c r="C43" s="2583" t="s">
        <v>7826</v>
      </c>
      <c r="D43" s="2589">
        <v>4</v>
      </c>
      <c r="E43" s="3798" t="s">
        <v>8341</v>
      </c>
    </row>
    <row r="44" spans="2:5" ht="12.95" customHeight="1" outlineLevel="1">
      <c r="C44" s="3480" t="s">
        <v>7910</v>
      </c>
      <c r="D44" s="2589" t="s">
        <v>8300</v>
      </c>
      <c r="E44" s="3798"/>
    </row>
    <row r="45" spans="2:5" ht="12.95" customHeight="1" outlineLevel="1">
      <c r="C45" s="3480"/>
      <c r="D45" s="2589" t="s">
        <v>8301</v>
      </c>
      <c r="E45" s="2581" t="s">
        <v>8306</v>
      </c>
    </row>
    <row r="46" spans="2:5" ht="12.95" customHeight="1" outlineLevel="1">
      <c r="C46" s="2583" t="s">
        <v>7871</v>
      </c>
      <c r="D46" s="2589" t="s">
        <v>8302</v>
      </c>
      <c r="E46" s="3798" t="s">
        <v>9777</v>
      </c>
    </row>
    <row r="47" spans="2:5" ht="12.95" customHeight="1" outlineLevel="1">
      <c r="C47" s="2583" t="s">
        <v>7872</v>
      </c>
      <c r="D47" s="2589">
        <v>12</v>
      </c>
      <c r="E47" s="3798"/>
    </row>
    <row r="48" spans="2:5" ht="12.95" customHeight="1" outlineLevel="1">
      <c r="C48" s="2583" t="s">
        <v>7909</v>
      </c>
      <c r="D48" s="2589">
        <v>35</v>
      </c>
      <c r="E48" s="3798"/>
    </row>
    <row r="49" spans="2:5" ht="12.95" customHeight="1" outlineLevel="1">
      <c r="C49" s="2583" t="s">
        <v>8281</v>
      </c>
      <c r="D49" s="2589" t="s">
        <v>8303</v>
      </c>
      <c r="E49" s="3798"/>
    </row>
    <row r="50" spans="2:5" ht="12.95" customHeight="1" outlineLevel="1">
      <c r="C50" s="2583" t="s">
        <v>8282</v>
      </c>
      <c r="D50" s="2589">
        <v>4</v>
      </c>
      <c r="E50" s="3798"/>
    </row>
    <row r="51" spans="2:5" ht="12.95" customHeight="1" outlineLevel="1">
      <c r="C51" s="2583" t="s">
        <v>8283</v>
      </c>
      <c r="D51" s="2589" t="s">
        <v>8304</v>
      </c>
      <c r="E51" s="3798"/>
    </row>
    <row r="52" spans="2:5" ht="12.95" customHeight="1" outlineLevel="1">
      <c r="C52" s="3996"/>
      <c r="D52" s="3996"/>
      <c r="E52" s="3798"/>
    </row>
    <row r="53" spans="2:5" ht="12.95" customHeight="1" outlineLevel="1"/>
    <row r="54" spans="2:5" ht="12.95" customHeight="1" outlineLevel="1">
      <c r="B54" s="3984" t="s">
        <v>8280</v>
      </c>
      <c r="C54" s="3984"/>
      <c r="D54" s="3975" t="s">
        <v>8307</v>
      </c>
      <c r="E54" s="3975"/>
    </row>
    <row r="55" spans="2:5" ht="12.95" customHeight="1" outlineLevel="1">
      <c r="C55" s="2583" t="s">
        <v>7826</v>
      </c>
      <c r="D55" s="2589">
        <v>5</v>
      </c>
      <c r="E55" s="3798" t="s">
        <v>8343</v>
      </c>
    </row>
    <row r="56" spans="2:5" ht="12.95" customHeight="1" outlineLevel="1">
      <c r="C56" s="3480" t="s">
        <v>7910</v>
      </c>
      <c r="D56" s="2589">
        <v>10</v>
      </c>
      <c r="E56" s="3798"/>
    </row>
    <row r="57" spans="2:5" ht="12.95" customHeight="1" outlineLevel="1">
      <c r="C57" s="3480"/>
      <c r="D57" s="2589">
        <v>12</v>
      </c>
      <c r="E57" s="3798"/>
    </row>
    <row r="58" spans="2:5" ht="12.95" customHeight="1" outlineLevel="1">
      <c r="C58" s="2583" t="s">
        <v>7871</v>
      </c>
      <c r="D58" s="2589">
        <v>12</v>
      </c>
      <c r="E58" s="2581" t="s">
        <v>8310</v>
      </c>
    </row>
    <row r="59" spans="2:5" ht="12.95" customHeight="1" outlineLevel="1">
      <c r="C59" s="2583" t="s">
        <v>7872</v>
      </c>
      <c r="D59" s="2589" t="s">
        <v>8301</v>
      </c>
      <c r="E59" s="3798" t="s">
        <v>9778</v>
      </c>
    </row>
    <row r="60" spans="2:5" ht="12.95" customHeight="1" outlineLevel="1">
      <c r="C60" s="2583" t="s">
        <v>7909</v>
      </c>
      <c r="D60" s="2589">
        <v>30</v>
      </c>
      <c r="E60" s="3798"/>
    </row>
    <row r="61" spans="2:5" ht="12.95" customHeight="1" outlineLevel="1">
      <c r="C61" s="2583" t="s">
        <v>8281</v>
      </c>
      <c r="D61" s="2589" t="s">
        <v>8308</v>
      </c>
      <c r="E61" s="3798"/>
    </row>
    <row r="62" spans="2:5" ht="12.95" customHeight="1" outlineLevel="1">
      <c r="C62" s="2583" t="s">
        <v>8282</v>
      </c>
      <c r="D62" s="2589">
        <v>3</v>
      </c>
      <c r="E62" s="3798"/>
    </row>
    <row r="63" spans="2:5" ht="12.95" customHeight="1" outlineLevel="1">
      <c r="C63" s="2583" t="s">
        <v>8283</v>
      </c>
      <c r="D63" s="2589" t="s">
        <v>8309</v>
      </c>
      <c r="E63" s="3798"/>
    </row>
    <row r="64" spans="2:5" ht="12.95" customHeight="1" outlineLevel="1">
      <c r="C64" s="3996"/>
      <c r="D64" s="3996"/>
      <c r="E64" s="3798"/>
    </row>
    <row r="65" spans="2:5" ht="12.95" customHeight="1" outlineLevel="1"/>
    <row r="66" spans="2:5" ht="12.95" customHeight="1" outlineLevel="1">
      <c r="B66" s="3984" t="s">
        <v>8280</v>
      </c>
      <c r="C66" s="3984"/>
      <c r="D66" s="3975" t="s">
        <v>8311</v>
      </c>
      <c r="E66" s="3975"/>
    </row>
    <row r="67" spans="2:5" ht="12.95" customHeight="1" outlineLevel="1">
      <c r="C67" s="2583" t="s">
        <v>7826</v>
      </c>
      <c r="D67" s="2589">
        <v>6</v>
      </c>
      <c r="E67" s="3798" t="s">
        <v>8344</v>
      </c>
    </row>
    <row r="68" spans="2:5" ht="12.95" customHeight="1" outlineLevel="1">
      <c r="C68" s="3480" t="s">
        <v>7910</v>
      </c>
      <c r="D68" s="2589" t="s">
        <v>8312</v>
      </c>
      <c r="E68" s="3798"/>
    </row>
    <row r="69" spans="2:5" ht="12.95" customHeight="1" outlineLevel="1">
      <c r="C69" s="3480"/>
      <c r="D69" s="2589">
        <v>25</v>
      </c>
      <c r="E69" s="2581" t="s">
        <v>8316</v>
      </c>
    </row>
    <row r="70" spans="2:5" ht="12.95" customHeight="1" outlineLevel="1">
      <c r="C70" s="2583" t="s">
        <v>7871</v>
      </c>
      <c r="D70" s="2589" t="s">
        <v>8313</v>
      </c>
      <c r="E70" s="3250" t="s">
        <v>8324</v>
      </c>
    </row>
    <row r="71" spans="2:5" ht="12.95" customHeight="1" outlineLevel="1">
      <c r="C71" s="2583" t="s">
        <v>7872</v>
      </c>
      <c r="D71" s="2589" t="s">
        <v>8313</v>
      </c>
      <c r="E71" s="3250"/>
    </row>
    <row r="72" spans="2:5" ht="12.95" customHeight="1" outlineLevel="1">
      <c r="C72" s="2583" t="s">
        <v>7909</v>
      </c>
      <c r="D72" s="2589">
        <v>100</v>
      </c>
      <c r="E72" s="3250"/>
    </row>
    <row r="73" spans="2:5" ht="12.95" customHeight="1" outlineLevel="1">
      <c r="C73" s="2583" t="s">
        <v>8281</v>
      </c>
      <c r="D73" s="2589" t="s">
        <v>8314</v>
      </c>
      <c r="E73" s="3250"/>
    </row>
    <row r="74" spans="2:5" ht="12.95" customHeight="1" outlineLevel="1">
      <c r="C74" s="2583" t="s">
        <v>8282</v>
      </c>
      <c r="D74" s="2589">
        <v>2</v>
      </c>
      <c r="E74" s="3250"/>
    </row>
    <row r="75" spans="2:5" ht="12.95" customHeight="1" outlineLevel="1">
      <c r="C75" s="2583" t="s">
        <v>8283</v>
      </c>
      <c r="D75" s="2589" t="s">
        <v>8315</v>
      </c>
      <c r="E75" s="3250"/>
    </row>
    <row r="76" spans="2:5" ht="12.95" customHeight="1" outlineLevel="1">
      <c r="C76" s="3996"/>
      <c r="D76" s="3996"/>
      <c r="E76" s="3250"/>
    </row>
    <row r="77" spans="2:5" ht="12.95" customHeight="1" outlineLevel="1">
      <c r="E77" s="3250"/>
    </row>
    <row r="78" spans="2:5" ht="12.95" customHeight="1" outlineLevel="1">
      <c r="E78" s="3250"/>
    </row>
    <row r="79" spans="2:5" ht="12.95" customHeight="1" outlineLevel="1"/>
    <row r="80" spans="2:5" ht="12.95" customHeight="1" outlineLevel="1">
      <c r="B80" s="3984" t="s">
        <v>8280</v>
      </c>
      <c r="C80" s="3984"/>
      <c r="D80" s="3975" t="s">
        <v>8317</v>
      </c>
      <c r="E80" s="3975"/>
    </row>
    <row r="81" spans="2:5" ht="12.95" customHeight="1" outlineLevel="1">
      <c r="C81" s="2583" t="s">
        <v>7826</v>
      </c>
      <c r="D81" s="2589">
        <v>7</v>
      </c>
      <c r="E81" s="3798" t="s">
        <v>8345</v>
      </c>
    </row>
    <row r="82" spans="2:5" ht="12.95" customHeight="1" outlineLevel="1">
      <c r="C82" s="3480" t="s">
        <v>7910</v>
      </c>
      <c r="D82" s="3994">
        <v>50</v>
      </c>
      <c r="E82" s="3798"/>
    </row>
    <row r="83" spans="2:5" ht="12.95" customHeight="1" outlineLevel="1">
      <c r="C83" s="3480"/>
      <c r="D83" s="3995"/>
      <c r="E83" s="3798"/>
    </row>
    <row r="84" spans="2:5" ht="12.95" customHeight="1" outlineLevel="1">
      <c r="C84" s="2583" t="s">
        <v>7871</v>
      </c>
      <c r="D84" s="2589" t="s">
        <v>8318</v>
      </c>
      <c r="E84" s="3798" t="s">
        <v>8323</v>
      </c>
    </row>
    <row r="85" spans="2:5" ht="12.95" customHeight="1" outlineLevel="1">
      <c r="C85" s="2583" t="s">
        <v>7872</v>
      </c>
      <c r="D85" s="2589" t="s">
        <v>8318</v>
      </c>
      <c r="E85" s="3798"/>
    </row>
    <row r="86" spans="2:5" ht="12.95" customHeight="1" outlineLevel="1">
      <c r="C86" s="2583" t="s">
        <v>7909</v>
      </c>
      <c r="D86" s="2589" t="s">
        <v>8319</v>
      </c>
      <c r="E86" s="3798"/>
    </row>
    <row r="87" spans="2:5" ht="12.95" customHeight="1" outlineLevel="1">
      <c r="C87" s="2583" t="s">
        <v>8281</v>
      </c>
      <c r="D87" s="2589" t="s">
        <v>8320</v>
      </c>
      <c r="E87" s="3798" t="s">
        <v>8325</v>
      </c>
    </row>
    <row r="88" spans="2:5" ht="12.95" customHeight="1" outlineLevel="1">
      <c r="C88" s="2583" t="s">
        <v>8282</v>
      </c>
      <c r="D88" s="2589">
        <v>1</v>
      </c>
      <c r="E88" s="3798"/>
    </row>
    <row r="89" spans="2:5" ht="12.95" customHeight="1" outlineLevel="1">
      <c r="C89" s="2583" t="s">
        <v>8283</v>
      </c>
      <c r="D89" s="2589" t="s">
        <v>8321</v>
      </c>
      <c r="E89" s="3798"/>
    </row>
    <row r="90" spans="2:5" ht="12.95" customHeight="1" outlineLevel="1">
      <c r="C90" s="3986" t="s">
        <v>8322</v>
      </c>
      <c r="D90" s="3987"/>
      <c r="E90" s="3798"/>
    </row>
    <row r="92" spans="2:5" ht="12.95" customHeight="1">
      <c r="B92" s="3985" t="s">
        <v>7474</v>
      </c>
      <c r="C92" s="3985"/>
      <c r="D92" s="3979" t="s">
        <v>8326</v>
      </c>
      <c r="E92" s="3979"/>
    </row>
    <row r="93" spans="2:5" ht="12.95" customHeight="1" outlineLevel="1">
      <c r="B93" s="2586"/>
      <c r="C93" s="2587" t="s">
        <v>7826</v>
      </c>
      <c r="D93" s="2591">
        <v>1</v>
      </c>
      <c r="E93" s="3798" t="s">
        <v>8346</v>
      </c>
    </row>
    <row r="94" spans="2:5" ht="12.95" customHeight="1" outlineLevel="1">
      <c r="B94" s="2586"/>
      <c r="C94" s="3480" t="s">
        <v>7910</v>
      </c>
      <c r="D94" s="2591">
        <v>2</v>
      </c>
      <c r="E94" s="3798"/>
    </row>
    <row r="95" spans="2:5" ht="12.95" customHeight="1" outlineLevel="1">
      <c r="B95" s="2586"/>
      <c r="C95" s="3480"/>
      <c r="D95" s="2591">
        <v>3</v>
      </c>
      <c r="E95" s="3798"/>
    </row>
    <row r="96" spans="2:5" ht="12.95" customHeight="1" outlineLevel="1">
      <c r="B96" s="2586"/>
      <c r="C96" s="2587" t="s">
        <v>7871</v>
      </c>
      <c r="D96" s="2591" t="s">
        <v>8303</v>
      </c>
      <c r="E96" s="2586" t="s">
        <v>8330</v>
      </c>
    </row>
    <row r="97" spans="2:5" ht="12.95" customHeight="1" outlineLevel="1">
      <c r="B97" s="2586"/>
      <c r="C97" s="2587" t="s">
        <v>7872</v>
      </c>
      <c r="D97" s="2591">
        <v>3</v>
      </c>
      <c r="E97" s="3798" t="s">
        <v>8331</v>
      </c>
    </row>
    <row r="98" spans="2:5" ht="12.95" customHeight="1" outlineLevel="1">
      <c r="B98" s="2586"/>
      <c r="C98" s="2587" t="s">
        <v>7909</v>
      </c>
      <c r="D98" s="2591" t="s">
        <v>8327</v>
      </c>
      <c r="E98" s="3798"/>
    </row>
    <row r="99" spans="2:5" ht="12.95" customHeight="1" outlineLevel="1">
      <c r="B99" s="2586"/>
      <c r="C99" s="2587" t="s">
        <v>8281</v>
      </c>
      <c r="D99" s="2591" t="s">
        <v>8328</v>
      </c>
      <c r="E99" s="3798"/>
    </row>
    <row r="100" spans="2:5" ht="12.95" customHeight="1" outlineLevel="1">
      <c r="B100" s="2586"/>
      <c r="C100" s="2587" t="s">
        <v>8282</v>
      </c>
      <c r="D100" s="2591">
        <v>14</v>
      </c>
      <c r="E100" s="3798"/>
    </row>
    <row r="101" spans="2:5" ht="12.95" customHeight="1" outlineLevel="1">
      <c r="B101" s="2586"/>
      <c r="C101" s="2587" t="s">
        <v>8283</v>
      </c>
      <c r="D101" s="2591" t="s">
        <v>8329</v>
      </c>
      <c r="E101" s="3798"/>
    </row>
    <row r="102" spans="2:5" ht="12.95" customHeight="1" outlineLevel="1">
      <c r="B102" s="2586"/>
      <c r="C102" s="3992"/>
      <c r="D102" s="3993"/>
      <c r="E102" s="3798"/>
    </row>
    <row r="103" spans="2:5" ht="12.95" customHeight="1" outlineLevel="1">
      <c r="B103" s="2586"/>
      <c r="C103" s="2586"/>
      <c r="D103" s="2586"/>
      <c r="E103" s="2586"/>
    </row>
    <row r="104" spans="2:5" ht="12.95" customHeight="1" outlineLevel="1">
      <c r="B104" s="3985" t="s">
        <v>7474</v>
      </c>
      <c r="C104" s="3985"/>
      <c r="D104" s="3979" t="s">
        <v>8332</v>
      </c>
      <c r="E104" s="3979"/>
    </row>
    <row r="105" spans="2:5" ht="12.95" customHeight="1" outlineLevel="1">
      <c r="C105" s="2587" t="s">
        <v>7826</v>
      </c>
      <c r="D105" s="2591">
        <v>2</v>
      </c>
      <c r="E105" s="3998" t="s">
        <v>8347</v>
      </c>
    </row>
    <row r="106" spans="2:5" ht="12.95" customHeight="1" outlineLevel="1">
      <c r="C106" s="3480" t="s">
        <v>7910</v>
      </c>
      <c r="D106" s="2591">
        <v>2</v>
      </c>
      <c r="E106" s="3998"/>
    </row>
    <row r="107" spans="2:5" ht="12.95" customHeight="1" outlineLevel="1">
      <c r="C107" s="3480"/>
      <c r="D107" s="2591">
        <v>4</v>
      </c>
      <c r="E107" s="3998"/>
    </row>
    <row r="108" spans="2:5" ht="12.95" customHeight="1" outlineLevel="1">
      <c r="C108" s="2587" t="s">
        <v>7871</v>
      </c>
      <c r="D108" s="2591" t="s">
        <v>8300</v>
      </c>
      <c r="E108" s="3998"/>
    </row>
    <row r="109" spans="2:5" ht="12.95" customHeight="1" outlineLevel="1">
      <c r="C109" s="2587" t="s">
        <v>7872</v>
      </c>
      <c r="D109" s="2591">
        <v>7</v>
      </c>
      <c r="E109" s="2586" t="s">
        <v>8335</v>
      </c>
    </row>
    <row r="110" spans="2:5" ht="12.95" customHeight="1" outlineLevel="1">
      <c r="C110" s="2587" t="s">
        <v>7909</v>
      </c>
      <c r="D110" s="2591">
        <v>20</v>
      </c>
      <c r="E110" s="3798" t="s">
        <v>8336</v>
      </c>
    </row>
    <row r="111" spans="2:5" ht="12.95" customHeight="1" outlineLevel="1">
      <c r="C111" s="2587" t="s">
        <v>8281</v>
      </c>
      <c r="D111" s="2591" t="s">
        <v>8333</v>
      </c>
      <c r="E111" s="3798"/>
    </row>
    <row r="112" spans="2:5" ht="12.95" customHeight="1" outlineLevel="1">
      <c r="C112" s="2587" t="s">
        <v>8282</v>
      </c>
      <c r="D112" s="2591">
        <v>8</v>
      </c>
      <c r="E112" s="3798"/>
    </row>
    <row r="113" spans="2:5" ht="12.95" customHeight="1" outlineLevel="1">
      <c r="C113" s="2587" t="s">
        <v>8283</v>
      </c>
      <c r="D113" s="2591" t="s">
        <v>8334</v>
      </c>
      <c r="E113" s="3798"/>
    </row>
    <row r="114" spans="2:5" ht="12.95" customHeight="1" outlineLevel="1">
      <c r="C114" s="3992"/>
      <c r="D114" s="3993"/>
      <c r="E114" s="3798"/>
    </row>
    <row r="115" spans="2:5" ht="12.95" customHeight="1" outlineLevel="1"/>
    <row r="116" spans="2:5" ht="12.95" customHeight="1" outlineLevel="1">
      <c r="B116" s="3985" t="s">
        <v>7474</v>
      </c>
      <c r="C116" s="3985"/>
      <c r="D116" s="3979" t="s">
        <v>8337</v>
      </c>
      <c r="E116" s="3979"/>
    </row>
    <row r="117" spans="2:5" ht="12.95" customHeight="1" outlineLevel="1">
      <c r="C117" s="2587" t="s">
        <v>7826</v>
      </c>
      <c r="D117" s="2591">
        <v>3</v>
      </c>
      <c r="E117" s="3798" t="s">
        <v>8348</v>
      </c>
    </row>
    <row r="118" spans="2:5" ht="12.95" customHeight="1" outlineLevel="1">
      <c r="C118" s="3480" t="s">
        <v>7910</v>
      </c>
      <c r="D118" s="2591">
        <v>3</v>
      </c>
      <c r="E118" s="3798"/>
    </row>
    <row r="119" spans="2:5" ht="12.95" customHeight="1" outlineLevel="1">
      <c r="C119" s="3480"/>
      <c r="D119" s="2591">
        <v>5</v>
      </c>
      <c r="E119" s="2592" t="s">
        <v>8349</v>
      </c>
    </row>
    <row r="120" spans="2:5" ht="12.95" customHeight="1" outlineLevel="1">
      <c r="C120" s="2587" t="s">
        <v>7871</v>
      </c>
      <c r="D120" s="2591">
        <v>9</v>
      </c>
      <c r="E120" s="3798" t="s">
        <v>8356</v>
      </c>
    </row>
    <row r="121" spans="2:5" ht="12.95" customHeight="1" outlineLevel="1">
      <c r="C121" s="2587" t="s">
        <v>7872</v>
      </c>
      <c r="D121" s="2591">
        <v>5</v>
      </c>
      <c r="E121" s="3798"/>
    </row>
    <row r="122" spans="2:5" ht="12.95" customHeight="1" outlineLevel="1">
      <c r="C122" s="2587" t="s">
        <v>7909</v>
      </c>
      <c r="D122" s="2591">
        <v>15</v>
      </c>
      <c r="E122" s="3798"/>
    </row>
    <row r="123" spans="2:5" ht="12.95" customHeight="1" outlineLevel="1">
      <c r="C123" s="2587" t="s">
        <v>8281</v>
      </c>
      <c r="D123" s="2591" t="s">
        <v>8300</v>
      </c>
      <c r="E123" s="3798"/>
    </row>
    <row r="124" spans="2:5" ht="12.95" customHeight="1" outlineLevel="1">
      <c r="C124" s="2587" t="s">
        <v>8282</v>
      </c>
      <c r="D124" s="2591">
        <v>7</v>
      </c>
      <c r="E124" s="3798"/>
    </row>
    <row r="125" spans="2:5" ht="12.95" customHeight="1" outlineLevel="1">
      <c r="C125" s="2587" t="s">
        <v>8283</v>
      </c>
      <c r="D125" s="2591" t="s">
        <v>8338</v>
      </c>
      <c r="E125" s="3798"/>
    </row>
    <row r="126" spans="2:5" ht="12.95" customHeight="1" outlineLevel="1">
      <c r="C126" s="3992"/>
      <c r="D126" s="3993"/>
      <c r="E126" s="3798"/>
    </row>
    <row r="127" spans="2:5" ht="12.95" customHeight="1" outlineLevel="1"/>
    <row r="128" spans="2:5" ht="12.95" customHeight="1" outlineLevel="1">
      <c r="B128" s="3985" t="s">
        <v>7474</v>
      </c>
      <c r="C128" s="3985"/>
      <c r="D128" s="3979" t="s">
        <v>8350</v>
      </c>
      <c r="E128" s="3979"/>
    </row>
    <row r="129" spans="2:5" ht="12.95" customHeight="1" outlineLevel="1">
      <c r="C129" s="2593" t="s">
        <v>7826</v>
      </c>
      <c r="D129" s="2596">
        <v>4</v>
      </c>
      <c r="E129" s="3798" t="s">
        <v>8353</v>
      </c>
    </row>
    <row r="130" spans="2:5" ht="12.95" customHeight="1" outlineLevel="1">
      <c r="C130" s="3480" t="s">
        <v>7910</v>
      </c>
      <c r="D130" s="2596">
        <v>5</v>
      </c>
      <c r="E130" s="3798"/>
    </row>
    <row r="131" spans="2:5" ht="12.95" customHeight="1" outlineLevel="1">
      <c r="C131" s="3480"/>
      <c r="D131" s="2596">
        <v>9</v>
      </c>
      <c r="E131" s="3798"/>
    </row>
    <row r="132" spans="2:5" ht="12.95" customHeight="1" outlineLevel="1">
      <c r="C132" s="2593" t="s">
        <v>7871</v>
      </c>
      <c r="D132" s="2596">
        <v>9</v>
      </c>
      <c r="E132" s="2592" t="s">
        <v>8375</v>
      </c>
    </row>
    <row r="133" spans="2:5" ht="12.95" customHeight="1" outlineLevel="1">
      <c r="C133" s="2593" t="s">
        <v>7872</v>
      </c>
      <c r="D133" s="2596" t="s">
        <v>8327</v>
      </c>
      <c r="E133" s="3798" t="s">
        <v>8355</v>
      </c>
    </row>
    <row r="134" spans="2:5" ht="12.95" customHeight="1" outlineLevel="1">
      <c r="C134" s="2593" t="s">
        <v>7909</v>
      </c>
      <c r="D134" s="2596">
        <v>30</v>
      </c>
      <c r="E134" s="3798"/>
    </row>
    <row r="135" spans="2:5" ht="12.95" customHeight="1" outlineLevel="1">
      <c r="C135" s="2593" t="s">
        <v>8281</v>
      </c>
      <c r="D135" s="2596" t="s">
        <v>8351</v>
      </c>
      <c r="E135" s="3798"/>
    </row>
    <row r="136" spans="2:5" ht="12.95" customHeight="1" outlineLevel="1">
      <c r="C136" s="2593" t="s">
        <v>8282</v>
      </c>
      <c r="D136" s="2596">
        <v>5</v>
      </c>
      <c r="E136" s="3798"/>
    </row>
    <row r="137" spans="2:5" ht="12.95" customHeight="1" outlineLevel="1">
      <c r="C137" s="2593" t="s">
        <v>8283</v>
      </c>
      <c r="D137" s="2596" t="s">
        <v>8352</v>
      </c>
      <c r="E137" s="3798"/>
    </row>
    <row r="138" spans="2:5" ht="12.95" customHeight="1" outlineLevel="1">
      <c r="C138" s="3992"/>
      <c r="D138" s="3993"/>
      <c r="E138" s="3798"/>
    </row>
    <row r="139" spans="2:5" ht="12.95" customHeight="1" outlineLevel="1"/>
    <row r="140" spans="2:5" ht="12.95" customHeight="1" outlineLevel="1">
      <c r="B140" s="3985" t="s">
        <v>7474</v>
      </c>
      <c r="C140" s="3985"/>
      <c r="D140" s="3979" t="s">
        <v>3520</v>
      </c>
      <c r="E140" s="3979"/>
    </row>
    <row r="141" spans="2:5" ht="12.95" customHeight="1" outlineLevel="1">
      <c r="C141" s="2593" t="s">
        <v>7826</v>
      </c>
      <c r="D141" s="2596">
        <v>5</v>
      </c>
      <c r="E141" s="3798" t="s">
        <v>8360</v>
      </c>
    </row>
    <row r="142" spans="2:5" ht="12.95" customHeight="1" outlineLevel="1">
      <c r="C142" s="3480" t="s">
        <v>7910</v>
      </c>
      <c r="D142" s="2596">
        <v>10</v>
      </c>
      <c r="E142" s="3798"/>
    </row>
    <row r="143" spans="2:5" ht="12.95" customHeight="1" outlineLevel="1">
      <c r="C143" s="3480"/>
      <c r="D143" s="2596">
        <v>14</v>
      </c>
      <c r="E143" s="2592" t="s">
        <v>8361</v>
      </c>
    </row>
    <row r="144" spans="2:5" ht="12.95" customHeight="1" outlineLevel="1">
      <c r="C144" s="2593" t="s">
        <v>7871</v>
      </c>
      <c r="D144" s="2596">
        <v>9</v>
      </c>
      <c r="E144" s="3798" t="s">
        <v>9779</v>
      </c>
    </row>
    <row r="145" spans="2:5" ht="12.95" customHeight="1" outlineLevel="1">
      <c r="C145" s="2593" t="s">
        <v>7872</v>
      </c>
      <c r="D145" s="2596">
        <v>12</v>
      </c>
      <c r="E145" s="3798"/>
    </row>
    <row r="146" spans="2:5" ht="12.95" customHeight="1" outlineLevel="1">
      <c r="C146" s="2593" t="s">
        <v>7909</v>
      </c>
      <c r="D146" s="2596" t="s">
        <v>8357</v>
      </c>
      <c r="E146" s="3798"/>
    </row>
    <row r="147" spans="2:5" ht="12.95" customHeight="1" outlineLevel="1">
      <c r="C147" s="2593" t="s">
        <v>8281</v>
      </c>
      <c r="D147" s="2596" t="s">
        <v>8358</v>
      </c>
      <c r="E147" s="3798"/>
    </row>
    <row r="148" spans="2:5" ht="12.95" customHeight="1" outlineLevel="1">
      <c r="C148" s="2593" t="s">
        <v>8282</v>
      </c>
      <c r="D148" s="2596">
        <v>3</v>
      </c>
      <c r="E148" s="3798"/>
    </row>
    <row r="149" spans="2:5" ht="12.95" customHeight="1" outlineLevel="1">
      <c r="C149" s="2593" t="s">
        <v>8283</v>
      </c>
      <c r="D149" s="2596" t="s">
        <v>8359</v>
      </c>
      <c r="E149" s="3798"/>
    </row>
    <row r="150" spans="2:5" ht="12.95" customHeight="1" outlineLevel="1">
      <c r="C150" s="3992"/>
      <c r="D150" s="3993"/>
      <c r="E150" s="3798"/>
    </row>
    <row r="151" spans="2:5" ht="12.95" customHeight="1" outlineLevel="1"/>
    <row r="152" spans="2:5" ht="12.95" customHeight="1" outlineLevel="1">
      <c r="B152" s="3985" t="s">
        <v>7474</v>
      </c>
      <c r="C152" s="3985"/>
      <c r="D152" s="3979" t="s">
        <v>8362</v>
      </c>
      <c r="E152" s="3979"/>
    </row>
    <row r="153" spans="2:5" ht="12.95" customHeight="1" outlineLevel="1">
      <c r="C153" s="2593" t="s">
        <v>7826</v>
      </c>
      <c r="D153" s="2596">
        <v>6</v>
      </c>
      <c r="E153" s="3798" t="s">
        <v>8365</v>
      </c>
    </row>
    <row r="154" spans="2:5" ht="12.95" customHeight="1" outlineLevel="1">
      <c r="C154" s="3480" t="s">
        <v>7910</v>
      </c>
      <c r="D154" s="2596">
        <v>18</v>
      </c>
      <c r="E154" s="3798"/>
    </row>
    <row r="155" spans="2:5" ht="12.95" customHeight="1" outlineLevel="1">
      <c r="C155" s="3480"/>
      <c r="D155" s="2596">
        <v>22</v>
      </c>
      <c r="E155" s="3798" t="s">
        <v>8366</v>
      </c>
    </row>
    <row r="156" spans="2:5" ht="12.95" customHeight="1" outlineLevel="1">
      <c r="C156" s="2593" t="s">
        <v>7871</v>
      </c>
      <c r="D156" s="2596">
        <v>15</v>
      </c>
      <c r="E156" s="3798"/>
    </row>
    <row r="157" spans="2:5" ht="12.95" customHeight="1" outlineLevel="1">
      <c r="C157" s="2593" t="s">
        <v>7872</v>
      </c>
      <c r="D157" s="2596">
        <v>14</v>
      </c>
      <c r="E157" s="3798"/>
    </row>
    <row r="158" spans="2:5" ht="12.95" customHeight="1" outlineLevel="1">
      <c r="C158" s="2593" t="s">
        <v>7909</v>
      </c>
      <c r="D158" s="2596" t="s">
        <v>8363</v>
      </c>
      <c r="E158" s="3798" t="s">
        <v>8367</v>
      </c>
    </row>
    <row r="159" spans="2:5" ht="12.95" customHeight="1" outlineLevel="1">
      <c r="C159" s="2593" t="s">
        <v>8281</v>
      </c>
      <c r="D159" s="2596" t="s">
        <v>8314</v>
      </c>
      <c r="E159" s="3798"/>
    </row>
    <row r="160" spans="2:5" ht="12.95" customHeight="1" outlineLevel="1">
      <c r="C160" s="2593" t="s">
        <v>8282</v>
      </c>
      <c r="D160" s="2596">
        <v>2</v>
      </c>
      <c r="E160" s="3798"/>
    </row>
    <row r="161" spans="2:5" ht="12.95" customHeight="1" outlineLevel="1">
      <c r="C161" s="2593" t="s">
        <v>8283</v>
      </c>
      <c r="D161" s="2596" t="s">
        <v>8364</v>
      </c>
      <c r="E161" s="3798"/>
    </row>
    <row r="162" spans="2:5" ht="12.95" customHeight="1" outlineLevel="1">
      <c r="C162" s="3992"/>
      <c r="D162" s="3993"/>
      <c r="E162" s="3798"/>
    </row>
    <row r="163" spans="2:5" ht="12.95" customHeight="1" outlineLevel="1"/>
    <row r="164" spans="2:5" ht="12.95" customHeight="1" outlineLevel="1">
      <c r="B164" s="3985" t="s">
        <v>7474</v>
      </c>
      <c r="C164" s="3985"/>
      <c r="D164" s="3979" t="s">
        <v>8368</v>
      </c>
      <c r="E164" s="3979"/>
    </row>
    <row r="165" spans="2:5" ht="12.95" customHeight="1" outlineLevel="1">
      <c r="C165" s="2593" t="s">
        <v>7826</v>
      </c>
      <c r="D165" s="2596">
        <v>7</v>
      </c>
      <c r="E165" s="3798" t="s">
        <v>8374</v>
      </c>
    </row>
    <row r="166" spans="2:5" ht="12.95" customHeight="1" outlineLevel="1">
      <c r="C166" s="3480" t="s">
        <v>7910</v>
      </c>
      <c r="D166" s="2596">
        <v>40</v>
      </c>
      <c r="E166" s="3798"/>
    </row>
    <row r="167" spans="2:5" ht="12.95" customHeight="1" outlineLevel="1">
      <c r="C167" s="3480"/>
      <c r="D167" s="2596">
        <v>50</v>
      </c>
      <c r="E167" s="3798" t="s">
        <v>8376</v>
      </c>
    </row>
    <row r="168" spans="2:5" ht="12.95" customHeight="1" outlineLevel="1">
      <c r="C168" s="2593" t="s">
        <v>7871</v>
      </c>
      <c r="D168" s="2596" t="s">
        <v>8369</v>
      </c>
      <c r="E168" s="3798"/>
    </row>
    <row r="169" spans="2:5" ht="12.95" customHeight="1" outlineLevel="1">
      <c r="C169" s="2593" t="s">
        <v>7872</v>
      </c>
      <c r="D169" s="2596" t="s">
        <v>8369</v>
      </c>
      <c r="E169" s="3798" t="s">
        <v>9780</v>
      </c>
    </row>
    <row r="170" spans="2:5" ht="12.95" customHeight="1" outlineLevel="1">
      <c r="C170" s="2593" t="s">
        <v>7909</v>
      </c>
      <c r="D170" s="2596" t="s">
        <v>8370</v>
      </c>
      <c r="E170" s="3798"/>
    </row>
    <row r="171" spans="2:5" ht="12.95" customHeight="1" outlineLevel="1">
      <c r="C171" s="2593" t="s">
        <v>8281</v>
      </c>
      <c r="D171" s="2596" t="s">
        <v>8371</v>
      </c>
      <c r="E171" s="3798"/>
    </row>
    <row r="172" spans="2:5" ht="12.95" customHeight="1" outlineLevel="1">
      <c r="C172" s="2593" t="s">
        <v>8282</v>
      </c>
      <c r="D172" s="2596">
        <v>1</v>
      </c>
      <c r="E172" s="3798"/>
    </row>
    <row r="173" spans="2:5" ht="12.95" customHeight="1" outlineLevel="1">
      <c r="C173" s="2593" t="s">
        <v>8283</v>
      </c>
      <c r="D173" s="2596" t="s">
        <v>8372</v>
      </c>
      <c r="E173" s="3798"/>
    </row>
    <row r="174" spans="2:5" ht="12.95" customHeight="1" outlineLevel="1">
      <c r="C174" s="3972" t="s">
        <v>8373</v>
      </c>
      <c r="D174" s="3973"/>
      <c r="E174" s="3798"/>
    </row>
    <row r="176" spans="2:5" ht="12.95" customHeight="1">
      <c r="B176" s="3982" t="s">
        <v>7480</v>
      </c>
      <c r="C176" s="3982"/>
      <c r="D176" s="3983" t="s">
        <v>8377</v>
      </c>
      <c r="E176" s="3983"/>
    </row>
    <row r="177" spans="2:5" ht="12.95" customHeight="1" outlineLevel="1">
      <c r="C177" s="2593" t="s">
        <v>7826</v>
      </c>
      <c r="D177" s="2596">
        <v>1</v>
      </c>
      <c r="E177" s="3798" t="s">
        <v>8379</v>
      </c>
    </row>
    <row r="178" spans="2:5" ht="12.95" customHeight="1" outlineLevel="1">
      <c r="C178" s="3480" t="s">
        <v>7910</v>
      </c>
      <c r="D178" s="2596">
        <v>1</v>
      </c>
      <c r="E178" s="3798"/>
    </row>
    <row r="179" spans="2:5" ht="12.95" customHeight="1" outlineLevel="1">
      <c r="C179" s="3480"/>
      <c r="D179" s="2596">
        <v>2</v>
      </c>
      <c r="E179" s="2592" t="s">
        <v>8380</v>
      </c>
    </row>
    <row r="180" spans="2:5" ht="12.95" customHeight="1" outlineLevel="1">
      <c r="C180" s="2593" t="s">
        <v>7871</v>
      </c>
      <c r="D180" s="2596" t="s">
        <v>8358</v>
      </c>
      <c r="E180" s="3798" t="s">
        <v>8381</v>
      </c>
    </row>
    <row r="181" spans="2:5" ht="12.95" customHeight="1" outlineLevel="1">
      <c r="C181" s="2593" t="s">
        <v>7872</v>
      </c>
      <c r="D181" s="2596" t="s">
        <v>8358</v>
      </c>
      <c r="E181" s="3798"/>
    </row>
    <row r="182" spans="2:5" ht="12.95" customHeight="1" outlineLevel="1">
      <c r="C182" s="2593" t="s">
        <v>7909</v>
      </c>
      <c r="D182" s="2596">
        <v>4</v>
      </c>
      <c r="E182" s="3798"/>
    </row>
    <row r="183" spans="2:5" ht="12.95" customHeight="1" outlineLevel="1">
      <c r="C183" s="2593" t="s">
        <v>8281</v>
      </c>
      <c r="D183" s="2596" t="s">
        <v>8288</v>
      </c>
      <c r="E183" s="3798"/>
    </row>
    <row r="184" spans="2:5" ht="12.95" customHeight="1" outlineLevel="1">
      <c r="C184" s="2593" t="s">
        <v>8282</v>
      </c>
      <c r="D184" s="2596">
        <v>16</v>
      </c>
      <c r="E184" s="3798"/>
    </row>
    <row r="185" spans="2:5" ht="12.95" customHeight="1" outlineLevel="1">
      <c r="C185" s="2593" t="s">
        <v>8283</v>
      </c>
      <c r="D185" s="2596" t="s">
        <v>8378</v>
      </c>
      <c r="E185" s="3798"/>
    </row>
    <row r="186" spans="2:5" ht="12.95" customHeight="1" outlineLevel="1">
      <c r="C186" s="3972"/>
      <c r="D186" s="3973"/>
      <c r="E186" s="3798"/>
    </row>
    <row r="187" spans="2:5" ht="12.95" customHeight="1" outlineLevel="1"/>
    <row r="188" spans="2:5" ht="12.95" customHeight="1" outlineLevel="1">
      <c r="B188" s="3982" t="s">
        <v>7480</v>
      </c>
      <c r="C188" s="3982"/>
      <c r="D188" s="3983" t="s">
        <v>8382</v>
      </c>
      <c r="E188" s="3983"/>
    </row>
    <row r="189" spans="2:5" ht="12.95" customHeight="1" outlineLevel="1">
      <c r="C189" s="2593" t="s">
        <v>7826</v>
      </c>
      <c r="D189" s="2596">
        <v>2</v>
      </c>
      <c r="E189" s="3798" t="s">
        <v>8384</v>
      </c>
    </row>
    <row r="190" spans="2:5" ht="12.95" customHeight="1" outlineLevel="1">
      <c r="C190" s="3480" t="s">
        <v>7910</v>
      </c>
      <c r="D190" s="2596">
        <v>2</v>
      </c>
      <c r="E190" s="3798"/>
    </row>
    <row r="191" spans="2:5" ht="12.95" customHeight="1" outlineLevel="1">
      <c r="C191" s="3480"/>
      <c r="D191" s="2596">
        <v>3</v>
      </c>
      <c r="E191" s="3798" t="s">
        <v>9781</v>
      </c>
    </row>
    <row r="192" spans="2:5" ht="12.95" customHeight="1" outlineLevel="1">
      <c r="C192" s="2593" t="s">
        <v>7871</v>
      </c>
      <c r="D192" s="2596" t="s">
        <v>8300</v>
      </c>
      <c r="E192" s="3798"/>
    </row>
    <row r="193" spans="2:5" ht="12.95" customHeight="1" outlineLevel="1">
      <c r="C193" s="2593" t="s">
        <v>7872</v>
      </c>
      <c r="D193" s="2596" t="s">
        <v>8300</v>
      </c>
      <c r="E193" s="3798" t="s">
        <v>9782</v>
      </c>
    </row>
    <row r="194" spans="2:5" ht="12.95" customHeight="1" outlineLevel="1">
      <c r="C194" s="2593" t="s">
        <v>7909</v>
      </c>
      <c r="D194" s="2596">
        <v>16</v>
      </c>
      <c r="E194" s="3798"/>
    </row>
    <row r="195" spans="2:5" ht="12.95" customHeight="1" outlineLevel="1">
      <c r="C195" s="2593" t="s">
        <v>8281</v>
      </c>
      <c r="D195" s="2596" t="s">
        <v>8296</v>
      </c>
      <c r="E195" s="3798"/>
    </row>
    <row r="196" spans="2:5" ht="12.95" customHeight="1" outlineLevel="1">
      <c r="C196" s="2593" t="s">
        <v>8282</v>
      </c>
      <c r="D196" s="2596">
        <v>9</v>
      </c>
      <c r="E196" s="3798"/>
    </row>
    <row r="197" spans="2:5" ht="12.95" customHeight="1" outlineLevel="1">
      <c r="C197" s="2593" t="s">
        <v>8283</v>
      </c>
      <c r="D197" s="2596" t="s">
        <v>8383</v>
      </c>
      <c r="E197" s="3798"/>
    </row>
    <row r="198" spans="2:5" ht="12.95" customHeight="1" outlineLevel="1">
      <c r="C198" s="3972"/>
      <c r="D198" s="3973"/>
      <c r="E198" s="3798"/>
    </row>
    <row r="199" spans="2:5" ht="12.95" customHeight="1" outlineLevel="1"/>
    <row r="200" spans="2:5" ht="12.95" customHeight="1" outlineLevel="1">
      <c r="B200" s="3982" t="s">
        <v>7480</v>
      </c>
      <c r="C200" s="3982"/>
      <c r="D200" s="3983" t="s">
        <v>8385</v>
      </c>
      <c r="E200" s="3983"/>
    </row>
    <row r="201" spans="2:5" ht="12.95" customHeight="1" outlineLevel="1">
      <c r="C201" s="2593" t="s">
        <v>7826</v>
      </c>
      <c r="D201" s="2596">
        <v>3</v>
      </c>
      <c r="E201" s="3798" t="s">
        <v>8388</v>
      </c>
    </row>
    <row r="202" spans="2:5" ht="12.95" customHeight="1" outlineLevel="1">
      <c r="C202" s="3480" t="s">
        <v>7910</v>
      </c>
      <c r="D202" s="2596">
        <v>4</v>
      </c>
      <c r="E202" s="3798"/>
    </row>
    <row r="203" spans="2:5" ht="12.95" customHeight="1" outlineLevel="1">
      <c r="C203" s="3480"/>
      <c r="D203" s="2596">
        <v>5</v>
      </c>
      <c r="E203" s="3798"/>
    </row>
    <row r="204" spans="2:5" ht="12.95" customHeight="1" outlineLevel="1">
      <c r="C204" s="2593" t="s">
        <v>7871</v>
      </c>
      <c r="D204" s="2596" t="s">
        <v>8314</v>
      </c>
      <c r="E204" s="3798" t="s">
        <v>8389</v>
      </c>
    </row>
    <row r="205" spans="2:5" ht="12.95" customHeight="1" outlineLevel="1">
      <c r="C205" s="2593" t="s">
        <v>7872</v>
      </c>
      <c r="D205" s="2596">
        <v>10</v>
      </c>
      <c r="E205" s="3798"/>
    </row>
    <row r="206" spans="2:5" ht="12.95" customHeight="1" outlineLevel="1">
      <c r="C206" s="2593" t="s">
        <v>7909</v>
      </c>
      <c r="D206" s="2596" t="s">
        <v>8386</v>
      </c>
      <c r="E206" s="3798" t="s">
        <v>8391</v>
      </c>
    </row>
    <row r="207" spans="2:5" ht="12.95" customHeight="1" outlineLevel="1">
      <c r="C207" s="2593" t="s">
        <v>8281</v>
      </c>
      <c r="D207" s="2596" t="s">
        <v>8333</v>
      </c>
      <c r="E207" s="3798"/>
    </row>
    <row r="208" spans="2:5" ht="12.95" customHeight="1" outlineLevel="1">
      <c r="C208" s="2593" t="s">
        <v>8282</v>
      </c>
      <c r="D208" s="2596">
        <v>6</v>
      </c>
      <c r="E208" s="3798"/>
    </row>
    <row r="209" spans="2:5" ht="12.95" customHeight="1" outlineLevel="1">
      <c r="C209" s="2593" t="s">
        <v>8283</v>
      </c>
      <c r="D209" s="2596" t="s">
        <v>8387</v>
      </c>
      <c r="E209" s="3798"/>
    </row>
    <row r="210" spans="2:5" ht="12.95" customHeight="1" outlineLevel="1">
      <c r="C210" s="3972"/>
      <c r="D210" s="3973"/>
      <c r="E210" s="3798"/>
    </row>
    <row r="211" spans="2:5" ht="12.95" customHeight="1" outlineLevel="1"/>
    <row r="212" spans="2:5" ht="12.95" customHeight="1" outlineLevel="1">
      <c r="B212" s="3982" t="s">
        <v>7480</v>
      </c>
      <c r="C212" s="3982"/>
      <c r="D212" s="3983" t="s">
        <v>8390</v>
      </c>
      <c r="E212" s="3983"/>
    </row>
    <row r="213" spans="2:5" ht="12.95" customHeight="1" outlineLevel="1">
      <c r="B213"/>
      <c r="C213" s="2593" t="s">
        <v>7826</v>
      </c>
      <c r="D213" s="2596">
        <v>4</v>
      </c>
      <c r="E213" s="3798" t="s">
        <v>8395</v>
      </c>
    </row>
    <row r="214" spans="2:5" ht="12.95" customHeight="1" outlineLevel="1">
      <c r="C214" s="3480" t="s">
        <v>7910</v>
      </c>
      <c r="D214" s="2596">
        <v>7</v>
      </c>
      <c r="E214" s="3798"/>
    </row>
    <row r="215" spans="2:5" ht="12.95" customHeight="1" outlineLevel="1">
      <c r="C215" s="3480"/>
      <c r="D215" s="2596">
        <v>9</v>
      </c>
      <c r="E215" s="3798" t="s">
        <v>8396</v>
      </c>
    </row>
    <row r="216" spans="2:5" ht="12.95" customHeight="1" outlineLevel="1">
      <c r="C216" s="2593" t="s">
        <v>7871</v>
      </c>
      <c r="D216" s="2596" t="s">
        <v>8392</v>
      </c>
      <c r="E216" s="3798"/>
    </row>
    <row r="217" spans="2:5" ht="12.95" customHeight="1" outlineLevel="1">
      <c r="C217" s="2593" t="s">
        <v>7872</v>
      </c>
      <c r="D217" s="2596" t="s">
        <v>8295</v>
      </c>
      <c r="E217" s="3798" t="s">
        <v>9783</v>
      </c>
    </row>
    <row r="218" spans="2:5" ht="12.95" customHeight="1" outlineLevel="1">
      <c r="C218" s="2593" t="s">
        <v>7909</v>
      </c>
      <c r="D218" s="2596" t="s">
        <v>8393</v>
      </c>
      <c r="E218" s="3798"/>
    </row>
    <row r="219" spans="2:5" ht="12.95" customHeight="1" outlineLevel="1">
      <c r="C219" s="2593" t="s">
        <v>8281</v>
      </c>
      <c r="D219" s="2596" t="s">
        <v>8308</v>
      </c>
      <c r="E219" s="3798"/>
    </row>
    <row r="220" spans="2:5" ht="12.95" customHeight="1" outlineLevel="1">
      <c r="C220" s="2593" t="s">
        <v>8282</v>
      </c>
      <c r="D220" s="2596">
        <v>4</v>
      </c>
      <c r="E220" s="3798"/>
    </row>
    <row r="221" spans="2:5" ht="12.95" customHeight="1" outlineLevel="1">
      <c r="C221" s="2593" t="s">
        <v>8283</v>
      </c>
      <c r="D221" s="2596" t="s">
        <v>8394</v>
      </c>
      <c r="E221" s="3798"/>
    </row>
    <row r="222" spans="2:5" ht="12.95" customHeight="1" outlineLevel="1">
      <c r="C222" s="3972"/>
      <c r="D222" s="3973"/>
      <c r="E222" s="3798"/>
    </row>
    <row r="223" spans="2:5" s="2592" customFormat="1" ht="12.95" customHeight="1" outlineLevel="1"/>
    <row r="224" spans="2:5" s="2592" customFormat="1" ht="12.95" customHeight="1" outlineLevel="1">
      <c r="B224" s="3982" t="s">
        <v>7480</v>
      </c>
      <c r="C224" s="3982"/>
      <c r="D224" s="3983" t="s">
        <v>9784</v>
      </c>
      <c r="E224" s="3983"/>
    </row>
    <row r="225" spans="2:5" s="2592" customFormat="1" ht="12.95" customHeight="1" outlineLevel="1">
      <c r="C225" s="2593" t="s">
        <v>7826</v>
      </c>
      <c r="D225" s="2596">
        <v>5</v>
      </c>
      <c r="E225" s="3798" t="s">
        <v>9785</v>
      </c>
    </row>
    <row r="226" spans="2:5" s="2592" customFormat="1" ht="12.95" customHeight="1" outlineLevel="1">
      <c r="C226" s="3480" t="s">
        <v>7910</v>
      </c>
      <c r="D226" s="2596">
        <v>13</v>
      </c>
      <c r="E226" s="3798"/>
    </row>
    <row r="227" spans="2:5" s="2592" customFormat="1" ht="12.95" customHeight="1" outlineLevel="1">
      <c r="C227" s="3480"/>
      <c r="D227" s="2596">
        <v>16</v>
      </c>
      <c r="E227" s="3798" t="s">
        <v>8399</v>
      </c>
    </row>
    <row r="228" spans="2:5" s="2592" customFormat="1" ht="12.95" customHeight="1" outlineLevel="1">
      <c r="C228" s="2593" t="s">
        <v>7871</v>
      </c>
      <c r="D228" s="2596">
        <v>12</v>
      </c>
      <c r="E228" s="3798"/>
    </row>
    <row r="229" spans="2:5" s="2592" customFormat="1" ht="12.95" customHeight="1" outlineLevel="1">
      <c r="C229" s="2593" t="s">
        <v>7872</v>
      </c>
      <c r="D229" s="2596">
        <v>12</v>
      </c>
      <c r="E229" s="3798"/>
    </row>
    <row r="230" spans="2:5" s="2592" customFormat="1" ht="12.95" customHeight="1" outlineLevel="1">
      <c r="C230" s="2593" t="s">
        <v>7909</v>
      </c>
      <c r="D230" s="2596">
        <v>40</v>
      </c>
      <c r="E230" s="3798"/>
    </row>
    <row r="231" spans="2:5" s="2592" customFormat="1" ht="12.95" customHeight="1" outlineLevel="1">
      <c r="C231" s="2593" t="s">
        <v>8281</v>
      </c>
      <c r="D231" s="2596" t="s">
        <v>8397</v>
      </c>
      <c r="E231" s="3798"/>
    </row>
    <row r="232" spans="2:5" s="2592" customFormat="1" ht="12.95" customHeight="1" outlineLevel="1">
      <c r="C232" s="2593" t="s">
        <v>8282</v>
      </c>
      <c r="D232" s="2596">
        <v>3</v>
      </c>
      <c r="E232" s="3250" t="s">
        <v>8400</v>
      </c>
    </row>
    <row r="233" spans="2:5" s="2592" customFormat="1" ht="12.95" customHeight="1" outlineLevel="1">
      <c r="C233" s="2593" t="s">
        <v>8283</v>
      </c>
      <c r="D233" s="2596" t="s">
        <v>8398</v>
      </c>
      <c r="E233" s="3250"/>
    </row>
    <row r="234" spans="2:5" s="2592" customFormat="1" ht="12.95" customHeight="1" outlineLevel="1">
      <c r="C234" s="3972"/>
      <c r="D234" s="3973"/>
      <c r="E234" s="3250"/>
    </row>
    <row r="235" spans="2:5" s="2592" customFormat="1" ht="12.95" customHeight="1" outlineLevel="1">
      <c r="E235" s="3250"/>
    </row>
    <row r="236" spans="2:5" s="2592" customFormat="1" ht="12.95" customHeight="1" outlineLevel="1">
      <c r="E236" s="3250"/>
    </row>
    <row r="237" spans="2:5" ht="12.95" customHeight="1" outlineLevel="1"/>
    <row r="238" spans="2:5" ht="12.95" customHeight="1" outlineLevel="1">
      <c r="B238" s="3982" t="s">
        <v>7480</v>
      </c>
      <c r="C238" s="3982"/>
      <c r="D238" s="3983" t="s">
        <v>8401</v>
      </c>
      <c r="E238" s="3983"/>
    </row>
    <row r="239" spans="2:5" ht="12.95" customHeight="1" outlineLevel="1">
      <c r="C239" s="2593" t="s">
        <v>7826</v>
      </c>
      <c r="D239" s="2596">
        <v>6</v>
      </c>
      <c r="E239" s="3798" t="s">
        <v>8404</v>
      </c>
    </row>
    <row r="240" spans="2:5" ht="12.95" customHeight="1" outlineLevel="1">
      <c r="C240" s="3480" t="s">
        <v>7910</v>
      </c>
      <c r="D240" s="2596" t="s">
        <v>8318</v>
      </c>
      <c r="E240" s="3798"/>
    </row>
    <row r="241" spans="2:5" ht="12.95" customHeight="1" outlineLevel="1">
      <c r="C241" s="3480"/>
      <c r="D241" s="2596" t="s">
        <v>8318</v>
      </c>
      <c r="E241" s="3798"/>
    </row>
    <row r="242" spans="2:5" ht="12.95" customHeight="1" outlineLevel="1">
      <c r="C242" s="2593" t="s">
        <v>7871</v>
      </c>
      <c r="D242" s="2596">
        <v>16</v>
      </c>
      <c r="E242" s="2597" t="s">
        <v>8402</v>
      </c>
    </row>
    <row r="243" spans="2:5" ht="12.95" customHeight="1" outlineLevel="1">
      <c r="C243" s="2593" t="s">
        <v>7872</v>
      </c>
      <c r="D243" s="2596">
        <v>13</v>
      </c>
      <c r="E243" s="3798" t="s">
        <v>10120</v>
      </c>
    </row>
    <row r="244" spans="2:5" ht="12.95" customHeight="1" outlineLevel="1">
      <c r="C244" s="2593" t="s">
        <v>7909</v>
      </c>
      <c r="D244" s="2596">
        <v>110</v>
      </c>
      <c r="E244" s="3798"/>
    </row>
    <row r="245" spans="2:5" ht="12.95" customHeight="1" outlineLevel="1">
      <c r="C245" s="2593" t="s">
        <v>8281</v>
      </c>
      <c r="D245" s="2596" t="s">
        <v>8308</v>
      </c>
      <c r="E245" s="3798"/>
    </row>
    <row r="246" spans="2:5" ht="12.95" customHeight="1" outlineLevel="1">
      <c r="C246" s="2593" t="s">
        <v>8282</v>
      </c>
      <c r="D246" s="2596">
        <v>2</v>
      </c>
      <c r="E246" s="3798"/>
    </row>
    <row r="247" spans="2:5" ht="12.95" customHeight="1" outlineLevel="1">
      <c r="C247" s="2593" t="s">
        <v>8283</v>
      </c>
      <c r="D247" s="2596" t="s">
        <v>8405</v>
      </c>
      <c r="E247" s="3798"/>
    </row>
    <row r="248" spans="2:5" ht="12.95" customHeight="1" outlineLevel="1">
      <c r="C248" s="3972"/>
      <c r="D248" s="3973"/>
      <c r="E248" s="3798"/>
    </row>
    <row r="249" spans="2:5" ht="12.95" customHeight="1" outlineLevel="1"/>
    <row r="250" spans="2:5" ht="12.95" customHeight="1" outlineLevel="1">
      <c r="B250" s="3982" t="s">
        <v>7480</v>
      </c>
      <c r="C250" s="3982"/>
      <c r="D250" s="3983" t="s">
        <v>8403</v>
      </c>
      <c r="E250" s="3983"/>
    </row>
    <row r="251" spans="2:5" ht="12.95" customHeight="1" outlineLevel="1">
      <c r="C251" s="2593" t="s">
        <v>7826</v>
      </c>
      <c r="D251" s="2596">
        <v>7</v>
      </c>
      <c r="E251" s="3798" t="s">
        <v>8411</v>
      </c>
    </row>
    <row r="252" spans="2:5" ht="12.95" customHeight="1" outlineLevel="1">
      <c r="C252" s="3480" t="s">
        <v>7910</v>
      </c>
      <c r="D252" s="2596">
        <v>40</v>
      </c>
      <c r="E252" s="3798"/>
    </row>
    <row r="253" spans="2:5" ht="12.95" customHeight="1" outlineLevel="1">
      <c r="C253" s="3480"/>
      <c r="D253" s="2596">
        <v>60</v>
      </c>
      <c r="E253" s="3798" t="s">
        <v>8412</v>
      </c>
    </row>
    <row r="254" spans="2:5" ht="12.95" customHeight="1" outlineLevel="1">
      <c r="C254" s="2593" t="s">
        <v>7871</v>
      </c>
      <c r="D254" s="2596" t="s">
        <v>8406</v>
      </c>
      <c r="E254" s="3798"/>
    </row>
    <row r="255" spans="2:5" ht="12.95" customHeight="1" outlineLevel="1">
      <c r="C255" s="2593" t="s">
        <v>7872</v>
      </c>
      <c r="D255" s="2596" t="s">
        <v>8407</v>
      </c>
      <c r="E255" s="3798" t="s">
        <v>8413</v>
      </c>
    </row>
    <row r="256" spans="2:5" ht="12.95" customHeight="1" outlineLevel="1">
      <c r="C256" s="2593" t="s">
        <v>7909</v>
      </c>
      <c r="D256" s="2596" t="s">
        <v>8408</v>
      </c>
      <c r="E256" s="3798"/>
    </row>
    <row r="257" spans="2:5" ht="12.95" customHeight="1" outlineLevel="1">
      <c r="C257" s="2593" t="s">
        <v>8281</v>
      </c>
      <c r="D257" s="2596" t="s">
        <v>8397</v>
      </c>
      <c r="E257" s="3798"/>
    </row>
    <row r="258" spans="2:5" ht="12.95" customHeight="1" outlineLevel="1">
      <c r="C258" s="2593" t="s">
        <v>8282</v>
      </c>
      <c r="D258" s="2596">
        <v>1</v>
      </c>
      <c r="E258" s="3798"/>
    </row>
    <row r="259" spans="2:5" ht="12.95" customHeight="1" outlineLevel="1">
      <c r="C259" s="2593" t="s">
        <v>8283</v>
      </c>
      <c r="D259" s="2596" t="s">
        <v>8409</v>
      </c>
      <c r="E259" s="3798"/>
    </row>
    <row r="260" spans="2:5" ht="12.95" customHeight="1" outlineLevel="1">
      <c r="C260" s="3986" t="s">
        <v>8410</v>
      </c>
      <c r="D260" s="3987"/>
      <c r="E260" s="3798"/>
    </row>
    <row r="262" spans="2:5" ht="12.95" customHeight="1">
      <c r="B262" s="3990" t="s">
        <v>7487</v>
      </c>
      <c r="C262" s="3990"/>
      <c r="D262" s="3991" t="s">
        <v>8415</v>
      </c>
      <c r="E262" s="3991"/>
    </row>
    <row r="263" spans="2:5" ht="12.95" customHeight="1" outlineLevel="1">
      <c r="C263" s="2593" t="s">
        <v>7826</v>
      </c>
      <c r="D263" s="2596">
        <v>1</v>
      </c>
      <c r="E263" s="3798" t="s">
        <v>8417</v>
      </c>
    </row>
    <row r="264" spans="2:5" ht="12.95" customHeight="1" outlineLevel="1">
      <c r="C264" s="3480" t="s">
        <v>7910</v>
      </c>
      <c r="D264" s="2596">
        <v>1</v>
      </c>
      <c r="E264" s="3798"/>
    </row>
    <row r="265" spans="2:5" ht="12.95" customHeight="1" outlineLevel="1">
      <c r="C265" s="3480"/>
      <c r="D265" s="2596">
        <v>3</v>
      </c>
      <c r="E265" s="3798" t="s">
        <v>8418</v>
      </c>
    </row>
    <row r="266" spans="2:5" ht="12.95" customHeight="1" outlineLevel="1">
      <c r="C266" s="2593" t="s">
        <v>7871</v>
      </c>
      <c r="D266" s="2596" t="s">
        <v>8303</v>
      </c>
      <c r="E266" s="3798"/>
    </row>
    <row r="267" spans="2:5" ht="12.95" customHeight="1" outlineLevel="1">
      <c r="C267" s="2593" t="s">
        <v>7872</v>
      </c>
      <c r="D267" s="2596" t="s">
        <v>8287</v>
      </c>
      <c r="E267" s="3798"/>
    </row>
    <row r="268" spans="2:5" ht="12.95" customHeight="1" outlineLevel="1">
      <c r="C268" s="2593" t="s">
        <v>7909</v>
      </c>
      <c r="D268" s="2596">
        <v>6</v>
      </c>
      <c r="E268" s="3250" t="s">
        <v>9786</v>
      </c>
    </row>
    <row r="269" spans="2:5" ht="12.95" customHeight="1" outlineLevel="1">
      <c r="C269" s="2593" t="s">
        <v>8281</v>
      </c>
      <c r="D269" s="2596" t="s">
        <v>8288</v>
      </c>
      <c r="E269" s="3250"/>
    </row>
    <row r="270" spans="2:5" ht="12.95" customHeight="1" outlineLevel="1">
      <c r="C270" s="2593" t="s">
        <v>8282</v>
      </c>
      <c r="D270" s="2596">
        <v>12</v>
      </c>
      <c r="E270" s="3250"/>
    </row>
    <row r="271" spans="2:5" ht="12.95" customHeight="1" outlineLevel="1">
      <c r="C271" s="2593" t="s">
        <v>8283</v>
      </c>
      <c r="D271" s="2596" t="s">
        <v>8416</v>
      </c>
      <c r="E271" s="3250"/>
    </row>
    <row r="272" spans="2:5" ht="12.95" customHeight="1" outlineLevel="1">
      <c r="C272" s="3986"/>
      <c r="D272" s="3987"/>
      <c r="E272" s="3250"/>
    </row>
    <row r="273" spans="2:5" ht="12.95" customHeight="1" outlineLevel="1">
      <c r="E273" s="3250"/>
    </row>
    <row r="274" spans="2:5" ht="12.95" customHeight="1" outlineLevel="1">
      <c r="E274" s="3250"/>
    </row>
    <row r="275" spans="2:5" ht="12.95" customHeight="1" outlineLevel="1"/>
    <row r="276" spans="2:5" ht="12.95" customHeight="1" outlineLevel="1">
      <c r="B276" s="3990" t="s">
        <v>7487</v>
      </c>
      <c r="C276" s="3990"/>
      <c r="D276" s="3991" t="s">
        <v>8419</v>
      </c>
      <c r="E276" s="3991"/>
    </row>
    <row r="277" spans="2:5" ht="12.95" customHeight="1" outlineLevel="1">
      <c r="C277" s="2593" t="s">
        <v>7826</v>
      </c>
      <c r="D277" s="2596">
        <v>2</v>
      </c>
      <c r="E277" s="3798" t="s">
        <v>8421</v>
      </c>
    </row>
    <row r="278" spans="2:5" ht="12.95" customHeight="1" outlineLevel="1">
      <c r="C278" s="3480" t="s">
        <v>7910</v>
      </c>
      <c r="D278" s="2596">
        <v>2</v>
      </c>
      <c r="E278" s="3798"/>
    </row>
    <row r="279" spans="2:5" ht="12.95" customHeight="1" outlineLevel="1">
      <c r="C279" s="3480"/>
      <c r="D279" s="2596">
        <v>3</v>
      </c>
      <c r="E279" s="3798"/>
    </row>
    <row r="280" spans="2:5" ht="12.95" customHeight="1" outlineLevel="1">
      <c r="C280" s="2593" t="s">
        <v>7871</v>
      </c>
      <c r="D280" s="2596">
        <v>5</v>
      </c>
      <c r="E280" s="3798" t="s">
        <v>8423</v>
      </c>
    </row>
    <row r="281" spans="2:5" ht="12.95" customHeight="1" outlineLevel="1">
      <c r="C281" s="2593" t="s">
        <v>7872</v>
      </c>
      <c r="D281" s="2596">
        <v>5</v>
      </c>
      <c r="E281" s="3798"/>
    </row>
    <row r="282" spans="2:5" ht="12.95" customHeight="1" outlineLevel="1">
      <c r="C282" s="2593" t="s">
        <v>7909</v>
      </c>
      <c r="D282" s="2596" t="s">
        <v>8312</v>
      </c>
      <c r="E282" s="3798" t="s">
        <v>8422</v>
      </c>
    </row>
    <row r="283" spans="2:5" ht="12.95" customHeight="1" outlineLevel="1">
      <c r="C283" s="2593" t="s">
        <v>8281</v>
      </c>
      <c r="D283" s="2596" t="s">
        <v>8358</v>
      </c>
      <c r="E283" s="3798"/>
    </row>
    <row r="284" spans="2:5" ht="12.95" customHeight="1" outlineLevel="1">
      <c r="C284" s="2593" t="s">
        <v>8282</v>
      </c>
      <c r="D284" s="2596">
        <v>8</v>
      </c>
      <c r="E284" s="3798"/>
    </row>
    <row r="285" spans="2:5" ht="12.95" customHeight="1" outlineLevel="1">
      <c r="C285" s="2593" t="s">
        <v>8283</v>
      </c>
      <c r="D285" s="2596" t="s">
        <v>8420</v>
      </c>
      <c r="E285" s="3798"/>
    </row>
    <row r="286" spans="2:5" ht="12.95" customHeight="1" outlineLevel="1">
      <c r="C286" s="3986"/>
      <c r="D286" s="3987"/>
      <c r="E286" s="3798"/>
    </row>
    <row r="287" spans="2:5" ht="12.95" customHeight="1" outlineLevel="1">
      <c r="D287" s="526"/>
    </row>
    <row r="288" spans="2:5" ht="12.95" customHeight="1" outlineLevel="1">
      <c r="B288" s="3990" t="s">
        <v>7487</v>
      </c>
      <c r="C288" s="3990"/>
      <c r="D288" s="3991" t="s">
        <v>8424</v>
      </c>
      <c r="E288" s="3991"/>
    </row>
    <row r="289" spans="2:5" ht="12.95" customHeight="1" outlineLevel="1">
      <c r="C289" s="2593" t="s">
        <v>7826</v>
      </c>
      <c r="D289" s="2596">
        <v>3</v>
      </c>
      <c r="E289" s="3798" t="s">
        <v>8426</v>
      </c>
    </row>
    <row r="290" spans="2:5" ht="12.95" customHeight="1" outlineLevel="1">
      <c r="C290" s="3480" t="s">
        <v>7910</v>
      </c>
      <c r="D290" s="2596">
        <v>3</v>
      </c>
      <c r="E290" s="3798"/>
    </row>
    <row r="291" spans="2:5" ht="12.95" customHeight="1" outlineLevel="1">
      <c r="C291" s="3480"/>
      <c r="D291" s="2596">
        <v>5</v>
      </c>
      <c r="E291" s="3798" t="s">
        <v>8427</v>
      </c>
    </row>
    <row r="292" spans="2:5" ht="12.95" customHeight="1" outlineLevel="1">
      <c r="C292" s="2593" t="s">
        <v>7871</v>
      </c>
      <c r="D292" s="2596">
        <v>7</v>
      </c>
      <c r="E292" s="3798"/>
    </row>
    <row r="293" spans="2:5" ht="12.95" customHeight="1" outlineLevel="1">
      <c r="C293" s="2593" t="s">
        <v>7872</v>
      </c>
      <c r="D293" s="2596">
        <v>7</v>
      </c>
      <c r="E293" s="3798" t="s">
        <v>8428</v>
      </c>
    </row>
    <row r="294" spans="2:5" ht="12.95" customHeight="1" outlineLevel="1">
      <c r="C294" s="2593" t="s">
        <v>7909</v>
      </c>
      <c r="D294" s="2596">
        <v>18</v>
      </c>
      <c r="E294" s="3798"/>
    </row>
    <row r="295" spans="2:5" ht="12.95" customHeight="1" outlineLevel="1">
      <c r="C295" s="2593" t="s">
        <v>8281</v>
      </c>
      <c r="D295" s="2596" t="s">
        <v>8308</v>
      </c>
      <c r="E295" s="3798"/>
    </row>
    <row r="296" spans="2:5" ht="12.95" customHeight="1" outlineLevel="1">
      <c r="C296" s="2593" t="s">
        <v>8282</v>
      </c>
      <c r="D296" s="2596">
        <v>7</v>
      </c>
      <c r="E296" s="3798"/>
    </row>
    <row r="297" spans="2:5" ht="12.95" customHeight="1" outlineLevel="1">
      <c r="C297" s="2593" t="s">
        <v>8283</v>
      </c>
      <c r="D297" s="2596" t="s">
        <v>8425</v>
      </c>
      <c r="E297" s="3798"/>
    </row>
    <row r="298" spans="2:5" ht="12.95" customHeight="1" outlineLevel="1">
      <c r="C298" s="3986"/>
      <c r="D298" s="3987"/>
      <c r="E298" s="3798"/>
    </row>
    <row r="299" spans="2:5" ht="12.95" customHeight="1" outlineLevel="1"/>
    <row r="300" spans="2:5" ht="12.95" customHeight="1" outlineLevel="1">
      <c r="B300" s="3990" t="s">
        <v>7487</v>
      </c>
      <c r="C300" s="3990"/>
      <c r="D300" s="3991" t="s">
        <v>8429</v>
      </c>
      <c r="E300" s="3991"/>
    </row>
    <row r="301" spans="2:5" ht="12.95" customHeight="1" outlineLevel="1">
      <c r="C301" s="2593" t="s">
        <v>7826</v>
      </c>
      <c r="D301" s="2596">
        <v>4</v>
      </c>
      <c r="E301" s="3798" t="s">
        <v>9787</v>
      </c>
    </row>
    <row r="302" spans="2:5" ht="12.95" customHeight="1" outlineLevel="1">
      <c r="C302" s="3480" t="s">
        <v>7910</v>
      </c>
      <c r="D302" s="2596">
        <v>5</v>
      </c>
      <c r="E302" s="3798"/>
    </row>
    <row r="303" spans="2:5" s="2592" customFormat="1" ht="12.95" customHeight="1" outlineLevel="1">
      <c r="C303" s="3480"/>
      <c r="D303" s="2596">
        <v>8</v>
      </c>
      <c r="E303" s="3798"/>
    </row>
    <row r="304" spans="2:5" s="2592" customFormat="1" ht="12.95" customHeight="1" outlineLevel="1">
      <c r="C304" s="2593" t="s">
        <v>7871</v>
      </c>
      <c r="D304" s="2596">
        <v>10</v>
      </c>
      <c r="E304" s="3798" t="s">
        <v>8432</v>
      </c>
    </row>
    <row r="305" spans="2:5" s="2592" customFormat="1" ht="12.95" customHeight="1" outlineLevel="1">
      <c r="C305" s="2593" t="s">
        <v>7872</v>
      </c>
      <c r="D305" s="2596" t="s">
        <v>8430</v>
      </c>
      <c r="E305" s="3798"/>
    </row>
    <row r="306" spans="2:5" s="2592" customFormat="1" ht="12.95" customHeight="1" outlineLevel="1">
      <c r="C306" s="2593" t="s">
        <v>7909</v>
      </c>
      <c r="D306" s="2596" t="s">
        <v>8378</v>
      </c>
      <c r="E306" s="3250" t="s">
        <v>8433</v>
      </c>
    </row>
    <row r="307" spans="2:5" s="2592" customFormat="1" ht="12.95" customHeight="1" outlineLevel="1">
      <c r="C307" s="2593" t="s">
        <v>8281</v>
      </c>
      <c r="D307" s="2596" t="s">
        <v>8296</v>
      </c>
      <c r="E307" s="3250"/>
    </row>
    <row r="308" spans="2:5" s="2592" customFormat="1" ht="12.95" customHeight="1" outlineLevel="1">
      <c r="C308" s="2593" t="s">
        <v>8282</v>
      </c>
      <c r="D308" s="2596">
        <v>4</v>
      </c>
      <c r="E308" s="3250"/>
    </row>
    <row r="309" spans="2:5" s="2592" customFormat="1" ht="12.95" customHeight="1" outlineLevel="1">
      <c r="C309" s="2593" t="s">
        <v>8283</v>
      </c>
      <c r="D309" s="2596" t="s">
        <v>8431</v>
      </c>
      <c r="E309" s="3250"/>
    </row>
    <row r="310" spans="2:5" s="2592" customFormat="1" ht="12.95" customHeight="1" outlineLevel="1">
      <c r="C310" s="3986"/>
      <c r="D310" s="3987"/>
      <c r="E310" s="3250"/>
    </row>
    <row r="311" spans="2:5" s="2592" customFormat="1" ht="12.95" customHeight="1" outlineLevel="1">
      <c r="E311" s="3250"/>
    </row>
    <row r="312" spans="2:5" s="2592" customFormat="1" ht="12.95" customHeight="1" outlineLevel="1"/>
    <row r="313" spans="2:5" s="2592" customFormat="1" ht="12.95" customHeight="1" outlineLevel="1">
      <c r="B313" s="3990" t="s">
        <v>7487</v>
      </c>
      <c r="C313" s="3990"/>
      <c r="D313" s="3991" t="s">
        <v>8434</v>
      </c>
      <c r="E313" s="3991"/>
    </row>
    <row r="314" spans="2:5" s="2592" customFormat="1" ht="12.95" customHeight="1" outlineLevel="1">
      <c r="C314" s="2593" t="s">
        <v>7826</v>
      </c>
      <c r="D314" s="2596">
        <v>5</v>
      </c>
      <c r="E314" s="3798" t="s">
        <v>8436</v>
      </c>
    </row>
    <row r="315" spans="2:5" s="2592" customFormat="1" ht="12.95" customHeight="1" outlineLevel="1">
      <c r="C315" s="3480" t="s">
        <v>7910</v>
      </c>
      <c r="D315" s="2596">
        <v>11</v>
      </c>
      <c r="E315" s="3798"/>
    </row>
    <row r="316" spans="2:5" s="2592" customFormat="1" ht="12.95" customHeight="1" outlineLevel="1">
      <c r="C316" s="3480"/>
      <c r="D316" s="2596" t="s">
        <v>8435</v>
      </c>
      <c r="E316" s="3798" t="s">
        <v>8437</v>
      </c>
    </row>
    <row r="317" spans="2:5" ht="12.95" customHeight="1" outlineLevel="1">
      <c r="C317" s="2593" t="s">
        <v>7871</v>
      </c>
      <c r="D317" s="2596">
        <v>13</v>
      </c>
      <c r="E317" s="3798"/>
    </row>
    <row r="318" spans="2:5" ht="12.95" customHeight="1" outlineLevel="1">
      <c r="C318" s="2593" t="s">
        <v>7872</v>
      </c>
      <c r="D318" s="2596">
        <v>10</v>
      </c>
      <c r="E318" s="3798" t="s">
        <v>9788</v>
      </c>
    </row>
    <row r="319" spans="2:5" ht="12.95" customHeight="1" outlineLevel="1">
      <c r="C319" s="2593" t="s">
        <v>7909</v>
      </c>
      <c r="D319" s="2596" t="s">
        <v>8378</v>
      </c>
      <c r="E319" s="3798"/>
    </row>
    <row r="320" spans="2:5" ht="12.95" customHeight="1" outlineLevel="1">
      <c r="C320" s="2593" t="s">
        <v>8281</v>
      </c>
      <c r="D320" s="2596" t="s">
        <v>8300</v>
      </c>
      <c r="E320" s="3798"/>
    </row>
    <row r="321" spans="2:5" ht="12.95" customHeight="1" outlineLevel="1">
      <c r="C321" s="2593" t="s">
        <v>8282</v>
      </c>
      <c r="D321" s="2596">
        <v>3</v>
      </c>
      <c r="E321" s="3798"/>
    </row>
    <row r="322" spans="2:5" ht="12.95" customHeight="1" outlineLevel="1">
      <c r="C322" s="2593" t="s">
        <v>8283</v>
      </c>
      <c r="D322" s="2596" t="s">
        <v>8398</v>
      </c>
      <c r="E322" s="3798"/>
    </row>
    <row r="323" spans="2:5" ht="12.95" customHeight="1" outlineLevel="1">
      <c r="C323" s="3986"/>
      <c r="D323" s="3987"/>
      <c r="E323" s="3798"/>
    </row>
    <row r="324" spans="2:5" ht="12.95" customHeight="1" outlineLevel="1">
      <c r="D324" s="526"/>
    </row>
    <row r="325" spans="2:5" ht="12.95" customHeight="1" outlineLevel="1">
      <c r="B325" s="3990" t="s">
        <v>7487</v>
      </c>
      <c r="C325" s="3990"/>
      <c r="D325" s="3991" t="s">
        <v>8438</v>
      </c>
      <c r="E325" s="3991"/>
    </row>
    <row r="326" spans="2:5" ht="12.95" customHeight="1" outlineLevel="1">
      <c r="C326" s="2593" t="s">
        <v>7826</v>
      </c>
      <c r="D326" s="2596">
        <v>6</v>
      </c>
      <c r="E326" s="3798" t="s">
        <v>8441</v>
      </c>
    </row>
    <row r="327" spans="2:5" ht="12.95" customHeight="1" outlineLevel="1">
      <c r="C327" s="3480" t="s">
        <v>7910</v>
      </c>
      <c r="D327" s="2596">
        <v>15</v>
      </c>
      <c r="E327" s="3798"/>
    </row>
    <row r="328" spans="2:5" ht="12.95" customHeight="1" outlineLevel="1">
      <c r="C328" s="3480"/>
      <c r="D328" s="2596">
        <v>30</v>
      </c>
      <c r="E328" s="3798" t="s">
        <v>8442</v>
      </c>
    </row>
    <row r="329" spans="2:5" ht="12.95" customHeight="1" outlineLevel="1">
      <c r="C329" s="2593" t="s">
        <v>7871</v>
      </c>
      <c r="D329" s="2596" t="s">
        <v>8439</v>
      </c>
      <c r="E329" s="3798"/>
    </row>
    <row r="330" spans="2:5" ht="12.95" customHeight="1" outlineLevel="1">
      <c r="C330" s="2593" t="s">
        <v>7872</v>
      </c>
      <c r="D330" s="2596" t="s">
        <v>8439</v>
      </c>
      <c r="E330" s="3798" t="s">
        <v>8443</v>
      </c>
    </row>
    <row r="331" spans="2:5" ht="12.95" customHeight="1" outlineLevel="1">
      <c r="C331" s="2593" t="s">
        <v>7909</v>
      </c>
      <c r="D331" s="2596">
        <v>120</v>
      </c>
      <c r="E331" s="3798"/>
    </row>
    <row r="332" spans="2:5" ht="12.95" customHeight="1" outlineLevel="1">
      <c r="C332" s="2593" t="s">
        <v>8281</v>
      </c>
      <c r="D332" s="2596" t="s">
        <v>8314</v>
      </c>
      <c r="E332" s="3798"/>
    </row>
    <row r="333" spans="2:5" ht="12.95" customHeight="1" outlineLevel="1">
      <c r="C333" s="2593" t="s">
        <v>8282</v>
      </c>
      <c r="D333" s="2596">
        <v>2</v>
      </c>
      <c r="E333" s="3798"/>
    </row>
    <row r="334" spans="2:5" ht="12.95" customHeight="1" outlineLevel="1">
      <c r="C334" s="2593" t="s">
        <v>8283</v>
      </c>
      <c r="D334" s="2596" t="s">
        <v>8440</v>
      </c>
      <c r="E334" s="3798"/>
    </row>
    <row r="335" spans="2:5" ht="12.95" customHeight="1" outlineLevel="1">
      <c r="C335" s="3986"/>
      <c r="D335" s="3987"/>
      <c r="E335" s="3798"/>
    </row>
    <row r="336" spans="2:5" ht="12.95" customHeight="1" outlineLevel="1">
      <c r="D336" s="526"/>
    </row>
    <row r="337" spans="2:5" ht="12.95" customHeight="1" outlineLevel="1">
      <c r="B337" s="3990" t="s">
        <v>7487</v>
      </c>
      <c r="C337" s="3990"/>
      <c r="D337" s="3991" t="s">
        <v>3523</v>
      </c>
      <c r="E337" s="3991"/>
    </row>
    <row r="338" spans="2:5" ht="12.95" customHeight="1" outlineLevel="1">
      <c r="C338" s="2599" t="s">
        <v>7826</v>
      </c>
      <c r="D338" s="2600">
        <v>7</v>
      </c>
      <c r="E338" s="3798" t="s">
        <v>8444</v>
      </c>
    </row>
    <row r="339" spans="2:5" ht="12.95" customHeight="1" outlineLevel="1">
      <c r="C339" s="3965" t="s">
        <v>7910</v>
      </c>
      <c r="D339" s="2600">
        <v>25</v>
      </c>
      <c r="E339" s="3798"/>
    </row>
    <row r="340" spans="2:5" ht="12.95" customHeight="1" outlineLevel="1">
      <c r="C340" s="3966"/>
      <c r="D340" s="2600">
        <v>50</v>
      </c>
      <c r="E340" s="3798"/>
    </row>
    <row r="341" spans="2:5" ht="12.95" customHeight="1" outlineLevel="1">
      <c r="C341" s="2599" t="s">
        <v>7871</v>
      </c>
      <c r="D341" s="2604" t="s">
        <v>8448</v>
      </c>
      <c r="E341" s="3798" t="s">
        <v>9789</v>
      </c>
    </row>
    <row r="342" spans="2:5" ht="12.95" customHeight="1" outlineLevel="1">
      <c r="C342" s="2599" t="s">
        <v>7872</v>
      </c>
      <c r="D342" s="2604" t="s">
        <v>8449</v>
      </c>
      <c r="E342" s="3798"/>
    </row>
    <row r="343" spans="2:5" ht="12.95" customHeight="1" outlineLevel="1">
      <c r="C343" s="2599" t="s">
        <v>7909</v>
      </c>
      <c r="D343" s="2604" t="s">
        <v>8387</v>
      </c>
      <c r="E343" s="3250" t="s">
        <v>8445</v>
      </c>
    </row>
    <row r="344" spans="2:5" ht="12.95" customHeight="1" outlineLevel="1">
      <c r="C344" s="2599" t="s">
        <v>8281</v>
      </c>
      <c r="D344" s="2604" t="s">
        <v>8450</v>
      </c>
      <c r="E344" s="3250"/>
    </row>
    <row r="345" spans="2:5" ht="12.95" customHeight="1" outlineLevel="1">
      <c r="C345" s="2599" t="s">
        <v>8282</v>
      </c>
      <c r="D345" s="2600">
        <v>1</v>
      </c>
      <c r="E345" s="3250"/>
    </row>
    <row r="346" spans="2:5" ht="12.95" customHeight="1" outlineLevel="1">
      <c r="C346" s="2599" t="s">
        <v>8283</v>
      </c>
      <c r="D346" s="2604" t="s">
        <v>8451</v>
      </c>
      <c r="E346" s="3250"/>
    </row>
    <row r="347" spans="2:5" ht="12.95" customHeight="1" outlineLevel="1">
      <c r="C347" s="3967" t="s">
        <v>8452</v>
      </c>
      <c r="D347" s="3968"/>
      <c r="E347" s="3250"/>
    </row>
    <row r="348" spans="2:5" ht="12.95" customHeight="1" outlineLevel="1">
      <c r="C348" s="2598"/>
      <c r="D348" s="2598"/>
      <c r="E348" s="3250"/>
    </row>
    <row r="349" spans="2:5" ht="12.95" customHeight="1" outlineLevel="1">
      <c r="E349" s="3250"/>
    </row>
    <row r="351" spans="2:5" ht="12.95" customHeight="1">
      <c r="B351" s="3988" t="s">
        <v>8459</v>
      </c>
      <c r="C351" s="3988"/>
      <c r="D351" s="3989" t="s">
        <v>8447</v>
      </c>
      <c r="E351" s="3989"/>
    </row>
    <row r="352" spans="2:5" ht="12.95" customHeight="1" outlineLevel="1">
      <c r="C352" s="2599" t="s">
        <v>7826</v>
      </c>
      <c r="D352" s="2600">
        <v>1</v>
      </c>
      <c r="E352" s="3798" t="s">
        <v>8455</v>
      </c>
    </row>
    <row r="353" spans="2:5" ht="12.95" customHeight="1" outlineLevel="1">
      <c r="C353" s="3965" t="s">
        <v>7910</v>
      </c>
      <c r="D353" s="2600">
        <v>1</v>
      </c>
      <c r="E353" s="3798"/>
    </row>
    <row r="354" spans="2:5" ht="12.95" customHeight="1" outlineLevel="1">
      <c r="C354" s="3966"/>
      <c r="D354" s="2600">
        <v>2</v>
      </c>
      <c r="E354" s="3798" t="s">
        <v>8457</v>
      </c>
    </row>
    <row r="355" spans="2:5" ht="12.95" customHeight="1" outlineLevel="1">
      <c r="C355" s="2599" t="s">
        <v>7871</v>
      </c>
      <c r="D355" s="2604" t="s">
        <v>8453</v>
      </c>
      <c r="E355" s="3798"/>
    </row>
    <row r="356" spans="2:5" ht="12.95" customHeight="1" outlineLevel="1">
      <c r="C356" s="2599" t="s">
        <v>7872</v>
      </c>
      <c r="D356" s="2604" t="s">
        <v>8358</v>
      </c>
      <c r="E356" s="3798" t="s">
        <v>8458</v>
      </c>
    </row>
    <row r="357" spans="2:5" ht="12.95" customHeight="1" outlineLevel="1">
      <c r="C357" s="2599" t="s">
        <v>7909</v>
      </c>
      <c r="D357" s="2600">
        <v>4</v>
      </c>
      <c r="E357" s="3798"/>
    </row>
    <row r="358" spans="2:5" ht="12.95" customHeight="1" outlineLevel="1">
      <c r="C358" s="2599" t="s">
        <v>8281</v>
      </c>
      <c r="D358" s="2604" t="s">
        <v>8308</v>
      </c>
      <c r="E358" s="3798"/>
    </row>
    <row r="359" spans="2:5" ht="12.95" customHeight="1" outlineLevel="1">
      <c r="C359" s="2599" t="s">
        <v>8282</v>
      </c>
      <c r="D359" s="2600">
        <v>15</v>
      </c>
      <c r="E359" s="3798"/>
    </row>
    <row r="360" spans="2:5" ht="12.95" customHeight="1" outlineLevel="1">
      <c r="C360" s="2593" t="s">
        <v>8283</v>
      </c>
      <c r="D360" s="2604" t="s">
        <v>8454</v>
      </c>
      <c r="E360" s="3798"/>
    </row>
    <row r="361" spans="2:5" ht="12.95" customHeight="1" outlineLevel="1">
      <c r="C361" s="3986"/>
      <c r="D361" s="3987"/>
      <c r="E361" s="3798"/>
    </row>
    <row r="362" spans="2:5" ht="12.95" customHeight="1" outlineLevel="1"/>
    <row r="363" spans="2:5" ht="12.95" customHeight="1" outlineLevel="1">
      <c r="B363" s="3988" t="s">
        <v>8459</v>
      </c>
      <c r="C363" s="3988"/>
      <c r="D363" s="3989" t="s">
        <v>8460</v>
      </c>
      <c r="E363" s="3989"/>
    </row>
    <row r="364" spans="2:5" ht="12.95" customHeight="1" outlineLevel="1">
      <c r="C364" s="2602" t="s">
        <v>7826</v>
      </c>
      <c r="D364" s="2604">
        <v>2</v>
      </c>
      <c r="E364" s="3798" t="s">
        <v>8462</v>
      </c>
    </row>
    <row r="365" spans="2:5" ht="12.95" customHeight="1" outlineLevel="1">
      <c r="C365" s="3965" t="s">
        <v>7910</v>
      </c>
      <c r="D365" s="2604">
        <v>2</v>
      </c>
      <c r="E365" s="3798"/>
    </row>
    <row r="366" spans="2:5" ht="12.95" customHeight="1" outlineLevel="1">
      <c r="C366" s="3966"/>
      <c r="D366" s="2604">
        <v>4</v>
      </c>
      <c r="E366" s="2601" t="s">
        <v>8463</v>
      </c>
    </row>
    <row r="367" spans="2:5" ht="12.95" customHeight="1" outlineLevel="1">
      <c r="C367" s="2602" t="s">
        <v>7871</v>
      </c>
      <c r="D367" s="2604" t="s">
        <v>8300</v>
      </c>
      <c r="E367" s="3798" t="s">
        <v>8464</v>
      </c>
    </row>
    <row r="368" spans="2:5" ht="12.95" customHeight="1" outlineLevel="1">
      <c r="C368" s="2602" t="s">
        <v>7872</v>
      </c>
      <c r="D368" s="2604">
        <v>4</v>
      </c>
      <c r="E368" s="3798"/>
    </row>
    <row r="369" spans="2:5" ht="12.95" customHeight="1" outlineLevel="1">
      <c r="C369" s="2602" t="s">
        <v>7909</v>
      </c>
      <c r="D369" s="2604">
        <v>13</v>
      </c>
      <c r="E369" s="3798"/>
    </row>
    <row r="370" spans="2:5" ht="12.95" customHeight="1" outlineLevel="1">
      <c r="C370" s="2602" t="s">
        <v>8281</v>
      </c>
      <c r="D370" s="2604" t="s">
        <v>8287</v>
      </c>
      <c r="E370" s="3798"/>
    </row>
    <row r="371" spans="2:5" ht="12.95" customHeight="1" outlineLevel="1">
      <c r="C371" s="2602" t="s">
        <v>8282</v>
      </c>
      <c r="D371" s="2604">
        <v>8</v>
      </c>
      <c r="E371" s="3798"/>
    </row>
    <row r="372" spans="2:5" ht="12.95" customHeight="1" outlineLevel="1">
      <c r="C372" s="2602" t="s">
        <v>8283</v>
      </c>
      <c r="D372" s="2604" t="s">
        <v>8461</v>
      </c>
      <c r="E372" s="3798"/>
    </row>
    <row r="373" spans="2:5" ht="12.95" customHeight="1" outlineLevel="1">
      <c r="C373" s="3986"/>
      <c r="D373" s="3987"/>
      <c r="E373" s="3798"/>
    </row>
    <row r="374" spans="2:5" ht="12.95" customHeight="1" outlineLevel="1"/>
    <row r="375" spans="2:5" s="2601" customFormat="1" ht="12.95" customHeight="1" outlineLevel="1">
      <c r="B375" s="3988" t="s">
        <v>8459</v>
      </c>
      <c r="C375" s="3988"/>
      <c r="D375" s="3989" t="s">
        <v>8465</v>
      </c>
      <c r="E375" s="3989"/>
    </row>
    <row r="376" spans="2:5" s="2601" customFormat="1" ht="12.95" customHeight="1" outlineLevel="1">
      <c r="C376" s="2602" t="s">
        <v>7826</v>
      </c>
      <c r="D376" s="2604">
        <v>3</v>
      </c>
      <c r="E376" s="3798" t="s">
        <v>9790</v>
      </c>
    </row>
    <row r="377" spans="2:5" s="2601" customFormat="1" ht="12.95" customHeight="1" outlineLevel="1">
      <c r="C377" s="3965" t="s">
        <v>7910</v>
      </c>
      <c r="D377" s="2604">
        <v>2</v>
      </c>
      <c r="E377" s="3798"/>
    </row>
    <row r="378" spans="2:5" s="2601" customFormat="1" ht="12.95" customHeight="1" outlineLevel="1">
      <c r="C378" s="3966"/>
      <c r="D378" s="2604">
        <v>7</v>
      </c>
      <c r="E378" s="3798"/>
    </row>
    <row r="379" spans="2:5" s="2601" customFormat="1" ht="12.95" customHeight="1" outlineLevel="1">
      <c r="C379" s="2602" t="s">
        <v>7871</v>
      </c>
      <c r="D379" s="2604">
        <v>10</v>
      </c>
      <c r="E379" s="3798" t="s">
        <v>8467</v>
      </c>
    </row>
    <row r="380" spans="2:5" s="2601" customFormat="1" ht="12.95" customHeight="1" outlineLevel="1">
      <c r="C380" s="2602" t="s">
        <v>7872</v>
      </c>
      <c r="D380" s="2604" t="s">
        <v>8328</v>
      </c>
      <c r="E380" s="3798"/>
    </row>
    <row r="381" spans="2:5" s="2601" customFormat="1" ht="12.95" customHeight="1" outlineLevel="1">
      <c r="C381" s="2602" t="s">
        <v>7909</v>
      </c>
      <c r="D381" s="2604">
        <v>25</v>
      </c>
      <c r="E381" s="3798" t="s">
        <v>8468</v>
      </c>
    </row>
    <row r="382" spans="2:5" s="2601" customFormat="1" ht="12.95" customHeight="1" outlineLevel="1">
      <c r="C382" s="2602" t="s">
        <v>8281</v>
      </c>
      <c r="D382" s="2604" t="s">
        <v>8466</v>
      </c>
      <c r="E382" s="3798"/>
    </row>
    <row r="383" spans="2:5" s="2601" customFormat="1" ht="12.95" customHeight="1" outlineLevel="1">
      <c r="C383" s="2602" t="s">
        <v>8282</v>
      </c>
      <c r="D383" s="2604">
        <v>5</v>
      </c>
      <c r="E383" s="3798"/>
    </row>
    <row r="384" spans="2:5" s="2601" customFormat="1" ht="12.95" customHeight="1" outlineLevel="1">
      <c r="C384" s="2602" t="s">
        <v>8283</v>
      </c>
      <c r="D384" s="2604" t="s">
        <v>8319</v>
      </c>
      <c r="E384" s="3798"/>
    </row>
    <row r="385" spans="2:5" s="2601" customFormat="1" ht="12.95" customHeight="1" outlineLevel="1">
      <c r="C385" s="3986"/>
      <c r="D385" s="3987"/>
      <c r="E385" s="3798"/>
    </row>
    <row r="386" spans="2:5" s="2601" customFormat="1" ht="12.95" customHeight="1" outlineLevel="1"/>
    <row r="387" spans="2:5" s="2601" customFormat="1" ht="12.95" customHeight="1" outlineLevel="1">
      <c r="B387" s="3988" t="s">
        <v>8459</v>
      </c>
      <c r="C387" s="3988"/>
      <c r="D387" s="3989" t="s">
        <v>8469</v>
      </c>
      <c r="E387" s="3989"/>
    </row>
    <row r="388" spans="2:5" s="2601" customFormat="1" ht="12.95" customHeight="1" outlineLevel="1">
      <c r="C388" s="2602" t="s">
        <v>7826</v>
      </c>
      <c r="D388" s="2604">
        <v>4</v>
      </c>
      <c r="E388" s="3798" t="s">
        <v>8472</v>
      </c>
    </row>
    <row r="389" spans="2:5" ht="12.95" customHeight="1" outlineLevel="1">
      <c r="B389" s="2601"/>
      <c r="C389" s="3965" t="s">
        <v>7910</v>
      </c>
      <c r="D389" s="2604">
        <v>7</v>
      </c>
      <c r="E389" s="3798"/>
    </row>
    <row r="390" spans="2:5" ht="12.95" customHeight="1" outlineLevel="1">
      <c r="C390" s="3966"/>
      <c r="D390" s="2604">
        <v>9</v>
      </c>
      <c r="E390" s="2601" t="s">
        <v>8330</v>
      </c>
    </row>
    <row r="391" spans="2:5" ht="12.95" customHeight="1" outlineLevel="1">
      <c r="C391" s="2602" t="s">
        <v>7871</v>
      </c>
      <c r="D391" s="2604">
        <v>10</v>
      </c>
      <c r="E391" s="3798" t="s">
        <v>8473</v>
      </c>
    </row>
    <row r="392" spans="2:5" ht="12.95" customHeight="1" outlineLevel="1">
      <c r="C392" s="2602" t="s">
        <v>7872</v>
      </c>
      <c r="D392" s="2604">
        <v>10</v>
      </c>
      <c r="E392" s="3798"/>
    </row>
    <row r="393" spans="2:5" ht="12.95" customHeight="1" outlineLevel="1">
      <c r="C393" s="2602" t="s">
        <v>7909</v>
      </c>
      <c r="D393" s="2604" t="s">
        <v>8470</v>
      </c>
      <c r="E393" s="3798"/>
    </row>
    <row r="394" spans="2:5" ht="12.95" customHeight="1" outlineLevel="1">
      <c r="C394" s="2602" t="s">
        <v>8281</v>
      </c>
      <c r="D394" s="2604" t="s">
        <v>8303</v>
      </c>
      <c r="E394" s="3798"/>
    </row>
    <row r="395" spans="2:5" ht="12.95" customHeight="1" outlineLevel="1">
      <c r="C395" s="2602" t="s">
        <v>8282</v>
      </c>
      <c r="D395" s="2604">
        <v>4</v>
      </c>
      <c r="E395" s="3798"/>
    </row>
    <row r="396" spans="2:5" ht="12.95" customHeight="1" outlineLevel="1">
      <c r="C396" s="2602" t="s">
        <v>8283</v>
      </c>
      <c r="D396" s="2604" t="s">
        <v>8471</v>
      </c>
      <c r="E396" s="3798"/>
    </row>
    <row r="397" spans="2:5" ht="12.95" customHeight="1" outlineLevel="1">
      <c r="C397" s="3986"/>
      <c r="D397" s="3987"/>
      <c r="E397" s="3798"/>
    </row>
    <row r="398" spans="2:5" ht="12.95" customHeight="1" outlineLevel="1"/>
    <row r="399" spans="2:5" ht="12.95" customHeight="1" outlineLevel="1">
      <c r="B399" s="3988" t="s">
        <v>8459</v>
      </c>
      <c r="C399" s="3988"/>
      <c r="D399" s="3989" t="s">
        <v>8474</v>
      </c>
      <c r="E399" s="3989"/>
    </row>
    <row r="400" spans="2:5" ht="12.95" customHeight="1" outlineLevel="1">
      <c r="C400" s="2602" t="s">
        <v>7826</v>
      </c>
      <c r="D400" s="2604">
        <v>5</v>
      </c>
      <c r="E400" s="3798" t="s">
        <v>8476</v>
      </c>
    </row>
    <row r="401" spans="2:5" ht="12.95" customHeight="1" outlineLevel="1">
      <c r="C401" s="3965" t="s">
        <v>7910</v>
      </c>
      <c r="D401" s="2604">
        <v>13</v>
      </c>
      <c r="E401" s="3798"/>
    </row>
    <row r="402" spans="2:5" ht="12.95" customHeight="1" outlineLevel="1">
      <c r="C402" s="3966"/>
      <c r="D402" s="2604">
        <v>17</v>
      </c>
      <c r="E402" s="3798"/>
    </row>
    <row r="403" spans="2:5" ht="12.95" customHeight="1" outlineLevel="1">
      <c r="C403" s="2602" t="s">
        <v>7871</v>
      </c>
      <c r="D403" s="2604">
        <v>13</v>
      </c>
      <c r="E403" s="3798" t="s">
        <v>8477</v>
      </c>
    </row>
    <row r="404" spans="2:5" ht="12.95" customHeight="1" outlineLevel="1">
      <c r="C404" s="2602" t="s">
        <v>7872</v>
      </c>
      <c r="D404" s="2604">
        <v>13</v>
      </c>
      <c r="E404" s="3798"/>
    </row>
    <row r="405" spans="2:5" ht="12.95" customHeight="1" outlineLevel="1">
      <c r="C405" s="2602" t="s">
        <v>7909</v>
      </c>
      <c r="D405" s="2604">
        <v>45</v>
      </c>
      <c r="E405" s="3798"/>
    </row>
    <row r="406" spans="2:5" ht="12.95" customHeight="1" outlineLevel="1">
      <c r="C406" s="2602" t="s">
        <v>8281</v>
      </c>
      <c r="D406" s="2604" t="s">
        <v>8300</v>
      </c>
      <c r="E406" s="3798" t="s">
        <v>8478</v>
      </c>
    </row>
    <row r="407" spans="2:5" ht="12.95" customHeight="1" outlineLevel="1">
      <c r="C407" s="2602" t="s">
        <v>8282</v>
      </c>
      <c r="D407" s="2604">
        <v>3</v>
      </c>
      <c r="E407" s="3798"/>
    </row>
    <row r="408" spans="2:5" ht="12.95" customHeight="1" outlineLevel="1">
      <c r="C408" s="2602" t="s">
        <v>8283</v>
      </c>
      <c r="D408" s="2604" t="s">
        <v>8475</v>
      </c>
      <c r="E408" s="3798"/>
    </row>
    <row r="409" spans="2:5" ht="12.95" customHeight="1" outlineLevel="1">
      <c r="C409" s="3986"/>
      <c r="D409" s="3987"/>
      <c r="E409" s="3798"/>
    </row>
    <row r="410" spans="2:5" ht="12.95" customHeight="1" outlineLevel="1"/>
    <row r="411" spans="2:5" ht="12.95" customHeight="1" outlineLevel="1">
      <c r="B411" s="3988" t="s">
        <v>8459</v>
      </c>
      <c r="C411" s="3988"/>
      <c r="D411" s="3989" t="s">
        <v>8479</v>
      </c>
      <c r="E411" s="3989"/>
    </row>
    <row r="412" spans="2:5" ht="12.95" customHeight="1" outlineLevel="1">
      <c r="C412" s="2602" t="s">
        <v>7826</v>
      </c>
      <c r="D412" s="2604">
        <v>6</v>
      </c>
      <c r="E412" s="3798" t="s">
        <v>8483</v>
      </c>
    </row>
    <row r="413" spans="2:5" ht="12.95" customHeight="1" outlineLevel="1">
      <c r="C413" s="3965" t="s">
        <v>7910</v>
      </c>
      <c r="D413" s="2604">
        <v>16</v>
      </c>
      <c r="E413" s="3798"/>
    </row>
    <row r="414" spans="2:5" ht="12.95" customHeight="1" outlineLevel="1">
      <c r="C414" s="3966"/>
      <c r="D414" s="2604">
        <v>24</v>
      </c>
      <c r="E414" s="3798" t="s">
        <v>8484</v>
      </c>
    </row>
    <row r="415" spans="2:5" ht="12.95" customHeight="1" outlineLevel="1">
      <c r="C415" s="2602" t="s">
        <v>7871</v>
      </c>
      <c r="D415" s="2604">
        <v>16</v>
      </c>
      <c r="E415" s="3798"/>
    </row>
    <row r="416" spans="2:5" ht="12.95" customHeight="1" outlineLevel="1">
      <c r="C416" s="2602" t="s">
        <v>7872</v>
      </c>
      <c r="D416" s="2604" t="s">
        <v>8480</v>
      </c>
      <c r="E416" s="3798"/>
    </row>
    <row r="417" spans="2:5" ht="12.95" customHeight="1" outlineLevel="1">
      <c r="C417" s="2602" t="s">
        <v>7909</v>
      </c>
      <c r="D417" s="2604">
        <v>90</v>
      </c>
      <c r="E417" s="3798" t="s">
        <v>9791</v>
      </c>
    </row>
    <row r="418" spans="2:5" ht="12.95" customHeight="1" outlineLevel="1">
      <c r="C418" s="2602" t="s">
        <v>8281</v>
      </c>
      <c r="D418" s="2604" t="s">
        <v>8481</v>
      </c>
      <c r="E418" s="3798"/>
    </row>
    <row r="419" spans="2:5" ht="12.95" customHeight="1" outlineLevel="1">
      <c r="C419" s="2602" t="s">
        <v>8282</v>
      </c>
      <c r="D419" s="2604">
        <v>2</v>
      </c>
      <c r="E419" s="3798"/>
    </row>
    <row r="420" spans="2:5" ht="12.95" customHeight="1" outlineLevel="1">
      <c r="C420" s="2602" t="s">
        <v>8283</v>
      </c>
      <c r="D420" s="2604" t="s">
        <v>8482</v>
      </c>
      <c r="E420" s="3798"/>
    </row>
    <row r="421" spans="2:5" ht="12.95" customHeight="1" outlineLevel="1">
      <c r="C421" s="3986"/>
      <c r="D421" s="3987"/>
      <c r="E421" s="3798"/>
    </row>
    <row r="422" spans="2:5" ht="12.95" customHeight="1" outlineLevel="1"/>
    <row r="423" spans="2:5" ht="12.95" customHeight="1" outlineLevel="1">
      <c r="B423" s="3988" t="s">
        <v>8459</v>
      </c>
      <c r="C423" s="3988"/>
      <c r="D423" s="3989" t="s">
        <v>8479</v>
      </c>
      <c r="E423" s="3989"/>
    </row>
    <row r="424" spans="2:5" ht="12.95" customHeight="1" outlineLevel="1">
      <c r="C424" s="2602" t="s">
        <v>7826</v>
      </c>
      <c r="D424" s="2604">
        <v>7</v>
      </c>
      <c r="E424" s="3798" t="s">
        <v>9792</v>
      </c>
    </row>
    <row r="425" spans="2:5" ht="12.95" customHeight="1" outlineLevel="1">
      <c r="C425" s="3965" t="s">
        <v>7910</v>
      </c>
      <c r="D425" s="2604">
        <v>30</v>
      </c>
      <c r="E425" s="3798"/>
    </row>
    <row r="426" spans="2:5" ht="12.95" customHeight="1" outlineLevel="1">
      <c r="C426" s="3966"/>
      <c r="D426" s="2604">
        <v>40</v>
      </c>
      <c r="E426" s="3798" t="s">
        <v>8491</v>
      </c>
    </row>
    <row r="427" spans="2:5" ht="12.95" customHeight="1" outlineLevel="1">
      <c r="C427" s="2602" t="s">
        <v>7871</v>
      </c>
      <c r="D427" s="2604" t="s">
        <v>8485</v>
      </c>
      <c r="E427" s="3798"/>
    </row>
    <row r="428" spans="2:5" ht="12.95" customHeight="1" outlineLevel="1">
      <c r="C428" s="2602" t="s">
        <v>7872</v>
      </c>
      <c r="D428" s="2604" t="s">
        <v>8486</v>
      </c>
      <c r="E428" s="3798" t="s">
        <v>8492</v>
      </c>
    </row>
    <row r="429" spans="2:5" ht="12.95" customHeight="1" outlineLevel="1">
      <c r="C429" s="2602" t="s">
        <v>7909</v>
      </c>
      <c r="D429" s="2604" t="s">
        <v>8487</v>
      </c>
      <c r="E429" s="3798"/>
    </row>
    <row r="430" spans="2:5" ht="12.95" customHeight="1" outlineLevel="1">
      <c r="C430" s="2602" t="s">
        <v>8281</v>
      </c>
      <c r="D430" s="2604" t="s">
        <v>8488</v>
      </c>
      <c r="E430" s="3798"/>
    </row>
    <row r="431" spans="2:5" ht="12.95" customHeight="1" outlineLevel="1">
      <c r="C431" s="2602" t="s">
        <v>8282</v>
      </c>
      <c r="D431" s="2604">
        <v>1</v>
      </c>
      <c r="E431" s="3798"/>
    </row>
    <row r="432" spans="2:5" ht="12.95" customHeight="1" outlineLevel="1">
      <c r="C432" s="2602" t="s">
        <v>8283</v>
      </c>
      <c r="D432" s="2604" t="s">
        <v>8489</v>
      </c>
      <c r="E432" s="3798"/>
    </row>
    <row r="433" spans="2:5" ht="12.95" customHeight="1" outlineLevel="1">
      <c r="C433" s="3967" t="s">
        <v>8490</v>
      </c>
      <c r="D433" s="3968"/>
      <c r="E433" s="3798"/>
    </row>
    <row r="435" spans="2:5" ht="12.95" customHeight="1">
      <c r="B435" s="3980" t="s">
        <v>7492</v>
      </c>
      <c r="C435" s="3980"/>
      <c r="D435" s="3981" t="s">
        <v>8493</v>
      </c>
      <c r="E435" s="3981"/>
    </row>
    <row r="436" spans="2:5" ht="12.95" customHeight="1" outlineLevel="1">
      <c r="C436" s="2602" t="s">
        <v>7826</v>
      </c>
      <c r="D436" s="2604">
        <v>1</v>
      </c>
      <c r="E436" s="3798" t="s">
        <v>9793</v>
      </c>
    </row>
    <row r="437" spans="2:5" ht="12.95" customHeight="1" outlineLevel="1">
      <c r="C437" s="3965" t="s">
        <v>7910</v>
      </c>
      <c r="D437" s="2604">
        <v>1</v>
      </c>
      <c r="E437" s="3798"/>
    </row>
    <row r="438" spans="2:5" ht="12.95" customHeight="1" outlineLevel="1">
      <c r="C438" s="3966"/>
      <c r="D438" s="2604">
        <v>3</v>
      </c>
      <c r="E438" s="2601" t="s">
        <v>8495</v>
      </c>
    </row>
    <row r="439" spans="2:5" ht="12.95" customHeight="1" outlineLevel="1">
      <c r="C439" s="2602" t="s">
        <v>7871</v>
      </c>
      <c r="D439" s="2604" t="s">
        <v>8288</v>
      </c>
      <c r="E439" s="3798" t="s">
        <v>10121</v>
      </c>
    </row>
    <row r="440" spans="2:5" ht="12.95" customHeight="1" outlineLevel="1">
      <c r="C440" s="2602" t="s">
        <v>7872</v>
      </c>
      <c r="D440" s="2604" t="s">
        <v>8358</v>
      </c>
      <c r="E440" s="3798"/>
    </row>
    <row r="441" spans="2:5" ht="12.95" customHeight="1" outlineLevel="1">
      <c r="C441" s="2602" t="s">
        <v>7909</v>
      </c>
      <c r="D441" s="2604" t="s">
        <v>8303</v>
      </c>
      <c r="E441" s="3798"/>
    </row>
    <row r="442" spans="2:5" ht="12.95" customHeight="1" outlineLevel="1">
      <c r="C442" s="2602" t="s">
        <v>8281</v>
      </c>
      <c r="D442" s="2604" t="s">
        <v>8288</v>
      </c>
      <c r="E442" s="3798"/>
    </row>
    <row r="443" spans="2:5" ht="12.95" customHeight="1" outlineLevel="1">
      <c r="C443" s="2602" t="s">
        <v>8282</v>
      </c>
      <c r="D443" s="2604">
        <v>14</v>
      </c>
      <c r="E443" s="3798"/>
    </row>
    <row r="444" spans="2:5" ht="12.95" customHeight="1" outlineLevel="1">
      <c r="C444" s="2602" t="s">
        <v>8283</v>
      </c>
      <c r="D444" s="2604" t="s">
        <v>8494</v>
      </c>
      <c r="E444" s="3798"/>
    </row>
    <row r="445" spans="2:5" ht="12.95" customHeight="1" outlineLevel="1">
      <c r="C445" s="3976"/>
      <c r="D445" s="3977"/>
      <c r="E445" s="3798"/>
    </row>
    <row r="446" spans="2:5" ht="12.95" customHeight="1" outlineLevel="1"/>
    <row r="447" spans="2:5" ht="12.95" customHeight="1" outlineLevel="1">
      <c r="B447" s="3980" t="s">
        <v>7492</v>
      </c>
      <c r="C447" s="3980"/>
      <c r="D447" s="3981" t="s">
        <v>8496</v>
      </c>
      <c r="E447" s="3981"/>
    </row>
    <row r="448" spans="2:5" ht="12.95" customHeight="1" outlineLevel="1">
      <c r="C448" s="2602" t="s">
        <v>7826</v>
      </c>
      <c r="D448" s="2604">
        <v>2</v>
      </c>
      <c r="E448" s="3798" t="s">
        <v>8498</v>
      </c>
    </row>
    <row r="449" spans="2:5" ht="12.95" customHeight="1" outlineLevel="1">
      <c r="C449" s="3965" t="s">
        <v>7910</v>
      </c>
      <c r="D449" s="2604">
        <v>1</v>
      </c>
      <c r="E449" s="3798"/>
    </row>
    <row r="450" spans="2:5" ht="12.95" customHeight="1" outlineLevel="1">
      <c r="C450" s="3966"/>
      <c r="D450" s="2604">
        <v>4</v>
      </c>
      <c r="E450" s="2601" t="s">
        <v>8499</v>
      </c>
    </row>
    <row r="451" spans="2:5" ht="12.95" customHeight="1" outlineLevel="1">
      <c r="C451" s="2602" t="s">
        <v>7871</v>
      </c>
      <c r="D451" s="2604" t="s">
        <v>8303</v>
      </c>
      <c r="E451" s="3798" t="s">
        <v>8500</v>
      </c>
    </row>
    <row r="452" spans="2:5" ht="12.95" customHeight="1" outlineLevel="1">
      <c r="C452" s="2602" t="s">
        <v>7872</v>
      </c>
      <c r="D452" s="2604">
        <v>6</v>
      </c>
      <c r="E452" s="3798"/>
    </row>
    <row r="453" spans="2:5" ht="12.95" customHeight="1" outlineLevel="1">
      <c r="C453" s="2602" t="s">
        <v>7909</v>
      </c>
      <c r="D453" s="2604">
        <v>14</v>
      </c>
      <c r="E453" s="3798"/>
    </row>
    <row r="454" spans="2:5" ht="12.95" customHeight="1" outlineLevel="1">
      <c r="C454" s="2602" t="s">
        <v>8281</v>
      </c>
      <c r="D454" s="2604" t="s">
        <v>8296</v>
      </c>
      <c r="E454" s="3798"/>
    </row>
    <row r="455" spans="2:5" ht="12.95" customHeight="1" outlineLevel="1">
      <c r="C455" s="2602" t="s">
        <v>8282</v>
      </c>
      <c r="D455" s="2604">
        <v>8</v>
      </c>
      <c r="E455" s="3798"/>
    </row>
    <row r="456" spans="2:5" ht="12.95" customHeight="1" outlineLevel="1">
      <c r="C456" s="2602" t="s">
        <v>8283</v>
      </c>
      <c r="D456" s="2604" t="s">
        <v>8497</v>
      </c>
      <c r="E456" s="3798"/>
    </row>
    <row r="457" spans="2:5" ht="12.95" customHeight="1" outlineLevel="1">
      <c r="C457" s="3976"/>
      <c r="D457" s="3977"/>
      <c r="E457" s="3798"/>
    </row>
    <row r="458" spans="2:5" ht="12.95" customHeight="1" outlineLevel="1"/>
    <row r="459" spans="2:5" ht="12.95" customHeight="1" outlineLevel="1">
      <c r="B459" s="3980" t="s">
        <v>7492</v>
      </c>
      <c r="C459" s="3980"/>
      <c r="D459" s="3981" t="s">
        <v>8501</v>
      </c>
      <c r="E459" s="3981"/>
    </row>
    <row r="460" spans="2:5" ht="12.95" customHeight="1" outlineLevel="1">
      <c r="C460" s="2602" t="s">
        <v>7826</v>
      </c>
      <c r="D460" s="2604">
        <v>3</v>
      </c>
      <c r="E460" s="3798" t="s">
        <v>8505</v>
      </c>
    </row>
    <row r="461" spans="2:5" ht="12.95" customHeight="1" outlineLevel="1">
      <c r="C461" s="3965" t="s">
        <v>7910</v>
      </c>
      <c r="D461" s="2604">
        <v>3</v>
      </c>
      <c r="E461" s="3798"/>
    </row>
    <row r="462" spans="2:5" ht="12.95" customHeight="1" outlineLevel="1">
      <c r="C462" s="3966"/>
      <c r="D462" s="2604">
        <v>5</v>
      </c>
      <c r="E462" s="2601" t="s">
        <v>8503</v>
      </c>
    </row>
    <row r="463" spans="2:5" ht="12.95" customHeight="1" outlineLevel="1">
      <c r="C463" s="2602" t="s">
        <v>7871</v>
      </c>
      <c r="D463" s="2604" t="s">
        <v>8430</v>
      </c>
      <c r="E463" s="3798" t="s">
        <v>8504</v>
      </c>
    </row>
    <row r="464" spans="2:5" ht="12.95" customHeight="1" outlineLevel="1">
      <c r="C464" s="2602" t="s">
        <v>7872</v>
      </c>
      <c r="D464" s="2604" t="s">
        <v>8466</v>
      </c>
      <c r="E464" s="3798"/>
    </row>
    <row r="465" spans="2:5" ht="12.95" customHeight="1" outlineLevel="1">
      <c r="C465" s="2602" t="s">
        <v>7909</v>
      </c>
      <c r="D465" s="2604">
        <v>22</v>
      </c>
      <c r="E465" s="3798"/>
    </row>
    <row r="466" spans="2:5" ht="12.95" customHeight="1" outlineLevel="1">
      <c r="C466" s="2602" t="s">
        <v>8281</v>
      </c>
      <c r="D466" s="2604" t="s">
        <v>8308</v>
      </c>
      <c r="E466" s="3798"/>
    </row>
    <row r="467" spans="2:5" ht="12.95" customHeight="1" outlineLevel="1">
      <c r="C467" s="2602" t="s">
        <v>8282</v>
      </c>
      <c r="D467" s="2604">
        <v>7</v>
      </c>
      <c r="E467" s="3798"/>
    </row>
    <row r="468" spans="2:5" ht="12.95" customHeight="1" outlineLevel="1">
      <c r="C468" s="2602" t="s">
        <v>8283</v>
      </c>
      <c r="D468" s="2604" t="s">
        <v>8502</v>
      </c>
      <c r="E468" s="3798"/>
    </row>
    <row r="469" spans="2:5" ht="12.95" customHeight="1" outlineLevel="1">
      <c r="C469" s="3976"/>
      <c r="D469" s="3977"/>
      <c r="E469" s="3798"/>
    </row>
    <row r="470" spans="2:5" ht="12.95" customHeight="1" outlineLevel="1"/>
    <row r="471" spans="2:5" ht="12.95" customHeight="1" outlineLevel="1">
      <c r="B471" s="3980" t="s">
        <v>7492</v>
      </c>
      <c r="C471" s="3980"/>
      <c r="D471" s="3981" t="s">
        <v>8506</v>
      </c>
      <c r="E471" s="3981"/>
    </row>
    <row r="472" spans="2:5" ht="12.95" customHeight="1" outlineLevel="1">
      <c r="C472" s="2602" t="s">
        <v>7826</v>
      </c>
      <c r="D472" s="2604">
        <v>4</v>
      </c>
      <c r="E472" s="3798" t="s">
        <v>8509</v>
      </c>
    </row>
    <row r="473" spans="2:5" ht="12.95" customHeight="1" outlineLevel="1">
      <c r="C473" s="3965" t="s">
        <v>7910</v>
      </c>
      <c r="D473" s="2604">
        <v>6</v>
      </c>
      <c r="E473" s="3798"/>
    </row>
    <row r="474" spans="2:5" ht="12.95" customHeight="1" outlineLevel="1">
      <c r="C474" s="3966"/>
      <c r="D474" s="2604">
        <v>8</v>
      </c>
      <c r="E474" s="3798" t="s">
        <v>8508</v>
      </c>
    </row>
    <row r="475" spans="2:5" ht="12.95" customHeight="1" outlineLevel="1">
      <c r="C475" s="2602" t="s">
        <v>7871</v>
      </c>
      <c r="D475" s="2604" t="s">
        <v>8430</v>
      </c>
      <c r="E475" s="3798"/>
    </row>
    <row r="476" spans="2:5" ht="12.95" customHeight="1" outlineLevel="1">
      <c r="C476" s="2602" t="s">
        <v>7872</v>
      </c>
      <c r="D476" s="2604" t="s">
        <v>8430</v>
      </c>
      <c r="E476" s="3798"/>
    </row>
    <row r="477" spans="2:5" ht="12.95" customHeight="1" outlineLevel="1">
      <c r="C477" s="2602" t="s">
        <v>7909</v>
      </c>
      <c r="D477" s="2604" t="s">
        <v>8393</v>
      </c>
      <c r="E477" s="3798" t="s">
        <v>8510</v>
      </c>
    </row>
    <row r="478" spans="2:5" ht="12.95" customHeight="1" outlineLevel="1">
      <c r="C478" s="2602" t="s">
        <v>8281</v>
      </c>
      <c r="D478" s="2604" t="s">
        <v>8303</v>
      </c>
      <c r="E478" s="3798"/>
    </row>
    <row r="479" spans="2:5" ht="12.95" customHeight="1" outlineLevel="1">
      <c r="C479" s="2602" t="s">
        <v>8282</v>
      </c>
      <c r="D479" s="2604">
        <v>4</v>
      </c>
      <c r="E479" s="3798"/>
    </row>
    <row r="480" spans="2:5" ht="12.95" customHeight="1" outlineLevel="1">
      <c r="C480" s="2602" t="s">
        <v>8283</v>
      </c>
      <c r="D480" s="2604" t="s">
        <v>8507</v>
      </c>
      <c r="E480" s="3798"/>
    </row>
    <row r="481" spans="2:5" ht="12.95" customHeight="1" outlineLevel="1">
      <c r="C481" s="3976"/>
      <c r="D481" s="3977"/>
      <c r="E481" s="3798"/>
    </row>
    <row r="482" spans="2:5" ht="12.95" customHeight="1" outlineLevel="1"/>
    <row r="483" spans="2:5" ht="12.95" customHeight="1" outlineLevel="1">
      <c r="B483" s="3980" t="s">
        <v>7492</v>
      </c>
      <c r="C483" s="3980"/>
      <c r="D483" s="3981" t="s">
        <v>8511</v>
      </c>
      <c r="E483" s="3981"/>
    </row>
    <row r="484" spans="2:5" ht="12.95" customHeight="1" outlineLevel="1">
      <c r="C484" s="2602" t="s">
        <v>7826</v>
      </c>
      <c r="D484" s="2604">
        <v>5</v>
      </c>
      <c r="E484" s="3798" t="s">
        <v>8515</v>
      </c>
    </row>
    <row r="485" spans="2:5" ht="12.95" customHeight="1" outlineLevel="1">
      <c r="C485" s="3965" t="s">
        <v>7910</v>
      </c>
      <c r="D485" s="2604">
        <v>12</v>
      </c>
      <c r="E485" s="3798"/>
    </row>
    <row r="486" spans="2:5" ht="12.95" customHeight="1" outlineLevel="1">
      <c r="C486" s="3966"/>
      <c r="D486" s="2604">
        <v>20</v>
      </c>
      <c r="E486" s="2601" t="s">
        <v>8516</v>
      </c>
    </row>
    <row r="487" spans="2:5" ht="12.95" customHeight="1" outlineLevel="1">
      <c r="C487" s="2602" t="s">
        <v>7871</v>
      </c>
      <c r="D487" s="2604" t="s">
        <v>8512</v>
      </c>
      <c r="E487" s="3798" t="s">
        <v>8517</v>
      </c>
    </row>
    <row r="488" spans="2:5" ht="12.95" customHeight="1" outlineLevel="1">
      <c r="C488" s="2602" t="s">
        <v>7872</v>
      </c>
      <c r="D488" s="2604" t="s">
        <v>8513</v>
      </c>
      <c r="E488" s="3798"/>
    </row>
    <row r="489" spans="2:5" ht="12.95" customHeight="1" outlineLevel="1">
      <c r="C489" s="2602" t="s">
        <v>7909</v>
      </c>
      <c r="D489" s="2604">
        <v>50</v>
      </c>
      <c r="E489" s="3798"/>
    </row>
    <row r="490" spans="2:5" ht="12.95" customHeight="1" outlineLevel="1">
      <c r="C490" s="2602" t="s">
        <v>8281</v>
      </c>
      <c r="D490" s="2604" t="s">
        <v>8328</v>
      </c>
      <c r="E490" s="3798"/>
    </row>
    <row r="491" spans="2:5" ht="12.95" customHeight="1" outlineLevel="1">
      <c r="C491" s="2602" t="s">
        <v>8282</v>
      </c>
      <c r="D491" s="2604">
        <v>3</v>
      </c>
      <c r="E491" s="3798"/>
    </row>
    <row r="492" spans="2:5" ht="12.95" customHeight="1" outlineLevel="1">
      <c r="C492" s="2602" t="s">
        <v>8283</v>
      </c>
      <c r="D492" s="2604" t="s">
        <v>8514</v>
      </c>
      <c r="E492" s="3798"/>
    </row>
    <row r="493" spans="2:5" ht="12.95" customHeight="1" outlineLevel="1">
      <c r="C493" s="3976"/>
      <c r="D493" s="3977"/>
      <c r="E493" s="3798"/>
    </row>
    <row r="494" spans="2:5" ht="12.95" customHeight="1" outlineLevel="1"/>
    <row r="495" spans="2:5" ht="12.95" customHeight="1" outlineLevel="1">
      <c r="B495" s="3980" t="s">
        <v>7492</v>
      </c>
      <c r="C495" s="3980"/>
      <c r="D495" s="3981" t="s">
        <v>8518</v>
      </c>
      <c r="E495" s="3981"/>
    </row>
    <row r="496" spans="2:5" ht="12.95" customHeight="1" outlineLevel="1">
      <c r="C496" s="2602" t="s">
        <v>7826</v>
      </c>
      <c r="D496" s="2604">
        <v>6</v>
      </c>
      <c r="E496" s="3798" t="s">
        <v>8522</v>
      </c>
    </row>
    <row r="497" spans="2:5" ht="12.95" customHeight="1" outlineLevel="1">
      <c r="C497" s="3965" t="s">
        <v>7910</v>
      </c>
      <c r="D497" s="2604">
        <v>14</v>
      </c>
      <c r="E497" s="3798"/>
    </row>
    <row r="498" spans="2:5" ht="12.95" customHeight="1" outlineLevel="1">
      <c r="C498" s="3966"/>
      <c r="D498" s="2604">
        <v>20</v>
      </c>
      <c r="E498" s="3798" t="s">
        <v>8521</v>
      </c>
    </row>
    <row r="499" spans="2:5" ht="12.95" customHeight="1" outlineLevel="1">
      <c r="C499" s="2602" t="s">
        <v>7871</v>
      </c>
      <c r="D499" s="2604" t="s">
        <v>8313</v>
      </c>
      <c r="E499" s="3798"/>
    </row>
    <row r="500" spans="2:5" ht="12.95" customHeight="1" outlineLevel="1">
      <c r="C500" s="2602" t="s">
        <v>7872</v>
      </c>
      <c r="D500" s="2604" t="s">
        <v>8519</v>
      </c>
      <c r="E500" s="3798"/>
    </row>
    <row r="501" spans="2:5" ht="12.95" customHeight="1" outlineLevel="1">
      <c r="C501" s="2602" t="s">
        <v>7909</v>
      </c>
      <c r="D501" s="2604">
        <v>80</v>
      </c>
      <c r="E501" s="3798" t="s">
        <v>8523</v>
      </c>
    </row>
    <row r="502" spans="2:5" ht="12.95" customHeight="1" outlineLevel="1">
      <c r="C502" s="2602" t="s">
        <v>8281</v>
      </c>
      <c r="D502" s="2604" t="s">
        <v>8397</v>
      </c>
      <c r="E502" s="3798"/>
    </row>
    <row r="503" spans="2:5" ht="12.95" customHeight="1" outlineLevel="1">
      <c r="C503" s="2602" t="s">
        <v>8282</v>
      </c>
      <c r="D503" s="2604">
        <v>2</v>
      </c>
      <c r="E503" s="3798"/>
    </row>
    <row r="504" spans="2:5" ht="12.95" customHeight="1" outlineLevel="1">
      <c r="C504" s="2602" t="s">
        <v>8283</v>
      </c>
      <c r="D504" s="2604" t="s">
        <v>8520</v>
      </c>
      <c r="E504" s="3798"/>
    </row>
    <row r="505" spans="2:5" ht="12.95" customHeight="1" outlineLevel="1">
      <c r="C505" s="3976"/>
      <c r="D505" s="3977"/>
      <c r="E505" s="3798"/>
    </row>
    <row r="506" spans="2:5" ht="12.95" customHeight="1" outlineLevel="1"/>
    <row r="507" spans="2:5" ht="12.95" customHeight="1" outlineLevel="1">
      <c r="B507" s="3980" t="s">
        <v>7492</v>
      </c>
      <c r="C507" s="3980"/>
      <c r="D507" s="3981" t="s">
        <v>8524</v>
      </c>
      <c r="E507" s="3981"/>
    </row>
    <row r="508" spans="2:5" ht="12.95" customHeight="1" outlineLevel="1">
      <c r="C508" s="2602" t="s">
        <v>7826</v>
      </c>
      <c r="D508" s="2604">
        <v>7</v>
      </c>
      <c r="E508" s="3798" t="s">
        <v>8530</v>
      </c>
    </row>
    <row r="509" spans="2:5" ht="12.95" customHeight="1" outlineLevel="1">
      <c r="C509" s="3965" t="s">
        <v>7910</v>
      </c>
      <c r="D509" s="2604">
        <v>40</v>
      </c>
      <c r="E509" s="3798"/>
    </row>
    <row r="510" spans="2:5" ht="12.95" customHeight="1" outlineLevel="1">
      <c r="C510" s="3966"/>
      <c r="D510" s="2604">
        <v>50</v>
      </c>
      <c r="E510" s="3798" t="s">
        <v>8531</v>
      </c>
    </row>
    <row r="511" spans="2:5" ht="12.95" customHeight="1" outlineLevel="1">
      <c r="C511" s="2602" t="s">
        <v>7871</v>
      </c>
      <c r="D511" s="2604" t="s">
        <v>8525</v>
      </c>
      <c r="E511" s="3798"/>
    </row>
    <row r="512" spans="2:5" ht="12.95" customHeight="1" outlineLevel="1">
      <c r="C512" s="2602" t="s">
        <v>7872</v>
      </c>
      <c r="D512" s="2604" t="s">
        <v>8525</v>
      </c>
      <c r="E512" s="3798" t="s">
        <v>8532</v>
      </c>
    </row>
    <row r="513" spans="2:5" ht="12.95" customHeight="1" outlineLevel="1">
      <c r="C513" s="2602" t="s">
        <v>7909</v>
      </c>
      <c r="D513" s="2604" t="s">
        <v>8526</v>
      </c>
      <c r="E513" s="3798"/>
    </row>
    <row r="514" spans="2:5" ht="12.95" customHeight="1" outlineLevel="1">
      <c r="C514" s="2602" t="s">
        <v>8281</v>
      </c>
      <c r="D514" s="2604" t="s">
        <v>8527</v>
      </c>
      <c r="E514" s="3798"/>
    </row>
    <row r="515" spans="2:5" ht="12.95" customHeight="1" outlineLevel="1">
      <c r="C515" s="2602" t="s">
        <v>8282</v>
      </c>
      <c r="D515" s="2604">
        <v>1</v>
      </c>
      <c r="E515" s="3798"/>
    </row>
    <row r="516" spans="2:5" ht="12.95" customHeight="1" outlineLevel="1">
      <c r="C516" s="2602" t="s">
        <v>8283</v>
      </c>
      <c r="D516" s="2604" t="s">
        <v>8528</v>
      </c>
      <c r="E516" s="3798"/>
    </row>
    <row r="517" spans="2:5" ht="12.95" customHeight="1" outlineLevel="1">
      <c r="C517" s="3976" t="s">
        <v>8529</v>
      </c>
      <c r="D517" s="3977"/>
      <c r="E517" s="3798"/>
    </row>
    <row r="519" spans="2:5" ht="12.95" customHeight="1">
      <c r="B519" s="3978" t="s">
        <v>7496</v>
      </c>
      <c r="C519" s="3978"/>
      <c r="D519" s="3979" t="s">
        <v>8533</v>
      </c>
      <c r="E519" s="3979"/>
    </row>
    <row r="520" spans="2:5" ht="12.95" customHeight="1" outlineLevel="1">
      <c r="C520" s="2606" t="s">
        <v>7826</v>
      </c>
      <c r="D520" s="2608">
        <v>1</v>
      </c>
      <c r="E520" s="3798" t="s">
        <v>9794</v>
      </c>
    </row>
    <row r="521" spans="2:5" ht="12.95" customHeight="1" outlineLevel="1">
      <c r="C521" s="3965" t="s">
        <v>7910</v>
      </c>
      <c r="D521" s="2608">
        <v>2</v>
      </c>
      <c r="E521" s="3798"/>
    </row>
    <row r="522" spans="2:5" ht="12.95" customHeight="1" outlineLevel="1">
      <c r="C522" s="3966"/>
      <c r="D522" s="2608">
        <v>3</v>
      </c>
      <c r="E522" s="2605" t="s">
        <v>8535</v>
      </c>
    </row>
    <row r="523" spans="2:5" ht="12.95" customHeight="1" outlineLevel="1">
      <c r="C523" s="2606" t="s">
        <v>7871</v>
      </c>
      <c r="D523" s="2608" t="s">
        <v>8358</v>
      </c>
      <c r="E523" s="3798" t="s">
        <v>8536</v>
      </c>
    </row>
    <row r="524" spans="2:5" ht="12.95" customHeight="1" outlineLevel="1">
      <c r="C524" s="2606" t="s">
        <v>7872</v>
      </c>
      <c r="D524" s="2608" t="s">
        <v>8303</v>
      </c>
      <c r="E524" s="3798"/>
    </row>
    <row r="525" spans="2:5" ht="12.95" customHeight="1" outlineLevel="1">
      <c r="C525" s="2606" t="s">
        <v>7909</v>
      </c>
      <c r="D525" s="2608">
        <v>6</v>
      </c>
      <c r="E525" s="3798"/>
    </row>
    <row r="526" spans="2:5" ht="12.95" customHeight="1" outlineLevel="1">
      <c r="C526" s="2606" t="s">
        <v>8281</v>
      </c>
      <c r="D526" s="2608" t="s">
        <v>8288</v>
      </c>
      <c r="E526" s="3798"/>
    </row>
    <row r="527" spans="2:5" ht="12.95" customHeight="1" outlineLevel="1">
      <c r="C527" s="2606" t="s">
        <v>8282</v>
      </c>
      <c r="D527" s="2608">
        <v>12</v>
      </c>
      <c r="E527" s="3798"/>
    </row>
    <row r="528" spans="2:5" ht="12.95" customHeight="1" outlineLevel="1">
      <c r="C528" s="2606" t="s">
        <v>8283</v>
      </c>
      <c r="D528" s="2608" t="s">
        <v>8534</v>
      </c>
      <c r="E528" s="3798"/>
    </row>
    <row r="529" spans="2:5" ht="12.95" customHeight="1" outlineLevel="1">
      <c r="C529" s="3976"/>
      <c r="D529" s="3977"/>
      <c r="E529" s="3798"/>
    </row>
    <row r="530" spans="2:5" ht="12.95" customHeight="1" outlineLevel="1"/>
    <row r="531" spans="2:5" ht="12.95" customHeight="1" outlineLevel="1">
      <c r="B531" s="3978" t="s">
        <v>7496</v>
      </c>
      <c r="C531" s="3978"/>
      <c r="D531" s="3979" t="s">
        <v>8537</v>
      </c>
      <c r="E531" s="3979"/>
    </row>
    <row r="532" spans="2:5" ht="12.95" customHeight="1" outlineLevel="1">
      <c r="C532" s="2606" t="s">
        <v>7826</v>
      </c>
      <c r="D532" s="2608">
        <v>2</v>
      </c>
      <c r="E532" s="3798" t="s">
        <v>8539</v>
      </c>
    </row>
    <row r="533" spans="2:5" ht="12.95" customHeight="1" outlineLevel="1">
      <c r="C533" s="3965" t="s">
        <v>7910</v>
      </c>
      <c r="D533" s="2608">
        <v>2</v>
      </c>
      <c r="E533" s="3798"/>
    </row>
    <row r="534" spans="2:5" ht="12.95" customHeight="1" outlineLevel="1">
      <c r="C534" s="3966"/>
      <c r="D534" s="2608" t="s">
        <v>8333</v>
      </c>
      <c r="E534" s="3798"/>
    </row>
    <row r="535" spans="2:5" ht="12.95" customHeight="1" outlineLevel="1">
      <c r="C535" s="2606" t="s">
        <v>7871</v>
      </c>
      <c r="D535" s="2608" t="s">
        <v>8303</v>
      </c>
      <c r="E535" s="2605" t="s">
        <v>8540</v>
      </c>
    </row>
    <row r="536" spans="2:5" ht="12.95" customHeight="1" outlineLevel="1">
      <c r="C536" s="2606" t="s">
        <v>7872</v>
      </c>
      <c r="D536" s="2608" t="s">
        <v>8328</v>
      </c>
      <c r="E536" s="3798" t="s">
        <v>8541</v>
      </c>
    </row>
    <row r="537" spans="2:5" ht="12.95" customHeight="1" outlineLevel="1">
      <c r="C537" s="2606" t="s">
        <v>7909</v>
      </c>
      <c r="D537" s="2608" t="s">
        <v>8512</v>
      </c>
      <c r="E537" s="3798"/>
    </row>
    <row r="538" spans="2:5" ht="12.95" customHeight="1" outlineLevel="1">
      <c r="C538" s="2606" t="s">
        <v>8281</v>
      </c>
      <c r="D538" s="2608" t="s">
        <v>8288</v>
      </c>
      <c r="E538" s="3798"/>
    </row>
    <row r="539" spans="2:5" ht="12.95" customHeight="1" outlineLevel="1">
      <c r="C539" s="2606" t="s">
        <v>8282</v>
      </c>
      <c r="D539" s="2608">
        <v>9</v>
      </c>
      <c r="E539" s="3798"/>
    </row>
    <row r="540" spans="2:5" ht="12.95" customHeight="1" outlineLevel="1">
      <c r="C540" s="2606" t="s">
        <v>8283</v>
      </c>
      <c r="D540" s="2608" t="s">
        <v>8538</v>
      </c>
      <c r="E540" s="3798"/>
    </row>
    <row r="541" spans="2:5" ht="12.95" customHeight="1" outlineLevel="1">
      <c r="C541" s="3976"/>
      <c r="D541" s="3977"/>
      <c r="E541" s="3798"/>
    </row>
    <row r="542" spans="2:5" ht="12.95" customHeight="1" outlineLevel="1"/>
    <row r="543" spans="2:5" ht="12.95" customHeight="1" outlineLevel="1">
      <c r="B543" s="3978" t="s">
        <v>7496</v>
      </c>
      <c r="C543" s="3978"/>
      <c r="D543" s="3979" t="s">
        <v>8542</v>
      </c>
      <c r="E543" s="3979"/>
    </row>
    <row r="544" spans="2:5" ht="12.95" customHeight="1" outlineLevel="1">
      <c r="C544" s="2606" t="s">
        <v>7826</v>
      </c>
      <c r="D544" s="2608">
        <v>3</v>
      </c>
      <c r="E544" s="3798" t="s">
        <v>8544</v>
      </c>
    </row>
    <row r="545" spans="2:5" ht="12.95" customHeight="1" outlineLevel="1">
      <c r="C545" s="3965" t="s">
        <v>7910</v>
      </c>
      <c r="D545" s="2608">
        <v>2</v>
      </c>
      <c r="E545" s="3798"/>
    </row>
    <row r="546" spans="2:5" ht="12.95" customHeight="1" outlineLevel="1">
      <c r="C546" s="3966"/>
      <c r="D546" s="2608">
        <v>5</v>
      </c>
      <c r="E546" s="3798" t="s">
        <v>8545</v>
      </c>
    </row>
    <row r="547" spans="2:5" ht="12.95" customHeight="1" outlineLevel="1">
      <c r="C547" s="2606" t="s">
        <v>7871</v>
      </c>
      <c r="D547" s="2608" t="s">
        <v>8466</v>
      </c>
      <c r="E547" s="3798"/>
    </row>
    <row r="548" spans="2:5" ht="12.95" customHeight="1" outlineLevel="1">
      <c r="C548" s="2606" t="s">
        <v>7872</v>
      </c>
      <c r="D548" s="2608" t="s">
        <v>8430</v>
      </c>
      <c r="E548" s="3798" t="s">
        <v>9795</v>
      </c>
    </row>
    <row r="549" spans="2:5" ht="12.95" customHeight="1" outlineLevel="1">
      <c r="C549" s="2606" t="s">
        <v>7909</v>
      </c>
      <c r="D549" s="2608">
        <v>20</v>
      </c>
      <c r="E549" s="3798"/>
    </row>
    <row r="550" spans="2:5" ht="12.95" customHeight="1" outlineLevel="1">
      <c r="C550" s="2606" t="s">
        <v>8281</v>
      </c>
      <c r="D550" s="2608" t="s">
        <v>8481</v>
      </c>
      <c r="E550" s="3798"/>
    </row>
    <row r="551" spans="2:5" ht="12.95" customHeight="1" outlineLevel="1">
      <c r="C551" s="2606" t="s">
        <v>8282</v>
      </c>
      <c r="D551" s="2608">
        <v>8</v>
      </c>
      <c r="E551" s="3798"/>
    </row>
    <row r="552" spans="2:5" ht="12.95" customHeight="1" outlineLevel="1">
      <c r="C552" s="2606" t="s">
        <v>8283</v>
      </c>
      <c r="D552" s="2608" t="s">
        <v>8543</v>
      </c>
      <c r="E552" s="3798"/>
    </row>
    <row r="553" spans="2:5" ht="12.95" customHeight="1" outlineLevel="1">
      <c r="C553" s="3976"/>
      <c r="D553" s="3977"/>
      <c r="E553" s="3798"/>
    </row>
    <row r="554" spans="2:5" ht="12.95" customHeight="1" outlineLevel="1"/>
    <row r="555" spans="2:5" ht="12.95" customHeight="1" outlineLevel="1">
      <c r="B555" s="3978" t="s">
        <v>7496</v>
      </c>
      <c r="C555" s="3978"/>
      <c r="D555" s="3979" t="s">
        <v>8546</v>
      </c>
      <c r="E555" s="3979"/>
    </row>
    <row r="556" spans="2:5" ht="12.95" customHeight="1" outlineLevel="1">
      <c r="C556" s="2606" t="s">
        <v>7826</v>
      </c>
      <c r="D556" s="2608">
        <v>4</v>
      </c>
      <c r="E556" s="3798" t="s">
        <v>8548</v>
      </c>
    </row>
    <row r="557" spans="2:5" ht="12.95" customHeight="1" outlineLevel="1">
      <c r="C557" s="3965" t="s">
        <v>7910</v>
      </c>
      <c r="D557" s="2608">
        <v>6</v>
      </c>
      <c r="E557" s="3798"/>
    </row>
    <row r="558" spans="2:5" ht="12.95" customHeight="1" outlineLevel="1">
      <c r="C558" s="3966"/>
      <c r="D558" s="2608">
        <v>10</v>
      </c>
      <c r="E558" s="3798" t="s">
        <v>8549</v>
      </c>
    </row>
    <row r="559" spans="2:5" ht="12.95" customHeight="1" outlineLevel="1">
      <c r="C559" s="2606" t="s">
        <v>7871</v>
      </c>
      <c r="D559" s="2608" t="s">
        <v>8392</v>
      </c>
      <c r="E559" s="3798"/>
    </row>
    <row r="560" spans="2:5" ht="12.95" customHeight="1" outlineLevel="1">
      <c r="C560" s="2606" t="s">
        <v>7872</v>
      </c>
      <c r="D560" s="2608" t="s">
        <v>8392</v>
      </c>
      <c r="E560" s="3798" t="s">
        <v>9796</v>
      </c>
    </row>
    <row r="561" spans="2:5" ht="12.95" customHeight="1" outlineLevel="1">
      <c r="C561" s="2606" t="s">
        <v>7909</v>
      </c>
      <c r="D561" s="2608" t="s">
        <v>8470</v>
      </c>
      <c r="E561" s="3798"/>
    </row>
    <row r="562" spans="2:5" ht="12.95" customHeight="1" outlineLevel="1">
      <c r="C562" s="2606" t="s">
        <v>8281</v>
      </c>
      <c r="D562" s="2608" t="s">
        <v>8308</v>
      </c>
      <c r="E562" s="3798"/>
    </row>
    <row r="563" spans="2:5" ht="12.95" customHeight="1" outlineLevel="1">
      <c r="C563" s="2606" t="s">
        <v>8282</v>
      </c>
      <c r="D563" s="2608">
        <v>4</v>
      </c>
      <c r="E563" s="3798"/>
    </row>
    <row r="564" spans="2:5" ht="12.95" customHeight="1" outlineLevel="1">
      <c r="C564" s="2606" t="s">
        <v>8283</v>
      </c>
      <c r="D564" s="2608" t="s">
        <v>8547</v>
      </c>
      <c r="E564" s="3798"/>
    </row>
    <row r="565" spans="2:5" ht="12.95" customHeight="1" outlineLevel="1">
      <c r="C565" s="3976"/>
      <c r="D565" s="3977"/>
      <c r="E565" s="3798"/>
    </row>
    <row r="566" spans="2:5" ht="12.95" customHeight="1" outlineLevel="1"/>
    <row r="567" spans="2:5" ht="12.95" customHeight="1" outlineLevel="1">
      <c r="B567" s="3978" t="s">
        <v>7496</v>
      </c>
      <c r="C567" s="3978"/>
      <c r="D567" s="3979" t="s">
        <v>8550</v>
      </c>
      <c r="E567" s="3979"/>
    </row>
    <row r="568" spans="2:5" ht="12.95" customHeight="1" outlineLevel="1">
      <c r="C568" s="2606" t="s">
        <v>7826</v>
      </c>
      <c r="D568" s="2608">
        <v>5</v>
      </c>
      <c r="E568" s="3998" t="s">
        <v>9797</v>
      </c>
    </row>
    <row r="569" spans="2:5" ht="12.95" customHeight="1" outlineLevel="1">
      <c r="C569" s="3965" t="s">
        <v>7910</v>
      </c>
      <c r="D569" s="2608">
        <v>12</v>
      </c>
      <c r="E569" s="3998"/>
    </row>
    <row r="570" spans="2:5" ht="12.95" customHeight="1" outlineLevel="1">
      <c r="C570" s="3966"/>
      <c r="D570" s="2608">
        <v>16</v>
      </c>
      <c r="E570" s="3798" t="s">
        <v>8554</v>
      </c>
    </row>
    <row r="571" spans="2:5" ht="12.95" customHeight="1" outlineLevel="1">
      <c r="C571" s="2606" t="s">
        <v>7871</v>
      </c>
      <c r="D571" s="2608" t="s">
        <v>8551</v>
      </c>
      <c r="E571" s="3798"/>
    </row>
    <row r="572" spans="2:5" ht="12.95" customHeight="1" outlineLevel="1">
      <c r="C572" s="2606" t="s">
        <v>7872</v>
      </c>
      <c r="D572" s="2608" t="s">
        <v>8552</v>
      </c>
      <c r="E572" s="3798" t="s">
        <v>9798</v>
      </c>
    </row>
    <row r="573" spans="2:5" ht="12.95" customHeight="1" outlineLevel="1">
      <c r="C573" s="2606" t="s">
        <v>7909</v>
      </c>
      <c r="D573" s="2608">
        <v>70</v>
      </c>
      <c r="E573" s="3798"/>
    </row>
    <row r="574" spans="2:5" ht="12.95" customHeight="1" outlineLevel="1">
      <c r="C574" s="2606" t="s">
        <v>8281</v>
      </c>
      <c r="D574" s="2608" t="s">
        <v>8303</v>
      </c>
      <c r="E574" s="3798"/>
    </row>
    <row r="575" spans="2:5" ht="12.95" customHeight="1" outlineLevel="1">
      <c r="C575" s="2606" t="s">
        <v>8282</v>
      </c>
      <c r="D575" s="2608">
        <v>3</v>
      </c>
      <c r="E575" s="3798"/>
    </row>
    <row r="576" spans="2:5" ht="12.95" customHeight="1" outlineLevel="1">
      <c r="C576" s="2606" t="s">
        <v>8283</v>
      </c>
      <c r="D576" s="2608" t="s">
        <v>8553</v>
      </c>
      <c r="E576" s="3798"/>
    </row>
    <row r="577" spans="2:5" ht="12.95" customHeight="1" outlineLevel="1">
      <c r="C577" s="3976"/>
      <c r="D577" s="3977"/>
      <c r="E577" s="3798"/>
    </row>
    <row r="578" spans="2:5" ht="12.95" customHeight="1" outlineLevel="1"/>
    <row r="579" spans="2:5" ht="12.95" customHeight="1" outlineLevel="1">
      <c r="B579" s="3978" t="s">
        <v>7496</v>
      </c>
      <c r="C579" s="3978"/>
      <c r="D579" s="3979" t="s">
        <v>8555</v>
      </c>
      <c r="E579" s="3979"/>
    </row>
    <row r="580" spans="2:5" ht="12.95" customHeight="1" outlineLevel="1">
      <c r="C580" s="2606" t="s">
        <v>7826</v>
      </c>
      <c r="D580" s="2608">
        <v>6</v>
      </c>
      <c r="E580" s="3798" t="s">
        <v>9799</v>
      </c>
    </row>
    <row r="581" spans="2:5" ht="12.95" customHeight="1" outlineLevel="1">
      <c r="C581" s="3965" t="s">
        <v>7910</v>
      </c>
      <c r="D581" s="2608" t="s">
        <v>8556</v>
      </c>
      <c r="E581" s="3798"/>
    </row>
    <row r="582" spans="2:5" ht="12.95" customHeight="1" outlineLevel="1">
      <c r="C582" s="3966"/>
      <c r="D582" s="2608" t="s">
        <v>8557</v>
      </c>
      <c r="E582" s="3798"/>
    </row>
    <row r="583" spans="2:5" ht="12.95" customHeight="1" outlineLevel="1">
      <c r="C583" s="2606" t="s">
        <v>7871</v>
      </c>
      <c r="D583" s="2608">
        <v>14</v>
      </c>
      <c r="E583" s="3798" t="s">
        <v>8559</v>
      </c>
    </row>
    <row r="584" spans="2:5" ht="12.95" customHeight="1" outlineLevel="1">
      <c r="C584" s="2606" t="s">
        <v>7872</v>
      </c>
      <c r="D584" s="2608">
        <v>14</v>
      </c>
      <c r="E584" s="3798"/>
    </row>
    <row r="585" spans="2:5" ht="12.95" customHeight="1" outlineLevel="1">
      <c r="C585" s="2606" t="s">
        <v>7909</v>
      </c>
      <c r="D585" s="2608">
        <v>70</v>
      </c>
      <c r="E585" s="3798"/>
    </row>
    <row r="586" spans="2:5" ht="12.95" customHeight="1" outlineLevel="1">
      <c r="C586" s="2606" t="s">
        <v>8281</v>
      </c>
      <c r="D586" s="2608" t="s">
        <v>8397</v>
      </c>
      <c r="E586" s="3250" t="s">
        <v>9800</v>
      </c>
    </row>
    <row r="587" spans="2:5" ht="12.95" customHeight="1" outlineLevel="1">
      <c r="C587" s="2606" t="s">
        <v>8282</v>
      </c>
      <c r="D587" s="2608">
        <v>2</v>
      </c>
      <c r="E587" s="3250"/>
    </row>
    <row r="588" spans="2:5" ht="13.5" customHeight="1" outlineLevel="1">
      <c r="C588" s="2606" t="s">
        <v>8283</v>
      </c>
      <c r="D588" s="2608" t="s">
        <v>8558</v>
      </c>
      <c r="E588" s="3250"/>
    </row>
    <row r="589" spans="2:5" ht="12.95" customHeight="1" outlineLevel="1">
      <c r="C589" s="3976"/>
      <c r="D589" s="3977"/>
      <c r="E589" s="3250"/>
    </row>
    <row r="590" spans="2:5" ht="12.95" customHeight="1" outlineLevel="1">
      <c r="E590" s="3250"/>
    </row>
    <row r="591" spans="2:5" ht="12.95" customHeight="1" outlineLevel="1">
      <c r="E591" s="3250"/>
    </row>
    <row r="592" spans="2:5" ht="12.95" customHeight="1" outlineLevel="1"/>
    <row r="593" spans="2:5" ht="12.95" customHeight="1" outlineLevel="1">
      <c r="B593" s="3978" t="s">
        <v>7496</v>
      </c>
      <c r="C593" s="3978"/>
      <c r="D593" s="3979" t="s">
        <v>8560</v>
      </c>
      <c r="E593" s="3979"/>
    </row>
    <row r="594" spans="2:5" ht="12.95" customHeight="1" outlineLevel="1">
      <c r="C594" s="2606" t="s">
        <v>7826</v>
      </c>
      <c r="D594" s="2608">
        <v>7</v>
      </c>
      <c r="E594" s="3798" t="s">
        <v>8565</v>
      </c>
    </row>
    <row r="595" spans="2:5" ht="12.95" customHeight="1" outlineLevel="1">
      <c r="C595" s="3965" t="s">
        <v>7910</v>
      </c>
      <c r="D595" s="2608">
        <v>25</v>
      </c>
      <c r="E595" s="3798"/>
    </row>
    <row r="596" spans="2:5" ht="12.95" customHeight="1" outlineLevel="1">
      <c r="C596" s="3966"/>
      <c r="D596" s="2608">
        <v>45</v>
      </c>
      <c r="E596" s="2607" t="s">
        <v>8566</v>
      </c>
    </row>
    <row r="597" spans="2:5" ht="12.95" customHeight="1" outlineLevel="1">
      <c r="C597" s="2606" t="s">
        <v>7871</v>
      </c>
      <c r="D597" s="2608" t="s">
        <v>8439</v>
      </c>
      <c r="E597" s="3798" t="s">
        <v>8567</v>
      </c>
    </row>
    <row r="598" spans="2:5" ht="12.95" customHeight="1" outlineLevel="1">
      <c r="C598" s="2606" t="s">
        <v>7872</v>
      </c>
      <c r="D598" s="2608" t="s">
        <v>8561</v>
      </c>
      <c r="E598" s="3798"/>
    </row>
    <row r="599" spans="2:5" ht="12.95" customHeight="1" outlineLevel="1">
      <c r="C599" s="2606" t="s">
        <v>7909</v>
      </c>
      <c r="D599" s="2608" t="s">
        <v>8562</v>
      </c>
      <c r="E599" s="3798"/>
    </row>
    <row r="600" spans="2:5" ht="12.95" customHeight="1" outlineLevel="1">
      <c r="C600" s="2606" t="s">
        <v>8281</v>
      </c>
      <c r="D600" s="2608" t="s">
        <v>8308</v>
      </c>
      <c r="E600" s="3798"/>
    </row>
    <row r="601" spans="2:5" ht="12.95" customHeight="1" outlineLevel="1">
      <c r="C601" s="2606" t="s">
        <v>8282</v>
      </c>
      <c r="D601" s="2608">
        <v>1</v>
      </c>
      <c r="E601" s="3798"/>
    </row>
    <row r="602" spans="2:5" ht="12.95" customHeight="1" outlineLevel="1">
      <c r="C602" s="2606" t="s">
        <v>8283</v>
      </c>
      <c r="D602" s="2608" t="s">
        <v>8563</v>
      </c>
      <c r="E602" s="3798"/>
    </row>
    <row r="603" spans="2:5" ht="12.95" customHeight="1" outlineLevel="1">
      <c r="C603" s="3976" t="s">
        <v>8564</v>
      </c>
      <c r="D603" s="3977"/>
      <c r="E603" s="3798"/>
    </row>
    <row r="605" spans="2:5" ht="12.95" customHeight="1">
      <c r="B605" s="3974" t="s">
        <v>8568</v>
      </c>
      <c r="C605" s="3974"/>
      <c r="D605" s="3975" t="s">
        <v>8569</v>
      </c>
      <c r="E605" s="3975"/>
    </row>
    <row r="606" spans="2:5" ht="12.95" customHeight="1" outlineLevel="1">
      <c r="C606" s="2611" t="s">
        <v>7826</v>
      </c>
      <c r="D606" s="2613">
        <v>1</v>
      </c>
      <c r="E606" s="3798" t="s">
        <v>8572</v>
      </c>
    </row>
    <row r="607" spans="2:5" ht="12.95" customHeight="1" outlineLevel="1">
      <c r="C607" s="3965" t="s">
        <v>7910</v>
      </c>
      <c r="D607" s="2613">
        <v>1</v>
      </c>
      <c r="E607" s="3798"/>
    </row>
    <row r="608" spans="2:5" ht="12.95" customHeight="1" outlineLevel="1">
      <c r="C608" s="3966"/>
      <c r="D608" s="2613">
        <v>2</v>
      </c>
      <c r="E608" s="2614" t="s">
        <v>8573</v>
      </c>
    </row>
    <row r="609" spans="2:5" ht="12.95" customHeight="1" outlineLevel="1">
      <c r="C609" s="2611" t="s">
        <v>7871</v>
      </c>
      <c r="D609" s="2613" t="s">
        <v>8288</v>
      </c>
      <c r="E609" s="3798" t="s">
        <v>8574</v>
      </c>
    </row>
    <row r="610" spans="2:5" ht="12.95" customHeight="1" outlineLevel="1">
      <c r="C610" s="2611" t="s">
        <v>7872</v>
      </c>
      <c r="D610" s="2613" t="s">
        <v>8570</v>
      </c>
      <c r="E610" s="3798"/>
    </row>
    <row r="611" spans="2:5" ht="12.95" customHeight="1" outlineLevel="1">
      <c r="C611" s="2611" t="s">
        <v>7909</v>
      </c>
      <c r="D611" s="2613">
        <v>5</v>
      </c>
      <c r="E611" s="3798"/>
    </row>
    <row r="612" spans="2:5" ht="12.95" customHeight="1" outlineLevel="1">
      <c r="C612" s="2611" t="s">
        <v>8281</v>
      </c>
      <c r="D612" s="2613" t="s">
        <v>8308</v>
      </c>
      <c r="E612" s="3798"/>
    </row>
    <row r="613" spans="2:5" ht="12.95" customHeight="1" outlineLevel="1">
      <c r="C613" s="2611" t="s">
        <v>8282</v>
      </c>
      <c r="D613" s="2613">
        <v>15</v>
      </c>
      <c r="E613" s="3798"/>
    </row>
    <row r="614" spans="2:5" ht="12.95" customHeight="1" outlineLevel="1">
      <c r="C614" s="2611" t="s">
        <v>8283</v>
      </c>
      <c r="D614" s="2613" t="s">
        <v>8571</v>
      </c>
      <c r="E614" s="3798"/>
    </row>
    <row r="615" spans="2:5" ht="12.95" customHeight="1" outlineLevel="1">
      <c r="C615" s="3972"/>
      <c r="D615" s="3973"/>
      <c r="E615" s="3798"/>
    </row>
    <row r="616" spans="2:5" ht="12.95" customHeight="1" outlineLevel="1"/>
    <row r="617" spans="2:5" ht="12.95" customHeight="1" outlineLevel="1">
      <c r="B617" s="3974" t="s">
        <v>8568</v>
      </c>
      <c r="C617" s="3974"/>
      <c r="D617" s="3975" t="s">
        <v>8575</v>
      </c>
      <c r="E617" s="3975"/>
    </row>
    <row r="618" spans="2:5" ht="12.95" customHeight="1" outlineLevel="1">
      <c r="C618" s="2611" t="s">
        <v>7826</v>
      </c>
      <c r="D618" s="2613">
        <v>2</v>
      </c>
      <c r="E618" s="3798" t="s">
        <v>8577</v>
      </c>
    </row>
    <row r="619" spans="2:5" ht="12.95" customHeight="1" outlineLevel="1">
      <c r="C619" s="3965" t="s">
        <v>7910</v>
      </c>
      <c r="D619" s="2613" t="s">
        <v>8570</v>
      </c>
      <c r="E619" s="3798"/>
    </row>
    <row r="620" spans="2:5" ht="12.95" customHeight="1" outlineLevel="1">
      <c r="C620" s="3966"/>
      <c r="D620" s="2613">
        <v>4</v>
      </c>
      <c r="E620" s="2610" t="s">
        <v>8578</v>
      </c>
    </row>
    <row r="621" spans="2:5" ht="12.95" customHeight="1" outlineLevel="1">
      <c r="C621" s="2611" t="s">
        <v>7871</v>
      </c>
      <c r="D621" s="2613" t="s">
        <v>8466</v>
      </c>
      <c r="E621" s="3798" t="s">
        <v>9801</v>
      </c>
    </row>
    <row r="622" spans="2:5" ht="12.95" customHeight="1" outlineLevel="1">
      <c r="C622" s="2611" t="s">
        <v>7872</v>
      </c>
      <c r="D622" s="2613">
        <v>5</v>
      </c>
      <c r="E622" s="3798"/>
    </row>
    <row r="623" spans="2:5" ht="12.95" customHeight="1" outlineLevel="1">
      <c r="C623" s="2611" t="s">
        <v>7909</v>
      </c>
      <c r="D623" s="2613">
        <v>10</v>
      </c>
      <c r="E623" s="3798"/>
    </row>
    <row r="624" spans="2:5" ht="12.95" customHeight="1" outlineLevel="1">
      <c r="C624" s="2611" t="s">
        <v>8281</v>
      </c>
      <c r="D624" s="2613" t="s">
        <v>8328</v>
      </c>
      <c r="E624" s="3798"/>
    </row>
    <row r="625" spans="2:5" ht="12.95" customHeight="1" outlineLevel="1">
      <c r="C625" s="2611" t="s">
        <v>8282</v>
      </c>
      <c r="D625" s="2613">
        <v>9</v>
      </c>
      <c r="E625" s="3798"/>
    </row>
    <row r="626" spans="2:5" ht="12.95" customHeight="1" outlineLevel="1">
      <c r="C626" s="2611" t="s">
        <v>8283</v>
      </c>
      <c r="D626" s="2613" t="s">
        <v>8576</v>
      </c>
      <c r="E626" s="3798"/>
    </row>
    <row r="627" spans="2:5" ht="12.95" customHeight="1" outlineLevel="1">
      <c r="C627" s="3972"/>
      <c r="D627" s="3973"/>
      <c r="E627" s="3798"/>
    </row>
    <row r="628" spans="2:5" ht="12.95" customHeight="1" outlineLevel="1"/>
    <row r="629" spans="2:5" ht="12.95" customHeight="1" outlineLevel="1">
      <c r="B629" s="3974" t="s">
        <v>8568</v>
      </c>
      <c r="C629" s="3974"/>
      <c r="D629" s="3975" t="s">
        <v>8579</v>
      </c>
      <c r="E629" s="3975"/>
    </row>
    <row r="630" spans="2:5" ht="12.95" customHeight="1" outlineLevel="1">
      <c r="C630" s="2611" t="s">
        <v>7826</v>
      </c>
      <c r="D630" s="2613">
        <v>3</v>
      </c>
      <c r="E630" s="3798" t="s">
        <v>10122</v>
      </c>
    </row>
    <row r="631" spans="2:5" ht="12.95" customHeight="1" outlineLevel="1">
      <c r="C631" s="3965" t="s">
        <v>7910</v>
      </c>
      <c r="D631" s="2613">
        <v>2</v>
      </c>
      <c r="E631" s="3798"/>
    </row>
    <row r="632" spans="2:5" ht="12.95" customHeight="1" outlineLevel="1">
      <c r="C632" s="3966"/>
      <c r="D632" s="2613">
        <v>5</v>
      </c>
      <c r="E632" s="2610" t="s">
        <v>8581</v>
      </c>
    </row>
    <row r="633" spans="2:5" ht="12.95" customHeight="1" outlineLevel="1">
      <c r="C633" s="2611" t="s">
        <v>7871</v>
      </c>
      <c r="D633" s="2613">
        <v>8</v>
      </c>
      <c r="E633" s="3798" t="s">
        <v>8582</v>
      </c>
    </row>
    <row r="634" spans="2:5" ht="12.95" customHeight="1" outlineLevel="1">
      <c r="C634" s="2611" t="s">
        <v>7872</v>
      </c>
      <c r="D634" s="2613">
        <v>4</v>
      </c>
      <c r="E634" s="3798"/>
    </row>
    <row r="635" spans="2:5" ht="12.95" customHeight="1" outlineLevel="1">
      <c r="C635" s="2611" t="s">
        <v>7909</v>
      </c>
      <c r="D635" s="2613" t="s">
        <v>8312</v>
      </c>
      <c r="E635" s="3798"/>
    </row>
    <row r="636" spans="2:5" ht="12.95" customHeight="1" outlineLevel="1">
      <c r="C636" s="2611" t="s">
        <v>8281</v>
      </c>
      <c r="D636" s="2613" t="s">
        <v>8288</v>
      </c>
      <c r="E636" s="3798"/>
    </row>
    <row r="637" spans="2:5" ht="12.95" customHeight="1" outlineLevel="1">
      <c r="C637" s="2611" t="s">
        <v>8282</v>
      </c>
      <c r="D637" s="2613">
        <v>7</v>
      </c>
      <c r="E637" s="3798"/>
    </row>
    <row r="638" spans="2:5" ht="12.95" customHeight="1" outlineLevel="1">
      <c r="C638" s="2611" t="s">
        <v>8283</v>
      </c>
      <c r="D638" s="2613" t="s">
        <v>8580</v>
      </c>
      <c r="E638" s="3798"/>
    </row>
    <row r="639" spans="2:5" ht="12.95" customHeight="1" outlineLevel="1">
      <c r="C639" s="3972"/>
      <c r="D639" s="3973"/>
      <c r="E639" s="3798"/>
    </row>
    <row r="640" spans="2:5" ht="12.95" customHeight="1" outlineLevel="1"/>
    <row r="641" spans="2:5" ht="12.95" customHeight="1" outlineLevel="1">
      <c r="B641" s="3974" t="s">
        <v>8568</v>
      </c>
      <c r="C641" s="3974"/>
      <c r="D641" s="3975" t="s">
        <v>8583</v>
      </c>
      <c r="E641" s="3975"/>
    </row>
    <row r="642" spans="2:5" ht="12.95" customHeight="1" outlineLevel="1">
      <c r="C642" s="2611" t="s">
        <v>7826</v>
      </c>
      <c r="D642" s="2613">
        <v>4</v>
      </c>
      <c r="E642" s="3798" t="s">
        <v>8585</v>
      </c>
    </row>
    <row r="643" spans="2:5" ht="12.95" customHeight="1" outlineLevel="1">
      <c r="C643" s="3965" t="s">
        <v>7910</v>
      </c>
      <c r="D643" s="2613">
        <v>6</v>
      </c>
      <c r="E643" s="3798"/>
    </row>
    <row r="644" spans="2:5" ht="12.95" customHeight="1" outlineLevel="1">
      <c r="C644" s="3966"/>
      <c r="D644" s="2613">
        <v>12</v>
      </c>
      <c r="E644" s="3798" t="s">
        <v>8586</v>
      </c>
    </row>
    <row r="645" spans="2:5" ht="12.95" customHeight="1" outlineLevel="1">
      <c r="C645" s="2611" t="s">
        <v>7871</v>
      </c>
      <c r="D645" s="2613">
        <v>13</v>
      </c>
      <c r="E645" s="3798"/>
    </row>
    <row r="646" spans="2:5" ht="12.95" customHeight="1" outlineLevel="1">
      <c r="C646" s="2611" t="s">
        <v>7872</v>
      </c>
      <c r="D646" s="2613">
        <v>7</v>
      </c>
      <c r="E646" s="3798" t="s">
        <v>8587</v>
      </c>
    </row>
    <row r="647" spans="2:5" ht="12.95" customHeight="1" outlineLevel="1">
      <c r="C647" s="2611" t="s">
        <v>7909</v>
      </c>
      <c r="D647" s="2613" t="s">
        <v>8584</v>
      </c>
      <c r="E647" s="3798"/>
    </row>
    <row r="648" spans="2:5" ht="12.95" customHeight="1" outlineLevel="1">
      <c r="C648" s="2611" t="s">
        <v>8281</v>
      </c>
      <c r="D648" s="2613" t="s">
        <v>8288</v>
      </c>
      <c r="E648" s="3798"/>
    </row>
    <row r="649" spans="2:5" ht="12.95" customHeight="1" outlineLevel="1">
      <c r="C649" s="2611" t="s">
        <v>8282</v>
      </c>
      <c r="D649" s="2613">
        <v>4</v>
      </c>
      <c r="E649" s="3798"/>
    </row>
    <row r="650" spans="2:5" ht="12.95" customHeight="1" outlineLevel="1">
      <c r="C650" s="2611" t="s">
        <v>8283</v>
      </c>
      <c r="D650" s="2613" t="s">
        <v>8304</v>
      </c>
      <c r="E650" s="3798"/>
    </row>
    <row r="651" spans="2:5" ht="12.95" customHeight="1" outlineLevel="1">
      <c r="C651" s="3972"/>
      <c r="D651" s="3973"/>
      <c r="E651" s="3798"/>
    </row>
    <row r="652" spans="2:5" ht="12.95" customHeight="1" outlineLevel="1"/>
    <row r="653" spans="2:5" ht="12.95" customHeight="1" outlineLevel="1">
      <c r="B653" s="3974" t="s">
        <v>8568</v>
      </c>
      <c r="C653" s="3974"/>
      <c r="D653" s="3975" t="s">
        <v>8588</v>
      </c>
      <c r="E653" s="3975"/>
    </row>
    <row r="654" spans="2:5" ht="12.95" customHeight="1" outlineLevel="1">
      <c r="C654" s="2611" t="s">
        <v>7826</v>
      </c>
      <c r="D654" s="2613">
        <v>5</v>
      </c>
      <c r="E654" s="3798" t="s">
        <v>9802</v>
      </c>
    </row>
    <row r="655" spans="2:5" ht="12.95" customHeight="1" outlineLevel="1">
      <c r="C655" s="3965" t="s">
        <v>7910</v>
      </c>
      <c r="D655" s="2613">
        <v>11</v>
      </c>
      <c r="E655" s="3798"/>
    </row>
    <row r="656" spans="2:5" ht="12.95" customHeight="1" outlineLevel="1">
      <c r="C656" s="3966"/>
      <c r="D656" s="2613">
        <v>15</v>
      </c>
      <c r="E656" s="3798" t="s">
        <v>8590</v>
      </c>
    </row>
    <row r="657" spans="2:5" ht="12.95" customHeight="1" outlineLevel="1">
      <c r="C657" s="2611" t="s">
        <v>7871</v>
      </c>
      <c r="D657" s="2613">
        <v>13</v>
      </c>
      <c r="E657" s="3798"/>
    </row>
    <row r="658" spans="2:5" ht="12.95" customHeight="1" outlineLevel="1">
      <c r="C658" s="2611" t="s">
        <v>7872</v>
      </c>
      <c r="D658" s="2613">
        <v>11</v>
      </c>
      <c r="E658" s="3250" t="s">
        <v>8597</v>
      </c>
    </row>
    <row r="659" spans="2:5" ht="12.95" customHeight="1" outlineLevel="1">
      <c r="C659" s="2611" t="s">
        <v>7909</v>
      </c>
      <c r="D659" s="2613">
        <v>60</v>
      </c>
      <c r="E659" s="3250"/>
    </row>
    <row r="660" spans="2:5" ht="12.95" customHeight="1" outlineLevel="1">
      <c r="C660" s="2611" t="s">
        <v>8281</v>
      </c>
      <c r="D660" s="2613" t="s">
        <v>8397</v>
      </c>
      <c r="E660" s="3250"/>
    </row>
    <row r="661" spans="2:5" ht="12.95" customHeight="1" outlineLevel="1">
      <c r="C661" s="2611" t="s">
        <v>8282</v>
      </c>
      <c r="D661" s="2613">
        <v>3</v>
      </c>
      <c r="E661" s="3250"/>
    </row>
    <row r="662" spans="2:5" ht="12.95" customHeight="1" outlineLevel="1">
      <c r="C662" s="2611" t="s">
        <v>8283</v>
      </c>
      <c r="D662" s="2613" t="s">
        <v>8589</v>
      </c>
      <c r="E662" s="3250"/>
    </row>
    <row r="663" spans="2:5" ht="12.95" customHeight="1" outlineLevel="1">
      <c r="C663" s="3972"/>
      <c r="D663" s="3973"/>
      <c r="E663" s="3250"/>
    </row>
    <row r="664" spans="2:5" ht="12.95" customHeight="1" outlineLevel="1">
      <c r="E664" s="3250"/>
    </row>
    <row r="665" spans="2:5" s="2610" customFormat="1" ht="12.95" customHeight="1" outlineLevel="1"/>
    <row r="666" spans="2:5" ht="12.95" customHeight="1" outlineLevel="1">
      <c r="B666" s="3974" t="s">
        <v>8568</v>
      </c>
      <c r="C666" s="3974"/>
      <c r="D666" s="3975" t="s">
        <v>8591</v>
      </c>
      <c r="E666" s="3975"/>
    </row>
    <row r="667" spans="2:5" ht="12.95" customHeight="1" outlineLevel="1">
      <c r="C667" s="2611" t="s">
        <v>7826</v>
      </c>
      <c r="D667" s="2613">
        <v>6</v>
      </c>
      <c r="E667" s="3798" t="s">
        <v>8594</v>
      </c>
    </row>
    <row r="668" spans="2:5" ht="12.95" customHeight="1" outlineLevel="1">
      <c r="C668" s="3965" t="s">
        <v>7910</v>
      </c>
      <c r="D668" s="2613">
        <v>16</v>
      </c>
      <c r="E668" s="3798"/>
    </row>
    <row r="669" spans="2:5" ht="12.95" customHeight="1" outlineLevel="1">
      <c r="C669" s="3966"/>
      <c r="D669" s="2613">
        <v>20</v>
      </c>
      <c r="E669" s="3798" t="s">
        <v>8595</v>
      </c>
    </row>
    <row r="670" spans="2:5" ht="12.95" customHeight="1" outlineLevel="1">
      <c r="C670" s="2611" t="s">
        <v>7871</v>
      </c>
      <c r="D670" s="2613" t="s">
        <v>8449</v>
      </c>
      <c r="E670" s="3798"/>
    </row>
    <row r="671" spans="2:5" ht="12.95" customHeight="1" outlineLevel="1">
      <c r="C671" s="2611" t="s">
        <v>7872</v>
      </c>
      <c r="D671" s="2613" t="s">
        <v>8592</v>
      </c>
      <c r="E671" s="3798" t="s">
        <v>9803</v>
      </c>
    </row>
    <row r="672" spans="2:5" ht="12.95" customHeight="1" outlineLevel="1">
      <c r="C672" s="2611" t="s">
        <v>7909</v>
      </c>
      <c r="D672" s="2613">
        <v>70</v>
      </c>
      <c r="E672" s="3798"/>
    </row>
    <row r="673" spans="2:5" ht="12.95" customHeight="1" outlineLevel="1">
      <c r="C673" s="2611" t="s">
        <v>8281</v>
      </c>
      <c r="D673" s="2613" t="s">
        <v>8328</v>
      </c>
      <c r="E673" s="3798"/>
    </row>
    <row r="674" spans="2:5" ht="12.95" customHeight="1" outlineLevel="1">
      <c r="C674" s="2611" t="s">
        <v>8282</v>
      </c>
      <c r="D674" s="2613">
        <v>2</v>
      </c>
      <c r="E674" s="3798"/>
    </row>
    <row r="675" spans="2:5" ht="12.95" customHeight="1" outlineLevel="1">
      <c r="C675" s="2611" t="s">
        <v>8283</v>
      </c>
      <c r="D675" s="2613" t="s">
        <v>8593</v>
      </c>
      <c r="E675" s="3798"/>
    </row>
    <row r="676" spans="2:5" ht="12.95" customHeight="1" outlineLevel="1">
      <c r="C676" s="3972"/>
      <c r="D676" s="3973"/>
      <c r="E676" s="3798"/>
    </row>
    <row r="677" spans="2:5" ht="12.95" customHeight="1" outlineLevel="1"/>
    <row r="678" spans="2:5" ht="12.95" customHeight="1" outlineLevel="1">
      <c r="B678" s="3974" t="s">
        <v>8568</v>
      </c>
      <c r="C678" s="3974"/>
      <c r="D678" s="3975" t="s">
        <v>8596</v>
      </c>
      <c r="E678" s="3975"/>
    </row>
    <row r="679" spans="2:5" ht="12.95" customHeight="1" outlineLevel="1">
      <c r="C679" s="2611" t="s">
        <v>7826</v>
      </c>
      <c r="D679" s="2613">
        <v>7</v>
      </c>
      <c r="E679" s="3798" t="s">
        <v>8601</v>
      </c>
    </row>
    <row r="680" spans="2:5" ht="12.95" customHeight="1" outlineLevel="1">
      <c r="C680" s="3965" t="s">
        <v>7910</v>
      </c>
      <c r="D680" s="2613">
        <v>30</v>
      </c>
      <c r="E680" s="3798"/>
    </row>
    <row r="681" spans="2:5" ht="12.95" customHeight="1" outlineLevel="1">
      <c r="C681" s="3966"/>
      <c r="D681" s="2613">
        <v>50</v>
      </c>
      <c r="E681" s="2677" t="s">
        <v>9804</v>
      </c>
    </row>
    <row r="682" spans="2:5" ht="12.95" customHeight="1" outlineLevel="1">
      <c r="C682" s="2611" t="s">
        <v>7871</v>
      </c>
      <c r="D682" s="2613" t="s">
        <v>8448</v>
      </c>
      <c r="E682" s="3798" t="s">
        <v>8602</v>
      </c>
    </row>
    <row r="683" spans="2:5" ht="12.95" customHeight="1" outlineLevel="1">
      <c r="C683" s="2611" t="s">
        <v>7872</v>
      </c>
      <c r="D683" s="2613" t="s">
        <v>8448</v>
      </c>
      <c r="E683" s="3798"/>
    </row>
    <row r="684" spans="2:5" ht="12.95" customHeight="1" outlineLevel="1">
      <c r="C684" s="2611" t="s">
        <v>7909</v>
      </c>
      <c r="D684" s="2613" t="s">
        <v>8598</v>
      </c>
      <c r="E684" s="3798"/>
    </row>
    <row r="685" spans="2:5" ht="12.95" customHeight="1" outlineLevel="1">
      <c r="C685" s="2611" t="s">
        <v>8281</v>
      </c>
      <c r="D685" s="2613" t="s">
        <v>8296</v>
      </c>
      <c r="E685" s="3798"/>
    </row>
    <row r="686" spans="2:5" ht="12.95" customHeight="1" outlineLevel="1">
      <c r="C686" s="2611" t="s">
        <v>8282</v>
      </c>
      <c r="D686" s="2613">
        <v>1</v>
      </c>
      <c r="E686" s="3798"/>
    </row>
    <row r="687" spans="2:5" ht="12.95" customHeight="1" outlineLevel="1">
      <c r="C687" s="2611" t="s">
        <v>8283</v>
      </c>
      <c r="D687" s="2613" t="s">
        <v>8599</v>
      </c>
      <c r="E687" s="3798"/>
    </row>
    <row r="688" spans="2:5" ht="12.95" customHeight="1" outlineLevel="1">
      <c r="C688" s="3972" t="s">
        <v>8600</v>
      </c>
      <c r="D688" s="3973"/>
      <c r="E688" s="3798"/>
    </row>
    <row r="690" spans="2:5" ht="12.95" customHeight="1">
      <c r="B690" s="3970" t="s">
        <v>7510</v>
      </c>
      <c r="C690" s="3970"/>
      <c r="D690" s="3971" t="s">
        <v>8603</v>
      </c>
      <c r="E690" s="3971"/>
    </row>
    <row r="691" spans="2:5" ht="12.95" customHeight="1" outlineLevel="1">
      <c r="C691" s="2616" t="s">
        <v>7826</v>
      </c>
      <c r="D691" s="2618">
        <v>1</v>
      </c>
      <c r="E691" s="3798" t="s">
        <v>8607</v>
      </c>
    </row>
    <row r="692" spans="2:5" ht="12.95" customHeight="1" outlineLevel="1">
      <c r="C692" s="3965" t="s">
        <v>7910</v>
      </c>
      <c r="D692" s="2618">
        <v>1</v>
      </c>
      <c r="E692" s="3798"/>
    </row>
    <row r="693" spans="2:5" ht="12.95" customHeight="1" outlineLevel="1">
      <c r="C693" s="3966"/>
      <c r="D693" s="2618" t="s">
        <v>8570</v>
      </c>
      <c r="E693" s="3798"/>
    </row>
    <row r="694" spans="2:5" ht="12.95" customHeight="1" outlineLevel="1">
      <c r="C694" s="2616" t="s">
        <v>7871</v>
      </c>
      <c r="D694" s="2618">
        <v>2</v>
      </c>
      <c r="E694" s="2617" t="s">
        <v>8604</v>
      </c>
    </row>
    <row r="695" spans="2:5" ht="12.95" customHeight="1" outlineLevel="1">
      <c r="C695" s="2616" t="s">
        <v>7872</v>
      </c>
      <c r="D695" s="2618">
        <v>2</v>
      </c>
      <c r="E695" s="3798" t="s">
        <v>8605</v>
      </c>
    </row>
    <row r="696" spans="2:5" ht="12.95" customHeight="1" outlineLevel="1">
      <c r="C696" s="2616" t="s">
        <v>7909</v>
      </c>
      <c r="D696" s="2618">
        <v>3</v>
      </c>
      <c r="E696" s="3798"/>
    </row>
    <row r="697" spans="2:5" ht="12.95" customHeight="1" outlineLevel="1">
      <c r="C697" s="2616" t="s">
        <v>8281</v>
      </c>
      <c r="D697" s="2618" t="s">
        <v>8314</v>
      </c>
      <c r="E697" s="3798"/>
    </row>
    <row r="698" spans="2:5" ht="12.95" customHeight="1" outlineLevel="1">
      <c r="C698" s="2616" t="s">
        <v>8282</v>
      </c>
      <c r="D698" s="2618">
        <v>20</v>
      </c>
      <c r="E698" s="3798"/>
    </row>
    <row r="699" spans="2:5" ht="12.95" customHeight="1" outlineLevel="1">
      <c r="C699" s="2616" t="s">
        <v>8283</v>
      </c>
      <c r="D699" s="2618" t="s">
        <v>8393</v>
      </c>
      <c r="E699" s="3798"/>
    </row>
    <row r="700" spans="2:5" ht="12.95" customHeight="1" outlineLevel="1">
      <c r="C700" s="3967"/>
      <c r="D700" s="3968"/>
      <c r="E700" s="3798"/>
    </row>
    <row r="701" spans="2:5" ht="12.95" customHeight="1" outlineLevel="1"/>
    <row r="702" spans="2:5" ht="12.95" customHeight="1" outlineLevel="1">
      <c r="B702" s="3970" t="s">
        <v>7510</v>
      </c>
      <c r="C702" s="3970"/>
      <c r="D702" s="3971" t="s">
        <v>8606</v>
      </c>
      <c r="E702" s="3971"/>
    </row>
    <row r="703" spans="2:5" ht="12.95" customHeight="1" outlineLevel="1">
      <c r="C703" s="2616" t="s">
        <v>7826</v>
      </c>
      <c r="D703" s="2618">
        <v>2</v>
      </c>
      <c r="E703" s="3798" t="s">
        <v>8608</v>
      </c>
    </row>
    <row r="704" spans="2:5" ht="12.95" customHeight="1" outlineLevel="1">
      <c r="C704" s="3965" t="s">
        <v>7910</v>
      </c>
      <c r="D704" s="2618">
        <v>2</v>
      </c>
      <c r="E704" s="3798"/>
    </row>
    <row r="705" spans="2:5" ht="12.95" customHeight="1" outlineLevel="1">
      <c r="C705" s="3966"/>
      <c r="D705" s="2618">
        <v>8</v>
      </c>
      <c r="E705" s="3798" t="s">
        <v>8609</v>
      </c>
    </row>
    <row r="706" spans="2:5" ht="12.95" customHeight="1" outlineLevel="1">
      <c r="C706" s="2616" t="s">
        <v>7871</v>
      </c>
      <c r="D706" s="2618">
        <v>9</v>
      </c>
      <c r="E706" s="3798"/>
    </row>
    <row r="707" spans="2:5" ht="12.95" customHeight="1" outlineLevel="1">
      <c r="C707" s="2616" t="s">
        <v>7872</v>
      </c>
      <c r="D707" s="2618">
        <v>9</v>
      </c>
      <c r="E707" s="3798"/>
    </row>
    <row r="708" spans="2:5" ht="12.95" customHeight="1" outlineLevel="1">
      <c r="C708" s="2616" t="s">
        <v>7909</v>
      </c>
      <c r="D708" s="2618">
        <v>25</v>
      </c>
      <c r="E708" s="3798"/>
    </row>
    <row r="709" spans="2:5" ht="12.95" customHeight="1" outlineLevel="1">
      <c r="C709" s="2616" t="s">
        <v>8281</v>
      </c>
      <c r="D709" s="2618" t="s">
        <v>8466</v>
      </c>
      <c r="E709" s="3798"/>
    </row>
    <row r="710" spans="2:5" ht="12.95" customHeight="1" outlineLevel="1">
      <c r="C710" s="2616" t="s">
        <v>8282</v>
      </c>
      <c r="D710" s="2618">
        <v>6</v>
      </c>
      <c r="E710" s="3250" t="s">
        <v>8613</v>
      </c>
    </row>
    <row r="711" spans="2:5" ht="12.95" customHeight="1" outlineLevel="1">
      <c r="C711" s="2616" t="s">
        <v>8283</v>
      </c>
      <c r="D711" s="2618" t="s">
        <v>8352</v>
      </c>
      <c r="E711" s="3250"/>
    </row>
    <row r="712" spans="2:5" ht="12.95" customHeight="1" outlineLevel="1">
      <c r="C712" s="3967"/>
      <c r="D712" s="3968"/>
      <c r="E712" s="3250"/>
    </row>
    <row r="713" spans="2:5" ht="12.95" customHeight="1" outlineLevel="1">
      <c r="E713" s="3250"/>
    </row>
    <row r="714" spans="2:5" ht="12.95" customHeight="1" outlineLevel="1">
      <c r="E714" s="3250"/>
    </row>
    <row r="715" spans="2:5" s="2615" customFormat="1" ht="12.95" customHeight="1" outlineLevel="1">
      <c r="E715" s="3250"/>
    </row>
    <row r="716" spans="2:5" ht="12.95" customHeight="1" outlineLevel="1"/>
    <row r="717" spans="2:5" ht="12.95" customHeight="1" outlineLevel="1">
      <c r="B717" s="3970" t="s">
        <v>7510</v>
      </c>
      <c r="C717" s="3970"/>
      <c r="D717" s="3971" t="s">
        <v>8610</v>
      </c>
      <c r="E717" s="3971"/>
    </row>
    <row r="718" spans="2:5" ht="12.95" customHeight="1" outlineLevel="1">
      <c r="C718" s="2616" t="s">
        <v>7826</v>
      </c>
      <c r="D718" s="2618">
        <v>3</v>
      </c>
      <c r="E718" s="3798" t="s">
        <v>9805</v>
      </c>
    </row>
    <row r="719" spans="2:5" ht="12.95" customHeight="1" outlineLevel="1">
      <c r="C719" s="3965" t="s">
        <v>7910</v>
      </c>
      <c r="D719" s="2618">
        <v>3</v>
      </c>
      <c r="E719" s="3798"/>
    </row>
    <row r="720" spans="2:5" ht="12.95" customHeight="1" outlineLevel="1">
      <c r="C720" s="3966"/>
      <c r="D720" s="2618">
        <v>7</v>
      </c>
      <c r="E720" s="3798" t="s">
        <v>8611</v>
      </c>
    </row>
    <row r="721" spans="2:5" ht="12.95" customHeight="1" outlineLevel="1">
      <c r="C721" s="2616" t="s">
        <v>7871</v>
      </c>
      <c r="D721" s="2618">
        <v>8</v>
      </c>
      <c r="E721" s="3798"/>
    </row>
    <row r="722" spans="2:5" ht="12.95" customHeight="1" outlineLevel="1">
      <c r="C722" s="2616" t="s">
        <v>7872</v>
      </c>
      <c r="D722" s="2618">
        <v>10</v>
      </c>
      <c r="E722" s="3798"/>
    </row>
    <row r="723" spans="2:5" ht="12.95" customHeight="1" outlineLevel="1">
      <c r="C723" s="2616" t="s">
        <v>7909</v>
      </c>
      <c r="D723" s="2618">
        <v>30</v>
      </c>
      <c r="E723" s="3798" t="s">
        <v>8614</v>
      </c>
    </row>
    <row r="724" spans="2:5" ht="12.95" customHeight="1" outlineLevel="1">
      <c r="C724" s="2616" t="s">
        <v>8281</v>
      </c>
      <c r="D724" s="2618" t="s">
        <v>8303</v>
      </c>
      <c r="E724" s="3798"/>
    </row>
    <row r="725" spans="2:5" ht="12.95" customHeight="1" outlineLevel="1">
      <c r="C725" s="2616" t="s">
        <v>8282</v>
      </c>
      <c r="D725" s="2618">
        <v>6</v>
      </c>
      <c r="E725" s="3798"/>
    </row>
    <row r="726" spans="2:5" ht="12.95" customHeight="1" outlineLevel="1">
      <c r="C726" s="2616" t="s">
        <v>8283</v>
      </c>
      <c r="D726" s="2618" t="s">
        <v>8612</v>
      </c>
      <c r="E726" s="3798"/>
    </row>
    <row r="727" spans="2:5" ht="12.95" customHeight="1" outlineLevel="1">
      <c r="C727" s="3967"/>
      <c r="D727" s="3968"/>
      <c r="E727" s="3798"/>
    </row>
    <row r="728" spans="2:5" ht="12.95" customHeight="1" outlineLevel="1"/>
    <row r="729" spans="2:5" ht="12.95" customHeight="1" outlineLevel="1">
      <c r="B729" s="3970" t="s">
        <v>7510</v>
      </c>
      <c r="C729" s="3970"/>
      <c r="D729" s="3971" t="s">
        <v>8615</v>
      </c>
      <c r="E729" s="3971"/>
    </row>
    <row r="730" spans="2:5" ht="12.95" customHeight="1" outlineLevel="1">
      <c r="C730" s="2616" t="s">
        <v>7826</v>
      </c>
      <c r="D730" s="2618">
        <v>4</v>
      </c>
      <c r="E730" s="3798" t="s">
        <v>9806</v>
      </c>
    </row>
    <row r="731" spans="2:5" ht="12.95" customHeight="1" outlineLevel="1">
      <c r="C731" s="3965" t="s">
        <v>7910</v>
      </c>
      <c r="D731" s="2618">
        <v>4</v>
      </c>
      <c r="E731" s="3798"/>
    </row>
    <row r="732" spans="2:5" ht="12.95" customHeight="1" outlineLevel="1">
      <c r="C732" s="3966"/>
      <c r="D732" s="2618">
        <v>6</v>
      </c>
      <c r="E732" s="3798"/>
    </row>
    <row r="733" spans="2:5" ht="12.95" customHeight="1" outlineLevel="1">
      <c r="C733" s="2616" t="s">
        <v>7871</v>
      </c>
      <c r="D733" s="2618" t="s">
        <v>8302</v>
      </c>
      <c r="E733" s="3798" t="s">
        <v>8617</v>
      </c>
    </row>
    <row r="734" spans="2:5" ht="12.95" customHeight="1" outlineLevel="1">
      <c r="C734" s="2616" t="s">
        <v>7872</v>
      </c>
      <c r="D734" s="2618">
        <v>8</v>
      </c>
      <c r="E734" s="3798"/>
    </row>
    <row r="735" spans="2:5" ht="12.95" customHeight="1" outlineLevel="1">
      <c r="C735" s="2616" t="s">
        <v>7909</v>
      </c>
      <c r="D735" s="2618">
        <v>35</v>
      </c>
      <c r="E735" s="3798"/>
    </row>
    <row r="736" spans="2:5" ht="12.95" customHeight="1" outlineLevel="1">
      <c r="C736" s="2616" t="s">
        <v>8281</v>
      </c>
      <c r="D736" s="2618" t="s">
        <v>8328</v>
      </c>
      <c r="E736" s="3798" t="s">
        <v>9807</v>
      </c>
    </row>
    <row r="737" spans="2:5" ht="12.95" customHeight="1" outlineLevel="1">
      <c r="C737" s="2616" t="s">
        <v>8282</v>
      </c>
      <c r="D737" s="2618">
        <v>5</v>
      </c>
      <c r="E737" s="3798"/>
    </row>
    <row r="738" spans="2:5" ht="12.95" customHeight="1" outlineLevel="1">
      <c r="C738" s="2616" t="s">
        <v>8283</v>
      </c>
      <c r="D738" s="2618" t="s">
        <v>8616</v>
      </c>
      <c r="E738" s="3798"/>
    </row>
    <row r="739" spans="2:5" ht="12.95" customHeight="1" outlineLevel="1">
      <c r="C739" s="3967"/>
      <c r="D739" s="3968"/>
      <c r="E739" s="3798"/>
    </row>
    <row r="740" spans="2:5" ht="12.95" customHeight="1" outlineLevel="1"/>
    <row r="741" spans="2:5" ht="12.95" customHeight="1" outlineLevel="1">
      <c r="B741" s="3970" t="s">
        <v>7510</v>
      </c>
      <c r="C741" s="3970"/>
      <c r="D741" s="3971" t="s">
        <v>8618</v>
      </c>
      <c r="E741" s="3971"/>
    </row>
    <row r="742" spans="2:5" ht="12.95" customHeight="1" outlineLevel="1">
      <c r="C742" s="2616" t="s">
        <v>7826</v>
      </c>
      <c r="D742" s="2618">
        <v>5</v>
      </c>
      <c r="E742" s="3798" t="s">
        <v>8619</v>
      </c>
    </row>
    <row r="743" spans="2:5" ht="12.95" customHeight="1" outlineLevel="1">
      <c r="C743" s="3965" t="s">
        <v>7910</v>
      </c>
      <c r="D743" s="2618" t="s">
        <v>8287</v>
      </c>
      <c r="E743" s="3798"/>
    </row>
    <row r="744" spans="2:5" ht="12.95" customHeight="1" outlineLevel="1">
      <c r="C744" s="3966"/>
      <c r="D744" s="2618" t="s">
        <v>8327</v>
      </c>
      <c r="E744" s="3798" t="s">
        <v>8620</v>
      </c>
    </row>
    <row r="745" spans="2:5" ht="12.95" customHeight="1" outlineLevel="1">
      <c r="C745" s="2616" t="s">
        <v>7871</v>
      </c>
      <c r="D745" s="2618" t="s">
        <v>8551</v>
      </c>
      <c r="E745" s="3798"/>
    </row>
    <row r="746" spans="2:5" ht="12.95" customHeight="1" outlineLevel="1">
      <c r="C746" s="2616" t="s">
        <v>7872</v>
      </c>
      <c r="D746" s="2618" t="s">
        <v>8551</v>
      </c>
      <c r="E746" s="3798"/>
    </row>
    <row r="747" spans="2:5" ht="12.95" customHeight="1" outlineLevel="1">
      <c r="C747" s="2616" t="s">
        <v>7909</v>
      </c>
      <c r="D747" s="2618">
        <v>40</v>
      </c>
      <c r="E747" s="3798" t="s">
        <v>8621</v>
      </c>
    </row>
    <row r="748" spans="2:5" ht="12.95" customHeight="1" outlineLevel="1">
      <c r="C748" s="2616" t="s">
        <v>8281</v>
      </c>
      <c r="D748" s="2618" t="s">
        <v>8287</v>
      </c>
      <c r="E748" s="3798"/>
    </row>
    <row r="749" spans="2:5" ht="12.95" customHeight="1" outlineLevel="1">
      <c r="C749" s="2616" t="s">
        <v>8282</v>
      </c>
      <c r="D749" s="2618">
        <v>4</v>
      </c>
      <c r="E749" s="3798"/>
    </row>
    <row r="750" spans="2:5" ht="12.95" customHeight="1" outlineLevel="1">
      <c r="C750" s="2616" t="s">
        <v>8283</v>
      </c>
      <c r="D750" s="2618" t="s">
        <v>8309</v>
      </c>
      <c r="E750" s="3798"/>
    </row>
    <row r="751" spans="2:5" ht="12.95" customHeight="1" outlineLevel="1">
      <c r="C751" s="3967"/>
      <c r="D751" s="3968"/>
      <c r="E751" s="3798"/>
    </row>
    <row r="752" spans="2:5" ht="12.95" customHeight="1" outlineLevel="1"/>
    <row r="753" spans="2:5" ht="12.95" customHeight="1" outlineLevel="1">
      <c r="B753" s="3970" t="s">
        <v>7510</v>
      </c>
      <c r="C753" s="3970"/>
      <c r="D753" s="3971" t="s">
        <v>8622</v>
      </c>
      <c r="E753" s="3971"/>
    </row>
    <row r="754" spans="2:5" ht="12.95" customHeight="1" outlineLevel="1">
      <c r="C754" s="2616" t="s">
        <v>7826</v>
      </c>
      <c r="D754" s="2618">
        <v>6</v>
      </c>
      <c r="E754" s="3798" t="s">
        <v>8627</v>
      </c>
    </row>
    <row r="755" spans="2:5" ht="12.95" customHeight="1" outlineLevel="1">
      <c r="C755" s="3965" t="s">
        <v>7910</v>
      </c>
      <c r="D755" s="2618" t="s">
        <v>8623</v>
      </c>
      <c r="E755" s="3798"/>
    </row>
    <row r="756" spans="2:5" ht="12.95" customHeight="1" outlineLevel="1">
      <c r="C756" s="3966"/>
      <c r="D756" s="2618" t="s">
        <v>8624</v>
      </c>
      <c r="E756" s="3798" t="s">
        <v>8628</v>
      </c>
    </row>
    <row r="757" spans="2:5" ht="12.95" customHeight="1" outlineLevel="1">
      <c r="C757" s="2616" t="s">
        <v>7871</v>
      </c>
      <c r="D757" s="2618">
        <v>15</v>
      </c>
      <c r="E757" s="3798"/>
    </row>
    <row r="758" spans="2:5" ht="12.95" customHeight="1" outlineLevel="1">
      <c r="C758" s="2616" t="s">
        <v>7872</v>
      </c>
      <c r="D758" s="2618">
        <v>13</v>
      </c>
      <c r="E758" s="3798"/>
    </row>
    <row r="759" spans="2:5" ht="12.95" customHeight="1" outlineLevel="1">
      <c r="C759" s="2616" t="s">
        <v>7909</v>
      </c>
      <c r="D759" s="2618" t="s">
        <v>8625</v>
      </c>
      <c r="E759" s="3798"/>
    </row>
    <row r="760" spans="2:5" ht="12.95" customHeight="1" outlineLevel="1">
      <c r="C760" s="2616" t="s">
        <v>8281</v>
      </c>
      <c r="D760" s="2618" t="s">
        <v>8314</v>
      </c>
      <c r="E760" s="3250" t="s">
        <v>10123</v>
      </c>
    </row>
    <row r="761" spans="2:5" ht="12.95" customHeight="1" outlineLevel="1">
      <c r="C761" s="2616" t="s">
        <v>8282</v>
      </c>
      <c r="D761" s="2618">
        <v>2</v>
      </c>
      <c r="E761" s="3250"/>
    </row>
    <row r="762" spans="2:5" ht="12.95" customHeight="1" outlineLevel="1">
      <c r="C762" s="2616" t="s">
        <v>8283</v>
      </c>
      <c r="D762" s="2618" t="s">
        <v>8626</v>
      </c>
      <c r="E762" s="3250"/>
    </row>
    <row r="763" spans="2:5" ht="12.95" customHeight="1" outlineLevel="1">
      <c r="C763" s="3967"/>
      <c r="D763" s="3968"/>
      <c r="E763" s="3250"/>
    </row>
    <row r="764" spans="2:5" ht="12.95" customHeight="1" outlineLevel="1">
      <c r="E764" s="3250"/>
    </row>
    <row r="765" spans="2:5" ht="12.95" customHeight="1" outlineLevel="1">
      <c r="E765" s="3250"/>
    </row>
    <row r="766" spans="2:5" ht="12.95" customHeight="1" outlineLevel="1"/>
    <row r="767" spans="2:5" ht="12.95" customHeight="1" outlineLevel="1">
      <c r="B767" s="3970" t="s">
        <v>7510</v>
      </c>
      <c r="C767" s="3970"/>
      <c r="D767" s="3971" t="s">
        <v>8629</v>
      </c>
      <c r="E767" s="3971"/>
    </row>
    <row r="768" spans="2:5" ht="12.95" customHeight="1" outlineLevel="1">
      <c r="C768" s="2616" t="s">
        <v>7826</v>
      </c>
      <c r="D768" s="2618">
        <v>7</v>
      </c>
      <c r="E768" s="3798" t="s">
        <v>9808</v>
      </c>
    </row>
    <row r="769" spans="2:5" ht="12.95" customHeight="1" outlineLevel="1">
      <c r="C769" s="3965" t="s">
        <v>7910</v>
      </c>
      <c r="D769" s="2618">
        <v>30</v>
      </c>
      <c r="E769" s="3798"/>
    </row>
    <row r="770" spans="2:5" ht="12.95" customHeight="1" outlineLevel="1">
      <c r="C770" s="3966"/>
      <c r="D770" s="2618">
        <v>40</v>
      </c>
      <c r="E770" s="3798"/>
    </row>
    <row r="771" spans="2:5" ht="12.95" customHeight="1" outlineLevel="1">
      <c r="C771" s="2616" t="s">
        <v>7871</v>
      </c>
      <c r="D771" s="2618" t="s">
        <v>8630</v>
      </c>
      <c r="E771" s="3798" t="s">
        <v>8633</v>
      </c>
    </row>
    <row r="772" spans="2:5" ht="12.95" customHeight="1" outlineLevel="1">
      <c r="C772" s="2616" t="s">
        <v>7872</v>
      </c>
      <c r="D772" s="2618">
        <v>18</v>
      </c>
      <c r="E772" s="3798"/>
    </row>
    <row r="773" spans="2:5" ht="12.95" customHeight="1" outlineLevel="1">
      <c r="C773" s="2616" t="s">
        <v>7909</v>
      </c>
      <c r="D773" s="2618" t="s">
        <v>8387</v>
      </c>
      <c r="E773" s="3798" t="s">
        <v>9809</v>
      </c>
    </row>
    <row r="774" spans="2:5" ht="12.95" customHeight="1" outlineLevel="1">
      <c r="C774" s="2616" t="s">
        <v>8281</v>
      </c>
      <c r="D774" s="2618" t="s">
        <v>8631</v>
      </c>
      <c r="E774" s="3798"/>
    </row>
    <row r="775" spans="2:5" ht="12.95" customHeight="1" outlineLevel="1">
      <c r="C775" s="2616" t="s">
        <v>8282</v>
      </c>
      <c r="D775" s="2618">
        <v>2</v>
      </c>
      <c r="E775" s="3798"/>
    </row>
    <row r="776" spans="2:5" ht="12.95" customHeight="1" outlineLevel="1">
      <c r="C776" s="2616" t="s">
        <v>8283</v>
      </c>
      <c r="D776" s="2618" t="s">
        <v>8632</v>
      </c>
      <c r="E776" s="3798"/>
    </row>
    <row r="777" spans="2:5" ht="12.95" customHeight="1" outlineLevel="1">
      <c r="C777" s="3967" t="s">
        <v>8452</v>
      </c>
      <c r="D777" s="3968"/>
      <c r="E777" s="3798"/>
    </row>
    <row r="779" spans="2:5" ht="12.95" customHeight="1">
      <c r="B779" s="3969" t="s">
        <v>8634</v>
      </c>
      <c r="C779" s="3969"/>
      <c r="D779" s="3964" t="s">
        <v>2015</v>
      </c>
      <c r="E779" s="3964"/>
    </row>
    <row r="780" spans="2:5" ht="12.95" customHeight="1" outlineLevel="1">
      <c r="C780" s="2619" t="s">
        <v>7826</v>
      </c>
      <c r="D780" s="2621">
        <v>1</v>
      </c>
      <c r="E780" s="3798" t="s">
        <v>8635</v>
      </c>
    </row>
    <row r="781" spans="2:5" ht="12.95" customHeight="1" outlineLevel="1">
      <c r="C781" s="3965" t="s">
        <v>7910</v>
      </c>
      <c r="D781" s="2621">
        <v>1</v>
      </c>
      <c r="E781" s="3798"/>
    </row>
    <row r="782" spans="2:5" ht="12.95" customHeight="1" outlineLevel="1">
      <c r="C782" s="3966"/>
      <c r="D782" s="2621">
        <v>1</v>
      </c>
      <c r="E782" s="2622" t="s">
        <v>8573</v>
      </c>
    </row>
    <row r="783" spans="2:5" ht="12.95" customHeight="1" outlineLevel="1">
      <c r="C783" s="2619" t="s">
        <v>7871</v>
      </c>
      <c r="D783" s="2621">
        <v>1</v>
      </c>
      <c r="E783" s="3798" t="s">
        <v>8636</v>
      </c>
    </row>
    <row r="784" spans="2:5" ht="12.95" customHeight="1" outlineLevel="1">
      <c r="C784" s="2619" t="s">
        <v>7872</v>
      </c>
      <c r="D784" s="2621">
        <v>1</v>
      </c>
      <c r="E784" s="3798"/>
    </row>
    <row r="785" spans="2:5" ht="12.95" customHeight="1" outlineLevel="1">
      <c r="C785" s="2619" t="s">
        <v>7909</v>
      </c>
      <c r="D785" s="2621">
        <v>1</v>
      </c>
      <c r="E785" s="3798"/>
    </row>
    <row r="786" spans="2:5" ht="12.95" customHeight="1" outlineLevel="1">
      <c r="C786" s="2619" t="s">
        <v>8281</v>
      </c>
      <c r="D786" s="2621">
        <v>3</v>
      </c>
      <c r="E786" s="3798"/>
    </row>
    <row r="787" spans="2:5" ht="12.95" customHeight="1" outlineLevel="1">
      <c r="C787" s="2619" t="s">
        <v>8282</v>
      </c>
      <c r="D787" s="2621">
        <v>25</v>
      </c>
      <c r="E787" s="3798"/>
    </row>
    <row r="788" spans="2:5" ht="12.95" customHeight="1" outlineLevel="1">
      <c r="C788" s="2619" t="s">
        <v>8283</v>
      </c>
      <c r="D788" s="2621">
        <v>10</v>
      </c>
      <c r="E788" s="3798"/>
    </row>
    <row r="789" spans="2:5" ht="12.95" customHeight="1" outlineLevel="1">
      <c r="C789" s="3967"/>
      <c r="D789" s="3968"/>
      <c r="E789" s="3798"/>
    </row>
    <row r="790" spans="2:5" ht="12.95" customHeight="1" outlineLevel="1"/>
    <row r="791" spans="2:5" ht="12.95" customHeight="1" outlineLevel="1">
      <c r="B791" s="3969" t="s">
        <v>8634</v>
      </c>
      <c r="C791" s="3969"/>
      <c r="D791" s="3964" t="s">
        <v>2014</v>
      </c>
      <c r="E791" s="3964"/>
    </row>
    <row r="792" spans="2:5" ht="12.95" customHeight="1" outlineLevel="1">
      <c r="C792" s="2619" t="s">
        <v>7826</v>
      </c>
      <c r="D792" s="2621">
        <v>1</v>
      </c>
      <c r="E792" s="3798" t="s">
        <v>8637</v>
      </c>
    </row>
    <row r="793" spans="2:5" ht="12.95" customHeight="1" outlineLevel="1">
      <c r="C793" s="3965" t="s">
        <v>7910</v>
      </c>
      <c r="D793" s="2621">
        <v>1</v>
      </c>
      <c r="E793" s="3798"/>
    </row>
    <row r="794" spans="2:5" ht="12.95" customHeight="1" outlineLevel="1">
      <c r="C794" s="3966"/>
      <c r="D794" s="2621">
        <v>3</v>
      </c>
      <c r="E794" s="2622" t="s">
        <v>8638</v>
      </c>
    </row>
    <row r="795" spans="2:5" ht="12.95" customHeight="1" outlineLevel="1">
      <c r="C795" s="2619" t="s">
        <v>7871</v>
      </c>
      <c r="D795" s="2621">
        <v>4</v>
      </c>
      <c r="E795" s="3798" t="s">
        <v>8639</v>
      </c>
    </row>
    <row r="796" spans="2:5" ht="12.95" customHeight="1" outlineLevel="1">
      <c r="C796" s="2619" t="s">
        <v>7872</v>
      </c>
      <c r="D796" s="2621">
        <v>2</v>
      </c>
      <c r="E796" s="3798"/>
    </row>
    <row r="797" spans="2:5" ht="12.95" customHeight="1" outlineLevel="1">
      <c r="C797" s="2619" t="s">
        <v>7909</v>
      </c>
      <c r="D797" s="2621">
        <v>4</v>
      </c>
      <c r="E797" s="3798"/>
    </row>
    <row r="798" spans="2:5" ht="12.95" customHeight="1" outlineLevel="1">
      <c r="C798" s="2619" t="s">
        <v>8281</v>
      </c>
      <c r="D798" s="2621">
        <v>5</v>
      </c>
      <c r="E798" s="3798"/>
    </row>
    <row r="799" spans="2:5" ht="12.95" customHeight="1" outlineLevel="1">
      <c r="C799" s="2619" t="s">
        <v>8282</v>
      </c>
      <c r="D799" s="2621">
        <v>15</v>
      </c>
      <c r="E799" s="3798"/>
    </row>
    <row r="800" spans="2:5" ht="12.95" customHeight="1" outlineLevel="1">
      <c r="C800" s="2619" t="s">
        <v>8283</v>
      </c>
      <c r="D800" s="2621">
        <v>40</v>
      </c>
      <c r="E800" s="3798"/>
    </row>
    <row r="801" spans="2:5" ht="12.95" customHeight="1" outlineLevel="1">
      <c r="C801" s="3967"/>
      <c r="D801" s="3968"/>
      <c r="E801" s="3798"/>
    </row>
    <row r="802" spans="2:5" ht="12.95" customHeight="1" outlineLevel="1"/>
    <row r="803" spans="2:5" ht="12.95" customHeight="1" outlineLevel="1">
      <c r="B803" s="3969" t="s">
        <v>8634</v>
      </c>
      <c r="C803" s="3969"/>
      <c r="D803" s="3964" t="s">
        <v>3472</v>
      </c>
      <c r="E803" s="3964"/>
    </row>
    <row r="804" spans="2:5" ht="12.95" customHeight="1" outlineLevel="1">
      <c r="C804" s="2619" t="s">
        <v>7826</v>
      </c>
      <c r="D804" s="2621">
        <v>2</v>
      </c>
      <c r="E804" s="3798" t="s">
        <v>8640</v>
      </c>
    </row>
    <row r="805" spans="2:5" ht="12.95" customHeight="1" outlineLevel="1">
      <c r="C805" s="3965" t="s">
        <v>7910</v>
      </c>
      <c r="D805" s="2621">
        <v>2</v>
      </c>
      <c r="E805" s="3798"/>
    </row>
    <row r="806" spans="2:5" ht="12.95" customHeight="1" outlineLevel="1">
      <c r="C806" s="3966"/>
      <c r="D806" s="2621">
        <v>3</v>
      </c>
      <c r="E806" s="2622" t="s">
        <v>8573</v>
      </c>
    </row>
    <row r="807" spans="2:5" ht="12.95" customHeight="1" outlineLevel="1">
      <c r="C807" s="2619" t="s">
        <v>7871</v>
      </c>
      <c r="D807" s="2621">
        <v>6</v>
      </c>
      <c r="E807" s="3798" t="s">
        <v>9810</v>
      </c>
    </row>
    <row r="808" spans="2:5" ht="12.95" customHeight="1" outlineLevel="1">
      <c r="C808" s="2619" t="s">
        <v>7872</v>
      </c>
      <c r="D808" s="2621">
        <v>5</v>
      </c>
      <c r="E808" s="3798"/>
    </row>
    <row r="809" spans="2:5" ht="12.95" customHeight="1" outlineLevel="1">
      <c r="C809" s="2619" t="s">
        <v>7909</v>
      </c>
      <c r="D809" s="2621">
        <v>15</v>
      </c>
      <c r="E809" s="3798"/>
    </row>
    <row r="810" spans="2:5" ht="12.95" customHeight="1" outlineLevel="1">
      <c r="C810" s="2619" t="s">
        <v>8281</v>
      </c>
      <c r="D810" s="2621">
        <v>6</v>
      </c>
      <c r="E810" s="3798"/>
    </row>
    <row r="811" spans="2:5" ht="12.95" customHeight="1" outlineLevel="1">
      <c r="C811" s="2619" t="s">
        <v>8282</v>
      </c>
      <c r="D811" s="2621">
        <v>8</v>
      </c>
      <c r="E811" s="3798"/>
    </row>
    <row r="812" spans="2:5" ht="12.95" customHeight="1" outlineLevel="1">
      <c r="C812" s="2619" t="s">
        <v>8283</v>
      </c>
      <c r="D812" s="2621">
        <v>150</v>
      </c>
      <c r="E812" s="3798"/>
    </row>
    <row r="813" spans="2:5" ht="12.95" customHeight="1" outlineLevel="1">
      <c r="C813" s="3967"/>
      <c r="D813" s="3968"/>
      <c r="E813" s="3798"/>
    </row>
    <row r="814" spans="2:5" ht="12.95" customHeight="1" outlineLevel="1"/>
    <row r="815" spans="2:5" ht="12.95" customHeight="1" outlineLevel="1">
      <c r="B815" s="3969" t="s">
        <v>8634</v>
      </c>
      <c r="C815" s="3969"/>
      <c r="D815" s="3964" t="s">
        <v>379</v>
      </c>
      <c r="E815" s="3964"/>
    </row>
    <row r="816" spans="2:5" ht="12.95" customHeight="1" outlineLevel="1">
      <c r="C816" s="2619" t="s">
        <v>7826</v>
      </c>
      <c r="D816" s="2621">
        <v>2</v>
      </c>
      <c r="E816" s="3798" t="s">
        <v>8641</v>
      </c>
    </row>
    <row r="817" spans="2:5" ht="12.95" customHeight="1" outlineLevel="1">
      <c r="C817" s="3965" t="s">
        <v>7910</v>
      </c>
      <c r="D817" s="2621">
        <v>2</v>
      </c>
      <c r="E817" s="3798"/>
    </row>
    <row r="818" spans="2:5" ht="12.95" customHeight="1" outlineLevel="1">
      <c r="C818" s="3966"/>
      <c r="D818" s="2621">
        <v>4</v>
      </c>
      <c r="E818" s="3798" t="s">
        <v>8642</v>
      </c>
    </row>
    <row r="819" spans="2:5" ht="12.95" customHeight="1" outlineLevel="1">
      <c r="C819" s="2619" t="s">
        <v>7871</v>
      </c>
      <c r="D819" s="2621">
        <v>8</v>
      </c>
      <c r="E819" s="3798"/>
    </row>
    <row r="820" spans="2:5" ht="12.95" customHeight="1" outlineLevel="1">
      <c r="C820" s="2619" t="s">
        <v>7872</v>
      </c>
      <c r="D820" s="2621">
        <v>3</v>
      </c>
      <c r="E820" s="3250" t="s">
        <v>10124</v>
      </c>
    </row>
    <row r="821" spans="2:5" ht="12.95" customHeight="1" outlineLevel="1">
      <c r="C821" s="2619" t="s">
        <v>7909</v>
      </c>
      <c r="D821" s="2621">
        <v>10</v>
      </c>
      <c r="E821" s="3250"/>
    </row>
    <row r="822" spans="2:5" ht="12.95" customHeight="1" outlineLevel="1">
      <c r="C822" s="2619" t="s">
        <v>8281</v>
      </c>
      <c r="D822" s="2621">
        <v>6</v>
      </c>
      <c r="E822" s="3250"/>
    </row>
    <row r="823" spans="2:5" ht="12.95" customHeight="1" outlineLevel="1">
      <c r="C823" s="2619" t="s">
        <v>8282</v>
      </c>
      <c r="D823" s="2621">
        <v>8</v>
      </c>
      <c r="E823" s="3250"/>
    </row>
    <row r="824" spans="2:5" ht="12.95" customHeight="1" outlineLevel="1">
      <c r="C824" s="2619" t="s">
        <v>8283</v>
      </c>
      <c r="D824" s="2621">
        <v>100</v>
      </c>
      <c r="E824" s="3250"/>
    </row>
    <row r="825" spans="2:5" ht="12.95" customHeight="1" outlineLevel="1">
      <c r="C825" s="3967"/>
      <c r="D825" s="3968"/>
      <c r="E825" s="3250"/>
    </row>
    <row r="826" spans="2:5" ht="12.95" customHeight="1" outlineLevel="1">
      <c r="E826" s="3250"/>
    </row>
    <row r="827" spans="2:5" ht="12.95" customHeight="1" outlineLevel="1"/>
    <row r="828" spans="2:5" ht="12.95" customHeight="1" outlineLevel="1">
      <c r="B828" s="3969" t="s">
        <v>8634</v>
      </c>
      <c r="C828" s="3969"/>
      <c r="D828" s="3964" t="s">
        <v>901</v>
      </c>
      <c r="E828" s="3964"/>
    </row>
    <row r="829" spans="2:5" ht="12.95" customHeight="1" outlineLevel="1">
      <c r="C829" s="2624" t="s">
        <v>7826</v>
      </c>
      <c r="D829" s="2629">
        <v>3</v>
      </c>
      <c r="E829" s="3798" t="s">
        <v>9811</v>
      </c>
    </row>
    <row r="830" spans="2:5" ht="12.95" customHeight="1" outlineLevel="1">
      <c r="C830" s="3965" t="s">
        <v>7910</v>
      </c>
      <c r="D830" s="2629">
        <v>2</v>
      </c>
      <c r="E830" s="3798"/>
    </row>
    <row r="831" spans="2:5" ht="12.95" customHeight="1" outlineLevel="1">
      <c r="C831" s="3966"/>
      <c r="D831" s="2629">
        <v>6</v>
      </c>
      <c r="E831" s="2628" t="s">
        <v>8643</v>
      </c>
    </row>
    <row r="832" spans="2:5" ht="12.95" customHeight="1" outlineLevel="1">
      <c r="C832" s="2624" t="s">
        <v>7871</v>
      </c>
      <c r="D832" s="2629">
        <v>9</v>
      </c>
      <c r="E832" s="3798" t="s">
        <v>9812</v>
      </c>
    </row>
    <row r="833" spans="2:5" ht="12.95" customHeight="1" outlineLevel="1">
      <c r="C833" s="2624" t="s">
        <v>7872</v>
      </c>
      <c r="D833" s="2629">
        <v>8</v>
      </c>
      <c r="E833" s="3798"/>
    </row>
    <row r="834" spans="2:5" ht="12.95" customHeight="1" outlineLevel="1">
      <c r="C834" s="2624" t="s">
        <v>7909</v>
      </c>
      <c r="D834" s="2629">
        <v>30</v>
      </c>
      <c r="E834" s="3798"/>
    </row>
    <row r="835" spans="2:5" ht="12.95" customHeight="1" outlineLevel="1">
      <c r="C835" s="2624" t="s">
        <v>8281</v>
      </c>
      <c r="D835" s="2629">
        <v>7</v>
      </c>
      <c r="E835" s="3798"/>
    </row>
    <row r="836" spans="2:5" ht="12.95" customHeight="1" outlineLevel="1">
      <c r="C836" s="2624" t="s">
        <v>8282</v>
      </c>
      <c r="D836" s="2629">
        <v>7</v>
      </c>
      <c r="E836" s="3798"/>
    </row>
    <row r="837" spans="2:5" ht="12.95" customHeight="1" outlineLevel="1">
      <c r="C837" s="2624" t="s">
        <v>8283</v>
      </c>
      <c r="D837" s="2629">
        <v>200</v>
      </c>
      <c r="E837" s="3798"/>
    </row>
    <row r="838" spans="2:5" ht="12.95" customHeight="1" outlineLevel="1">
      <c r="C838" s="3967"/>
      <c r="D838" s="3968"/>
      <c r="E838" s="3798"/>
    </row>
    <row r="839" spans="2:5" ht="12.95" customHeight="1" outlineLevel="1"/>
    <row r="840" spans="2:5" ht="12.95" customHeight="1" outlineLevel="1">
      <c r="B840" s="3969" t="s">
        <v>8634</v>
      </c>
      <c r="C840" s="3969"/>
      <c r="D840" s="3964" t="s">
        <v>1596</v>
      </c>
      <c r="E840" s="3964"/>
    </row>
    <row r="841" spans="2:5" ht="12.95" customHeight="1" outlineLevel="1">
      <c r="C841" s="2624" t="s">
        <v>7826</v>
      </c>
      <c r="D841" s="2629">
        <v>3</v>
      </c>
      <c r="E841" s="3798" t="s">
        <v>9813</v>
      </c>
    </row>
    <row r="842" spans="2:5" ht="12.95" customHeight="1" outlineLevel="1">
      <c r="C842" s="3965" t="s">
        <v>7910</v>
      </c>
      <c r="D842" s="2629">
        <v>3</v>
      </c>
      <c r="E842" s="3798"/>
    </row>
    <row r="843" spans="2:5" ht="12.95" customHeight="1" outlineLevel="1">
      <c r="C843" s="3966"/>
      <c r="D843" s="2629">
        <v>5</v>
      </c>
      <c r="E843" s="3798" t="s">
        <v>8644</v>
      </c>
    </row>
    <row r="844" spans="2:5" ht="12.95" customHeight="1" outlineLevel="1">
      <c r="C844" s="2624" t="s">
        <v>7871</v>
      </c>
      <c r="D844" s="2629">
        <v>7</v>
      </c>
      <c r="E844" s="3798"/>
    </row>
    <row r="845" spans="2:5" ht="12.95" customHeight="1" outlineLevel="1">
      <c r="C845" s="2624" t="s">
        <v>7872</v>
      </c>
      <c r="D845" s="2629">
        <v>7</v>
      </c>
      <c r="E845" s="3798"/>
    </row>
    <row r="846" spans="2:5" ht="12.95" customHeight="1" outlineLevel="1">
      <c r="C846" s="2624" t="s">
        <v>7909</v>
      </c>
      <c r="D846" s="2629">
        <v>30</v>
      </c>
      <c r="E846" s="3798"/>
    </row>
    <row r="847" spans="2:5" ht="12.95" customHeight="1" outlineLevel="1">
      <c r="C847" s="2624" t="s">
        <v>8281</v>
      </c>
      <c r="D847" s="2629">
        <v>5</v>
      </c>
      <c r="E847" s="3798" t="s">
        <v>9814</v>
      </c>
    </row>
    <row r="848" spans="2:5" ht="12.95" customHeight="1" outlineLevel="1">
      <c r="C848" s="2624" t="s">
        <v>8282</v>
      </c>
      <c r="D848" s="2629">
        <v>7</v>
      </c>
      <c r="E848" s="3798"/>
    </row>
    <row r="849" spans="2:5" ht="12.95" customHeight="1" outlineLevel="1">
      <c r="C849" s="2624" t="s">
        <v>8283</v>
      </c>
      <c r="D849" s="2629">
        <v>300</v>
      </c>
      <c r="E849" s="3798"/>
    </row>
    <row r="850" spans="2:5" ht="12.95" customHeight="1" outlineLevel="1">
      <c r="C850" s="3967"/>
      <c r="D850" s="3968"/>
      <c r="E850" s="3798"/>
    </row>
    <row r="851" spans="2:5" ht="12.95" customHeight="1" outlineLevel="1"/>
    <row r="852" spans="2:5" ht="12.95" customHeight="1" outlineLevel="1">
      <c r="B852" s="3969" t="s">
        <v>8634</v>
      </c>
      <c r="C852" s="3969"/>
      <c r="D852" s="3964" t="s">
        <v>644</v>
      </c>
      <c r="E852" s="3964"/>
    </row>
    <row r="853" spans="2:5" ht="12.95" customHeight="1" outlineLevel="1">
      <c r="C853" s="2624" t="s">
        <v>7826</v>
      </c>
      <c r="D853" s="2629">
        <v>4</v>
      </c>
      <c r="E853" s="3798" t="s">
        <v>9815</v>
      </c>
    </row>
    <row r="854" spans="2:5" ht="12.95" customHeight="1" outlineLevel="1">
      <c r="C854" s="3965" t="s">
        <v>7910</v>
      </c>
      <c r="D854" s="2629">
        <v>8</v>
      </c>
      <c r="E854" s="3798"/>
    </row>
    <row r="855" spans="2:5" ht="12.95" customHeight="1" outlineLevel="1">
      <c r="C855" s="3966"/>
      <c r="D855" s="2629">
        <v>10</v>
      </c>
      <c r="E855" s="3798"/>
    </row>
    <row r="856" spans="2:5" ht="12.95" customHeight="1" outlineLevel="1">
      <c r="C856" s="2624" t="s">
        <v>7871</v>
      </c>
      <c r="D856" s="2629">
        <v>12</v>
      </c>
      <c r="E856" s="2628" t="s">
        <v>8645</v>
      </c>
    </row>
    <row r="857" spans="2:5" ht="12.95" customHeight="1" outlineLevel="1">
      <c r="C857" s="2624" t="s">
        <v>7872</v>
      </c>
      <c r="D857" s="2629">
        <v>10</v>
      </c>
      <c r="E857" s="3250" t="s">
        <v>9816</v>
      </c>
    </row>
    <row r="858" spans="2:5" ht="12.95" customHeight="1" outlineLevel="1">
      <c r="C858" s="2624" t="s">
        <v>7909</v>
      </c>
      <c r="D858" s="2629">
        <v>15</v>
      </c>
      <c r="E858" s="3250"/>
    </row>
    <row r="859" spans="2:5" ht="12.95" customHeight="1" outlineLevel="1">
      <c r="C859" s="2624" t="s">
        <v>8281</v>
      </c>
      <c r="D859" s="2629">
        <v>9</v>
      </c>
      <c r="E859" s="3250"/>
    </row>
    <row r="860" spans="2:5" ht="12.95" customHeight="1" outlineLevel="1">
      <c r="C860" s="2624" t="s">
        <v>8282</v>
      </c>
      <c r="D860" s="2629">
        <v>4</v>
      </c>
      <c r="E860" s="3250"/>
    </row>
    <row r="861" spans="2:5" ht="12.95" customHeight="1" outlineLevel="1">
      <c r="C861" s="2624" t="s">
        <v>8283</v>
      </c>
      <c r="D861" s="2629">
        <v>400</v>
      </c>
      <c r="E861" s="3250"/>
    </row>
    <row r="862" spans="2:5" ht="12.95" customHeight="1" outlineLevel="1">
      <c r="C862" s="3967"/>
      <c r="D862" s="3968"/>
      <c r="E862" s="3250"/>
    </row>
    <row r="863" spans="2:5" ht="12.95" customHeight="1" outlineLevel="1">
      <c r="E863" s="3250"/>
    </row>
    <row r="864" spans="2:5" ht="12.95" customHeight="1" outlineLevel="1"/>
    <row r="865" spans="2:5" ht="12.95" customHeight="1" outlineLevel="1">
      <c r="B865" s="3969" t="s">
        <v>8634</v>
      </c>
      <c r="C865" s="3969"/>
      <c r="D865" s="3964" t="s">
        <v>1984</v>
      </c>
      <c r="E865" s="3964"/>
    </row>
    <row r="866" spans="2:5" ht="12.95" customHeight="1" outlineLevel="1">
      <c r="C866" s="2624" t="s">
        <v>7826</v>
      </c>
      <c r="D866" s="2629">
        <v>5</v>
      </c>
      <c r="E866" s="3798" t="s">
        <v>9817</v>
      </c>
    </row>
    <row r="867" spans="2:5" ht="12.95" customHeight="1" outlineLevel="1">
      <c r="C867" s="3965" t="s">
        <v>7910</v>
      </c>
      <c r="D867" s="2629">
        <v>8</v>
      </c>
      <c r="E867" s="3798"/>
    </row>
    <row r="868" spans="2:5" ht="12.95" customHeight="1" outlineLevel="1">
      <c r="C868" s="3966"/>
      <c r="D868" s="2629">
        <v>10</v>
      </c>
      <c r="E868" s="3798" t="s">
        <v>8646</v>
      </c>
    </row>
    <row r="869" spans="2:5" ht="12.95" customHeight="1" outlineLevel="1">
      <c r="C869" s="2624" t="s">
        <v>7871</v>
      </c>
      <c r="D869" s="2629">
        <v>11</v>
      </c>
      <c r="E869" s="3798"/>
    </row>
    <row r="870" spans="2:5" ht="12.95" customHeight="1" outlineLevel="1">
      <c r="C870" s="2624" t="s">
        <v>7872</v>
      </c>
      <c r="D870" s="2629">
        <v>12</v>
      </c>
      <c r="E870" s="3798" t="s">
        <v>9818</v>
      </c>
    </row>
    <row r="871" spans="2:5" ht="12.95" customHeight="1" outlineLevel="1">
      <c r="C871" s="2624" t="s">
        <v>7909</v>
      </c>
      <c r="D871" s="2629">
        <v>50</v>
      </c>
      <c r="E871" s="3798"/>
    </row>
    <row r="872" spans="2:5" ht="12.95" customHeight="1" outlineLevel="1">
      <c r="C872" s="2624" t="s">
        <v>8281</v>
      </c>
      <c r="D872" s="2629">
        <v>5</v>
      </c>
      <c r="E872" s="3798"/>
    </row>
    <row r="873" spans="2:5" ht="12.95" customHeight="1" outlineLevel="1">
      <c r="C873" s="2624" t="s">
        <v>8282</v>
      </c>
      <c r="D873" s="2629">
        <v>3</v>
      </c>
      <c r="E873" s="3798"/>
    </row>
    <row r="874" spans="2:5" ht="12.95" customHeight="1" outlineLevel="1">
      <c r="C874" s="2624" t="s">
        <v>8283</v>
      </c>
      <c r="D874" s="2629">
        <v>500</v>
      </c>
      <c r="E874" s="3798"/>
    </row>
    <row r="875" spans="2:5" ht="12.95" customHeight="1" outlineLevel="1">
      <c r="C875" s="3967"/>
      <c r="D875" s="3968"/>
      <c r="E875" s="3798"/>
    </row>
    <row r="876" spans="2:5" ht="12.95" customHeight="1" outlineLevel="1"/>
    <row r="877" spans="2:5" ht="12.95" customHeight="1" outlineLevel="1">
      <c r="B877" s="3969" t="s">
        <v>8634</v>
      </c>
      <c r="C877" s="3969"/>
      <c r="D877" s="3964" t="s">
        <v>640</v>
      </c>
      <c r="E877" s="3964"/>
    </row>
    <row r="878" spans="2:5" ht="12.95" customHeight="1" outlineLevel="1">
      <c r="C878" s="2624" t="s">
        <v>7826</v>
      </c>
      <c r="D878" s="2629">
        <v>5</v>
      </c>
      <c r="E878" s="3798" t="s">
        <v>9819</v>
      </c>
    </row>
    <row r="879" spans="2:5" ht="12.95" customHeight="1" outlineLevel="1">
      <c r="C879" s="3965" t="s">
        <v>7910</v>
      </c>
      <c r="D879" s="2629">
        <v>10</v>
      </c>
      <c r="E879" s="3798"/>
    </row>
    <row r="880" spans="2:5" ht="12.95" customHeight="1" outlineLevel="1">
      <c r="C880" s="3966"/>
      <c r="D880" s="2629">
        <v>15</v>
      </c>
      <c r="E880" s="2628" t="s">
        <v>8647</v>
      </c>
    </row>
    <row r="881" spans="2:5" ht="12.95" customHeight="1" outlineLevel="1">
      <c r="C881" s="2624" t="s">
        <v>7871</v>
      </c>
      <c r="D881" s="2629">
        <v>14</v>
      </c>
      <c r="E881" s="3798" t="s">
        <v>9820</v>
      </c>
    </row>
    <row r="882" spans="2:5" ht="12.95" customHeight="1" outlineLevel="1">
      <c r="C882" s="2624" t="s">
        <v>7872</v>
      </c>
      <c r="D882" s="2629">
        <v>7</v>
      </c>
      <c r="E882" s="3798"/>
    </row>
    <row r="883" spans="2:5" ht="12.95" customHeight="1" outlineLevel="1">
      <c r="C883" s="2624" t="s">
        <v>7909</v>
      </c>
      <c r="D883" s="2629">
        <v>40</v>
      </c>
      <c r="E883" s="3798"/>
    </row>
    <row r="884" spans="2:5" ht="12.95" customHeight="1" outlineLevel="1">
      <c r="C884" s="2624" t="s">
        <v>8281</v>
      </c>
      <c r="D884" s="2629">
        <v>7</v>
      </c>
      <c r="E884" s="3798"/>
    </row>
    <row r="885" spans="2:5" ht="12.95" customHeight="1" outlineLevel="1">
      <c r="C885" s="2624" t="s">
        <v>8282</v>
      </c>
      <c r="D885" s="2629">
        <v>3</v>
      </c>
      <c r="E885" s="3798"/>
    </row>
    <row r="886" spans="2:5" ht="12.95" customHeight="1" outlineLevel="1">
      <c r="C886" s="2624" t="s">
        <v>8283</v>
      </c>
      <c r="D886" s="2629">
        <v>500</v>
      </c>
      <c r="E886" s="3798"/>
    </row>
    <row r="887" spans="2:5" ht="12.95" customHeight="1" outlineLevel="1">
      <c r="C887" s="3967"/>
      <c r="D887" s="3968"/>
      <c r="E887" s="3798"/>
    </row>
    <row r="888" spans="2:5" ht="12.95" customHeight="1" outlineLevel="1">
      <c r="C888" s="2623"/>
      <c r="D888" s="2623"/>
      <c r="E888" s="2623"/>
    </row>
    <row r="889" spans="2:5" ht="12.95" customHeight="1" outlineLevel="1">
      <c r="B889" s="3969" t="s">
        <v>8634</v>
      </c>
      <c r="C889" s="3969"/>
      <c r="D889" s="3964" t="s">
        <v>2534</v>
      </c>
      <c r="E889" s="3964"/>
    </row>
    <row r="890" spans="2:5" ht="12.95" customHeight="1" outlineLevel="1">
      <c r="C890" s="2624" t="s">
        <v>7826</v>
      </c>
      <c r="D890" s="2629">
        <v>6</v>
      </c>
      <c r="E890" s="3798" t="s">
        <v>8648</v>
      </c>
    </row>
    <row r="891" spans="2:5" ht="12.95" customHeight="1" outlineLevel="1">
      <c r="C891" s="3965" t="s">
        <v>7910</v>
      </c>
      <c r="D891" s="2629">
        <v>10</v>
      </c>
      <c r="E891" s="3798"/>
    </row>
    <row r="892" spans="2:5" ht="12.95" customHeight="1" outlineLevel="1">
      <c r="C892" s="3966"/>
      <c r="D892" s="2629">
        <v>14</v>
      </c>
      <c r="E892" s="3798" t="s">
        <v>8649</v>
      </c>
    </row>
    <row r="893" spans="2:5" ht="12.95" customHeight="1" outlineLevel="1">
      <c r="C893" s="2624" t="s">
        <v>7871</v>
      </c>
      <c r="D893" s="2629">
        <v>13</v>
      </c>
      <c r="E893" s="3798"/>
    </row>
    <row r="894" spans="2:5" ht="12.95" customHeight="1" outlineLevel="1">
      <c r="C894" s="2624" t="s">
        <v>7872</v>
      </c>
      <c r="D894" s="2629">
        <v>12</v>
      </c>
      <c r="E894" s="3250" t="s">
        <v>9821</v>
      </c>
    </row>
    <row r="895" spans="2:5" ht="12.95" customHeight="1" outlineLevel="1">
      <c r="C895" s="2624" t="s">
        <v>7909</v>
      </c>
      <c r="D895" s="2629">
        <v>60</v>
      </c>
      <c r="E895" s="3250"/>
    </row>
    <row r="896" spans="2:5" ht="12.95" customHeight="1" outlineLevel="1">
      <c r="C896" s="2624" t="s">
        <v>8281</v>
      </c>
      <c r="D896" s="2629">
        <v>5</v>
      </c>
      <c r="E896" s="3250"/>
    </row>
    <row r="897" spans="2:5" ht="12.95" customHeight="1" outlineLevel="1">
      <c r="C897" s="2624" t="s">
        <v>8282</v>
      </c>
      <c r="D897" s="2629">
        <v>2</v>
      </c>
      <c r="E897" s="3250"/>
    </row>
    <row r="898" spans="2:5" ht="12.95" customHeight="1" outlineLevel="1">
      <c r="C898" s="2624" t="s">
        <v>8283</v>
      </c>
      <c r="D898" s="2629">
        <v>750</v>
      </c>
      <c r="E898" s="3250"/>
    </row>
    <row r="899" spans="2:5" ht="12.95" customHeight="1" outlineLevel="1">
      <c r="C899" s="3967"/>
      <c r="D899" s="3968"/>
      <c r="E899" s="3250"/>
    </row>
    <row r="900" spans="2:5" ht="12.95" customHeight="1" outlineLevel="1">
      <c r="E900" s="3250"/>
    </row>
    <row r="901" spans="2:5" ht="12.95" customHeight="1" outlineLevel="1"/>
    <row r="902" spans="2:5" ht="12.95" customHeight="1" outlineLevel="1">
      <c r="B902" s="3969" t="s">
        <v>8634</v>
      </c>
      <c r="C902" s="3969"/>
      <c r="D902" s="3964" t="s">
        <v>1063</v>
      </c>
      <c r="E902" s="3964"/>
    </row>
    <row r="903" spans="2:5" ht="12.95" customHeight="1" outlineLevel="1">
      <c r="C903" s="2624" t="s">
        <v>7826</v>
      </c>
      <c r="D903" s="2629">
        <v>6</v>
      </c>
      <c r="E903" s="3798" t="s">
        <v>8650</v>
      </c>
    </row>
    <row r="904" spans="2:5" ht="12.95" customHeight="1" outlineLevel="1">
      <c r="C904" s="3965" t="s">
        <v>7910</v>
      </c>
      <c r="D904" s="2629">
        <v>14</v>
      </c>
      <c r="E904" s="3798"/>
    </row>
    <row r="905" spans="2:5" ht="12.95" customHeight="1" outlineLevel="1">
      <c r="C905" s="3966"/>
      <c r="D905" s="2629">
        <v>14</v>
      </c>
      <c r="E905" s="3798"/>
    </row>
    <row r="906" spans="2:5" ht="12.95" customHeight="1" outlineLevel="1">
      <c r="C906" s="2624" t="s">
        <v>7871</v>
      </c>
      <c r="D906" s="2629">
        <v>17</v>
      </c>
      <c r="E906" s="3798" t="s">
        <v>8651</v>
      </c>
    </row>
    <row r="907" spans="2:5" ht="12.95" customHeight="1" outlineLevel="1">
      <c r="C907" s="2624" t="s">
        <v>7872</v>
      </c>
      <c r="D907" s="2629">
        <v>12</v>
      </c>
      <c r="E907" s="3798"/>
    </row>
    <row r="908" spans="2:5" ht="12.95" customHeight="1" outlineLevel="1">
      <c r="C908" s="2624" t="s">
        <v>7909</v>
      </c>
      <c r="D908" s="2629">
        <v>30</v>
      </c>
      <c r="E908" s="3798"/>
    </row>
    <row r="909" spans="2:5" ht="12.95" customHeight="1" outlineLevel="1">
      <c r="C909" s="2624" t="s">
        <v>8281</v>
      </c>
      <c r="D909" s="2629">
        <v>9</v>
      </c>
      <c r="E909" s="3250" t="s">
        <v>8652</v>
      </c>
    </row>
    <row r="910" spans="2:5" ht="12.95" customHeight="1" outlineLevel="1">
      <c r="C910" s="2624" t="s">
        <v>8282</v>
      </c>
      <c r="D910" s="2629">
        <v>2</v>
      </c>
      <c r="E910" s="3250"/>
    </row>
    <row r="911" spans="2:5" ht="12.95" customHeight="1" outlineLevel="1">
      <c r="C911" s="2624" t="s">
        <v>8283</v>
      </c>
      <c r="D911" s="2629">
        <v>750</v>
      </c>
      <c r="E911" s="3250"/>
    </row>
    <row r="912" spans="2:5" ht="12.95" customHeight="1" outlineLevel="1">
      <c r="C912" s="3967"/>
      <c r="D912" s="3968"/>
      <c r="E912" s="3250"/>
    </row>
    <row r="913" spans="2:5" ht="12.95" customHeight="1" outlineLevel="1">
      <c r="E913" s="3250"/>
    </row>
    <row r="914" spans="2:5" ht="12.95" customHeight="1" outlineLevel="1">
      <c r="E914" s="3250"/>
    </row>
    <row r="915" spans="2:5" ht="12.95" customHeight="1" outlineLevel="1"/>
    <row r="916" spans="2:5" ht="12.95" customHeight="1" outlineLevel="1">
      <c r="B916" s="3969" t="s">
        <v>8634</v>
      </c>
      <c r="C916" s="3969"/>
      <c r="D916" s="3964" t="s">
        <v>1985</v>
      </c>
      <c r="E916" s="3964"/>
    </row>
    <row r="917" spans="2:5" ht="12.95" customHeight="1" outlineLevel="1">
      <c r="C917" s="2624" t="s">
        <v>7826</v>
      </c>
      <c r="D917" s="2629">
        <v>7</v>
      </c>
      <c r="E917" s="3798" t="s">
        <v>8654</v>
      </c>
    </row>
    <row r="918" spans="2:5" ht="12.95" customHeight="1" outlineLevel="1">
      <c r="C918" s="3965" t="s">
        <v>7910</v>
      </c>
      <c r="D918" s="2629">
        <v>20</v>
      </c>
      <c r="E918" s="3798"/>
    </row>
    <row r="919" spans="2:5" ht="12.95" customHeight="1" outlineLevel="1">
      <c r="C919" s="3966"/>
      <c r="D919" s="2629">
        <v>30</v>
      </c>
      <c r="E919" s="3798" t="s">
        <v>9822</v>
      </c>
    </row>
    <row r="920" spans="2:5" ht="12.95" customHeight="1" outlineLevel="1">
      <c r="C920" s="2624" t="s">
        <v>7871</v>
      </c>
      <c r="D920" s="2629">
        <v>20</v>
      </c>
      <c r="E920" s="3798"/>
    </row>
    <row r="921" spans="2:5" ht="12.95" customHeight="1" outlineLevel="1">
      <c r="C921" s="2624" t="s">
        <v>7872</v>
      </c>
      <c r="D921" s="2629">
        <v>20</v>
      </c>
      <c r="E921" s="3798"/>
    </row>
    <row r="922" spans="2:5" ht="12.95" customHeight="1" outlineLevel="1">
      <c r="C922" s="2624" t="s">
        <v>7909</v>
      </c>
      <c r="D922" s="2629">
        <v>500</v>
      </c>
      <c r="E922" s="3798"/>
    </row>
    <row r="923" spans="2:5" ht="12.95" customHeight="1" outlineLevel="1">
      <c r="C923" s="2624" t="s">
        <v>8281</v>
      </c>
      <c r="D923" s="2629">
        <v>15</v>
      </c>
      <c r="E923" s="3250" t="s">
        <v>8655</v>
      </c>
    </row>
    <row r="924" spans="2:5" ht="12.95" customHeight="1" outlineLevel="1">
      <c r="C924" s="2624" t="s">
        <v>8282</v>
      </c>
      <c r="D924" s="2629">
        <v>1</v>
      </c>
      <c r="E924" s="3250"/>
    </row>
    <row r="925" spans="2:5" ht="12.95" customHeight="1" outlineLevel="1">
      <c r="C925" s="2624" t="s">
        <v>8283</v>
      </c>
      <c r="D925" s="2629">
        <v>10000</v>
      </c>
      <c r="E925" s="3250"/>
    </row>
    <row r="926" spans="2:5" ht="12.95" customHeight="1" outlineLevel="1">
      <c r="C926" s="3986" t="s">
        <v>8653</v>
      </c>
      <c r="D926" s="3987"/>
      <c r="E926" s="3250"/>
    </row>
    <row r="927" spans="2:5" ht="12.95" customHeight="1" outlineLevel="1">
      <c r="E927" s="3250"/>
    </row>
    <row r="928" spans="2:5" ht="12.95" customHeight="1" outlineLevel="1"/>
    <row r="929" spans="2:5" ht="12.95" customHeight="1" outlineLevel="1">
      <c r="B929" s="3969" t="s">
        <v>8634</v>
      </c>
      <c r="C929" s="3969"/>
      <c r="D929" s="3964" t="s">
        <v>726</v>
      </c>
      <c r="E929" s="3964"/>
    </row>
    <row r="930" spans="2:5" ht="12.95" customHeight="1" outlineLevel="1">
      <c r="C930" s="2624" t="s">
        <v>7826</v>
      </c>
      <c r="D930" s="2629">
        <v>7</v>
      </c>
      <c r="E930" s="3798" t="s">
        <v>9823</v>
      </c>
    </row>
    <row r="931" spans="2:5" ht="12.95" customHeight="1" outlineLevel="1">
      <c r="C931" s="3965" t="s">
        <v>7910</v>
      </c>
      <c r="D931" s="2629">
        <v>50</v>
      </c>
      <c r="E931" s="3798"/>
    </row>
    <row r="932" spans="2:5" ht="12.95" customHeight="1" outlineLevel="1">
      <c r="C932" s="3966"/>
      <c r="D932" s="2629">
        <v>50</v>
      </c>
      <c r="E932" s="3798" t="s">
        <v>8657</v>
      </c>
    </row>
    <row r="933" spans="2:5" ht="12.95" customHeight="1" outlineLevel="1">
      <c r="C933" s="2624" t="s">
        <v>7871</v>
      </c>
      <c r="D933" s="2629">
        <v>30</v>
      </c>
      <c r="E933" s="3798"/>
    </row>
    <row r="934" spans="2:5" ht="12.95" customHeight="1" outlineLevel="1">
      <c r="C934" s="2624" t="s">
        <v>7872</v>
      </c>
      <c r="D934" s="2629">
        <v>30</v>
      </c>
      <c r="E934" s="3798" t="s">
        <v>9824</v>
      </c>
    </row>
    <row r="935" spans="2:5" ht="12.95" customHeight="1" outlineLevel="1">
      <c r="C935" s="2624" t="s">
        <v>7909</v>
      </c>
      <c r="D935" s="2629">
        <v>750</v>
      </c>
      <c r="E935" s="3798"/>
    </row>
    <row r="936" spans="2:5" ht="12.95" customHeight="1" outlineLevel="1">
      <c r="C936" s="2624" t="s">
        <v>8281</v>
      </c>
      <c r="D936" s="2629">
        <v>17</v>
      </c>
      <c r="E936" s="3798"/>
    </row>
    <row r="937" spans="2:5" ht="12.95" customHeight="1" outlineLevel="1">
      <c r="C937" s="2624" t="s">
        <v>8282</v>
      </c>
      <c r="D937" s="2629">
        <v>1</v>
      </c>
      <c r="E937" s="3798"/>
    </row>
    <row r="938" spans="2:5" ht="12.95" customHeight="1" outlineLevel="1">
      <c r="C938" s="2624" t="s">
        <v>8283</v>
      </c>
      <c r="D938" s="2629">
        <v>15000</v>
      </c>
      <c r="E938" s="3798"/>
    </row>
    <row r="939" spans="2:5" ht="12.95" customHeight="1" outlineLevel="1">
      <c r="C939" s="3976" t="s">
        <v>8656</v>
      </c>
      <c r="D939" s="3977"/>
      <c r="E939" s="3798"/>
    </row>
    <row r="940" spans="2:5" ht="12.95" customHeight="1" outlineLevel="1"/>
    <row r="941" spans="2:5" ht="12.95" customHeight="1" outlineLevel="1">
      <c r="B941" s="3969" t="s">
        <v>8634</v>
      </c>
      <c r="C941" s="3969"/>
      <c r="D941" s="3964" t="s">
        <v>3473</v>
      </c>
      <c r="E941" s="3964"/>
    </row>
    <row r="942" spans="2:5" ht="12.95" customHeight="1" outlineLevel="1">
      <c r="C942" s="2624" t="s">
        <v>7826</v>
      </c>
      <c r="D942" s="2629">
        <v>7</v>
      </c>
      <c r="E942" s="3798" t="s">
        <v>9825</v>
      </c>
    </row>
    <row r="943" spans="2:5" ht="12.95" customHeight="1" outlineLevel="1">
      <c r="C943" s="3965" t="s">
        <v>7910</v>
      </c>
      <c r="D943" s="2629">
        <v>60</v>
      </c>
      <c r="E943" s="3798"/>
    </row>
    <row r="944" spans="2:5" ht="12.95" customHeight="1" outlineLevel="1">
      <c r="C944" s="3966"/>
      <c r="D944" s="2629">
        <v>75</v>
      </c>
      <c r="E944" s="3798"/>
    </row>
    <row r="945" spans="2:5" ht="12.95" customHeight="1" outlineLevel="1">
      <c r="C945" s="2624" t="s">
        <v>7871</v>
      </c>
      <c r="D945" s="2629">
        <v>40</v>
      </c>
      <c r="E945" s="3798" t="s">
        <v>8659</v>
      </c>
    </row>
    <row r="946" spans="2:5" ht="12.95" customHeight="1" outlineLevel="1">
      <c r="C946" s="2624" t="s">
        <v>7872</v>
      </c>
      <c r="D946" s="2629">
        <v>40</v>
      </c>
      <c r="E946" s="3798"/>
    </row>
    <row r="947" spans="2:5" ht="12.95" customHeight="1" outlineLevel="1">
      <c r="C947" s="2624" t="s">
        <v>7909</v>
      </c>
      <c r="D947" s="2629">
        <v>800</v>
      </c>
      <c r="E947" s="3250" t="s">
        <v>10125</v>
      </c>
    </row>
    <row r="948" spans="2:5" ht="12.95" customHeight="1" outlineLevel="1">
      <c r="C948" s="2624" t="s">
        <v>8281</v>
      </c>
      <c r="D948" s="2629">
        <v>16</v>
      </c>
      <c r="E948" s="3250"/>
    </row>
    <row r="949" spans="2:5" ht="12.95" customHeight="1" outlineLevel="1">
      <c r="C949" s="2624" t="s">
        <v>8282</v>
      </c>
      <c r="D949" s="2629">
        <v>1</v>
      </c>
      <c r="E949" s="3250"/>
    </row>
    <row r="950" spans="2:5" ht="12.95" customHeight="1" outlineLevel="1">
      <c r="C950" s="2624" t="s">
        <v>8283</v>
      </c>
      <c r="D950" s="2629">
        <v>20000</v>
      </c>
      <c r="E950" s="3250"/>
    </row>
    <row r="951" spans="2:5" ht="12.95" customHeight="1" outlineLevel="1">
      <c r="C951" s="3972" t="s">
        <v>8658</v>
      </c>
      <c r="D951" s="3973"/>
      <c r="E951" s="3250"/>
    </row>
    <row r="952" spans="2:5" ht="12.95" customHeight="1" outlineLevel="1">
      <c r="E952" s="3250"/>
    </row>
    <row r="953" spans="2:5" ht="12.95" customHeight="1" outlineLevel="1"/>
    <row r="954" spans="2:5" ht="12.95" customHeight="1" outlineLevel="1">
      <c r="B954" s="3969" t="s">
        <v>8634</v>
      </c>
      <c r="C954" s="3969"/>
      <c r="D954" s="3964" t="s">
        <v>727</v>
      </c>
      <c r="E954" s="3964"/>
    </row>
    <row r="955" spans="2:5" ht="12.95" customHeight="1" outlineLevel="1">
      <c r="C955" s="2624" t="s">
        <v>7826</v>
      </c>
      <c r="D955" s="2629">
        <v>7</v>
      </c>
      <c r="E955" s="3798" t="s">
        <v>8661</v>
      </c>
    </row>
    <row r="956" spans="2:5" ht="12.95" customHeight="1" outlineLevel="1">
      <c r="C956" s="3965" t="s">
        <v>7910</v>
      </c>
      <c r="D956" s="2629">
        <v>70</v>
      </c>
      <c r="E956" s="3798"/>
    </row>
    <row r="957" spans="2:5" ht="12.95" customHeight="1" outlineLevel="1">
      <c r="C957" s="3966"/>
      <c r="D957" s="2629">
        <v>80</v>
      </c>
      <c r="E957" s="3798" t="s">
        <v>8662</v>
      </c>
    </row>
    <row r="958" spans="2:5" ht="12.95" customHeight="1" outlineLevel="1">
      <c r="C958" s="2624" t="s">
        <v>7871</v>
      </c>
      <c r="D958" s="2629">
        <v>50</v>
      </c>
      <c r="E958" s="3798"/>
    </row>
    <row r="959" spans="2:5" ht="12.95" customHeight="1" outlineLevel="1">
      <c r="C959" s="2624" t="s">
        <v>7872</v>
      </c>
      <c r="D959" s="2629">
        <v>50</v>
      </c>
      <c r="E959" s="3798" t="s">
        <v>8663</v>
      </c>
    </row>
    <row r="960" spans="2:5" ht="12.95" customHeight="1" outlineLevel="1">
      <c r="C960" s="2624" t="s">
        <v>7909</v>
      </c>
      <c r="D960" s="2629">
        <v>1000</v>
      </c>
      <c r="E960" s="3798"/>
    </row>
    <row r="961" spans="2:5" ht="12.95" customHeight="1" outlineLevel="1">
      <c r="C961" s="2624" t="s">
        <v>8281</v>
      </c>
      <c r="D961" s="2629">
        <v>19</v>
      </c>
      <c r="E961" s="3798"/>
    </row>
    <row r="962" spans="2:5" ht="12.95" customHeight="1" outlineLevel="1">
      <c r="C962" s="2624" t="s">
        <v>8282</v>
      </c>
      <c r="D962" s="2629">
        <v>1</v>
      </c>
      <c r="E962" s="3798"/>
    </row>
    <row r="963" spans="2:5" ht="12.95" customHeight="1" outlineLevel="1">
      <c r="C963" s="2624" t="s">
        <v>8283</v>
      </c>
      <c r="D963" s="2629">
        <v>30000</v>
      </c>
      <c r="E963" s="3798"/>
    </row>
    <row r="964" spans="2:5" ht="12.95" customHeight="1" outlineLevel="1">
      <c r="C964" s="3967" t="s">
        <v>8660</v>
      </c>
      <c r="D964" s="3968"/>
      <c r="E964" s="3798"/>
    </row>
    <row r="966" spans="2:5" ht="12.95" customHeight="1">
      <c r="B966" s="2960"/>
      <c r="C966" s="2960"/>
      <c r="D966" s="2960"/>
      <c r="E966" s="2960"/>
    </row>
  </sheetData>
  <sheetProtection autoFilter="0"/>
  <mergeCells count="518">
    <mergeCell ref="C964:D964"/>
    <mergeCell ref="E955:E956"/>
    <mergeCell ref="E957:E958"/>
    <mergeCell ref="E959:E964"/>
    <mergeCell ref="C943:C944"/>
    <mergeCell ref="C951:D951"/>
    <mergeCell ref="E942:E944"/>
    <mergeCell ref="E945:E946"/>
    <mergeCell ref="E947:E952"/>
    <mergeCell ref="B954:C954"/>
    <mergeCell ref="D954:E954"/>
    <mergeCell ref="C956:C957"/>
    <mergeCell ref="B929:C929"/>
    <mergeCell ref="D929:E929"/>
    <mergeCell ref="C931:C932"/>
    <mergeCell ref="C939:D939"/>
    <mergeCell ref="E930:E931"/>
    <mergeCell ref="E932:E933"/>
    <mergeCell ref="E934:E939"/>
    <mergeCell ref="B941:C941"/>
    <mergeCell ref="D941:E941"/>
    <mergeCell ref="B916:C916"/>
    <mergeCell ref="D916:E916"/>
    <mergeCell ref="C918:C919"/>
    <mergeCell ref="C926:D926"/>
    <mergeCell ref="E917:E918"/>
    <mergeCell ref="E919:E922"/>
    <mergeCell ref="E923:E927"/>
    <mergeCell ref="B902:C902"/>
    <mergeCell ref="D902:E902"/>
    <mergeCell ref="C904:C905"/>
    <mergeCell ref="C912:D912"/>
    <mergeCell ref="E903:E905"/>
    <mergeCell ref="E906:E908"/>
    <mergeCell ref="E909:E914"/>
    <mergeCell ref="B889:C889"/>
    <mergeCell ref="D889:E889"/>
    <mergeCell ref="C891:C892"/>
    <mergeCell ref="C899:D899"/>
    <mergeCell ref="E890:E891"/>
    <mergeCell ref="E892:E893"/>
    <mergeCell ref="E894:E900"/>
    <mergeCell ref="B865:C865"/>
    <mergeCell ref="D865:E865"/>
    <mergeCell ref="C867:C868"/>
    <mergeCell ref="C875:D875"/>
    <mergeCell ref="E866:E867"/>
    <mergeCell ref="E878:E879"/>
    <mergeCell ref="C879:C880"/>
    <mergeCell ref="C887:D887"/>
    <mergeCell ref="E868:E869"/>
    <mergeCell ref="E870:E875"/>
    <mergeCell ref="B877:C877"/>
    <mergeCell ref="D877:E877"/>
    <mergeCell ref="E881:E887"/>
    <mergeCell ref="C842:C843"/>
    <mergeCell ref="C850:D850"/>
    <mergeCell ref="E841:E842"/>
    <mergeCell ref="E843:E846"/>
    <mergeCell ref="E847:E850"/>
    <mergeCell ref="B852:C852"/>
    <mergeCell ref="D852:E852"/>
    <mergeCell ref="C854:C855"/>
    <mergeCell ref="C862:D862"/>
    <mergeCell ref="E853:E855"/>
    <mergeCell ref="E857:E863"/>
    <mergeCell ref="D840:E840"/>
    <mergeCell ref="B767:C767"/>
    <mergeCell ref="D767:E767"/>
    <mergeCell ref="C769:C770"/>
    <mergeCell ref="C777:D777"/>
    <mergeCell ref="E768:E770"/>
    <mergeCell ref="E771:E772"/>
    <mergeCell ref="E773:E777"/>
    <mergeCell ref="B779:C779"/>
    <mergeCell ref="D779:E779"/>
    <mergeCell ref="C781:C782"/>
    <mergeCell ref="C789:D789"/>
    <mergeCell ref="E780:E781"/>
    <mergeCell ref="E783:E789"/>
    <mergeCell ref="B791:C791"/>
    <mergeCell ref="D791:E791"/>
    <mergeCell ref="B815:C815"/>
    <mergeCell ref="B753:C753"/>
    <mergeCell ref="D753:E753"/>
    <mergeCell ref="C755:C756"/>
    <mergeCell ref="C763:D763"/>
    <mergeCell ref="E754:E755"/>
    <mergeCell ref="E756:E759"/>
    <mergeCell ref="E760:E765"/>
    <mergeCell ref="C739:D739"/>
    <mergeCell ref="E730:E732"/>
    <mergeCell ref="E733:E735"/>
    <mergeCell ref="E736:E739"/>
    <mergeCell ref="B741:C741"/>
    <mergeCell ref="D741:E741"/>
    <mergeCell ref="C743:C744"/>
    <mergeCell ref="C751:D751"/>
    <mergeCell ref="E742:E743"/>
    <mergeCell ref="E744:E746"/>
    <mergeCell ref="E747:E751"/>
    <mergeCell ref="C727:D727"/>
    <mergeCell ref="E718:E719"/>
    <mergeCell ref="E720:E722"/>
    <mergeCell ref="E723:E727"/>
    <mergeCell ref="E710:E715"/>
    <mergeCell ref="B729:C729"/>
    <mergeCell ref="D729:E729"/>
    <mergeCell ref="C712:D712"/>
    <mergeCell ref="C731:C732"/>
    <mergeCell ref="C719:C720"/>
    <mergeCell ref="B593:C593"/>
    <mergeCell ref="D593:E593"/>
    <mergeCell ref="C595:C596"/>
    <mergeCell ref="C603:D603"/>
    <mergeCell ref="E594:E595"/>
    <mergeCell ref="E597:E603"/>
    <mergeCell ref="B579:C579"/>
    <mergeCell ref="D579:E579"/>
    <mergeCell ref="C581:C582"/>
    <mergeCell ref="C589:D589"/>
    <mergeCell ref="E580:E582"/>
    <mergeCell ref="E583:E585"/>
    <mergeCell ref="E586:E591"/>
    <mergeCell ref="C557:C558"/>
    <mergeCell ref="C565:D565"/>
    <mergeCell ref="E556:E557"/>
    <mergeCell ref="E558:E559"/>
    <mergeCell ref="E560:E565"/>
    <mergeCell ref="B567:C567"/>
    <mergeCell ref="D567:E567"/>
    <mergeCell ref="C569:C570"/>
    <mergeCell ref="C577:D577"/>
    <mergeCell ref="E568:E569"/>
    <mergeCell ref="E570:E571"/>
    <mergeCell ref="E572:E577"/>
    <mergeCell ref="B543:C543"/>
    <mergeCell ref="D543:E543"/>
    <mergeCell ref="C545:C546"/>
    <mergeCell ref="C553:D553"/>
    <mergeCell ref="E544:E545"/>
    <mergeCell ref="E546:E547"/>
    <mergeCell ref="E548:E553"/>
    <mergeCell ref="B555:C555"/>
    <mergeCell ref="D555:E555"/>
    <mergeCell ref="C521:C522"/>
    <mergeCell ref="C529:D529"/>
    <mergeCell ref="E520:E521"/>
    <mergeCell ref="E523:E529"/>
    <mergeCell ref="B531:C531"/>
    <mergeCell ref="D531:E531"/>
    <mergeCell ref="C533:C534"/>
    <mergeCell ref="C541:D541"/>
    <mergeCell ref="E532:E534"/>
    <mergeCell ref="E536:E541"/>
    <mergeCell ref="C106:C107"/>
    <mergeCell ref="E93:E95"/>
    <mergeCell ref="C94:C95"/>
    <mergeCell ref="C126:D126"/>
    <mergeCell ref="C114:D114"/>
    <mergeCell ref="E105:E108"/>
    <mergeCell ref="E110:E114"/>
    <mergeCell ref="C118:C119"/>
    <mergeCell ref="E117:E118"/>
    <mergeCell ref="D116:E116"/>
    <mergeCell ref="C102:D102"/>
    <mergeCell ref="E97:E102"/>
    <mergeCell ref="C20:C21"/>
    <mergeCell ref="C28:D28"/>
    <mergeCell ref="C32:C33"/>
    <mergeCell ref="C16:D16"/>
    <mergeCell ref="E19:E20"/>
    <mergeCell ref="E22:E28"/>
    <mergeCell ref="E11:E16"/>
    <mergeCell ref="C52:D52"/>
    <mergeCell ref="C56:C57"/>
    <mergeCell ref="C82:C83"/>
    <mergeCell ref="B3:E3"/>
    <mergeCell ref="C1:E1"/>
    <mergeCell ref="B5:E5"/>
    <mergeCell ref="C8:C9"/>
    <mergeCell ref="E7:E9"/>
    <mergeCell ref="C90:D90"/>
    <mergeCell ref="D82:D83"/>
    <mergeCell ref="E81:E83"/>
    <mergeCell ref="E84:E86"/>
    <mergeCell ref="E87:E90"/>
    <mergeCell ref="C68:C69"/>
    <mergeCell ref="C76:D76"/>
    <mergeCell ref="E67:E68"/>
    <mergeCell ref="E70:E78"/>
    <mergeCell ref="C64:D64"/>
    <mergeCell ref="E55:E57"/>
    <mergeCell ref="E59:E64"/>
    <mergeCell ref="E46:E52"/>
    <mergeCell ref="C40:D40"/>
    <mergeCell ref="E31:E33"/>
    <mergeCell ref="E35:E40"/>
    <mergeCell ref="C44:C45"/>
    <mergeCell ref="E43:E44"/>
    <mergeCell ref="C142:C143"/>
    <mergeCell ref="C150:D150"/>
    <mergeCell ref="E141:E142"/>
    <mergeCell ref="E144:E150"/>
    <mergeCell ref="E120:E126"/>
    <mergeCell ref="C130:C131"/>
    <mergeCell ref="C138:D138"/>
    <mergeCell ref="E129:E131"/>
    <mergeCell ref="E133:E138"/>
    <mergeCell ref="B128:C128"/>
    <mergeCell ref="D128:E128"/>
    <mergeCell ref="B140:C140"/>
    <mergeCell ref="D140:E140"/>
    <mergeCell ref="C154:C155"/>
    <mergeCell ref="C162:D162"/>
    <mergeCell ref="E153:E154"/>
    <mergeCell ref="E155:E157"/>
    <mergeCell ref="E158:E162"/>
    <mergeCell ref="B152:C152"/>
    <mergeCell ref="D152:E152"/>
    <mergeCell ref="B164:C164"/>
    <mergeCell ref="D164:E164"/>
    <mergeCell ref="E193:E198"/>
    <mergeCell ref="C178:C179"/>
    <mergeCell ref="C186:D186"/>
    <mergeCell ref="E177:E178"/>
    <mergeCell ref="E180:E186"/>
    <mergeCell ref="C166:C167"/>
    <mergeCell ref="C174:D174"/>
    <mergeCell ref="E165:E166"/>
    <mergeCell ref="E167:E168"/>
    <mergeCell ref="E169:E174"/>
    <mergeCell ref="B176:C176"/>
    <mergeCell ref="D176:E176"/>
    <mergeCell ref="B188:C188"/>
    <mergeCell ref="D188:E188"/>
    <mergeCell ref="C190:C191"/>
    <mergeCell ref="C198:D198"/>
    <mergeCell ref="E189:E190"/>
    <mergeCell ref="E191:E192"/>
    <mergeCell ref="B250:C250"/>
    <mergeCell ref="D250:E250"/>
    <mergeCell ref="C240:C241"/>
    <mergeCell ref="C248:D248"/>
    <mergeCell ref="E239:E241"/>
    <mergeCell ref="E243:E248"/>
    <mergeCell ref="C226:C227"/>
    <mergeCell ref="C234:D234"/>
    <mergeCell ref="E225:E226"/>
    <mergeCell ref="E227:E231"/>
    <mergeCell ref="E232:E236"/>
    <mergeCell ref="B238:C238"/>
    <mergeCell ref="D238:E238"/>
    <mergeCell ref="B262:C262"/>
    <mergeCell ref="D262:E262"/>
    <mergeCell ref="C264:C265"/>
    <mergeCell ref="C272:D272"/>
    <mergeCell ref="C252:C253"/>
    <mergeCell ref="C260:D260"/>
    <mergeCell ref="E251:E252"/>
    <mergeCell ref="E253:E254"/>
    <mergeCell ref="E255:E260"/>
    <mergeCell ref="B300:C300"/>
    <mergeCell ref="D300:E300"/>
    <mergeCell ref="C302:C303"/>
    <mergeCell ref="C310:D310"/>
    <mergeCell ref="C278:C279"/>
    <mergeCell ref="C286:D286"/>
    <mergeCell ref="E263:E264"/>
    <mergeCell ref="E265:E267"/>
    <mergeCell ref="E268:E274"/>
    <mergeCell ref="B276:C276"/>
    <mergeCell ref="D276:E276"/>
    <mergeCell ref="E277:E279"/>
    <mergeCell ref="E280:E281"/>
    <mergeCell ref="E282:E286"/>
    <mergeCell ref="B288:C288"/>
    <mergeCell ref="D288:E288"/>
    <mergeCell ref="C290:C291"/>
    <mergeCell ref="C298:D298"/>
    <mergeCell ref="E291:E292"/>
    <mergeCell ref="E289:E290"/>
    <mergeCell ref="E293:E298"/>
    <mergeCell ref="C315:C316"/>
    <mergeCell ref="E314:E315"/>
    <mergeCell ref="E316:E317"/>
    <mergeCell ref="E318:E323"/>
    <mergeCell ref="B325:C325"/>
    <mergeCell ref="D325:E325"/>
    <mergeCell ref="E301:E303"/>
    <mergeCell ref="E304:E305"/>
    <mergeCell ref="E306:E311"/>
    <mergeCell ref="B313:C313"/>
    <mergeCell ref="D313:E313"/>
    <mergeCell ref="C327:C328"/>
    <mergeCell ref="C323:D323"/>
    <mergeCell ref="C335:D335"/>
    <mergeCell ref="C361:D361"/>
    <mergeCell ref="E326:E327"/>
    <mergeCell ref="E328:E329"/>
    <mergeCell ref="E330:E335"/>
    <mergeCell ref="B337:C337"/>
    <mergeCell ref="D337:E337"/>
    <mergeCell ref="C353:C354"/>
    <mergeCell ref="C339:C340"/>
    <mergeCell ref="C347:D347"/>
    <mergeCell ref="E338:E340"/>
    <mergeCell ref="E341:E342"/>
    <mergeCell ref="E343:E349"/>
    <mergeCell ref="B351:C351"/>
    <mergeCell ref="D351:E351"/>
    <mergeCell ref="E352:E353"/>
    <mergeCell ref="E354:E355"/>
    <mergeCell ref="E356:E361"/>
    <mergeCell ref="B363:C363"/>
    <mergeCell ref="D363:E363"/>
    <mergeCell ref="C365:C366"/>
    <mergeCell ref="C373:D373"/>
    <mergeCell ref="E364:E365"/>
    <mergeCell ref="E367:E373"/>
    <mergeCell ref="B375:C375"/>
    <mergeCell ref="D375:E375"/>
    <mergeCell ref="C377:C378"/>
    <mergeCell ref="C385:D385"/>
    <mergeCell ref="E376:E378"/>
    <mergeCell ref="E379:E380"/>
    <mergeCell ref="E381:E385"/>
    <mergeCell ref="B387:C387"/>
    <mergeCell ref="D387:E387"/>
    <mergeCell ref="C389:C390"/>
    <mergeCell ref="C397:D397"/>
    <mergeCell ref="E388:E389"/>
    <mergeCell ref="E391:E397"/>
    <mergeCell ref="B399:C399"/>
    <mergeCell ref="D399:E399"/>
    <mergeCell ref="C401:C402"/>
    <mergeCell ref="C409:D409"/>
    <mergeCell ref="E400:E402"/>
    <mergeCell ref="E403:E405"/>
    <mergeCell ref="E406:E409"/>
    <mergeCell ref="B411:C411"/>
    <mergeCell ref="D411:E411"/>
    <mergeCell ref="C413:C414"/>
    <mergeCell ref="C421:D421"/>
    <mergeCell ref="E412:E413"/>
    <mergeCell ref="E414:E416"/>
    <mergeCell ref="E417:E421"/>
    <mergeCell ref="B423:C423"/>
    <mergeCell ref="D423:E423"/>
    <mergeCell ref="C425:C426"/>
    <mergeCell ref="C433:D433"/>
    <mergeCell ref="E424:E425"/>
    <mergeCell ref="E426:E427"/>
    <mergeCell ref="E428:E433"/>
    <mergeCell ref="B435:C435"/>
    <mergeCell ref="D435:E435"/>
    <mergeCell ref="C437:C438"/>
    <mergeCell ref="C445:D445"/>
    <mergeCell ref="E436:E437"/>
    <mergeCell ref="E439:E445"/>
    <mergeCell ref="B447:C447"/>
    <mergeCell ref="D447:E447"/>
    <mergeCell ref="C449:C450"/>
    <mergeCell ref="C457:D457"/>
    <mergeCell ref="E448:E449"/>
    <mergeCell ref="E451:E457"/>
    <mergeCell ref="B459:C459"/>
    <mergeCell ref="D459:E459"/>
    <mergeCell ref="B6:C6"/>
    <mergeCell ref="D6:E6"/>
    <mergeCell ref="B18:C18"/>
    <mergeCell ref="D18:E18"/>
    <mergeCell ref="B30:C30"/>
    <mergeCell ref="D30:E30"/>
    <mergeCell ref="B42:C42"/>
    <mergeCell ref="D42:E42"/>
    <mergeCell ref="B54:C54"/>
    <mergeCell ref="D54:E54"/>
    <mergeCell ref="B66:C66"/>
    <mergeCell ref="D66:E66"/>
    <mergeCell ref="B80:C80"/>
    <mergeCell ref="D80:E80"/>
    <mergeCell ref="B92:C92"/>
    <mergeCell ref="D92:E92"/>
    <mergeCell ref="B104:C104"/>
    <mergeCell ref="D104:E104"/>
    <mergeCell ref="B116:C116"/>
    <mergeCell ref="B200:C200"/>
    <mergeCell ref="D200:E200"/>
    <mergeCell ref="B212:C212"/>
    <mergeCell ref="D212:E212"/>
    <mergeCell ref="B224:C224"/>
    <mergeCell ref="D224:E224"/>
    <mergeCell ref="C214:C215"/>
    <mergeCell ref="C222:D222"/>
    <mergeCell ref="E213:E214"/>
    <mergeCell ref="E215:E216"/>
    <mergeCell ref="E217:E222"/>
    <mergeCell ref="C202:C203"/>
    <mergeCell ref="C210:D210"/>
    <mergeCell ref="E201:E203"/>
    <mergeCell ref="E204:E205"/>
    <mergeCell ref="E206:E210"/>
    <mergeCell ref="C461:C462"/>
    <mergeCell ref="C469:D469"/>
    <mergeCell ref="E460:E461"/>
    <mergeCell ref="E463:E469"/>
    <mergeCell ref="B471:C471"/>
    <mergeCell ref="D471:E471"/>
    <mergeCell ref="C473:C474"/>
    <mergeCell ref="C481:D481"/>
    <mergeCell ref="E472:E473"/>
    <mergeCell ref="E474:E476"/>
    <mergeCell ref="E477:E481"/>
    <mergeCell ref="B483:C483"/>
    <mergeCell ref="D483:E483"/>
    <mergeCell ref="C485:C486"/>
    <mergeCell ref="C493:D493"/>
    <mergeCell ref="E484:E485"/>
    <mergeCell ref="E487:E493"/>
    <mergeCell ref="B495:C495"/>
    <mergeCell ref="D495:E495"/>
    <mergeCell ref="C497:C498"/>
    <mergeCell ref="C517:D517"/>
    <mergeCell ref="E508:E509"/>
    <mergeCell ref="E510:E511"/>
    <mergeCell ref="E512:E517"/>
    <mergeCell ref="B519:C519"/>
    <mergeCell ref="D519:E519"/>
    <mergeCell ref="C505:D505"/>
    <mergeCell ref="E496:E497"/>
    <mergeCell ref="E498:E500"/>
    <mergeCell ref="E501:E505"/>
    <mergeCell ref="B507:C507"/>
    <mergeCell ref="D507:E507"/>
    <mergeCell ref="C509:C510"/>
    <mergeCell ref="B605:C605"/>
    <mergeCell ref="D605:E605"/>
    <mergeCell ref="C607:C608"/>
    <mergeCell ref="C615:D615"/>
    <mergeCell ref="E606:E607"/>
    <mergeCell ref="E609:E615"/>
    <mergeCell ref="B617:C617"/>
    <mergeCell ref="D617:E617"/>
    <mergeCell ref="C619:C620"/>
    <mergeCell ref="C627:D627"/>
    <mergeCell ref="E618:E619"/>
    <mergeCell ref="E621:E627"/>
    <mergeCell ref="B629:C629"/>
    <mergeCell ref="D629:E629"/>
    <mergeCell ref="C631:C632"/>
    <mergeCell ref="C639:D639"/>
    <mergeCell ref="E630:E631"/>
    <mergeCell ref="E633:E639"/>
    <mergeCell ref="B641:C641"/>
    <mergeCell ref="D641:E641"/>
    <mergeCell ref="C643:C644"/>
    <mergeCell ref="C651:D651"/>
    <mergeCell ref="E642:E643"/>
    <mergeCell ref="E644:E645"/>
    <mergeCell ref="E646:E651"/>
    <mergeCell ref="B653:C653"/>
    <mergeCell ref="D653:E653"/>
    <mergeCell ref="E658:E664"/>
    <mergeCell ref="C680:C681"/>
    <mergeCell ref="C688:D688"/>
    <mergeCell ref="E679:E680"/>
    <mergeCell ref="E682:E688"/>
    <mergeCell ref="C655:C656"/>
    <mergeCell ref="C663:D663"/>
    <mergeCell ref="E654:E655"/>
    <mergeCell ref="E656:E657"/>
    <mergeCell ref="B666:C666"/>
    <mergeCell ref="D666:E666"/>
    <mergeCell ref="C668:C669"/>
    <mergeCell ref="C676:D676"/>
    <mergeCell ref="E667:E668"/>
    <mergeCell ref="E669:E670"/>
    <mergeCell ref="E671:E676"/>
    <mergeCell ref="B678:C678"/>
    <mergeCell ref="D678:E678"/>
    <mergeCell ref="E703:E704"/>
    <mergeCell ref="E705:E709"/>
    <mergeCell ref="B717:C717"/>
    <mergeCell ref="D717:E717"/>
    <mergeCell ref="B690:C690"/>
    <mergeCell ref="D690:E690"/>
    <mergeCell ref="C692:C693"/>
    <mergeCell ref="C700:D700"/>
    <mergeCell ref="E691:E693"/>
    <mergeCell ref="E695:E700"/>
    <mergeCell ref="B702:C702"/>
    <mergeCell ref="D702:E702"/>
    <mergeCell ref="C704:C705"/>
    <mergeCell ref="B966:E966"/>
    <mergeCell ref="D815:E815"/>
    <mergeCell ref="C817:C818"/>
    <mergeCell ref="C825:D825"/>
    <mergeCell ref="E816:E817"/>
    <mergeCell ref="E818:E819"/>
    <mergeCell ref="E820:E826"/>
    <mergeCell ref="C793:C794"/>
    <mergeCell ref="C801:D801"/>
    <mergeCell ref="E792:E793"/>
    <mergeCell ref="E795:E801"/>
    <mergeCell ref="B803:C803"/>
    <mergeCell ref="D803:E803"/>
    <mergeCell ref="C805:C806"/>
    <mergeCell ref="C813:D813"/>
    <mergeCell ref="E804:E805"/>
    <mergeCell ref="E807:E813"/>
    <mergeCell ref="B828:C828"/>
    <mergeCell ref="D828:E828"/>
    <mergeCell ref="C830:C831"/>
    <mergeCell ref="C838:D838"/>
    <mergeCell ref="E829:E830"/>
    <mergeCell ref="E832:E838"/>
    <mergeCell ref="B840:C840"/>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3" orientation="landscape" r:id="rId1"/>
  <headerFooter alignWithMargins="0"/>
  <rowBreaks count="21" manualBreakCount="21">
    <brk id="28" max="4" man="1"/>
    <brk id="64" max="4" man="1"/>
    <brk id="138" max="4" man="1"/>
    <brk id="174" max="4" man="1"/>
    <brk id="210" max="4" man="1"/>
    <brk id="286" max="4" man="1"/>
    <brk id="323" max="4" man="1"/>
    <brk id="397" max="4" man="1"/>
    <brk id="433" max="4" man="1"/>
    <brk id="469" max="4" man="1"/>
    <brk id="505" max="4" man="1"/>
    <brk id="541" max="4" man="1"/>
    <brk id="577" max="4" man="1"/>
    <brk id="651" max="4" man="1"/>
    <brk id="688" max="4" man="1"/>
    <brk id="727" max="4" man="1"/>
    <brk id="765" max="4" man="1"/>
    <brk id="801" max="4" man="1"/>
    <brk id="838" max="4" man="1"/>
    <brk id="875" max="4" man="1"/>
    <brk id="952" max="4" man="1"/>
  </rowBreaks>
  <drawing r:id="rId2"/>
</worksheet>
</file>

<file path=xl/worksheets/sheet90.xml><?xml version="1.0" encoding="utf-8"?>
<worksheet xmlns="http://schemas.openxmlformats.org/spreadsheetml/2006/main" xmlns:r="http://schemas.openxmlformats.org/officeDocument/2006/relationships">
  <dimension ref="B1:G257"/>
  <sheetViews>
    <sheetView zoomScaleNormal="100" workbookViewId="0">
      <pane ySplit="5" topLeftCell="A6" activePane="bottomLeft" state="frozen"/>
      <selection pane="bottomLeft"/>
    </sheetView>
  </sheetViews>
  <sheetFormatPr defaultRowHeight="12.95" customHeight="1"/>
  <cols>
    <col min="1" max="1" width="3.7109375" style="288" customWidth="1"/>
    <col min="2" max="6" width="25.7109375" style="288" customWidth="1"/>
    <col min="7" max="16384" width="9.140625" style="288"/>
  </cols>
  <sheetData>
    <row r="1" spans="2:6" ht="12.95" customHeight="1">
      <c r="B1" s="313" t="s">
        <v>2706</v>
      </c>
      <c r="C1" s="3195" t="s">
        <v>8269</v>
      </c>
      <c r="D1" s="3195"/>
      <c r="E1" s="3195"/>
      <c r="F1" s="3195"/>
    </row>
    <row r="2" spans="2:6" ht="5.0999999999999996" customHeight="1"/>
    <row r="3" spans="2:6" ht="12.95" customHeight="1">
      <c r="B3" s="3075" t="s">
        <v>4704</v>
      </c>
      <c r="C3" s="3075"/>
      <c r="D3" s="3075"/>
      <c r="E3" s="3075"/>
      <c r="F3" s="3075"/>
    </row>
    <row r="4" spans="2:6" s="641" customFormat="1" ht="11.25">
      <c r="B4" s="3130" t="s">
        <v>5757</v>
      </c>
      <c r="C4" s="3130"/>
      <c r="D4" s="3130"/>
      <c r="E4" s="3130"/>
      <c r="F4" s="3130"/>
    </row>
    <row r="5" spans="2:6" ht="5.0999999999999996" customHeight="1">
      <c r="B5" s="599"/>
      <c r="C5" s="599"/>
      <c r="D5" s="599"/>
      <c r="E5" s="599"/>
      <c r="F5" s="599"/>
    </row>
    <row r="6" spans="2:6" ht="20.100000000000001" customHeight="1">
      <c r="B6" s="4008" t="s">
        <v>4705</v>
      </c>
      <c r="C6" s="4031"/>
      <c r="D6" s="4031"/>
      <c r="E6" s="4031"/>
      <c r="F6" s="4031"/>
    </row>
    <row r="7" spans="2:6" ht="78" customHeight="1">
      <c r="B7" s="2960" t="s">
        <v>10126</v>
      </c>
      <c r="C7" s="2960"/>
      <c r="D7" s="2960"/>
      <c r="E7" s="2960"/>
      <c r="F7" s="2960"/>
    </row>
    <row r="8" spans="2:6" ht="5.0999999999999996" customHeight="1">
      <c r="B8" s="2960"/>
      <c r="C8" s="2960"/>
      <c r="D8" s="2960"/>
      <c r="E8" s="2960"/>
      <c r="F8" s="2960"/>
    </row>
    <row r="9" spans="2:6" ht="18" customHeight="1">
      <c r="B9" s="4006" t="s">
        <v>4706</v>
      </c>
      <c r="C9" s="4006"/>
      <c r="D9" s="4006"/>
      <c r="E9" s="4006"/>
      <c r="F9" s="4006"/>
    </row>
    <row r="10" spans="2:6" ht="12.95" customHeight="1">
      <c r="B10" s="2980" t="s">
        <v>4707</v>
      </c>
      <c r="C10" s="2980"/>
      <c r="D10" s="2980"/>
      <c r="E10" s="2980"/>
      <c r="F10" s="2980"/>
    </row>
    <row r="11" spans="2:6" ht="12.95" customHeight="1">
      <c r="B11" s="2960" t="s">
        <v>9377</v>
      </c>
      <c r="C11" s="2960"/>
      <c r="D11" s="2960"/>
      <c r="E11" s="2960"/>
      <c r="F11" s="2960"/>
    </row>
    <row r="12" spans="2:6" ht="26.1" customHeight="1">
      <c r="B12" s="2960" t="s">
        <v>9376</v>
      </c>
      <c r="C12" s="2960"/>
      <c r="D12" s="2960"/>
      <c r="E12" s="2960"/>
      <c r="F12" s="2960"/>
    </row>
    <row r="13" spans="2:6" ht="5.0999999999999996" customHeight="1" thickBot="1">
      <c r="B13" s="487"/>
      <c r="C13" s="487"/>
      <c r="D13" s="487"/>
      <c r="E13" s="487"/>
      <c r="F13" s="487"/>
    </row>
    <row r="14" spans="2:6" ht="12.95" customHeight="1" thickBot="1">
      <c r="C14" s="171" t="s">
        <v>2645</v>
      </c>
      <c r="D14" s="172" t="s">
        <v>4708</v>
      </c>
      <c r="E14" s="227" t="s">
        <v>4</v>
      </c>
    </row>
    <row r="15" spans="2:6" ht="12.95" customHeight="1">
      <c r="C15" s="588">
        <v>0</v>
      </c>
      <c r="D15" s="589">
        <v>1300</v>
      </c>
      <c r="E15" s="590"/>
    </row>
    <row r="16" spans="2:6" ht="12.95" customHeight="1">
      <c r="C16" s="164">
        <v>1</v>
      </c>
      <c r="D16" s="113">
        <v>1360</v>
      </c>
      <c r="E16" s="255">
        <f>D16-D15</f>
        <v>60</v>
      </c>
    </row>
    <row r="17" spans="2:6" ht="12.95" customHeight="1">
      <c r="C17" s="591">
        <v>2</v>
      </c>
      <c r="D17" s="592">
        <v>1430</v>
      </c>
      <c r="E17" s="593">
        <f t="shared" ref="E17:E26" si="0">D17-D16</f>
        <v>70</v>
      </c>
    </row>
    <row r="18" spans="2:6" ht="12.95" customHeight="1">
      <c r="C18" s="164">
        <v>3</v>
      </c>
      <c r="D18" s="113">
        <v>1500</v>
      </c>
      <c r="E18" s="255">
        <f t="shared" si="0"/>
        <v>70</v>
      </c>
    </row>
    <row r="19" spans="2:6" ht="12.95" customHeight="1">
      <c r="C19" s="591">
        <v>4</v>
      </c>
      <c r="D19" s="592">
        <v>1560</v>
      </c>
      <c r="E19" s="593">
        <f t="shared" si="0"/>
        <v>60</v>
      </c>
    </row>
    <row r="20" spans="2:6" ht="12.95" customHeight="1">
      <c r="C20" s="164">
        <v>5</v>
      </c>
      <c r="D20" s="113">
        <v>1630</v>
      </c>
      <c r="E20" s="255">
        <f t="shared" si="0"/>
        <v>70</v>
      </c>
    </row>
    <row r="21" spans="2:6" ht="12.95" customHeight="1">
      <c r="C21" s="591">
        <v>6</v>
      </c>
      <c r="D21" s="592">
        <v>1700</v>
      </c>
      <c r="E21" s="593">
        <f t="shared" si="0"/>
        <v>70</v>
      </c>
    </row>
    <row r="22" spans="2:6" ht="12.95" customHeight="1">
      <c r="C22" s="164">
        <v>7</v>
      </c>
      <c r="D22" s="113">
        <v>1760</v>
      </c>
      <c r="E22" s="255">
        <f t="shared" si="0"/>
        <v>60</v>
      </c>
    </row>
    <row r="23" spans="2:6" ht="12.95" customHeight="1">
      <c r="C23" s="591">
        <v>8</v>
      </c>
      <c r="D23" s="592">
        <v>1830</v>
      </c>
      <c r="E23" s="593">
        <f t="shared" si="0"/>
        <v>70</v>
      </c>
    </row>
    <row r="24" spans="2:6" ht="12.95" customHeight="1">
      <c r="C24" s="164">
        <v>9</v>
      </c>
      <c r="D24" s="113">
        <v>1900</v>
      </c>
      <c r="E24" s="255">
        <f t="shared" si="0"/>
        <v>70</v>
      </c>
    </row>
    <row r="25" spans="2:6" ht="12.95" customHeight="1">
      <c r="C25" s="591">
        <v>10</v>
      </c>
      <c r="D25" s="592">
        <v>1960</v>
      </c>
      <c r="E25" s="593">
        <f t="shared" si="0"/>
        <v>60</v>
      </c>
    </row>
    <row r="26" spans="2:6" ht="12.95" customHeight="1" thickBot="1">
      <c r="C26" s="490" t="s">
        <v>902</v>
      </c>
      <c r="D26" s="109">
        <v>2000</v>
      </c>
      <c r="E26" s="102">
        <f t="shared" si="0"/>
        <v>40</v>
      </c>
    </row>
    <row r="27" spans="2:6" ht="5.0999999999999996" customHeight="1">
      <c r="C27" s="600"/>
      <c r="D27" s="600"/>
    </row>
    <row r="28" spans="2:6" ht="90.95" customHeight="1">
      <c r="B28" s="2960" t="s">
        <v>10127</v>
      </c>
      <c r="C28" s="2960"/>
      <c r="D28" s="2960"/>
      <c r="E28" s="2960"/>
      <c r="F28" s="2960"/>
    </row>
    <row r="29" spans="2:6" ht="5.0999999999999996" customHeight="1">
      <c r="C29" s="600"/>
      <c r="D29" s="600"/>
    </row>
    <row r="30" spans="2:6" ht="78" customHeight="1">
      <c r="B30" s="2960" t="s">
        <v>9378</v>
      </c>
      <c r="C30" s="2960"/>
      <c r="D30" s="2960"/>
      <c r="E30" s="2960"/>
      <c r="F30" s="2960"/>
    </row>
    <row r="31" spans="2:6" ht="5.0999999999999996" customHeight="1">
      <c r="B31" s="2960"/>
      <c r="C31" s="2960"/>
      <c r="D31" s="2960"/>
      <c r="E31" s="2960"/>
      <c r="F31" s="2960"/>
    </row>
    <row r="32" spans="2:6" ht="26.1" customHeight="1">
      <c r="B32" s="2960" t="s">
        <v>9379</v>
      </c>
      <c r="C32" s="2960"/>
      <c r="D32" s="2960"/>
      <c r="E32" s="2960"/>
      <c r="F32" s="2960"/>
    </row>
    <row r="33" spans="2:6" ht="12.95" customHeight="1">
      <c r="B33" s="2980" t="s">
        <v>9380</v>
      </c>
      <c r="C33" s="2980"/>
      <c r="D33" s="2980"/>
      <c r="E33" s="2980"/>
      <c r="F33" s="2980"/>
    </row>
    <row r="34" spans="2:6" ht="26.1" customHeight="1">
      <c r="B34" s="4032" t="s">
        <v>5017</v>
      </c>
      <c r="C34" s="3220"/>
      <c r="D34" s="3220"/>
      <c r="E34" s="3220"/>
      <c r="F34" s="3220"/>
    </row>
    <row r="35" spans="2:6" ht="12.95" customHeight="1">
      <c r="B35" s="4032" t="s">
        <v>4709</v>
      </c>
      <c r="C35" s="3220"/>
      <c r="D35" s="3220"/>
      <c r="E35" s="3220"/>
      <c r="F35" s="3220"/>
    </row>
    <row r="36" spans="2:6" ht="12.95" customHeight="1">
      <c r="B36" s="4032" t="s">
        <v>4710</v>
      </c>
      <c r="C36" s="3220"/>
      <c r="D36" s="3220"/>
      <c r="E36" s="3220"/>
      <c r="F36" s="3220"/>
    </row>
    <row r="37" spans="2:6" ht="26.1" customHeight="1">
      <c r="B37" s="4032" t="s">
        <v>5758</v>
      </c>
      <c r="C37" s="3220"/>
      <c r="D37" s="3220"/>
      <c r="E37" s="3220"/>
      <c r="F37" s="3220"/>
    </row>
    <row r="38" spans="2:6" ht="5.0999999999999996" customHeight="1">
      <c r="B38" s="2960"/>
      <c r="C38" s="2960"/>
      <c r="D38" s="2960"/>
      <c r="E38" s="2960"/>
      <c r="F38" s="2960"/>
    </row>
    <row r="39" spans="2:6" ht="12.95" customHeight="1">
      <c r="B39" s="2980" t="s">
        <v>4711</v>
      </c>
      <c r="C39" s="2980"/>
      <c r="D39" s="2980"/>
      <c r="E39" s="2980"/>
      <c r="F39" s="2980"/>
    </row>
    <row r="40" spans="2:6" ht="12.95" customHeight="1" thickBot="1">
      <c r="B40" s="2960" t="s">
        <v>4712</v>
      </c>
      <c r="C40" s="2960"/>
      <c r="D40" s="2960"/>
      <c r="E40" s="2960"/>
      <c r="F40" s="2960"/>
    </row>
    <row r="41" spans="2:6" ht="13.5" thickBot="1">
      <c r="C41" s="172" t="s">
        <v>1441</v>
      </c>
      <c r="D41" s="227" t="s">
        <v>1459</v>
      </c>
    </row>
    <row r="42" spans="2:6" ht="12.95" customHeight="1">
      <c r="C42" s="589" t="s">
        <v>3715</v>
      </c>
      <c r="D42" s="601">
        <v>0.1</v>
      </c>
    </row>
    <row r="43" spans="2:6" ht="12.95" customHeight="1">
      <c r="C43" s="113" t="s">
        <v>3716</v>
      </c>
      <c r="D43" s="642">
        <v>0.2</v>
      </c>
    </row>
    <row r="44" spans="2:6" ht="12.95" customHeight="1" thickBot="1">
      <c r="C44" s="594" t="s">
        <v>3717</v>
      </c>
      <c r="D44" s="602">
        <v>0.3</v>
      </c>
    </row>
    <row r="45" spans="2:6" ht="5.0999999999999996" customHeight="1">
      <c r="C45" s="603"/>
    </row>
    <row r="46" spans="2:6" ht="26.1" customHeight="1">
      <c r="B46" s="2960" t="s">
        <v>5759</v>
      </c>
      <c r="C46" s="2960"/>
      <c r="D46" s="2960"/>
      <c r="E46" s="2960"/>
      <c r="F46" s="2960"/>
    </row>
    <row r="47" spans="2:6" ht="5.0999999999999996" customHeight="1">
      <c r="B47" s="2960"/>
      <c r="C47" s="2960"/>
      <c r="D47" s="2960"/>
      <c r="E47" s="2960"/>
      <c r="F47" s="2960"/>
    </row>
    <row r="48" spans="2:6" ht="18" customHeight="1">
      <c r="B48" s="4006" t="s">
        <v>4713</v>
      </c>
      <c r="C48" s="4006"/>
      <c r="D48" s="4006"/>
      <c r="E48" s="4006"/>
      <c r="F48" s="4006"/>
    </row>
    <row r="49" spans="2:6" ht="12.95" customHeight="1" thickBot="1">
      <c r="B49" s="2960" t="s">
        <v>5760</v>
      </c>
      <c r="C49" s="2960"/>
      <c r="D49" s="2960"/>
      <c r="E49" s="2960"/>
      <c r="F49" s="2960"/>
    </row>
    <row r="50" spans="2:6" ht="13.5" thickBot="1">
      <c r="C50" s="243" t="s">
        <v>71</v>
      </c>
      <c r="D50" s="482" t="s">
        <v>4708</v>
      </c>
      <c r="E50" s="483" t="s">
        <v>645</v>
      </c>
    </row>
    <row r="51" spans="2:6" ht="12.95" customHeight="1">
      <c r="C51" s="604" t="s">
        <v>1463</v>
      </c>
      <c r="D51" s="605">
        <v>1500</v>
      </c>
      <c r="E51" s="596">
        <v>0</v>
      </c>
    </row>
    <row r="52" spans="2:6" ht="12.95" customHeight="1">
      <c r="C52" s="481" t="s">
        <v>3715</v>
      </c>
      <c r="D52" s="477">
        <v>2250</v>
      </c>
      <c r="E52" s="643" t="s">
        <v>2794</v>
      </c>
    </row>
    <row r="53" spans="2:6" ht="12.95" customHeight="1">
      <c r="C53" s="606" t="s">
        <v>3716</v>
      </c>
      <c r="D53" s="607">
        <v>3000</v>
      </c>
      <c r="E53" s="608" t="s">
        <v>2795</v>
      </c>
    </row>
    <row r="54" spans="2:6" ht="12.95" customHeight="1" thickBot="1">
      <c r="C54" s="480" t="s">
        <v>3717</v>
      </c>
      <c r="D54" s="478">
        <v>3750</v>
      </c>
      <c r="E54" s="644" t="s">
        <v>2796</v>
      </c>
    </row>
    <row r="55" spans="2:6" ht="5.0999999999999996" customHeight="1">
      <c r="C55" s="279"/>
    </row>
    <row r="56" spans="2:6" ht="26.1" customHeight="1">
      <c r="B56" s="2960" t="s">
        <v>5761</v>
      </c>
      <c r="C56" s="2960"/>
      <c r="D56" s="2960"/>
      <c r="E56" s="2960"/>
      <c r="F56" s="2960"/>
    </row>
    <row r="57" spans="2:6" ht="5.0999999999999996" customHeight="1">
      <c r="B57" s="2960"/>
      <c r="C57" s="2960"/>
      <c r="D57" s="2960"/>
      <c r="E57" s="2960"/>
      <c r="F57" s="2960"/>
    </row>
    <row r="58" spans="2:6" ht="18" customHeight="1">
      <c r="B58" s="4006" t="s">
        <v>1203</v>
      </c>
      <c r="C58" s="4006"/>
      <c r="D58" s="4006"/>
      <c r="E58" s="4006"/>
      <c r="F58" s="4006"/>
    </row>
    <row r="59" spans="2:6" ht="12.95" customHeight="1">
      <c r="B59" s="2960" t="s">
        <v>4714</v>
      </c>
      <c r="C59" s="2960"/>
      <c r="D59" s="2960"/>
      <c r="E59" s="2960"/>
      <c r="F59" s="2960"/>
    </row>
    <row r="60" spans="2:6" ht="5.0999999999999996" customHeight="1" thickBot="1">
      <c r="B60" s="487"/>
      <c r="C60" s="487"/>
      <c r="D60" s="487"/>
      <c r="E60" s="487"/>
      <c r="F60" s="487"/>
    </row>
    <row r="61" spans="2:6" s="595" customFormat="1" ht="12.95" customHeight="1" thickBot="1">
      <c r="B61" s="645" t="s">
        <v>4715</v>
      </c>
      <c r="C61" s="646" t="s">
        <v>645</v>
      </c>
      <c r="D61" s="4028" t="s">
        <v>355</v>
      </c>
      <c r="E61" s="4029"/>
      <c r="F61" s="4030"/>
    </row>
    <row r="62" spans="2:6" s="595" customFormat="1" ht="12.95" customHeight="1">
      <c r="B62" s="609" t="s">
        <v>356</v>
      </c>
      <c r="C62" s="648" t="s">
        <v>5762</v>
      </c>
      <c r="D62" s="4009" t="s">
        <v>5767</v>
      </c>
      <c r="E62" s="4010"/>
      <c r="F62" s="4011"/>
    </row>
    <row r="63" spans="2:6" s="595" customFormat="1" ht="12.95" customHeight="1">
      <c r="B63" s="647" t="s">
        <v>1636</v>
      </c>
      <c r="C63" s="166" t="s">
        <v>5763</v>
      </c>
      <c r="D63" s="4012"/>
      <c r="E63" s="4012"/>
      <c r="F63" s="4013"/>
    </row>
    <row r="64" spans="2:6" s="595" customFormat="1" ht="12.95" customHeight="1">
      <c r="B64" s="610" t="s">
        <v>1327</v>
      </c>
      <c r="C64" s="649" t="s">
        <v>5764</v>
      </c>
      <c r="D64" s="4014"/>
      <c r="E64" s="4014"/>
      <c r="F64" s="4015"/>
    </row>
    <row r="65" spans="2:6" s="595" customFormat="1" ht="26.1" customHeight="1">
      <c r="B65" s="647" t="s">
        <v>1637</v>
      </c>
      <c r="C65" s="166" t="s">
        <v>5765</v>
      </c>
      <c r="D65" s="4012"/>
      <c r="E65" s="4012"/>
      <c r="F65" s="4013"/>
    </row>
    <row r="66" spans="2:6" s="595" customFormat="1" ht="12.95" customHeight="1">
      <c r="B66" s="610" t="s">
        <v>5766</v>
      </c>
      <c r="C66" s="649" t="s">
        <v>5764</v>
      </c>
      <c r="D66" s="4016" t="s">
        <v>5768</v>
      </c>
      <c r="E66" s="3723"/>
      <c r="F66" s="3724"/>
    </row>
    <row r="67" spans="2:6" s="595" customFormat="1" ht="12.95" customHeight="1">
      <c r="B67" s="647" t="s">
        <v>4716</v>
      </c>
      <c r="C67" s="166" t="s">
        <v>5764</v>
      </c>
      <c r="D67" s="4017" t="s">
        <v>5769</v>
      </c>
      <c r="E67" s="3725"/>
      <c r="F67" s="3726"/>
    </row>
    <row r="68" spans="2:6" s="595" customFormat="1" ht="12.95" customHeight="1">
      <c r="B68" s="610" t="s">
        <v>358</v>
      </c>
      <c r="C68" s="649" t="s">
        <v>5772</v>
      </c>
      <c r="D68" s="4018" t="s">
        <v>5770</v>
      </c>
      <c r="E68" s="4018"/>
      <c r="F68" s="4019"/>
    </row>
    <row r="69" spans="2:6" s="595" customFormat="1" ht="12.95" customHeight="1">
      <c r="B69" s="647" t="s">
        <v>334</v>
      </c>
      <c r="C69" s="166" t="s">
        <v>5773</v>
      </c>
      <c r="D69" s="4020"/>
      <c r="E69" s="4020"/>
      <c r="F69" s="4021"/>
    </row>
    <row r="70" spans="2:6" s="595" customFormat="1" ht="12.95" customHeight="1">
      <c r="B70" s="610" t="s">
        <v>335</v>
      </c>
      <c r="C70" s="649" t="s">
        <v>5773</v>
      </c>
      <c r="D70" s="4020"/>
      <c r="E70" s="4020"/>
      <c r="F70" s="4021"/>
    </row>
    <row r="71" spans="2:6" s="595" customFormat="1" ht="12.95" customHeight="1">
      <c r="B71" s="647" t="s">
        <v>336</v>
      </c>
      <c r="C71" s="166" t="s">
        <v>5773</v>
      </c>
      <c r="D71" s="4022"/>
      <c r="E71" s="4022"/>
      <c r="F71" s="4023"/>
    </row>
    <row r="72" spans="2:6" s="595" customFormat="1" ht="26.1" customHeight="1" thickBot="1">
      <c r="B72" s="611" t="s">
        <v>5774</v>
      </c>
      <c r="C72" s="650" t="s">
        <v>5773</v>
      </c>
      <c r="D72" s="4024" t="s">
        <v>5771</v>
      </c>
      <c r="E72" s="4025"/>
      <c r="F72" s="4026"/>
    </row>
    <row r="73" spans="2:6" ht="5.0999999999999996" customHeight="1">
      <c r="B73" s="2960"/>
      <c r="C73" s="2960"/>
      <c r="D73" s="2960"/>
      <c r="E73" s="2960"/>
      <c r="F73" s="2960"/>
    </row>
    <row r="74" spans="2:6" ht="18" customHeight="1">
      <c r="B74" s="4006" t="s">
        <v>4717</v>
      </c>
      <c r="C74" s="4006"/>
      <c r="D74" s="4006"/>
      <c r="E74" s="4006"/>
      <c r="F74" s="4006"/>
    </row>
    <row r="75" spans="2:6" ht="12.95" customHeight="1">
      <c r="B75" s="2960" t="s">
        <v>9381</v>
      </c>
      <c r="C75" s="2960"/>
      <c r="D75" s="2960"/>
      <c r="E75" s="2960"/>
      <c r="F75" s="2960"/>
    </row>
    <row r="76" spans="2:6" ht="26.1" customHeight="1">
      <c r="B76" s="2960" t="s">
        <v>9382</v>
      </c>
      <c r="C76" s="2960"/>
      <c r="D76" s="2960"/>
      <c r="E76" s="2960"/>
      <c r="F76" s="2960"/>
    </row>
    <row r="77" spans="2:6" ht="12.95" customHeight="1">
      <c r="B77" s="2960" t="s">
        <v>9383</v>
      </c>
      <c r="C77" s="2960"/>
      <c r="D77" s="2960"/>
      <c r="E77" s="2960"/>
      <c r="F77" s="2960"/>
    </row>
    <row r="78" spans="2:6" ht="12.95" customHeight="1">
      <c r="B78" s="2960" t="s">
        <v>9384</v>
      </c>
      <c r="C78" s="2960"/>
      <c r="D78" s="2960"/>
      <c r="E78" s="2960"/>
      <c r="F78" s="2960"/>
    </row>
    <row r="79" spans="2:6" ht="12.95" customHeight="1">
      <c r="B79" s="2960" t="s">
        <v>9385</v>
      </c>
      <c r="C79" s="2960"/>
      <c r="D79" s="2960"/>
      <c r="E79" s="2960"/>
      <c r="F79" s="2960"/>
    </row>
    <row r="80" spans="2:6" ht="39" customHeight="1">
      <c r="B80" s="2960" t="s">
        <v>9386</v>
      </c>
      <c r="C80" s="2960"/>
      <c r="D80" s="2960"/>
      <c r="E80" s="2960"/>
      <c r="F80" s="2960"/>
    </row>
    <row r="81" spans="2:6" ht="5.0999999999999996" customHeight="1">
      <c r="B81" s="487"/>
      <c r="C81" s="487"/>
      <c r="D81" s="487"/>
      <c r="E81" s="487"/>
      <c r="F81" s="487"/>
    </row>
    <row r="82" spans="2:6" ht="20.100000000000001" customHeight="1">
      <c r="B82" s="4008" t="s">
        <v>4718</v>
      </c>
      <c r="C82" s="4008"/>
      <c r="D82" s="4008"/>
      <c r="E82" s="4008"/>
      <c r="F82" s="4008"/>
    </row>
    <row r="83" spans="2:6" ht="18" customHeight="1">
      <c r="B83" s="4006" t="s">
        <v>338</v>
      </c>
      <c r="C83" s="4006"/>
      <c r="D83" s="4006"/>
      <c r="E83" s="4006"/>
      <c r="F83" s="4006"/>
    </row>
    <row r="84" spans="2:6" ht="12.95" customHeight="1">
      <c r="B84" s="2960" t="s">
        <v>9387</v>
      </c>
      <c r="C84" s="2960"/>
      <c r="D84" s="2960"/>
      <c r="E84" s="2960"/>
      <c r="F84" s="2960"/>
    </row>
    <row r="85" spans="2:6" ht="12.95" customHeight="1">
      <c r="B85" s="2960" t="s">
        <v>9388</v>
      </c>
      <c r="C85" s="2960"/>
      <c r="D85" s="2960"/>
      <c r="E85" s="2960"/>
      <c r="F85" s="2960"/>
    </row>
    <row r="86" spans="2:6" ht="26.1" customHeight="1">
      <c r="B86" s="2960" t="s">
        <v>9389</v>
      </c>
      <c r="C86" s="2960"/>
      <c r="D86" s="2960"/>
      <c r="E86" s="2960"/>
      <c r="F86" s="2960"/>
    </row>
    <row r="87" spans="2:6" ht="26.1" customHeight="1">
      <c r="B87" s="2960" t="s">
        <v>9390</v>
      </c>
      <c r="C87" s="2960"/>
      <c r="D87" s="2960"/>
      <c r="E87" s="2960"/>
      <c r="F87" s="2960"/>
    </row>
    <row r="88" spans="2:6" ht="39" customHeight="1">
      <c r="B88" s="2960" t="s">
        <v>9391</v>
      </c>
      <c r="C88" s="2960"/>
      <c r="D88" s="2960"/>
      <c r="E88" s="2960"/>
      <c r="F88" s="2960"/>
    </row>
    <row r="89" spans="2:6" ht="51.95" customHeight="1">
      <c r="B89" s="2960" t="s">
        <v>9392</v>
      </c>
      <c r="C89" s="2960"/>
      <c r="D89" s="2960"/>
      <c r="E89" s="2960"/>
      <c r="F89" s="2960"/>
    </row>
    <row r="90" spans="2:6" ht="5.0999999999999996" customHeight="1">
      <c r="B90" s="2960"/>
      <c r="C90" s="2960"/>
      <c r="D90" s="2960"/>
      <c r="E90" s="2960"/>
      <c r="F90" s="2960"/>
    </row>
    <row r="91" spans="2:6" ht="18" customHeight="1">
      <c r="B91" s="4006" t="s">
        <v>753</v>
      </c>
      <c r="C91" s="4006"/>
      <c r="D91" s="4006"/>
      <c r="E91" s="4006"/>
      <c r="F91" s="4006"/>
    </row>
    <row r="92" spans="2:6" ht="39" customHeight="1">
      <c r="B92" s="2960" t="s">
        <v>9393</v>
      </c>
      <c r="C92" s="2960"/>
      <c r="D92" s="2960"/>
      <c r="E92" s="2960"/>
      <c r="F92" s="2960"/>
    </row>
    <row r="93" spans="2:6" ht="5.0999999999999996" customHeight="1" thickBot="1">
      <c r="B93" s="487"/>
      <c r="C93" s="487"/>
      <c r="D93" s="487"/>
      <c r="E93" s="487"/>
      <c r="F93" s="487"/>
    </row>
    <row r="94" spans="2:6" ht="12.95" customHeight="1">
      <c r="B94" s="2994" t="s">
        <v>903</v>
      </c>
      <c r="C94" s="3713" t="s">
        <v>904</v>
      </c>
      <c r="D94" s="3182" t="s">
        <v>4420</v>
      </c>
      <c r="E94" s="3182"/>
      <c r="F94" s="3163"/>
    </row>
    <row r="95" spans="2:6" ht="12.95" customHeight="1" thickBot="1">
      <c r="B95" s="4027"/>
      <c r="C95" s="3714"/>
      <c r="D95" s="651" t="s">
        <v>1460</v>
      </c>
      <c r="E95" s="652" t="s">
        <v>1461</v>
      </c>
      <c r="F95" s="653" t="s">
        <v>1281</v>
      </c>
    </row>
    <row r="96" spans="2:6" ht="12.95" customHeight="1">
      <c r="B96" s="612" t="s">
        <v>905</v>
      </c>
      <c r="C96" s="613">
        <v>1</v>
      </c>
      <c r="D96" s="614">
        <v>1</v>
      </c>
      <c r="E96" s="615">
        <v>1</v>
      </c>
      <c r="F96" s="616">
        <v>1</v>
      </c>
    </row>
    <row r="97" spans="2:6" ht="12.95" customHeight="1">
      <c r="B97" s="654" t="s">
        <v>393</v>
      </c>
      <c r="C97" s="655">
        <v>1</v>
      </c>
      <c r="D97" s="656">
        <v>1</v>
      </c>
      <c r="E97" s="657">
        <v>1</v>
      </c>
      <c r="F97" s="244">
        <v>1</v>
      </c>
    </row>
    <row r="98" spans="2:6" ht="12.95" customHeight="1">
      <c r="B98" s="617" t="s">
        <v>394</v>
      </c>
      <c r="C98" s="618">
        <v>1</v>
      </c>
      <c r="D98" s="619">
        <v>1</v>
      </c>
      <c r="E98" s="620">
        <v>1</v>
      </c>
      <c r="F98" s="621">
        <v>1</v>
      </c>
    </row>
    <row r="99" spans="2:6" ht="12.95" customHeight="1">
      <c r="B99" s="654" t="s">
        <v>4418</v>
      </c>
      <c r="C99" s="655">
        <v>1</v>
      </c>
      <c r="D99" s="656">
        <v>1</v>
      </c>
      <c r="E99" s="657">
        <v>1</v>
      </c>
      <c r="F99" s="244">
        <v>1</v>
      </c>
    </row>
    <row r="100" spans="2:6" ht="12.95" customHeight="1">
      <c r="B100" s="617" t="s">
        <v>396</v>
      </c>
      <c r="C100" s="618">
        <v>0.5</v>
      </c>
      <c r="D100" s="619">
        <v>0.5</v>
      </c>
      <c r="E100" s="620">
        <v>0.5</v>
      </c>
      <c r="F100" s="621">
        <v>0.5</v>
      </c>
    </row>
    <row r="101" spans="2:6" ht="12.95" customHeight="1">
      <c r="B101" s="654" t="s">
        <v>4422</v>
      </c>
      <c r="C101" s="655">
        <v>0.65</v>
      </c>
      <c r="D101" s="656">
        <v>0.65</v>
      </c>
      <c r="E101" s="657">
        <v>0.65</v>
      </c>
      <c r="F101" s="244">
        <v>0.65</v>
      </c>
    </row>
    <row r="102" spans="2:6" ht="12.95" customHeight="1">
      <c r="B102" s="617" t="s">
        <v>1598</v>
      </c>
      <c r="C102" s="618">
        <v>0.75</v>
      </c>
      <c r="D102" s="619">
        <v>0.75</v>
      </c>
      <c r="E102" s="620">
        <v>0.75</v>
      </c>
      <c r="F102" s="621">
        <v>0.75</v>
      </c>
    </row>
    <row r="103" spans="2:6" ht="12.95" customHeight="1">
      <c r="B103" s="654" t="s">
        <v>1599</v>
      </c>
      <c r="C103" s="655">
        <v>1.25</v>
      </c>
      <c r="D103" s="656">
        <v>1</v>
      </c>
      <c r="E103" s="657">
        <v>1</v>
      </c>
      <c r="F103" s="244">
        <v>1</v>
      </c>
    </row>
    <row r="104" spans="2:6" ht="12.95" customHeight="1">
      <c r="B104" s="617" t="s">
        <v>1600</v>
      </c>
      <c r="C104" s="618">
        <v>1.5</v>
      </c>
      <c r="D104" s="619">
        <v>1.25</v>
      </c>
      <c r="E104" s="620">
        <v>1</v>
      </c>
      <c r="F104" s="621">
        <v>1</v>
      </c>
    </row>
    <row r="105" spans="2:6" ht="12.95" customHeight="1">
      <c r="B105" s="654" t="s">
        <v>1601</v>
      </c>
      <c r="C105" s="655">
        <v>1.5</v>
      </c>
      <c r="D105" s="656">
        <v>1.25</v>
      </c>
      <c r="E105" s="657">
        <v>1</v>
      </c>
      <c r="F105" s="244">
        <v>1</v>
      </c>
    </row>
    <row r="106" spans="2:6" ht="12.95" customHeight="1">
      <c r="B106" s="617" t="s">
        <v>1602</v>
      </c>
      <c r="C106" s="618">
        <v>1.75</v>
      </c>
      <c r="D106" s="619">
        <v>1.5</v>
      </c>
      <c r="E106" s="620">
        <v>1.25</v>
      </c>
      <c r="F106" s="621">
        <v>1</v>
      </c>
    </row>
    <row r="107" spans="2:6" ht="13.5" thickBot="1">
      <c r="B107" s="658" t="s">
        <v>1603</v>
      </c>
      <c r="C107" s="659">
        <v>0.66</v>
      </c>
      <c r="D107" s="660">
        <v>0.66</v>
      </c>
      <c r="E107" s="661">
        <v>0.66</v>
      </c>
      <c r="F107" s="245">
        <v>0.66</v>
      </c>
    </row>
    <row r="108" spans="2:6" ht="51.95" customHeight="1">
      <c r="B108" s="2980" t="s">
        <v>10128</v>
      </c>
      <c r="C108" s="2960"/>
      <c r="D108" s="2960"/>
      <c r="E108" s="2960"/>
      <c r="F108" s="2960"/>
    </row>
    <row r="109" spans="2:6" ht="5.0999999999999996" customHeight="1">
      <c r="B109" s="486"/>
      <c r="C109" s="487"/>
      <c r="D109" s="487"/>
      <c r="E109" s="487"/>
      <c r="F109" s="487"/>
    </row>
    <row r="110" spans="2:6" ht="12.95" customHeight="1">
      <c r="B110" s="2960" t="s">
        <v>9394</v>
      </c>
      <c r="C110" s="2960"/>
      <c r="D110" s="2960"/>
      <c r="E110" s="2960"/>
      <c r="F110" s="2960"/>
    </row>
    <row r="111" spans="2:6" ht="12.95" customHeight="1">
      <c r="B111" s="3433" t="s">
        <v>10129</v>
      </c>
      <c r="C111" s="2960"/>
      <c r="D111" s="2960"/>
      <c r="E111" s="2960"/>
      <c r="F111" s="2960"/>
    </row>
    <row r="112" spans="2:6" ht="12.95" customHeight="1">
      <c r="B112" s="3433" t="s">
        <v>4720</v>
      </c>
      <c r="C112" s="2960"/>
      <c r="D112" s="2960"/>
      <c r="E112" s="2960"/>
      <c r="F112" s="2960"/>
    </row>
    <row r="113" spans="2:6" ht="12.95" customHeight="1">
      <c r="B113" s="3433" t="s">
        <v>4721</v>
      </c>
      <c r="C113" s="2960"/>
      <c r="D113" s="2960"/>
      <c r="E113" s="2960"/>
      <c r="F113" s="2960"/>
    </row>
    <row r="114" spans="2:6" ht="39" customHeight="1">
      <c r="B114" s="3120" t="s">
        <v>5775</v>
      </c>
      <c r="C114" s="3120"/>
      <c r="D114" s="3120"/>
      <c r="E114" s="3120"/>
      <c r="F114" s="3120"/>
    </row>
    <row r="115" spans="2:6" ht="5.0999999999999996" customHeight="1">
      <c r="B115" s="497"/>
      <c r="C115" s="487"/>
      <c r="D115" s="487"/>
      <c r="E115" s="487"/>
      <c r="F115" s="487"/>
    </row>
    <row r="116" spans="2:6" ht="13.5" thickBot="1">
      <c r="B116" s="2960" t="s">
        <v>9395</v>
      </c>
      <c r="C116" s="3433"/>
      <c r="D116" s="3433"/>
      <c r="E116" s="3433"/>
      <c r="F116" s="3433"/>
    </row>
    <row r="117" spans="2:6" ht="12.95" customHeight="1" thickBot="1">
      <c r="B117" s="662" t="s">
        <v>4722</v>
      </c>
      <c r="C117" s="663" t="s">
        <v>4408</v>
      </c>
      <c r="D117" s="664" t="s">
        <v>293</v>
      </c>
      <c r="E117" s="292"/>
    </row>
    <row r="118" spans="2:6" ht="12.95" customHeight="1" thickTop="1">
      <c r="B118" s="622" t="s">
        <v>2156</v>
      </c>
      <c r="C118" s="515" t="s">
        <v>4409</v>
      </c>
      <c r="D118" s="596" t="s">
        <v>393</v>
      </c>
      <c r="E118" s="292"/>
    </row>
    <row r="119" spans="2:6" ht="12.95" customHeight="1">
      <c r="B119" s="665" t="s">
        <v>893</v>
      </c>
      <c r="C119" s="484" t="s">
        <v>4410</v>
      </c>
      <c r="D119" s="479" t="s">
        <v>393</v>
      </c>
      <c r="E119" s="292"/>
    </row>
    <row r="120" spans="2:6" ht="12.95" customHeight="1">
      <c r="B120" s="623" t="s">
        <v>2141</v>
      </c>
      <c r="C120" s="516" t="s">
        <v>4411</v>
      </c>
      <c r="D120" s="597" t="s">
        <v>1601</v>
      </c>
      <c r="E120" s="292"/>
    </row>
    <row r="121" spans="2:6" ht="12.95" customHeight="1">
      <c r="B121" s="665" t="s">
        <v>2557</v>
      </c>
      <c r="C121" s="484" t="s">
        <v>4412</v>
      </c>
      <c r="D121" s="479" t="s">
        <v>394</v>
      </c>
      <c r="E121" s="292"/>
    </row>
    <row r="122" spans="2:6" ht="12.95" customHeight="1">
      <c r="B122" s="623" t="s">
        <v>625</v>
      </c>
      <c r="C122" s="516" t="s">
        <v>4413</v>
      </c>
      <c r="D122" s="597" t="s">
        <v>905</v>
      </c>
      <c r="E122" s="292"/>
    </row>
    <row r="123" spans="2:6" ht="12.95" customHeight="1">
      <c r="B123" s="665" t="s">
        <v>626</v>
      </c>
      <c r="C123" s="484" t="s">
        <v>4414</v>
      </c>
      <c r="D123" s="479" t="s">
        <v>395</v>
      </c>
      <c r="E123" s="292"/>
    </row>
    <row r="124" spans="2:6" ht="12.95" customHeight="1">
      <c r="B124" s="623" t="s">
        <v>627</v>
      </c>
      <c r="C124" s="516" t="s">
        <v>4415</v>
      </c>
      <c r="D124" s="597" t="s">
        <v>1599</v>
      </c>
      <c r="E124" s="292"/>
    </row>
    <row r="125" spans="2:6" ht="12.95" customHeight="1">
      <c r="B125" s="665" t="s">
        <v>628</v>
      </c>
      <c r="C125" s="484" t="s">
        <v>4416</v>
      </c>
      <c r="D125" s="479" t="s">
        <v>1602</v>
      </c>
      <c r="E125" s="292"/>
    </row>
    <row r="126" spans="2:6" ht="26.1" customHeight="1" thickBot="1">
      <c r="B126" s="624" t="s">
        <v>2259</v>
      </c>
      <c r="C126" s="518" t="s">
        <v>4723</v>
      </c>
      <c r="D126" s="598" t="s">
        <v>393</v>
      </c>
    </row>
    <row r="127" spans="2:6" ht="5.0999999999999996" customHeight="1">
      <c r="B127" s="666"/>
      <c r="C127" s="666"/>
      <c r="D127" s="600"/>
    </row>
    <row r="128" spans="2:6" ht="12.95" customHeight="1">
      <c r="B128" s="2960" t="s">
        <v>9397</v>
      </c>
      <c r="C128" s="3220"/>
      <c r="D128" s="3220"/>
      <c r="E128" s="3220"/>
      <c r="F128" s="3220"/>
    </row>
    <row r="129" spans="2:7" ht="5.0999999999999996" customHeight="1">
      <c r="B129" s="625"/>
      <c r="C129" s="625"/>
      <c r="D129" s="625"/>
      <c r="E129" s="625"/>
      <c r="F129" s="625"/>
    </row>
    <row r="130" spans="2:7" ht="39" customHeight="1">
      <c r="B130" s="3999" t="s">
        <v>9396</v>
      </c>
      <c r="C130" s="3999"/>
      <c r="D130" s="3999"/>
      <c r="E130" s="3999"/>
      <c r="F130" s="3999"/>
    </row>
    <row r="131" spans="2:7" ht="5.0999999999999996" customHeight="1">
      <c r="B131" s="3999"/>
      <c r="C131" s="3999"/>
      <c r="D131" s="3999"/>
      <c r="E131" s="3999"/>
      <c r="F131" s="3999"/>
    </row>
    <row r="132" spans="2:7" ht="65.099999999999994" customHeight="1">
      <c r="B132" s="3999" t="s">
        <v>10130</v>
      </c>
      <c r="C132" s="3999"/>
      <c r="D132" s="3999"/>
      <c r="E132" s="3999"/>
      <c r="F132" s="3999"/>
    </row>
    <row r="133" spans="2:7" ht="5.0999999999999996" customHeight="1">
      <c r="B133" s="625"/>
      <c r="C133" s="625"/>
      <c r="D133" s="625"/>
      <c r="E133" s="625"/>
      <c r="F133" s="625"/>
    </row>
    <row r="134" spans="2:7" ht="51.95" customHeight="1">
      <c r="B134" s="3999" t="s">
        <v>10131</v>
      </c>
      <c r="C134" s="3999"/>
      <c r="D134" s="3999"/>
      <c r="E134" s="3999"/>
      <c r="F134" s="3999"/>
    </row>
    <row r="135" spans="2:7" ht="5.0999999999999996" customHeight="1" thickBot="1">
      <c r="B135" s="625"/>
      <c r="C135" s="625"/>
      <c r="D135" s="625"/>
      <c r="E135" s="625"/>
      <c r="F135" s="625"/>
    </row>
    <row r="136" spans="2:7" ht="12.95" customHeight="1">
      <c r="B136" s="4004" t="s">
        <v>4724</v>
      </c>
      <c r="C136" s="4001" t="s">
        <v>1441</v>
      </c>
      <c r="D136" s="4001"/>
      <c r="E136" s="4001"/>
      <c r="F136" s="4002"/>
      <c r="G136" s="377"/>
    </row>
    <row r="137" spans="2:7" ht="12.95" customHeight="1" thickBot="1">
      <c r="B137" s="4005"/>
      <c r="C137" s="494" t="s">
        <v>1304</v>
      </c>
      <c r="D137" s="578" t="s">
        <v>3715</v>
      </c>
      <c r="E137" s="578" t="s">
        <v>3716</v>
      </c>
      <c r="F137" s="193" t="s">
        <v>3717</v>
      </c>
      <c r="G137" s="377"/>
    </row>
    <row r="138" spans="2:7" ht="12.95" customHeight="1">
      <c r="B138" s="589" t="s">
        <v>1599</v>
      </c>
      <c r="C138" s="626">
        <v>0.8</v>
      </c>
      <c r="D138" s="627">
        <v>0.88</v>
      </c>
      <c r="E138" s="627">
        <v>0.96</v>
      </c>
      <c r="F138" s="628">
        <v>1.04</v>
      </c>
      <c r="G138" s="377"/>
    </row>
    <row r="139" spans="2:7" ht="12.95" customHeight="1">
      <c r="B139" s="113" t="s">
        <v>1600</v>
      </c>
      <c r="C139" s="667">
        <v>0.66666666666666663</v>
      </c>
      <c r="D139" s="668">
        <v>0.73333333333333339</v>
      </c>
      <c r="E139" s="668">
        <v>0.8</v>
      </c>
      <c r="F139" s="669">
        <v>0.8666666666666667</v>
      </c>
      <c r="G139" s="377"/>
    </row>
    <row r="140" spans="2:7" ht="12.95" customHeight="1">
      <c r="B140" s="592" t="s">
        <v>1601</v>
      </c>
      <c r="C140" s="629">
        <v>0.66666666666666663</v>
      </c>
      <c r="D140" s="630">
        <v>0.73333333333333339</v>
      </c>
      <c r="E140" s="630">
        <v>0.8</v>
      </c>
      <c r="F140" s="631">
        <v>0.8666666666666667</v>
      </c>
      <c r="G140" s="377"/>
    </row>
    <row r="141" spans="2:7" ht="12.95" customHeight="1" thickBot="1">
      <c r="B141" s="109" t="s">
        <v>1602</v>
      </c>
      <c r="C141" s="670">
        <v>0.5714285714285714</v>
      </c>
      <c r="D141" s="671">
        <v>0.62857142857142856</v>
      </c>
      <c r="E141" s="671">
        <v>0.68571428571428561</v>
      </c>
      <c r="F141" s="672">
        <v>0.74285714285714288</v>
      </c>
      <c r="G141" s="377"/>
    </row>
    <row r="142" spans="2:7" ht="5.0999999999999996" customHeight="1" thickBot="1">
      <c r="B142" s="625"/>
      <c r="C142" s="625"/>
      <c r="D142" s="625"/>
      <c r="E142" s="625"/>
      <c r="F142" s="625"/>
    </row>
    <row r="143" spans="2:7" ht="12.95" customHeight="1">
      <c r="B143" s="4004" t="s">
        <v>4725</v>
      </c>
      <c r="C143" s="4001" t="s">
        <v>1441</v>
      </c>
      <c r="D143" s="4001"/>
      <c r="E143" s="4001"/>
      <c r="F143" s="4002"/>
    </row>
    <row r="144" spans="2:7" ht="12.95" customHeight="1" thickBot="1">
      <c r="B144" s="4005"/>
      <c r="C144" s="494" t="s">
        <v>1304</v>
      </c>
      <c r="D144" s="578" t="s">
        <v>3715</v>
      </c>
      <c r="E144" s="578" t="s">
        <v>3716</v>
      </c>
      <c r="F144" s="193" t="s">
        <v>3717</v>
      </c>
    </row>
    <row r="145" spans="2:6" ht="12.95" customHeight="1">
      <c r="B145" s="589" t="s">
        <v>1599</v>
      </c>
      <c r="C145" s="626">
        <v>1</v>
      </c>
      <c r="D145" s="633">
        <v>1.1000000000000001</v>
      </c>
      <c r="E145" s="633">
        <v>1.2</v>
      </c>
      <c r="F145" s="628">
        <v>1.3</v>
      </c>
    </row>
    <row r="146" spans="2:6" ht="12.95" customHeight="1">
      <c r="B146" s="113" t="s">
        <v>1600</v>
      </c>
      <c r="C146" s="667">
        <v>0.8</v>
      </c>
      <c r="D146" s="668">
        <v>0.88</v>
      </c>
      <c r="E146" s="668">
        <v>0.96</v>
      </c>
      <c r="F146" s="673">
        <v>1.04</v>
      </c>
    </row>
    <row r="147" spans="2:6" ht="12.95" customHeight="1">
      <c r="B147" s="592" t="s">
        <v>1601</v>
      </c>
      <c r="C147" s="629">
        <v>0.8</v>
      </c>
      <c r="D147" s="630">
        <v>0.88</v>
      </c>
      <c r="E147" s="630">
        <v>0.96</v>
      </c>
      <c r="F147" s="634">
        <v>1.04</v>
      </c>
    </row>
    <row r="148" spans="2:6" ht="12.95" customHeight="1" thickBot="1">
      <c r="B148" s="109" t="s">
        <v>1602</v>
      </c>
      <c r="C148" s="670">
        <v>0.66666666666666663</v>
      </c>
      <c r="D148" s="671">
        <v>0.73333333333333339</v>
      </c>
      <c r="E148" s="671">
        <v>0.8</v>
      </c>
      <c r="F148" s="672">
        <v>0.8666666666666667</v>
      </c>
    </row>
    <row r="149" spans="2:6" ht="5.0999999999999996" customHeight="1" thickBot="1">
      <c r="B149" s="625"/>
      <c r="C149" s="625"/>
      <c r="D149" s="625"/>
      <c r="E149" s="625"/>
      <c r="F149" s="625"/>
    </row>
    <row r="150" spans="2:6" ht="12.95" customHeight="1">
      <c r="B150" s="4004" t="s">
        <v>4726</v>
      </c>
      <c r="C150" s="4001" t="s">
        <v>1441</v>
      </c>
      <c r="D150" s="4001"/>
      <c r="E150" s="4001"/>
      <c r="F150" s="4002"/>
    </row>
    <row r="151" spans="2:6" ht="12.95" customHeight="1" thickBot="1">
      <c r="B151" s="4005"/>
      <c r="C151" s="494" t="s">
        <v>1304</v>
      </c>
      <c r="D151" s="578" t="s">
        <v>3715</v>
      </c>
      <c r="E151" s="578" t="s">
        <v>3716</v>
      </c>
      <c r="F151" s="193" t="s">
        <v>3717</v>
      </c>
    </row>
    <row r="152" spans="2:6" ht="12.95" customHeight="1">
      <c r="B152" s="589" t="s">
        <v>1599</v>
      </c>
      <c r="C152" s="626">
        <v>1</v>
      </c>
      <c r="D152" s="633">
        <v>1.1000000000000001</v>
      </c>
      <c r="E152" s="633">
        <v>1.2</v>
      </c>
      <c r="F152" s="628">
        <v>1.3</v>
      </c>
    </row>
    <row r="153" spans="2:6" ht="12.95" customHeight="1">
      <c r="B153" s="113" t="s">
        <v>1600</v>
      </c>
      <c r="C153" s="667">
        <v>1</v>
      </c>
      <c r="D153" s="674">
        <v>1.1000000000000001</v>
      </c>
      <c r="E153" s="674">
        <v>1.2</v>
      </c>
      <c r="F153" s="673">
        <v>1.3</v>
      </c>
    </row>
    <row r="154" spans="2:6" ht="12.95" customHeight="1">
      <c r="B154" s="592" t="s">
        <v>1601</v>
      </c>
      <c r="C154" s="629">
        <v>1</v>
      </c>
      <c r="D154" s="635">
        <v>1.1000000000000001</v>
      </c>
      <c r="E154" s="635">
        <v>1.2</v>
      </c>
      <c r="F154" s="634">
        <v>1.3</v>
      </c>
    </row>
    <row r="155" spans="2:6" ht="12.95" customHeight="1" thickBot="1">
      <c r="B155" s="109" t="s">
        <v>1602</v>
      </c>
      <c r="C155" s="670">
        <v>0.8</v>
      </c>
      <c r="D155" s="671">
        <v>0.88</v>
      </c>
      <c r="E155" s="671">
        <v>0.96</v>
      </c>
      <c r="F155" s="675">
        <v>1.04</v>
      </c>
    </row>
    <row r="156" spans="2:6" ht="5.0999999999999996" customHeight="1" thickBot="1">
      <c r="B156" s="625"/>
      <c r="C156" s="625"/>
      <c r="D156" s="625"/>
      <c r="E156" s="625"/>
      <c r="F156" s="625"/>
    </row>
    <row r="157" spans="2:6" ht="12.95" customHeight="1">
      <c r="B157" s="4004" t="s">
        <v>4727</v>
      </c>
      <c r="C157" s="4001" t="s">
        <v>1441</v>
      </c>
      <c r="D157" s="4001"/>
      <c r="E157" s="4001"/>
      <c r="F157" s="4002"/>
    </row>
    <row r="158" spans="2:6" ht="12.95" customHeight="1" thickBot="1">
      <c r="B158" s="4005"/>
      <c r="C158" s="494" t="s">
        <v>1304</v>
      </c>
      <c r="D158" s="578" t="s">
        <v>3715</v>
      </c>
      <c r="E158" s="578" t="s">
        <v>3716</v>
      </c>
      <c r="F158" s="193" t="s">
        <v>3717</v>
      </c>
    </row>
    <row r="159" spans="2:6" ht="12.95" customHeight="1">
      <c r="B159" s="589" t="s">
        <v>1599</v>
      </c>
      <c r="C159" s="626">
        <v>1</v>
      </c>
      <c r="D159" s="633">
        <v>1.1000000000000001</v>
      </c>
      <c r="E159" s="633">
        <v>1.2</v>
      </c>
      <c r="F159" s="628">
        <v>1.3</v>
      </c>
    </row>
    <row r="160" spans="2:6" ht="12.95" customHeight="1">
      <c r="B160" s="592" t="s">
        <v>1600</v>
      </c>
      <c r="C160" s="629">
        <v>1</v>
      </c>
      <c r="D160" s="635">
        <v>1.1000000000000001</v>
      </c>
      <c r="E160" s="635">
        <v>1.2</v>
      </c>
      <c r="F160" s="634">
        <v>1.3</v>
      </c>
    </row>
    <row r="161" spans="2:6" ht="12.95" customHeight="1">
      <c r="B161" s="592" t="s">
        <v>1601</v>
      </c>
      <c r="C161" s="629">
        <v>1</v>
      </c>
      <c r="D161" s="635">
        <v>1.1000000000000001</v>
      </c>
      <c r="E161" s="635">
        <v>1.2</v>
      </c>
      <c r="F161" s="634">
        <v>1.3</v>
      </c>
    </row>
    <row r="162" spans="2:6" ht="12.95" customHeight="1" thickBot="1">
      <c r="B162" s="594" t="s">
        <v>1602</v>
      </c>
      <c r="C162" s="632">
        <v>1</v>
      </c>
      <c r="D162" s="637">
        <v>1.1000000000000001</v>
      </c>
      <c r="E162" s="637">
        <v>1.2</v>
      </c>
      <c r="F162" s="636">
        <v>1.3</v>
      </c>
    </row>
    <row r="163" spans="2:6" ht="5.0999999999999996" customHeight="1">
      <c r="B163" s="625"/>
      <c r="C163" s="625"/>
      <c r="D163" s="625"/>
      <c r="E163" s="625"/>
      <c r="F163" s="625"/>
    </row>
    <row r="164" spans="2:6" ht="18" customHeight="1">
      <c r="B164" s="4006" t="s">
        <v>2253</v>
      </c>
      <c r="C164" s="4006"/>
      <c r="D164" s="4006"/>
      <c r="E164" s="4006"/>
      <c r="F164" s="4006"/>
    </row>
    <row r="165" spans="2:6" ht="39" customHeight="1">
      <c r="B165" s="2960" t="s">
        <v>9398</v>
      </c>
      <c r="C165" s="2960"/>
      <c r="D165" s="2960"/>
      <c r="E165" s="2960"/>
      <c r="F165" s="2960"/>
    </row>
    <row r="166" spans="2:6" ht="12.95" customHeight="1">
      <c r="B166" s="2980" t="s">
        <v>9399</v>
      </c>
      <c r="C166" s="2980"/>
      <c r="D166" s="2980"/>
      <c r="E166" s="2980"/>
      <c r="F166" s="2980"/>
    </row>
    <row r="167" spans="2:6" ht="39" customHeight="1">
      <c r="B167" s="2960" t="s">
        <v>4728</v>
      </c>
      <c r="C167" s="2960"/>
      <c r="D167" s="2960"/>
      <c r="E167" s="2960"/>
      <c r="F167" s="2960"/>
    </row>
    <row r="168" spans="2:6" ht="26.1" customHeight="1">
      <c r="B168" s="2960" t="s">
        <v>4729</v>
      </c>
      <c r="C168" s="2960"/>
      <c r="D168" s="2960"/>
      <c r="E168" s="2960"/>
      <c r="F168" s="2960"/>
    </row>
    <row r="169" spans="2:6" ht="26.1" customHeight="1">
      <c r="B169" s="2960" t="s">
        <v>1650</v>
      </c>
      <c r="C169" s="2960"/>
      <c r="D169" s="2960"/>
      <c r="E169" s="2960"/>
      <c r="F169" s="2960"/>
    </row>
    <row r="170" spans="2:6" ht="5.0999999999999996" customHeight="1">
      <c r="B170" s="638"/>
      <c r="C170" s="638"/>
      <c r="D170" s="638"/>
      <c r="E170" s="638"/>
      <c r="F170" s="638"/>
    </row>
    <row r="171" spans="2:6" ht="129.94999999999999" customHeight="1">
      <c r="B171" s="2960" t="s">
        <v>9400</v>
      </c>
      <c r="C171" s="2960"/>
      <c r="D171" s="2960"/>
      <c r="E171" s="2960"/>
      <c r="F171" s="2960"/>
    </row>
    <row r="172" spans="2:6" ht="5.0999999999999996" customHeight="1">
      <c r="B172" s="638"/>
      <c r="C172" s="638"/>
      <c r="D172" s="638"/>
      <c r="E172" s="638"/>
      <c r="F172" s="638"/>
    </row>
    <row r="173" spans="2:6" ht="18" customHeight="1">
      <c r="B173" s="4006" t="s">
        <v>4730</v>
      </c>
      <c r="C173" s="4006"/>
      <c r="D173" s="4006"/>
      <c r="E173" s="4006"/>
      <c r="F173" s="4006"/>
    </row>
    <row r="174" spans="2:6" ht="26.1" customHeight="1">
      <c r="B174" s="2960" t="s">
        <v>9401</v>
      </c>
      <c r="C174" s="2960"/>
      <c r="D174" s="2960"/>
      <c r="E174" s="2960"/>
      <c r="F174" s="2960"/>
    </row>
    <row r="175" spans="2:6" ht="5.0999999999999996" customHeight="1" thickBot="1">
      <c r="B175" s="487"/>
      <c r="C175" s="487"/>
      <c r="D175" s="487"/>
      <c r="E175" s="487"/>
      <c r="F175" s="487"/>
    </row>
    <row r="176" spans="2:6" ht="13.5" thickBot="1">
      <c r="C176" s="243" t="s">
        <v>98</v>
      </c>
      <c r="D176" s="483" t="s">
        <v>279</v>
      </c>
    </row>
    <row r="177" spans="2:6" ht="12.95" customHeight="1">
      <c r="C177" s="604" t="s">
        <v>1463</v>
      </c>
      <c r="D177" s="616">
        <v>1.4</v>
      </c>
    </row>
    <row r="178" spans="2:6" ht="12.95" customHeight="1">
      <c r="C178" s="481" t="s">
        <v>3715</v>
      </c>
      <c r="D178" s="244">
        <v>1.4</v>
      </c>
    </row>
    <row r="179" spans="2:6" ht="12.95" customHeight="1">
      <c r="C179" s="606" t="s">
        <v>3716</v>
      </c>
      <c r="D179" s="621">
        <v>1.2</v>
      </c>
    </row>
    <row r="180" spans="2:6" ht="12.95" customHeight="1" thickBot="1">
      <c r="C180" s="480" t="s">
        <v>3717</v>
      </c>
      <c r="D180" s="245" t="s">
        <v>4731</v>
      </c>
    </row>
    <row r="181" spans="2:6" ht="5.0999999999999996" customHeight="1">
      <c r="C181" s="603"/>
    </row>
    <row r="182" spans="2:6" ht="12.95" customHeight="1">
      <c r="B182" s="2960" t="s">
        <v>9402</v>
      </c>
      <c r="C182" s="2960"/>
      <c r="D182" s="2960"/>
      <c r="E182" s="2960"/>
      <c r="F182" s="2960"/>
    </row>
    <row r="183" spans="2:6" ht="26.1" customHeight="1">
      <c r="B183" s="2960" t="s">
        <v>9403</v>
      </c>
      <c r="C183" s="2960"/>
      <c r="D183" s="2960"/>
      <c r="E183" s="2960"/>
      <c r="F183" s="2960"/>
    </row>
    <row r="184" spans="2:6" ht="12.95" customHeight="1">
      <c r="B184" s="2960" t="s">
        <v>9404</v>
      </c>
      <c r="C184" s="2960"/>
      <c r="D184" s="2960"/>
      <c r="E184" s="2960"/>
      <c r="F184" s="2960"/>
    </row>
    <row r="185" spans="2:6" ht="5.0999999999999996" customHeight="1">
      <c r="B185" s="2960"/>
      <c r="C185" s="2960"/>
      <c r="D185" s="2960"/>
      <c r="E185" s="2960"/>
      <c r="F185" s="2960"/>
    </row>
    <row r="186" spans="2:6" ht="18" customHeight="1">
      <c r="B186" s="4006" t="s">
        <v>4732</v>
      </c>
      <c r="C186" s="4006"/>
      <c r="D186" s="4006"/>
      <c r="E186" s="4006"/>
      <c r="F186" s="4006"/>
    </row>
    <row r="187" spans="2:6" ht="39" customHeight="1">
      <c r="B187" s="2960" t="s">
        <v>9405</v>
      </c>
      <c r="C187" s="2960"/>
      <c r="D187" s="2960"/>
      <c r="E187" s="2960"/>
      <c r="F187" s="2960"/>
    </row>
    <row r="188" spans="2:6" ht="5.0999999999999996" customHeight="1" thickBot="1">
      <c r="B188" s="487"/>
      <c r="C188" s="487"/>
      <c r="D188" s="487"/>
      <c r="E188" s="487"/>
      <c r="F188" s="487"/>
    </row>
    <row r="189" spans="2:6" ht="12.95" customHeight="1" thickBot="1">
      <c r="C189" s="243" t="s">
        <v>99</v>
      </c>
      <c r="D189" s="483" t="s">
        <v>279</v>
      </c>
    </row>
    <row r="190" spans="2:6" ht="12.95" customHeight="1">
      <c r="C190" s="604" t="s">
        <v>1463</v>
      </c>
      <c r="D190" s="616">
        <v>1.4</v>
      </c>
    </row>
    <row r="191" spans="2:6" ht="12.95" customHeight="1">
      <c r="C191" s="481" t="s">
        <v>3715</v>
      </c>
      <c r="D191" s="244">
        <v>1.4</v>
      </c>
    </row>
    <row r="192" spans="2:6" ht="12.95" customHeight="1">
      <c r="C192" s="606" t="s">
        <v>3716</v>
      </c>
      <c r="D192" s="621">
        <v>1.2</v>
      </c>
    </row>
    <row r="193" spans="2:6" ht="12.95" customHeight="1" thickBot="1">
      <c r="C193" s="480" t="s">
        <v>3717</v>
      </c>
      <c r="D193" s="245">
        <v>1</v>
      </c>
    </row>
    <row r="194" spans="2:6" ht="5.0999999999999996" customHeight="1">
      <c r="B194" s="2960"/>
      <c r="C194" s="2960"/>
      <c r="D194" s="2960"/>
      <c r="E194" s="2960"/>
      <c r="F194" s="2960"/>
    </row>
    <row r="195" spans="2:6" ht="12.95" customHeight="1">
      <c r="B195" s="2960" t="s">
        <v>9406</v>
      </c>
      <c r="C195" s="2960"/>
      <c r="D195" s="2960"/>
      <c r="E195" s="2960"/>
      <c r="F195" s="2960"/>
    </row>
    <row r="196" spans="2:6" ht="5.0999999999999996" customHeight="1">
      <c r="B196" s="2960"/>
      <c r="C196" s="2960"/>
      <c r="D196" s="2960"/>
      <c r="E196" s="2960"/>
      <c r="F196" s="2960"/>
    </row>
    <row r="197" spans="2:6" ht="18" customHeight="1">
      <c r="B197" s="4006" t="s">
        <v>4733</v>
      </c>
      <c r="C197" s="4006"/>
      <c r="D197" s="4006"/>
      <c r="E197" s="4006"/>
      <c r="F197" s="4006"/>
    </row>
    <row r="198" spans="2:6" ht="12.95" customHeight="1">
      <c r="B198" s="2960" t="s">
        <v>9407</v>
      </c>
      <c r="C198" s="2960"/>
      <c r="D198" s="2960"/>
      <c r="E198" s="2960"/>
      <c r="F198" s="2960"/>
    </row>
    <row r="199" spans="2:6" ht="5.0999999999999996" customHeight="1" thickBot="1">
      <c r="B199" s="487"/>
      <c r="C199" s="487"/>
      <c r="D199" s="487"/>
      <c r="E199" s="487"/>
      <c r="F199" s="487"/>
    </row>
    <row r="200" spans="2:6" ht="39" customHeight="1" thickBot="1">
      <c r="C200" s="243" t="s">
        <v>4735</v>
      </c>
      <c r="D200" s="483" t="s">
        <v>4734</v>
      </c>
    </row>
    <row r="201" spans="2:6" ht="12.95" customHeight="1">
      <c r="C201" s="604" t="s">
        <v>1463</v>
      </c>
      <c r="D201" s="639">
        <v>300</v>
      </c>
    </row>
    <row r="202" spans="2:6" ht="12.95" customHeight="1">
      <c r="C202" s="481" t="s">
        <v>1460</v>
      </c>
      <c r="D202" s="676">
        <v>300</v>
      </c>
    </row>
    <row r="203" spans="2:6" ht="12.95" customHeight="1">
      <c r="C203" s="606" t="s">
        <v>1461</v>
      </c>
      <c r="D203" s="640">
        <v>300</v>
      </c>
    </row>
    <row r="204" spans="2:6" ht="12.95" customHeight="1" thickBot="1">
      <c r="C204" s="480" t="s">
        <v>1462</v>
      </c>
      <c r="D204" s="677">
        <v>200</v>
      </c>
    </row>
    <row r="205" spans="2:6" ht="39" customHeight="1">
      <c r="B205" s="2980" t="s">
        <v>9408</v>
      </c>
      <c r="C205" s="2960"/>
      <c r="D205" s="2960"/>
      <c r="E205" s="2960"/>
      <c r="F205" s="2960"/>
    </row>
    <row r="206" spans="2:6" ht="5.0999999999999996" customHeight="1">
      <c r="B206" s="2960"/>
      <c r="C206" s="2960"/>
      <c r="D206" s="2960"/>
      <c r="E206" s="2960"/>
      <c r="F206" s="2960"/>
    </row>
    <row r="207" spans="2:6" ht="26.1" customHeight="1">
      <c r="B207" s="2960" t="s">
        <v>9409</v>
      </c>
      <c r="C207" s="2960"/>
      <c r="D207" s="2960"/>
      <c r="E207" s="2960"/>
      <c r="F207" s="2960"/>
    </row>
    <row r="208" spans="2:6" ht="5.0999999999999996" customHeight="1">
      <c r="B208" s="2960"/>
      <c r="C208" s="2960"/>
      <c r="D208" s="2960"/>
      <c r="E208" s="2960"/>
      <c r="F208" s="2960"/>
    </row>
    <row r="209" spans="2:6" ht="20.100000000000001" customHeight="1">
      <c r="B209" s="4008" t="s">
        <v>4736</v>
      </c>
      <c r="C209" s="4008"/>
      <c r="D209" s="4008"/>
      <c r="E209" s="4008"/>
      <c r="F209" s="4008"/>
    </row>
    <row r="210" spans="2:6" ht="39" customHeight="1">
      <c r="B210" s="2960" t="s">
        <v>9410</v>
      </c>
      <c r="C210" s="2960"/>
      <c r="D210" s="2960"/>
      <c r="E210" s="2960"/>
      <c r="F210" s="2960"/>
    </row>
    <row r="211" spans="2:6" ht="5.0999999999999996" customHeight="1">
      <c r="B211" s="2960"/>
      <c r="C211" s="2960"/>
      <c r="D211" s="2960"/>
      <c r="E211" s="2960"/>
      <c r="F211" s="2960"/>
    </row>
    <row r="212" spans="2:6" ht="18" customHeight="1">
      <c r="B212" s="4003" t="s">
        <v>44</v>
      </c>
      <c r="C212" s="4003"/>
      <c r="D212" s="4003"/>
      <c r="E212" s="4003"/>
      <c r="F212" s="4003"/>
    </row>
    <row r="213" spans="2:6" ht="5.0999999999999996" customHeight="1">
      <c r="B213" s="4007"/>
      <c r="C213" s="4007"/>
      <c r="D213" s="4007"/>
      <c r="E213" s="4007"/>
      <c r="F213" s="4007"/>
    </row>
    <row r="214" spans="2:6" ht="39" customHeight="1">
      <c r="C214" s="2960" t="s">
        <v>9411</v>
      </c>
      <c r="D214" s="2960"/>
      <c r="E214" s="2960"/>
    </row>
    <row r="215" spans="2:6" ht="39" customHeight="1">
      <c r="C215" s="2960" t="s">
        <v>9412</v>
      </c>
      <c r="D215" s="2960"/>
      <c r="E215" s="2960"/>
    </row>
    <row r="216" spans="2:6" ht="12.95" customHeight="1">
      <c r="C216" s="2960" t="s">
        <v>9413</v>
      </c>
      <c r="D216" s="2960"/>
      <c r="E216" s="2960"/>
      <c r="F216" s="2960"/>
    </row>
    <row r="217" spans="2:6" ht="12.95" customHeight="1">
      <c r="C217" s="2960" t="s">
        <v>9414</v>
      </c>
      <c r="D217" s="2960"/>
      <c r="E217" s="2960"/>
    </row>
    <row r="218" spans="2:6" ht="12.95" customHeight="1">
      <c r="C218" s="2960" t="s">
        <v>9415</v>
      </c>
      <c r="D218" s="2960"/>
      <c r="E218" s="2960"/>
    </row>
    <row r="219" spans="2:6" ht="39" customHeight="1">
      <c r="C219" s="2960" t="s">
        <v>9416</v>
      </c>
      <c r="D219" s="2960"/>
      <c r="E219" s="2960"/>
    </row>
    <row r="220" spans="2:6" ht="12.95" customHeight="1">
      <c r="B220" s="2960"/>
      <c r="C220" s="2960"/>
      <c r="D220" s="2960"/>
      <c r="E220" s="2960"/>
      <c r="F220" s="2960"/>
    </row>
    <row r="221" spans="2:6" ht="18" customHeight="1">
      <c r="B221" s="4003" t="s">
        <v>2754</v>
      </c>
      <c r="C221" s="4003"/>
      <c r="D221" s="4003"/>
      <c r="E221" s="4003"/>
      <c r="F221" s="4003"/>
    </row>
    <row r="222" spans="2:6" ht="5.0999999999999996" customHeight="1">
      <c r="B222" s="678"/>
      <c r="C222" s="678"/>
      <c r="D222" s="678"/>
      <c r="E222" s="678"/>
      <c r="F222" s="678"/>
    </row>
    <row r="223" spans="2:6" ht="12.95" customHeight="1">
      <c r="B223" s="3999" t="s">
        <v>9417</v>
      </c>
      <c r="C223" s="3999"/>
      <c r="D223" s="3999"/>
      <c r="E223" s="3999"/>
      <c r="F223" s="3999"/>
    </row>
    <row r="224" spans="2:6" ht="26.1" customHeight="1">
      <c r="C224" s="2960" t="s">
        <v>9418</v>
      </c>
      <c r="D224" s="2960"/>
      <c r="E224" s="2960"/>
    </row>
    <row r="225" spans="2:6" ht="12.95" customHeight="1">
      <c r="C225" s="2960" t="s">
        <v>9419</v>
      </c>
      <c r="D225" s="2960"/>
      <c r="E225" s="2960"/>
    </row>
    <row r="226" spans="2:6" ht="12.95" customHeight="1">
      <c r="C226" s="2960" t="s">
        <v>9420</v>
      </c>
      <c r="D226" s="2960"/>
      <c r="E226" s="2960"/>
    </row>
    <row r="227" spans="2:6" ht="26.1" customHeight="1">
      <c r="C227" s="2960" t="s">
        <v>9421</v>
      </c>
      <c r="D227" s="2960"/>
      <c r="E227" s="2960"/>
    </row>
    <row r="228" spans="2:6" ht="12.95" customHeight="1">
      <c r="C228" s="487"/>
      <c r="D228" s="487"/>
      <c r="E228" s="487"/>
    </row>
    <row r="229" spans="2:6" ht="12.95" customHeight="1">
      <c r="C229" s="2960" t="s">
        <v>9422</v>
      </c>
      <c r="D229" s="2960"/>
      <c r="E229" s="2960"/>
      <c r="F229" s="2960"/>
    </row>
    <row r="230" spans="2:6" ht="12.95" customHeight="1">
      <c r="C230" s="2960" t="s">
        <v>9423</v>
      </c>
      <c r="D230" s="2960"/>
      <c r="E230" s="2960"/>
    </row>
    <row r="231" spans="2:6" ht="12.95" customHeight="1">
      <c r="C231" s="2960" t="s">
        <v>9424</v>
      </c>
      <c r="D231" s="2960"/>
      <c r="E231" s="2960"/>
    </row>
    <row r="232" spans="2:6" ht="51.95" customHeight="1">
      <c r="C232" s="2960" t="s">
        <v>9425</v>
      </c>
      <c r="D232" s="2960"/>
      <c r="E232" s="2960"/>
    </row>
    <row r="233" spans="2:6" ht="5.0999999999999996" customHeight="1">
      <c r="B233" s="2960"/>
      <c r="C233" s="2960"/>
      <c r="D233" s="2960"/>
      <c r="E233" s="2960"/>
      <c r="F233" s="2960"/>
    </row>
    <row r="234" spans="2:6" ht="18" customHeight="1">
      <c r="B234" s="4003" t="s">
        <v>1320</v>
      </c>
      <c r="C234" s="4003"/>
      <c r="D234" s="4003"/>
      <c r="E234" s="4003"/>
      <c r="F234" s="4003"/>
    </row>
    <row r="235" spans="2:6" ht="5.0999999999999996" customHeight="1">
      <c r="B235" s="678"/>
      <c r="C235" s="678"/>
      <c r="D235" s="678"/>
      <c r="E235" s="678"/>
      <c r="F235" s="678"/>
    </row>
    <row r="236" spans="2:6" ht="90.95" customHeight="1">
      <c r="C236" s="2960" t="s">
        <v>9426</v>
      </c>
      <c r="D236" s="2960"/>
      <c r="E236" s="2960"/>
    </row>
    <row r="237" spans="2:6" ht="5.0999999999999996" customHeight="1">
      <c r="B237" s="2960"/>
      <c r="C237" s="2960"/>
      <c r="D237" s="2960"/>
      <c r="E237" s="2960"/>
      <c r="F237" s="2960"/>
    </row>
    <row r="238" spans="2:6" ht="18" customHeight="1">
      <c r="B238" s="4003" t="s">
        <v>1639</v>
      </c>
      <c r="C238" s="4003"/>
      <c r="D238" s="4003"/>
      <c r="E238" s="4003"/>
      <c r="F238" s="4003"/>
    </row>
    <row r="239" spans="2:6" ht="5.0999999999999996" customHeight="1">
      <c r="B239" s="678"/>
      <c r="C239" s="678"/>
      <c r="D239" s="678"/>
      <c r="E239" s="678"/>
      <c r="F239" s="678"/>
    </row>
    <row r="240" spans="2:6" ht="26.1" customHeight="1">
      <c r="B240" s="3999" t="s">
        <v>9427</v>
      </c>
      <c r="C240" s="3999"/>
      <c r="D240" s="3999"/>
      <c r="E240" s="3999"/>
      <c r="F240" s="3999"/>
    </row>
    <row r="241" spans="2:6" ht="42" customHeight="1">
      <c r="C241" s="3687" t="s">
        <v>9428</v>
      </c>
      <c r="D241" s="3687"/>
      <c r="E241" s="3687"/>
    </row>
    <row r="242" spans="2:6" ht="78" customHeight="1">
      <c r="C242" s="3687" t="s">
        <v>9429</v>
      </c>
      <c r="D242" s="3687"/>
      <c r="E242" s="3687"/>
    </row>
    <row r="243" spans="2:6" ht="5.0999999999999996" customHeight="1">
      <c r="B243" s="2960"/>
      <c r="C243" s="2960"/>
      <c r="D243" s="2960"/>
      <c r="E243" s="2960"/>
      <c r="F243" s="2960"/>
    </row>
    <row r="244" spans="2:6" ht="18" customHeight="1">
      <c r="B244" s="4003" t="s">
        <v>2094</v>
      </c>
      <c r="C244" s="4003"/>
      <c r="D244" s="4003"/>
      <c r="E244" s="4003"/>
      <c r="F244" s="4003"/>
    </row>
    <row r="245" spans="2:6" ht="5.0999999999999996" customHeight="1">
      <c r="B245" s="678"/>
      <c r="C245" s="678"/>
      <c r="D245" s="678"/>
      <c r="E245" s="678"/>
      <c r="F245" s="678"/>
    </row>
    <row r="246" spans="2:6" ht="12.95" customHeight="1">
      <c r="B246" s="3999" t="s">
        <v>9430</v>
      </c>
      <c r="C246" s="3999"/>
      <c r="D246" s="3999"/>
      <c r="E246" s="3999"/>
      <c r="F246" s="3999"/>
    </row>
    <row r="247" spans="2:6" ht="26.1" customHeight="1">
      <c r="C247" s="2960" t="s">
        <v>9431</v>
      </c>
      <c r="D247" s="2960"/>
      <c r="E247" s="2960"/>
    </row>
    <row r="248" spans="2:6" ht="26.1" customHeight="1">
      <c r="C248" s="2960" t="s">
        <v>9432</v>
      </c>
      <c r="D248" s="2960"/>
      <c r="E248" s="2960"/>
    </row>
    <row r="249" spans="2:6" ht="12.95" customHeight="1">
      <c r="C249" s="2960" t="s">
        <v>9433</v>
      </c>
      <c r="D249" s="2960"/>
      <c r="E249" s="2960"/>
    </row>
    <row r="250" spans="2:6" ht="12.95" customHeight="1">
      <c r="C250" s="2960" t="s">
        <v>9434</v>
      </c>
      <c r="D250" s="2960"/>
      <c r="E250" s="2960"/>
      <c r="F250" s="2960"/>
    </row>
    <row r="251" spans="2:6" ht="12.95" customHeight="1">
      <c r="C251" s="2960" t="s">
        <v>9435</v>
      </c>
      <c r="D251" s="2960"/>
      <c r="E251" s="2960"/>
    </row>
    <row r="252" spans="2:6" ht="12.95" customHeight="1">
      <c r="C252" s="2960" t="s">
        <v>9436</v>
      </c>
      <c r="D252" s="2960"/>
      <c r="E252" s="2960"/>
    </row>
    <row r="253" spans="2:6" ht="26.1" customHeight="1">
      <c r="C253" s="2960" t="s">
        <v>9437</v>
      </c>
      <c r="D253" s="2960"/>
      <c r="E253" s="2960"/>
    </row>
    <row r="254" spans="2:6" ht="26.1" customHeight="1">
      <c r="C254" s="487"/>
      <c r="D254" s="487"/>
      <c r="E254" s="487"/>
    </row>
    <row r="255" spans="2:6" ht="20.100000000000001" customHeight="1">
      <c r="B255" s="4000" t="s">
        <v>4737</v>
      </c>
      <c r="C255" s="4000"/>
      <c r="D255" s="4000"/>
      <c r="E255" s="4000"/>
      <c r="F255" s="4000"/>
    </row>
    <row r="256" spans="2:6" ht="90.95" customHeight="1">
      <c r="B256" s="3999" t="s">
        <v>9438</v>
      </c>
      <c r="C256" s="3999"/>
      <c r="D256" s="3999"/>
      <c r="E256" s="3999"/>
      <c r="F256" s="3999"/>
    </row>
    <row r="257" spans="2:6" ht="117" customHeight="1">
      <c r="B257" s="3999" t="s">
        <v>10132</v>
      </c>
      <c r="C257" s="3999"/>
      <c r="D257" s="3999"/>
      <c r="E257" s="3999"/>
      <c r="F257" s="3999"/>
    </row>
  </sheetData>
  <sheetProtection autoFilter="0"/>
  <mergeCells count="148">
    <mergeCell ref="C250:F250"/>
    <mergeCell ref="C1:F1"/>
    <mergeCell ref="B8:F8"/>
    <mergeCell ref="B9:F9"/>
    <mergeCell ref="B10:F10"/>
    <mergeCell ref="B3:F3"/>
    <mergeCell ref="B6:F6"/>
    <mergeCell ref="B4:F4"/>
    <mergeCell ref="B7:F7"/>
    <mergeCell ref="B11:F11"/>
    <mergeCell ref="B12:F12"/>
    <mergeCell ref="B28:F28"/>
    <mergeCell ref="B30:F30"/>
    <mergeCell ref="B31:F31"/>
    <mergeCell ref="B32:F32"/>
    <mergeCell ref="B33:F33"/>
    <mergeCell ref="B34:F34"/>
    <mergeCell ref="B85:F85"/>
    <mergeCell ref="B83:F83"/>
    <mergeCell ref="B84:F84"/>
    <mergeCell ref="B35:F35"/>
    <mergeCell ref="B37:F37"/>
    <mergeCell ref="B38:F38"/>
    <mergeCell ref="B36:F36"/>
    <mergeCell ref="B39:F39"/>
    <mergeCell ref="B40:F40"/>
    <mergeCell ref="B46:F46"/>
    <mergeCell ref="B47:F47"/>
    <mergeCell ref="B48:F48"/>
    <mergeCell ref="B49:F49"/>
    <mergeCell ref="B56:F56"/>
    <mergeCell ref="B57:F57"/>
    <mergeCell ref="B58:F58"/>
    <mergeCell ref="B59:F59"/>
    <mergeCell ref="B86:F86"/>
    <mergeCell ref="B87:F87"/>
    <mergeCell ref="B110:F110"/>
    <mergeCell ref="B112:F112"/>
    <mergeCell ref="B113:F113"/>
    <mergeCell ref="B88:F88"/>
    <mergeCell ref="B89:F89"/>
    <mergeCell ref="B90:F90"/>
    <mergeCell ref="B91:F91"/>
    <mergeCell ref="B92:F92"/>
    <mergeCell ref="D94:F94"/>
    <mergeCell ref="B108:F108"/>
    <mergeCell ref="B94:B95"/>
    <mergeCell ref="C94:C95"/>
    <mergeCell ref="B73:F73"/>
    <mergeCell ref="B82:F82"/>
    <mergeCell ref="B74:F74"/>
    <mergeCell ref="B75:F75"/>
    <mergeCell ref="B76:F76"/>
    <mergeCell ref="B77:F77"/>
    <mergeCell ref="B80:F80"/>
    <mergeCell ref="B78:F78"/>
    <mergeCell ref="D61:F61"/>
    <mergeCell ref="D62:F62"/>
    <mergeCell ref="D63:F63"/>
    <mergeCell ref="D64:F64"/>
    <mergeCell ref="D65:F65"/>
    <mergeCell ref="D66:F66"/>
    <mergeCell ref="D67:F67"/>
    <mergeCell ref="D68:F71"/>
    <mergeCell ref="D72:F72"/>
    <mergeCell ref="B128:F128"/>
    <mergeCell ref="B116:F116"/>
    <mergeCell ref="B130:F130"/>
    <mergeCell ref="B257:F257"/>
    <mergeCell ref="B174:F174"/>
    <mergeCell ref="B182:F182"/>
    <mergeCell ref="B183:F183"/>
    <mergeCell ref="B171:F171"/>
    <mergeCell ref="B184:F184"/>
    <mergeCell ref="B185:F185"/>
    <mergeCell ref="B186:F186"/>
    <mergeCell ref="B187:F187"/>
    <mergeCell ref="B194:F194"/>
    <mergeCell ref="B195:F195"/>
    <mergeCell ref="B196:F196"/>
    <mergeCell ref="B197:F197"/>
    <mergeCell ref="B198:F198"/>
    <mergeCell ref="B205:F205"/>
    <mergeCell ref="B206:F206"/>
    <mergeCell ref="B207:F207"/>
    <mergeCell ref="C241:E241"/>
    <mergeCell ref="C242:E242"/>
    <mergeCell ref="B243:F243"/>
    <mergeCell ref="C247:E247"/>
    <mergeCell ref="B208:F208"/>
    <mergeCell ref="B209:F209"/>
    <mergeCell ref="B234:F234"/>
    <mergeCell ref="C236:E236"/>
    <mergeCell ref="B237:F237"/>
    <mergeCell ref="B238:F238"/>
    <mergeCell ref="B240:F240"/>
    <mergeCell ref="C225:E225"/>
    <mergeCell ref="C226:E226"/>
    <mergeCell ref="C227:E227"/>
    <mergeCell ref="B221:F221"/>
    <mergeCell ref="B223:F223"/>
    <mergeCell ref="C224:E224"/>
    <mergeCell ref="C231:E231"/>
    <mergeCell ref="C232:E232"/>
    <mergeCell ref="B233:F233"/>
    <mergeCell ref="C229:F229"/>
    <mergeCell ref="B150:B151"/>
    <mergeCell ref="B157:B158"/>
    <mergeCell ref="C230:E230"/>
    <mergeCell ref="B168:F168"/>
    <mergeCell ref="B169:F169"/>
    <mergeCell ref="B173:F173"/>
    <mergeCell ref="B166:F166"/>
    <mergeCell ref="B167:F167"/>
    <mergeCell ref="B164:F164"/>
    <mergeCell ref="B165:F165"/>
    <mergeCell ref="C157:F157"/>
    <mergeCell ref="B211:F211"/>
    <mergeCell ref="B212:F212"/>
    <mergeCell ref="B213:F213"/>
    <mergeCell ref="C214:E214"/>
    <mergeCell ref="C215:E215"/>
    <mergeCell ref="B210:F210"/>
    <mergeCell ref="C216:F216"/>
    <mergeCell ref="B256:F256"/>
    <mergeCell ref="C251:E251"/>
    <mergeCell ref="C252:E252"/>
    <mergeCell ref="C253:E253"/>
    <mergeCell ref="B255:F255"/>
    <mergeCell ref="B79:F79"/>
    <mergeCell ref="B132:F132"/>
    <mergeCell ref="B131:F131"/>
    <mergeCell ref="B111:F111"/>
    <mergeCell ref="C143:F143"/>
    <mergeCell ref="C150:F150"/>
    <mergeCell ref="B134:F134"/>
    <mergeCell ref="C136:F136"/>
    <mergeCell ref="B114:F114"/>
    <mergeCell ref="C249:E249"/>
    <mergeCell ref="B244:F244"/>
    <mergeCell ref="B246:F246"/>
    <mergeCell ref="C248:E248"/>
    <mergeCell ref="C217:E217"/>
    <mergeCell ref="C218:E218"/>
    <mergeCell ref="C219:E219"/>
    <mergeCell ref="B220:F220"/>
    <mergeCell ref="B136:B137"/>
    <mergeCell ref="B143:B144"/>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0" orientation="landscape" r:id="rId1"/>
  <headerFooter alignWithMargins="0"/>
  <rowBreaks count="9" manualBreakCount="9">
    <brk id="26" max="5" man="1"/>
    <brk id="46" max="5" man="1"/>
    <brk id="80" max="5" man="1"/>
    <brk id="133" max="5" man="1"/>
    <brk id="167" max="5" man="1"/>
    <brk id="195" max="5" man="1"/>
    <brk id="220" max="5" man="1"/>
    <brk id="236" max="5" man="1"/>
    <brk id="254" max="5" man="1"/>
  </rowBreaks>
  <ignoredErrors>
    <ignoredError sqref="E52:E54" numberStoredAsText="1"/>
  </ignoredErrors>
  <drawing r:id="rId2"/>
</worksheet>
</file>

<file path=xl/worksheets/sheet91.xml><?xml version="1.0" encoding="utf-8"?>
<worksheet xmlns="http://schemas.openxmlformats.org/spreadsheetml/2006/main" xmlns:r="http://schemas.openxmlformats.org/officeDocument/2006/relationships">
  <dimension ref="B1:P79"/>
  <sheetViews>
    <sheetView zoomScaleNormal="100" workbookViewId="0">
      <pane ySplit="4" topLeftCell="A5" activePane="bottomLeft" state="frozen"/>
      <selection pane="bottomLeft"/>
    </sheetView>
  </sheetViews>
  <sheetFormatPr defaultRowHeight="12.95" customHeight="1"/>
  <cols>
    <col min="1" max="1" width="3.7109375" style="377" customWidth="1"/>
    <col min="2" max="2" width="14.28515625" style="377" customWidth="1"/>
    <col min="3" max="3" width="25.42578125" style="377" customWidth="1"/>
    <col min="4" max="4" width="14.7109375" style="377" customWidth="1"/>
    <col min="5" max="5" width="16.5703125" style="377" customWidth="1"/>
    <col min="6" max="6" width="9.7109375" style="377" customWidth="1"/>
    <col min="7" max="7" width="10" style="377" customWidth="1"/>
    <col min="8" max="10" width="10.7109375" style="377" customWidth="1"/>
    <col min="11" max="16384" width="9.140625" style="377"/>
  </cols>
  <sheetData>
    <row r="1" spans="2:16" ht="12.95" customHeight="1">
      <c r="B1" s="562" t="s">
        <v>2706</v>
      </c>
      <c r="C1" s="2983" t="s">
        <v>8269</v>
      </c>
      <c r="D1" s="2983"/>
      <c r="E1" s="2983"/>
      <c r="F1" s="2983"/>
      <c r="G1" s="2983"/>
      <c r="H1" s="2983"/>
      <c r="I1" s="2983"/>
      <c r="J1" s="2983"/>
    </row>
    <row r="2" spans="2:16" ht="5.0999999999999996" customHeight="1"/>
    <row r="3" spans="2:16" ht="12.95" customHeight="1">
      <c r="B3" s="3266" t="s">
        <v>4738</v>
      </c>
      <c r="C3" s="3266"/>
      <c r="D3" s="3266"/>
      <c r="E3" s="3266"/>
      <c r="F3" s="3266"/>
      <c r="G3" s="3266"/>
      <c r="H3" s="3266"/>
      <c r="I3" s="3266"/>
      <c r="J3" s="3266"/>
      <c r="K3" s="396"/>
      <c r="L3" s="396"/>
      <c r="M3" s="396"/>
      <c r="N3" s="396"/>
      <c r="O3" s="396"/>
      <c r="P3" s="396"/>
    </row>
    <row r="4" spans="2:16" ht="5.0999999999999996" customHeight="1"/>
    <row r="5" spans="2:16" ht="12.95" customHeight="1">
      <c r="B5" s="377">
        <v>1</v>
      </c>
      <c r="C5" s="3688" t="s">
        <v>4739</v>
      </c>
      <c r="D5" s="3688"/>
      <c r="E5" s="3688"/>
      <c r="F5" s="3688"/>
      <c r="G5" s="3688"/>
      <c r="H5" s="3688"/>
      <c r="I5" s="3688"/>
      <c r="J5" s="3688"/>
    </row>
    <row r="6" spans="2:16" ht="65.099999999999994" customHeight="1">
      <c r="B6" s="2984" t="s">
        <v>9439</v>
      </c>
      <c r="C6" s="2984"/>
      <c r="D6" s="2984"/>
      <c r="E6" s="2984"/>
      <c r="F6" s="2984"/>
      <c r="G6" s="2984"/>
      <c r="H6" s="2984"/>
      <c r="I6" s="2984"/>
      <c r="J6" s="2984"/>
    </row>
    <row r="7" spans="2:16" ht="117" customHeight="1">
      <c r="B7" s="2984" t="s">
        <v>9440</v>
      </c>
      <c r="C7" s="3253"/>
      <c r="D7" s="3253"/>
      <c r="E7" s="3253"/>
      <c r="F7" s="3253"/>
      <c r="G7" s="3253"/>
      <c r="H7" s="3253"/>
      <c r="I7" s="3253"/>
      <c r="J7" s="3253"/>
    </row>
    <row r="8" spans="2:16" ht="12.95" customHeight="1">
      <c r="B8" s="492"/>
      <c r="D8" s="3481" t="s">
        <v>4740</v>
      </c>
      <c r="E8" s="3481"/>
      <c r="F8" s="491"/>
      <c r="G8" s="491"/>
      <c r="H8" s="491"/>
      <c r="I8" s="491"/>
      <c r="J8" s="492"/>
    </row>
    <row r="9" spans="2:16" ht="12.95" customHeight="1">
      <c r="C9" s="563" t="s">
        <v>304</v>
      </c>
      <c r="D9" s="2984" t="s">
        <v>4741</v>
      </c>
      <c r="E9" s="2984"/>
      <c r="F9" s="2984"/>
      <c r="G9" s="2984"/>
      <c r="H9" s="2984"/>
      <c r="I9" s="492"/>
      <c r="J9" s="492"/>
    </row>
    <row r="10" spans="2:16" ht="26.1" customHeight="1">
      <c r="B10" s="492"/>
      <c r="D10" s="2984" t="s">
        <v>4742</v>
      </c>
      <c r="E10" s="2984"/>
      <c r="F10" s="2984"/>
      <c r="G10" s="2984"/>
      <c r="H10" s="2984"/>
      <c r="I10" s="492"/>
      <c r="J10" s="492"/>
    </row>
    <row r="11" spans="2:16" ht="12.95" customHeight="1">
      <c r="B11" s="492"/>
      <c r="D11" s="2984" t="s">
        <v>4743</v>
      </c>
      <c r="E11" s="2984"/>
      <c r="F11" s="2984"/>
      <c r="G11" s="2984"/>
      <c r="H11" s="2984"/>
      <c r="I11" s="492"/>
      <c r="J11" s="492"/>
    </row>
    <row r="12" spans="2:16" ht="5.0999999999999996" customHeight="1">
      <c r="B12" s="492"/>
      <c r="C12" s="492"/>
      <c r="D12" s="492"/>
      <c r="E12" s="492"/>
      <c r="F12" s="492"/>
      <c r="G12" s="492"/>
      <c r="H12" s="492"/>
      <c r="I12" s="492"/>
      <c r="J12" s="492"/>
    </row>
    <row r="13" spans="2:16" ht="78" customHeight="1">
      <c r="B13" s="2984" t="s">
        <v>9441</v>
      </c>
      <c r="C13" s="2984"/>
      <c r="D13" s="2984"/>
      <c r="E13" s="2984"/>
      <c r="F13" s="2984"/>
      <c r="G13" s="2984"/>
      <c r="H13" s="2984"/>
      <c r="I13" s="2984"/>
      <c r="J13" s="2984"/>
    </row>
    <row r="14" spans="2:16" ht="51.95" customHeight="1">
      <c r="B14" s="2985" t="s">
        <v>9442</v>
      </c>
      <c r="C14" s="2984"/>
      <c r="D14" s="2984"/>
      <c r="E14" s="2984"/>
      <c r="F14" s="2984"/>
      <c r="G14" s="2984"/>
      <c r="H14" s="2984"/>
      <c r="I14" s="2984"/>
      <c r="J14" s="2984"/>
    </row>
    <row r="15" spans="2:16" ht="26.1" customHeight="1">
      <c r="B15" s="2984" t="s">
        <v>9443</v>
      </c>
      <c r="C15" s="2984"/>
      <c r="D15" s="2984"/>
      <c r="E15" s="2984"/>
      <c r="F15" s="2984"/>
      <c r="G15" s="2984"/>
      <c r="H15" s="2984"/>
      <c r="I15" s="2984"/>
      <c r="J15" s="2984"/>
    </row>
    <row r="16" spans="2:16" ht="5.0999999999999996" customHeight="1" thickBot="1">
      <c r="B16" s="491"/>
      <c r="C16" s="492"/>
      <c r="D16" s="492"/>
      <c r="E16" s="492"/>
      <c r="F16" s="492"/>
      <c r="G16" s="492"/>
      <c r="H16" s="492"/>
      <c r="I16" s="492"/>
      <c r="J16" s="492"/>
    </row>
    <row r="17" spans="2:10" ht="12.95" customHeight="1" thickBot="1">
      <c r="B17" s="491"/>
      <c r="C17" s="489" t="s">
        <v>310</v>
      </c>
      <c r="D17" s="3002" t="s">
        <v>894</v>
      </c>
      <c r="E17" s="3003"/>
      <c r="F17" s="492"/>
      <c r="G17" s="492"/>
      <c r="H17" s="492"/>
      <c r="I17" s="492"/>
      <c r="J17" s="492"/>
    </row>
    <row r="18" spans="2:10" ht="12.95" customHeight="1">
      <c r="B18" s="491"/>
      <c r="C18" s="556" t="s">
        <v>2156</v>
      </c>
      <c r="D18" s="3032">
        <v>17</v>
      </c>
      <c r="E18" s="3033"/>
      <c r="F18" s="4034" t="s">
        <v>4745</v>
      </c>
      <c r="G18" s="4035"/>
      <c r="H18" s="4035"/>
      <c r="I18" s="4035"/>
      <c r="J18" s="492"/>
    </row>
    <row r="19" spans="2:10" ht="12.95" customHeight="1">
      <c r="B19" s="491"/>
      <c r="C19" s="498" t="s">
        <v>893</v>
      </c>
      <c r="D19" s="3030">
        <v>16</v>
      </c>
      <c r="E19" s="3031"/>
      <c r="F19" s="4034"/>
      <c r="G19" s="4035"/>
      <c r="H19" s="4035"/>
      <c r="I19" s="4035"/>
      <c r="J19" s="492"/>
    </row>
    <row r="20" spans="2:10" ht="12.95" customHeight="1">
      <c r="B20" s="491"/>
      <c r="C20" s="557" t="s">
        <v>2141</v>
      </c>
      <c r="D20" s="3028">
        <v>18</v>
      </c>
      <c r="E20" s="3029"/>
      <c r="F20" s="4034"/>
      <c r="G20" s="4035"/>
      <c r="H20" s="4035"/>
      <c r="I20" s="4035"/>
      <c r="J20" s="492"/>
    </row>
    <row r="21" spans="2:10" ht="12.95" customHeight="1">
      <c r="B21" s="491"/>
      <c r="C21" s="498" t="s">
        <v>625</v>
      </c>
      <c r="D21" s="3030">
        <v>18</v>
      </c>
      <c r="E21" s="3031"/>
      <c r="F21" s="4034"/>
      <c r="G21" s="4035"/>
      <c r="H21" s="4035"/>
      <c r="I21" s="4035"/>
      <c r="J21" s="492"/>
    </row>
    <row r="22" spans="2:10" ht="12.95" customHeight="1">
      <c r="B22" s="491"/>
      <c r="C22" s="557" t="s">
        <v>2557</v>
      </c>
      <c r="D22" s="3028">
        <v>17</v>
      </c>
      <c r="E22" s="3029"/>
      <c r="F22" s="4034"/>
      <c r="G22" s="4035"/>
      <c r="H22" s="4035"/>
      <c r="I22" s="4035"/>
      <c r="J22" s="492"/>
    </row>
    <row r="23" spans="2:10" ht="12.95" customHeight="1">
      <c r="B23" s="491"/>
      <c r="C23" s="498" t="s">
        <v>626</v>
      </c>
      <c r="D23" s="3030">
        <v>18</v>
      </c>
      <c r="E23" s="3031"/>
      <c r="F23" s="4034"/>
      <c r="G23" s="4035"/>
      <c r="H23" s="4035"/>
      <c r="I23" s="4035"/>
      <c r="J23" s="492"/>
    </row>
    <row r="24" spans="2:10" ht="12.95" customHeight="1">
      <c r="B24" s="491"/>
      <c r="C24" s="557" t="s">
        <v>628</v>
      </c>
      <c r="D24" s="3028">
        <v>18</v>
      </c>
      <c r="E24" s="3029"/>
      <c r="F24" s="4034"/>
      <c r="G24" s="4035"/>
      <c r="H24" s="4035"/>
      <c r="I24" s="4035"/>
      <c r="J24" s="492"/>
    </row>
    <row r="25" spans="2:10" ht="12.95" customHeight="1">
      <c r="B25" s="491"/>
      <c r="C25" s="498" t="s">
        <v>627</v>
      </c>
      <c r="D25" s="3030">
        <v>18</v>
      </c>
      <c r="E25" s="3031"/>
      <c r="F25" s="4034"/>
      <c r="G25" s="4035"/>
      <c r="H25" s="4035"/>
      <c r="I25" s="4035"/>
      <c r="J25" s="492"/>
    </row>
    <row r="26" spans="2:10" ht="12.95" customHeight="1" thickBot="1">
      <c r="B26" s="491"/>
      <c r="C26" s="558" t="s">
        <v>2259</v>
      </c>
      <c r="D26" s="3296">
        <v>17</v>
      </c>
      <c r="E26" s="3297"/>
      <c r="F26" s="492"/>
      <c r="G26" s="492"/>
      <c r="H26" s="492"/>
      <c r="I26" s="492"/>
      <c r="J26" s="492"/>
    </row>
    <row r="27" spans="2:10" ht="5.0999999999999996" customHeight="1">
      <c r="B27" s="492"/>
      <c r="D27" s="2984"/>
      <c r="E27" s="2984"/>
      <c r="F27" s="492"/>
      <c r="G27" s="492"/>
      <c r="H27" s="492"/>
      <c r="I27" s="492"/>
      <c r="J27" s="492"/>
    </row>
    <row r="28" spans="2:10" ht="12.95" customHeight="1">
      <c r="B28" s="377">
        <v>2</v>
      </c>
      <c r="C28" s="4033" t="s">
        <v>4744</v>
      </c>
      <c r="D28" s="4033"/>
      <c r="E28" s="4033"/>
      <c r="F28" s="4033"/>
      <c r="G28" s="4033"/>
      <c r="H28" s="4033"/>
      <c r="I28" s="4033"/>
      <c r="J28" s="4033"/>
    </row>
    <row r="29" spans="2:10" ht="51.95" customHeight="1">
      <c r="B29" s="2984" t="s">
        <v>9444</v>
      </c>
      <c r="C29" s="2984"/>
      <c r="D29" s="2984"/>
      <c r="E29" s="2984"/>
      <c r="F29" s="2984"/>
      <c r="G29" s="2984"/>
      <c r="H29" s="2984"/>
      <c r="I29" s="2984"/>
      <c r="J29" s="2984"/>
    </row>
    <row r="30" spans="2:10" ht="5.0999999999999996" customHeight="1" thickBot="1"/>
    <row r="31" spans="2:10" ht="12.95" customHeight="1" thickBot="1">
      <c r="C31" s="489" t="s">
        <v>310</v>
      </c>
      <c r="D31" s="3308" t="s">
        <v>544</v>
      </c>
      <c r="E31" s="3309"/>
      <c r="F31" s="3309"/>
      <c r="G31" s="3309"/>
      <c r="H31" s="3309"/>
      <c r="I31" s="3310"/>
    </row>
    <row r="32" spans="2:10" ht="12.95" customHeight="1">
      <c r="C32" s="559" t="s">
        <v>2156</v>
      </c>
      <c r="D32" s="4046" t="s">
        <v>5746</v>
      </c>
      <c r="E32" s="4047"/>
      <c r="F32" s="4047"/>
      <c r="G32" s="4047"/>
      <c r="H32" s="4047"/>
      <c r="I32" s="4048"/>
    </row>
    <row r="33" spans="2:10" ht="12.95" customHeight="1">
      <c r="C33" s="229" t="s">
        <v>893</v>
      </c>
      <c r="D33" s="4037" t="s">
        <v>5747</v>
      </c>
      <c r="E33" s="4038"/>
      <c r="F33" s="4038"/>
      <c r="G33" s="4038"/>
      <c r="H33" s="4038"/>
      <c r="I33" s="4039"/>
    </row>
    <row r="34" spans="2:10" ht="39" customHeight="1">
      <c r="C34" s="560" t="s">
        <v>2141</v>
      </c>
      <c r="D34" s="4043" t="s">
        <v>5748</v>
      </c>
      <c r="E34" s="4044"/>
      <c r="F34" s="4044"/>
      <c r="G34" s="4044"/>
      <c r="H34" s="4044"/>
      <c r="I34" s="4045"/>
    </row>
    <row r="35" spans="2:10" ht="12.95" customHeight="1">
      <c r="C35" s="229" t="s">
        <v>625</v>
      </c>
      <c r="D35" s="4037" t="s">
        <v>5749</v>
      </c>
      <c r="E35" s="4038"/>
      <c r="F35" s="4038"/>
      <c r="G35" s="4038"/>
      <c r="H35" s="4038"/>
      <c r="I35" s="4039"/>
    </row>
    <row r="36" spans="2:10" ht="12.95" customHeight="1">
      <c r="C36" s="560" t="s">
        <v>626</v>
      </c>
      <c r="D36" s="4043" t="s">
        <v>5750</v>
      </c>
      <c r="E36" s="4044"/>
      <c r="F36" s="4044"/>
      <c r="G36" s="4044"/>
      <c r="H36" s="4044"/>
      <c r="I36" s="4045"/>
    </row>
    <row r="37" spans="2:10" ht="12.95" customHeight="1">
      <c r="C37" s="229" t="s">
        <v>2557</v>
      </c>
      <c r="D37" s="4037" t="s">
        <v>5751</v>
      </c>
      <c r="E37" s="4038"/>
      <c r="F37" s="4038"/>
      <c r="G37" s="4038"/>
      <c r="H37" s="4038"/>
      <c r="I37" s="4039"/>
    </row>
    <row r="38" spans="2:10" ht="12.95" customHeight="1">
      <c r="C38" s="560" t="s">
        <v>628</v>
      </c>
      <c r="D38" s="4043" t="s">
        <v>5752</v>
      </c>
      <c r="E38" s="4044"/>
      <c r="F38" s="4044"/>
      <c r="G38" s="4044"/>
      <c r="H38" s="4044"/>
      <c r="I38" s="4045"/>
    </row>
    <row r="39" spans="2:10" ht="12.95" customHeight="1">
      <c r="C39" s="229" t="s">
        <v>627</v>
      </c>
      <c r="D39" s="4037" t="s">
        <v>5753</v>
      </c>
      <c r="E39" s="4038"/>
      <c r="F39" s="4038"/>
      <c r="G39" s="4038"/>
      <c r="H39" s="4038"/>
      <c r="I39" s="4039"/>
    </row>
    <row r="40" spans="2:10" ht="12.95" customHeight="1" thickBot="1">
      <c r="C40" s="561" t="s">
        <v>2259</v>
      </c>
      <c r="D40" s="4040" t="s">
        <v>5746</v>
      </c>
      <c r="E40" s="4041"/>
      <c r="F40" s="4041"/>
      <c r="G40" s="4041"/>
      <c r="H40" s="4041"/>
      <c r="I40" s="4042"/>
    </row>
    <row r="41" spans="2:10" ht="129.94999999999999" customHeight="1">
      <c r="B41" s="2985" t="s">
        <v>9445</v>
      </c>
      <c r="C41" s="2984"/>
      <c r="D41" s="2984"/>
      <c r="E41" s="2984"/>
      <c r="F41" s="2984"/>
      <c r="G41" s="2984"/>
      <c r="H41" s="2984"/>
      <c r="I41" s="2984"/>
      <c r="J41" s="2984"/>
    </row>
    <row r="42" spans="2:10" ht="129.94999999999999" customHeight="1">
      <c r="B42" s="2984" t="s">
        <v>9446</v>
      </c>
      <c r="C42" s="2984"/>
      <c r="D42" s="2984"/>
      <c r="E42" s="2984"/>
      <c r="F42" s="2984"/>
      <c r="G42" s="2984"/>
      <c r="H42" s="2984"/>
      <c r="I42" s="2984"/>
      <c r="J42" s="2984"/>
    </row>
    <row r="43" spans="2:10" ht="51.95" customHeight="1">
      <c r="B43" s="2984" t="s">
        <v>9447</v>
      </c>
      <c r="C43" s="2984"/>
      <c r="D43" s="2984"/>
      <c r="E43" s="2984"/>
      <c r="F43" s="2984"/>
      <c r="G43" s="2984"/>
      <c r="H43" s="2984"/>
      <c r="I43" s="2984"/>
      <c r="J43" s="2984"/>
    </row>
    <row r="44" spans="2:10" ht="5.0999999999999996" customHeight="1"/>
    <row r="45" spans="2:10" ht="12.95" customHeight="1" thickBot="1">
      <c r="B45" s="377">
        <v>3</v>
      </c>
      <c r="C45" s="4033" t="s">
        <v>4746</v>
      </c>
      <c r="D45" s="4033"/>
      <c r="E45" s="4033"/>
      <c r="F45" s="4033"/>
      <c r="G45" s="4033"/>
      <c r="H45" s="4033"/>
      <c r="I45" s="4033"/>
      <c r="J45" s="4033"/>
    </row>
    <row r="46" spans="2:10" ht="12.95" customHeight="1" thickBot="1">
      <c r="C46" s="493" t="s">
        <v>2392</v>
      </c>
      <c r="D46" s="271" t="s">
        <v>4747</v>
      </c>
    </row>
    <row r="47" spans="2:10" ht="12.95" customHeight="1">
      <c r="C47" s="564" t="s">
        <v>1394</v>
      </c>
      <c r="D47" s="565">
        <v>2</v>
      </c>
    </row>
    <row r="48" spans="2:10" ht="12.95" customHeight="1">
      <c r="C48" s="576" t="s">
        <v>1395</v>
      </c>
      <c r="D48" s="577">
        <v>4</v>
      </c>
    </row>
    <row r="49" spans="2:11" ht="12.95" customHeight="1">
      <c r="C49" s="564" t="s">
        <v>955</v>
      </c>
      <c r="D49" s="565">
        <v>4</v>
      </c>
    </row>
    <row r="50" spans="2:11" ht="12.95" customHeight="1">
      <c r="C50" s="576" t="s">
        <v>956</v>
      </c>
      <c r="D50" s="577">
        <v>2</v>
      </c>
    </row>
    <row r="51" spans="2:11" ht="12.95" customHeight="1">
      <c r="C51" s="564" t="s">
        <v>957</v>
      </c>
      <c r="D51" s="565">
        <v>4</v>
      </c>
    </row>
    <row r="52" spans="2:11" ht="12.95" customHeight="1">
      <c r="C52" s="576" t="s">
        <v>958</v>
      </c>
      <c r="D52" s="577">
        <v>4</v>
      </c>
    </row>
    <row r="53" spans="2:11" ht="12.95" customHeight="1">
      <c r="C53" s="564" t="s">
        <v>959</v>
      </c>
      <c r="D53" s="565">
        <v>2</v>
      </c>
    </row>
    <row r="54" spans="2:11" ht="12.95" customHeight="1" thickBot="1">
      <c r="C54" s="566" t="s">
        <v>960</v>
      </c>
      <c r="D54" s="567">
        <v>2</v>
      </c>
    </row>
    <row r="55" spans="2:11" ht="5.0999999999999996" customHeight="1"/>
    <row r="56" spans="2:11" ht="12.95" customHeight="1" thickBot="1">
      <c r="B56" s="377">
        <v>4</v>
      </c>
      <c r="C56" s="4049" t="s">
        <v>5755</v>
      </c>
      <c r="D56" s="4049"/>
      <c r="E56" s="4049"/>
      <c r="F56" s="4049"/>
      <c r="G56" s="4049"/>
      <c r="H56" s="4049"/>
      <c r="I56" s="4049"/>
      <c r="J56" s="4049"/>
    </row>
    <row r="57" spans="2:11" ht="12.95" customHeight="1">
      <c r="B57" s="2966" t="s">
        <v>562</v>
      </c>
      <c r="C57" s="2966" t="s">
        <v>913</v>
      </c>
      <c r="D57" s="4036" t="s">
        <v>4749</v>
      </c>
      <c r="E57" s="3624"/>
      <c r="F57" s="3624"/>
      <c r="G57" s="3793"/>
      <c r="H57" s="3792" t="s">
        <v>5754</v>
      </c>
      <c r="I57" s="3624"/>
      <c r="J57" s="3793"/>
    </row>
    <row r="58" spans="2:11" ht="12.95" customHeight="1" thickBot="1">
      <c r="B58" s="2967"/>
      <c r="C58" s="2967"/>
      <c r="D58" s="587" t="s">
        <v>4386</v>
      </c>
      <c r="E58" s="585" t="s">
        <v>4748</v>
      </c>
      <c r="F58" s="585" t="s">
        <v>911</v>
      </c>
      <c r="G58" s="586" t="s">
        <v>912</v>
      </c>
      <c r="H58" s="584">
        <v>0</v>
      </c>
      <c r="I58" s="585">
        <v>1</v>
      </c>
      <c r="J58" s="586">
        <v>2</v>
      </c>
    </row>
    <row r="59" spans="2:11" ht="12.95" customHeight="1">
      <c r="B59" s="568" t="s">
        <v>1463</v>
      </c>
      <c r="C59" s="569">
        <v>1</v>
      </c>
      <c r="D59" s="452">
        <v>0.05</v>
      </c>
      <c r="E59" s="453">
        <v>0.1</v>
      </c>
      <c r="F59" s="453">
        <v>0.25</v>
      </c>
      <c r="G59" s="454">
        <v>0.5</v>
      </c>
      <c r="H59" s="495">
        <v>0.1</v>
      </c>
      <c r="I59" s="453">
        <v>0.6</v>
      </c>
      <c r="J59" s="454">
        <v>0.3</v>
      </c>
      <c r="K59" s="570"/>
    </row>
    <row r="60" spans="2:11" ht="12.95" customHeight="1">
      <c r="B60" s="579" t="s">
        <v>3715</v>
      </c>
      <c r="C60" s="60">
        <v>1</v>
      </c>
      <c r="D60" s="469">
        <v>7.0000000000000007E-2</v>
      </c>
      <c r="E60" s="470">
        <v>0.15</v>
      </c>
      <c r="F60" s="470">
        <v>0.3</v>
      </c>
      <c r="G60" s="580">
        <v>0.6</v>
      </c>
      <c r="H60" s="581">
        <v>0</v>
      </c>
      <c r="I60" s="470">
        <v>0.5</v>
      </c>
      <c r="J60" s="580">
        <v>0.5</v>
      </c>
      <c r="K60" s="570"/>
    </row>
    <row r="61" spans="2:11" ht="12.95" customHeight="1">
      <c r="B61" s="571" t="s">
        <v>3716</v>
      </c>
      <c r="C61" s="572">
        <v>2</v>
      </c>
      <c r="D61" s="455">
        <v>7.0000000000000007E-2</v>
      </c>
      <c r="E61" s="573">
        <v>0.15</v>
      </c>
      <c r="F61" s="573">
        <v>0.3</v>
      </c>
      <c r="G61" s="574">
        <v>0.6</v>
      </c>
      <c r="H61" s="575">
        <v>0</v>
      </c>
      <c r="I61" s="573">
        <v>0.5</v>
      </c>
      <c r="J61" s="574">
        <v>0.5</v>
      </c>
      <c r="K61" s="570"/>
    </row>
    <row r="62" spans="2:11" ht="12.95" customHeight="1" thickBot="1">
      <c r="B62" s="582" t="s">
        <v>3717</v>
      </c>
      <c r="C62" s="269">
        <v>2</v>
      </c>
      <c r="D62" s="471">
        <v>0.1</v>
      </c>
      <c r="E62" s="583">
        <v>0.2</v>
      </c>
      <c r="F62" s="583">
        <v>0.4</v>
      </c>
      <c r="G62" s="473">
        <v>0.75</v>
      </c>
      <c r="H62" s="496">
        <v>0</v>
      </c>
      <c r="I62" s="583">
        <v>0</v>
      </c>
      <c r="J62" s="473">
        <v>1</v>
      </c>
      <c r="K62" s="570"/>
    </row>
    <row r="63" spans="2:11" ht="39" customHeight="1">
      <c r="B63" s="3594" t="s">
        <v>9448</v>
      </c>
      <c r="C63" s="3594"/>
      <c r="D63" s="3594"/>
      <c r="E63" s="3594"/>
      <c r="F63" s="3594"/>
      <c r="G63" s="3594"/>
      <c r="H63" s="3594"/>
      <c r="I63" s="3594"/>
      <c r="J63" s="3594"/>
    </row>
    <row r="64" spans="2:11" ht="5.0999999999999996" customHeight="1"/>
    <row r="65" spans="2:10" ht="12.95" customHeight="1">
      <c r="B65" s="377">
        <v>4</v>
      </c>
      <c r="C65" s="4033" t="s">
        <v>5756</v>
      </c>
      <c r="D65" s="4033"/>
      <c r="E65" s="4033"/>
      <c r="F65" s="4033"/>
      <c r="G65" s="4033"/>
      <c r="H65" s="4033"/>
      <c r="I65" s="4033"/>
      <c r="J65" s="4033"/>
    </row>
    <row r="66" spans="2:10" ht="39" customHeight="1">
      <c r="B66" s="3594" t="s">
        <v>9449</v>
      </c>
      <c r="C66" s="3825"/>
      <c r="D66" s="3825"/>
      <c r="E66" s="3825"/>
      <c r="F66" s="3825"/>
      <c r="G66" s="3825"/>
      <c r="H66" s="3825"/>
      <c r="I66" s="3825"/>
      <c r="J66" s="3825"/>
    </row>
    <row r="67" spans="2:10" ht="51.95" customHeight="1">
      <c r="B67" s="3594" t="s">
        <v>9450</v>
      </c>
      <c r="C67" s="3594"/>
      <c r="D67" s="3594"/>
      <c r="E67" s="3594"/>
      <c r="F67" s="3594"/>
      <c r="G67" s="3594"/>
      <c r="H67" s="3594"/>
      <c r="I67" s="3594"/>
      <c r="J67" s="3594"/>
    </row>
    <row r="68" spans="2:10" ht="26.1" customHeight="1">
      <c r="B68" s="3594" t="s">
        <v>9451</v>
      </c>
      <c r="C68" s="3594"/>
      <c r="D68" s="3594"/>
      <c r="E68" s="3594"/>
      <c r="F68" s="3594"/>
      <c r="G68" s="3594"/>
      <c r="H68" s="3594"/>
      <c r="I68" s="3594"/>
      <c r="J68" s="3594"/>
    </row>
    <row r="69" spans="2:10" ht="26.1" customHeight="1">
      <c r="B69" s="3594" t="s">
        <v>9452</v>
      </c>
      <c r="C69" s="3594"/>
      <c r="D69" s="3594"/>
      <c r="E69" s="3594"/>
      <c r="F69" s="3594"/>
      <c r="G69" s="3594"/>
      <c r="H69" s="3594"/>
      <c r="I69" s="3594"/>
      <c r="J69" s="3594"/>
    </row>
    <row r="70" spans="2:10" ht="39" customHeight="1">
      <c r="B70" s="3594" t="s">
        <v>9453</v>
      </c>
      <c r="C70" s="3594"/>
      <c r="D70" s="3594"/>
      <c r="E70" s="3594"/>
      <c r="F70" s="3594"/>
      <c r="G70" s="3594"/>
      <c r="H70" s="3594"/>
      <c r="I70" s="3594"/>
      <c r="J70" s="3594"/>
    </row>
    <row r="71" spans="2:10" ht="26.1" customHeight="1">
      <c r="B71" s="3594" t="s">
        <v>9454</v>
      </c>
      <c r="C71" s="3594"/>
      <c r="D71" s="3594"/>
      <c r="E71" s="3594"/>
      <c r="F71" s="3594"/>
      <c r="G71" s="3594"/>
      <c r="H71" s="3594"/>
      <c r="I71" s="3594"/>
      <c r="J71" s="3594"/>
    </row>
    <row r="72" spans="2:10" ht="51.95" customHeight="1">
      <c r="B72" s="3594" t="s">
        <v>9455</v>
      </c>
      <c r="C72" s="3594"/>
      <c r="D72" s="3594"/>
      <c r="E72" s="3594"/>
      <c r="F72" s="3594"/>
      <c r="G72" s="3594"/>
      <c r="H72" s="3594"/>
      <c r="I72" s="3594"/>
      <c r="J72" s="3594"/>
    </row>
    <row r="73" spans="2:10" ht="26.1" customHeight="1">
      <c r="B73" s="3594" t="s">
        <v>9456</v>
      </c>
      <c r="C73" s="3594"/>
      <c r="D73" s="3594"/>
      <c r="E73" s="3594"/>
      <c r="F73" s="3594"/>
      <c r="G73" s="3594"/>
      <c r="H73" s="3594"/>
      <c r="I73" s="3594"/>
      <c r="J73" s="3594"/>
    </row>
    <row r="74" spans="2:10" ht="65.099999999999994" customHeight="1">
      <c r="B74" s="3594" t="s">
        <v>9457</v>
      </c>
      <c r="C74" s="3825"/>
      <c r="D74" s="3825"/>
      <c r="E74" s="3825"/>
      <c r="F74" s="3825"/>
      <c r="G74" s="3825"/>
      <c r="H74" s="3825"/>
      <c r="I74" s="3825"/>
      <c r="J74" s="3825"/>
    </row>
    <row r="75" spans="2:10" ht="26.1" customHeight="1">
      <c r="B75" s="3594" t="s">
        <v>9458</v>
      </c>
      <c r="C75" s="3825"/>
      <c r="D75" s="3825"/>
      <c r="E75" s="3825"/>
      <c r="F75" s="3825"/>
      <c r="G75" s="3825"/>
      <c r="H75" s="3825"/>
      <c r="I75" s="3825"/>
      <c r="J75" s="3825"/>
    </row>
    <row r="76" spans="2:10" ht="104.1" customHeight="1">
      <c r="B76" s="3594" t="s">
        <v>10133</v>
      </c>
      <c r="C76" s="3825"/>
      <c r="D76" s="3825"/>
      <c r="E76" s="3825"/>
      <c r="F76" s="3825"/>
      <c r="G76" s="3825"/>
      <c r="H76" s="3825"/>
      <c r="I76" s="3825"/>
      <c r="J76" s="3825"/>
    </row>
    <row r="77" spans="2:10" ht="12.95" customHeight="1">
      <c r="B77" s="3594" t="s">
        <v>9459</v>
      </c>
      <c r="C77" s="3825"/>
      <c r="D77" s="3825"/>
      <c r="E77" s="3825"/>
      <c r="F77" s="3825"/>
      <c r="G77" s="3825"/>
      <c r="H77" s="3825"/>
      <c r="I77" s="3825"/>
      <c r="J77" s="3825"/>
    </row>
    <row r="78" spans="2:10" ht="39" customHeight="1">
      <c r="B78" s="3594" t="s">
        <v>9460</v>
      </c>
      <c r="C78" s="3825"/>
      <c r="D78" s="3825"/>
      <c r="E78" s="3825"/>
      <c r="F78" s="3825"/>
      <c r="G78" s="3825"/>
      <c r="H78" s="3825"/>
      <c r="I78" s="3825"/>
      <c r="J78" s="3825"/>
    </row>
    <row r="79" spans="2:10" ht="12.95" customHeight="1">
      <c r="C79" s="3688" t="s">
        <v>6011</v>
      </c>
      <c r="D79" s="3688"/>
      <c r="E79" s="3688"/>
    </row>
  </sheetData>
  <sheetProtection autoFilter="0"/>
  <mergeCells count="61">
    <mergeCell ref="C79:E79"/>
    <mergeCell ref="C5:J5"/>
    <mergeCell ref="C45:J45"/>
    <mergeCell ref="C56:J56"/>
    <mergeCell ref="C65:J65"/>
    <mergeCell ref="B78:J78"/>
    <mergeCell ref="B70:J70"/>
    <mergeCell ref="B75:J75"/>
    <mergeCell ref="B66:J66"/>
    <mergeCell ref="B67:J67"/>
    <mergeCell ref="B74:J74"/>
    <mergeCell ref="B71:J71"/>
    <mergeCell ref="B72:J72"/>
    <mergeCell ref="B73:J73"/>
    <mergeCell ref="B76:J76"/>
    <mergeCell ref="B57:B58"/>
    <mergeCell ref="C1:J1"/>
    <mergeCell ref="B3:J3"/>
    <mergeCell ref="B29:J29"/>
    <mergeCell ref="B6:J6"/>
    <mergeCell ref="B41:J41"/>
    <mergeCell ref="D8:E8"/>
    <mergeCell ref="D27:E27"/>
    <mergeCell ref="D9:H9"/>
    <mergeCell ref="D10:H10"/>
    <mergeCell ref="D11:H11"/>
    <mergeCell ref="B14:J14"/>
    <mergeCell ref="D17:E17"/>
    <mergeCell ref="D31:I31"/>
    <mergeCell ref="D32:I32"/>
    <mergeCell ref="D33:I33"/>
    <mergeCell ref="D22:E22"/>
    <mergeCell ref="D39:I39"/>
    <mergeCell ref="D40:I40"/>
    <mergeCell ref="D34:I34"/>
    <mergeCell ref="D35:I35"/>
    <mergeCell ref="D36:I36"/>
    <mergeCell ref="D37:I37"/>
    <mergeCell ref="D38:I38"/>
    <mergeCell ref="B69:J69"/>
    <mergeCell ref="B42:J42"/>
    <mergeCell ref="B43:J43"/>
    <mergeCell ref="B63:J63"/>
    <mergeCell ref="H57:J57"/>
    <mergeCell ref="C57:C58"/>
    <mergeCell ref="B77:J77"/>
    <mergeCell ref="D26:E26"/>
    <mergeCell ref="C28:J28"/>
    <mergeCell ref="B7:J7"/>
    <mergeCell ref="B13:J13"/>
    <mergeCell ref="D19:E19"/>
    <mergeCell ref="D20:E20"/>
    <mergeCell ref="D21:E21"/>
    <mergeCell ref="D18:E18"/>
    <mergeCell ref="F18:I25"/>
    <mergeCell ref="D23:E23"/>
    <mergeCell ref="D24:E24"/>
    <mergeCell ref="D25:E25"/>
    <mergeCell ref="B15:J15"/>
    <mergeCell ref="D57:G57"/>
    <mergeCell ref="B68:J68"/>
  </mergeCells>
  <phoneticPr fontId="9" type="noConversion"/>
  <hyperlinks>
    <hyperlink ref="B1" location="Index!A1" display="Назад"/>
    <hyperlink ref="C79:E79" location="'7.4.2'!A1" display="&gt;&gt; Подробнее о штрафах при стрельбе через стены"/>
    <hyperlink ref="C5:J5" location="'7.4.4'!A1" display="Стрелковые башни."/>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2" manualBreakCount="2">
    <brk id="15" max="9" man="1"/>
    <brk id="54" max="9" man="1"/>
  </rowBreaks>
</worksheet>
</file>

<file path=xl/worksheets/sheet92.xml><?xml version="1.0" encoding="utf-8"?>
<worksheet xmlns="http://schemas.openxmlformats.org/spreadsheetml/2006/main" xmlns:r="http://schemas.openxmlformats.org/officeDocument/2006/relationships">
  <sheetPr>
    <outlinePr summaryBelow="0"/>
  </sheetPr>
  <dimension ref="A1:AT151"/>
  <sheetViews>
    <sheetView zoomScaleNormal="100" workbookViewId="0">
      <pane ySplit="4" topLeftCell="A5" activePane="bottomLeft" state="frozen"/>
      <selection pane="bottomLeft"/>
    </sheetView>
  </sheetViews>
  <sheetFormatPr defaultColWidth="4.7109375" defaultRowHeight="12.95" customHeight="1" outlineLevelRow="1"/>
  <cols>
    <col min="1" max="1" width="3.7109375" style="1" customWidth="1"/>
    <col min="2" max="2" width="4" style="1" customWidth="1"/>
    <col min="3" max="8" width="3.85546875" style="1" bestFit="1" customWidth="1"/>
    <col min="9" max="13" width="3.7109375" style="1" bestFit="1" customWidth="1"/>
    <col min="14" max="17" width="3.5703125" style="1" bestFit="1" customWidth="1"/>
    <col min="18" max="22" width="3.85546875" style="1" bestFit="1" customWidth="1"/>
    <col min="23" max="26" width="3.5703125" style="1" bestFit="1" customWidth="1"/>
    <col min="27" max="31" width="4.28515625" style="1" bestFit="1" customWidth="1"/>
    <col min="32" max="42" width="3.7109375" style="1" bestFit="1" customWidth="1"/>
    <col min="43" max="45" width="3.85546875" style="1" bestFit="1" customWidth="1"/>
    <col min="46" max="16384" width="4.7109375" style="1"/>
  </cols>
  <sheetData>
    <row r="1" spans="1:46" ht="12.95" customHeight="1">
      <c r="A1" s="377"/>
      <c r="B1" s="3924" t="s">
        <v>2706</v>
      </c>
      <c r="C1" s="3924"/>
      <c r="D1" s="3924"/>
      <c r="E1" s="2983" t="s">
        <v>8269</v>
      </c>
      <c r="F1" s="2983"/>
      <c r="G1" s="2983"/>
      <c r="H1" s="2983"/>
      <c r="I1" s="2983"/>
      <c r="J1" s="2983"/>
      <c r="K1" s="2983"/>
      <c r="L1" s="2983"/>
      <c r="M1" s="2983"/>
      <c r="N1" s="2983"/>
      <c r="O1" s="2983"/>
      <c r="P1" s="2983"/>
      <c r="Q1" s="2983"/>
      <c r="R1" s="2983"/>
      <c r="S1" s="2983"/>
      <c r="T1" s="2983"/>
      <c r="U1" s="2983"/>
      <c r="V1" s="2983"/>
      <c r="W1" s="2983"/>
      <c r="X1" s="2983"/>
      <c r="Y1" s="2983"/>
      <c r="Z1" s="2983"/>
      <c r="AA1" s="2983"/>
      <c r="AB1" s="2983"/>
      <c r="AC1" s="2983"/>
      <c r="AD1" s="2983"/>
      <c r="AE1" s="2983"/>
      <c r="AF1" s="2983"/>
      <c r="AG1" s="2983"/>
      <c r="AH1" s="2983"/>
      <c r="AI1" s="2983"/>
      <c r="AJ1" s="2983"/>
      <c r="AK1" s="377"/>
      <c r="AL1" s="377"/>
      <c r="AM1" s="377"/>
      <c r="AN1" s="377"/>
      <c r="AO1" s="377"/>
      <c r="AP1" s="377"/>
      <c r="AQ1" s="377"/>
      <c r="AR1" s="377"/>
      <c r="AS1" s="377"/>
      <c r="AT1" s="377"/>
    </row>
    <row r="2" spans="1:46" ht="5.0999999999999996" customHeight="1">
      <c r="A2" s="377"/>
      <c r="B2" s="377"/>
      <c r="C2" s="377"/>
      <c r="D2" s="377"/>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c r="AI2" s="377"/>
      <c r="AJ2" s="377"/>
      <c r="AK2" s="377"/>
      <c r="AL2" s="377"/>
      <c r="AM2" s="377"/>
      <c r="AN2" s="377"/>
      <c r="AO2" s="377"/>
      <c r="AP2" s="377"/>
      <c r="AQ2" s="377"/>
      <c r="AR2" s="377"/>
      <c r="AS2" s="377"/>
      <c r="AT2" s="377"/>
    </row>
    <row r="3" spans="1:46" ht="12.95" customHeight="1">
      <c r="A3" s="377"/>
      <c r="B3" s="4050" t="s">
        <v>4750</v>
      </c>
      <c r="C3" s="4050"/>
      <c r="D3" s="4050"/>
      <c r="E3" s="4050"/>
      <c r="F3" s="4050"/>
      <c r="G3" s="4050"/>
      <c r="H3" s="4050"/>
      <c r="I3" s="4050"/>
      <c r="J3" s="4050"/>
      <c r="K3" s="4050"/>
      <c r="L3" s="4050"/>
      <c r="M3" s="4050"/>
      <c r="N3" s="4050"/>
      <c r="O3" s="4050"/>
      <c r="P3" s="4050"/>
      <c r="Q3" s="4050"/>
      <c r="R3" s="4050"/>
      <c r="S3" s="4050"/>
      <c r="T3" s="4050"/>
      <c r="U3" s="4050"/>
      <c r="V3" s="4050"/>
      <c r="W3" s="4050"/>
      <c r="X3" s="4050"/>
      <c r="Y3" s="4050"/>
      <c r="Z3" s="4050"/>
      <c r="AA3" s="4050"/>
      <c r="AB3" s="4050"/>
      <c r="AC3" s="4050"/>
      <c r="AD3" s="4050"/>
      <c r="AE3" s="4050"/>
      <c r="AF3" s="4050"/>
      <c r="AG3" s="4050"/>
      <c r="AH3" s="4050"/>
      <c r="AI3" s="4050"/>
      <c r="AJ3" s="4050"/>
      <c r="AK3" s="377"/>
      <c r="AL3" s="377"/>
      <c r="AM3" s="377"/>
      <c r="AN3" s="377"/>
      <c r="AO3" s="377"/>
      <c r="AP3" s="377"/>
      <c r="AQ3" s="377"/>
      <c r="AR3" s="377"/>
      <c r="AS3" s="377"/>
      <c r="AT3" s="377"/>
    </row>
    <row r="4" spans="1:46" ht="5.0999999999999996" customHeight="1">
      <c r="A4" s="377"/>
      <c r="B4" s="377"/>
      <c r="C4" s="377"/>
      <c r="D4" s="377"/>
      <c r="E4" s="377"/>
      <c r="F4" s="377"/>
      <c r="G4" s="377"/>
      <c r="H4" s="377"/>
      <c r="I4" s="377"/>
      <c r="J4" s="377"/>
      <c r="K4" s="377"/>
      <c r="L4" s="377"/>
      <c r="M4" s="377"/>
      <c r="N4" s="377"/>
      <c r="O4" s="377"/>
      <c r="P4" s="377"/>
      <c r="Q4" s="377"/>
      <c r="R4" s="377"/>
      <c r="S4" s="377"/>
      <c r="T4" s="377"/>
      <c r="U4" s="377"/>
      <c r="V4" s="377"/>
      <c r="W4" s="377"/>
      <c r="X4" s="377"/>
      <c r="Y4" s="377"/>
      <c r="Z4" s="377"/>
      <c r="AA4" s="377"/>
      <c r="AB4" s="377"/>
      <c r="AC4" s="377"/>
      <c r="AD4" s="377"/>
      <c r="AE4" s="377"/>
      <c r="AF4" s="377"/>
      <c r="AG4" s="377"/>
      <c r="AH4" s="377"/>
      <c r="AI4" s="377"/>
      <c r="AJ4" s="377"/>
      <c r="AK4" s="377"/>
      <c r="AL4" s="377"/>
      <c r="AM4" s="377"/>
      <c r="AN4" s="377"/>
      <c r="AO4" s="377"/>
      <c r="AP4" s="377"/>
      <c r="AQ4" s="377"/>
      <c r="AR4" s="377"/>
      <c r="AS4" s="377"/>
      <c r="AT4" s="377"/>
    </row>
    <row r="5" spans="1:46" ht="39" customHeight="1">
      <c r="A5" s="377"/>
      <c r="B5" s="3594" t="s">
        <v>9461</v>
      </c>
      <c r="C5" s="3594"/>
      <c r="D5" s="3594"/>
      <c r="E5" s="3594"/>
      <c r="F5" s="3594"/>
      <c r="G5" s="3594"/>
      <c r="H5" s="3594"/>
      <c r="I5" s="3594"/>
      <c r="J5" s="3594"/>
      <c r="K5" s="3594"/>
      <c r="L5" s="3594"/>
      <c r="M5" s="3594"/>
      <c r="N5" s="3594"/>
      <c r="O5" s="3594"/>
      <c r="P5" s="3594"/>
      <c r="Q5" s="3594"/>
      <c r="R5" s="3594"/>
      <c r="S5" s="3594"/>
      <c r="T5" s="3594"/>
      <c r="U5" s="3594"/>
      <c r="V5" s="3594"/>
      <c r="W5" s="3594"/>
      <c r="X5" s="3594"/>
      <c r="Y5" s="3594"/>
      <c r="Z5" s="3594"/>
      <c r="AA5" s="3594"/>
      <c r="AB5" s="3594"/>
      <c r="AC5" s="3594"/>
      <c r="AD5" s="3594"/>
      <c r="AE5" s="3594"/>
      <c r="AF5" s="3594"/>
      <c r="AG5" s="3594"/>
      <c r="AH5" s="3594"/>
      <c r="AI5" s="3594"/>
      <c r="AJ5" s="3594"/>
      <c r="AK5" s="377"/>
      <c r="AL5" s="377"/>
      <c r="AM5" s="377"/>
      <c r="AN5" s="377"/>
      <c r="AO5" s="377"/>
      <c r="AP5" s="377"/>
      <c r="AQ5" s="377"/>
      <c r="AR5" s="377"/>
      <c r="AS5" s="377"/>
      <c r="AT5" s="377"/>
    </row>
    <row r="6" spans="1:46" ht="12.95" customHeight="1">
      <c r="A6" s="377"/>
      <c r="B6" s="3594" t="s">
        <v>9462</v>
      </c>
      <c r="C6" s="3594"/>
      <c r="D6" s="3594"/>
      <c r="E6" s="3594"/>
      <c r="F6" s="3594"/>
      <c r="G6" s="3594"/>
      <c r="H6" s="3594"/>
      <c r="I6" s="3594"/>
      <c r="J6" s="3594"/>
      <c r="K6" s="3594"/>
      <c r="L6" s="3594"/>
      <c r="M6" s="3594"/>
      <c r="N6" s="3594"/>
      <c r="O6" s="3594"/>
      <c r="P6" s="3594"/>
      <c r="Q6" s="3594"/>
      <c r="R6" s="3594"/>
      <c r="S6" s="3594"/>
      <c r="T6" s="3594"/>
      <c r="U6" s="3594"/>
      <c r="V6" s="3594"/>
      <c r="W6" s="3594"/>
      <c r="X6" s="3594"/>
      <c r="Y6" s="3594"/>
      <c r="Z6" s="3594"/>
      <c r="AA6" s="3594"/>
      <c r="AB6" s="3594"/>
      <c r="AC6" s="3594"/>
      <c r="AD6" s="3594"/>
      <c r="AE6" s="3594"/>
      <c r="AF6" s="3594"/>
      <c r="AG6" s="3594"/>
      <c r="AH6" s="3594"/>
      <c r="AI6" s="3594"/>
      <c r="AJ6" s="3594"/>
      <c r="AK6" s="377"/>
      <c r="AL6" s="377"/>
      <c r="AM6" s="377"/>
      <c r="AN6" s="377"/>
      <c r="AO6" s="377"/>
      <c r="AP6" s="377"/>
      <c r="AQ6" s="377"/>
      <c r="AR6" s="377"/>
      <c r="AS6" s="377"/>
      <c r="AT6" s="377"/>
    </row>
    <row r="7" spans="1:46" ht="5.0999999999999996" customHeight="1">
      <c r="A7" s="377"/>
      <c r="B7" s="377"/>
      <c r="C7" s="377"/>
      <c r="D7" s="377"/>
      <c r="E7" s="377"/>
      <c r="F7" s="377"/>
      <c r="G7" s="377"/>
      <c r="H7" s="377"/>
      <c r="I7" s="377"/>
      <c r="J7" s="377"/>
      <c r="K7" s="377"/>
      <c r="L7" s="377"/>
      <c r="M7" s="377"/>
      <c r="N7" s="377"/>
      <c r="O7" s="377"/>
      <c r="P7" s="377"/>
      <c r="Q7" s="377"/>
      <c r="R7" s="377"/>
      <c r="S7" s="377"/>
      <c r="T7" s="377"/>
      <c r="U7" s="377"/>
      <c r="V7" s="377"/>
      <c r="W7" s="377"/>
      <c r="X7" s="377"/>
      <c r="Y7" s="377"/>
      <c r="Z7" s="377"/>
      <c r="AA7" s="377"/>
      <c r="AB7" s="377"/>
      <c r="AC7" s="377"/>
      <c r="AD7" s="377"/>
      <c r="AE7" s="377"/>
      <c r="AF7" s="377"/>
      <c r="AG7" s="377"/>
      <c r="AH7" s="377"/>
      <c r="AI7" s="377"/>
      <c r="AJ7" s="377"/>
      <c r="AK7" s="377"/>
      <c r="AL7" s="377"/>
      <c r="AM7" s="377"/>
      <c r="AN7" s="377"/>
      <c r="AO7" s="377"/>
      <c r="AP7" s="377"/>
      <c r="AQ7" s="377"/>
      <c r="AR7" s="377"/>
      <c r="AS7" s="377"/>
      <c r="AT7" s="377"/>
    </row>
    <row r="8" spans="1:46" s="15" customFormat="1" ht="12.95" customHeight="1">
      <c r="A8" s="292"/>
      <c r="B8" s="3000" t="s">
        <v>9463</v>
      </c>
      <c r="C8" s="3000"/>
      <c r="D8" s="3000"/>
      <c r="E8" s="3000"/>
      <c r="F8" s="3000"/>
      <c r="G8" s="3000"/>
      <c r="H8" s="3000"/>
      <c r="I8" s="3000"/>
      <c r="J8" s="3000"/>
      <c r="K8" s="3000"/>
      <c r="L8" s="3000"/>
      <c r="M8" s="3000"/>
      <c r="N8" s="3000"/>
      <c r="O8" s="3000"/>
      <c r="P8" s="3000"/>
      <c r="Q8" s="3000"/>
      <c r="R8" s="3000"/>
      <c r="S8" s="3000"/>
      <c r="T8" s="3000"/>
      <c r="U8" s="3000"/>
      <c r="V8" s="3000"/>
      <c r="W8" s="3000"/>
      <c r="X8" s="3000"/>
      <c r="Y8" s="3000"/>
      <c r="Z8" s="3000"/>
      <c r="AA8" s="3000"/>
      <c r="AB8" s="3000"/>
      <c r="AC8" s="3000"/>
      <c r="AD8" s="3000"/>
      <c r="AE8" s="3000"/>
      <c r="AF8" s="3000"/>
      <c r="AG8" s="3000"/>
      <c r="AH8" s="3000"/>
      <c r="AI8" s="3000"/>
      <c r="AJ8" s="3000"/>
      <c r="AK8" s="292"/>
      <c r="AL8" s="292"/>
      <c r="AM8" s="292"/>
      <c r="AN8" s="292"/>
      <c r="AO8" s="292"/>
      <c r="AP8" s="292"/>
      <c r="AQ8" s="292"/>
      <c r="AR8" s="292"/>
      <c r="AS8" s="292"/>
      <c r="AT8" s="292"/>
    </row>
    <row r="9" spans="1:46" s="15" customFormat="1" ht="12.75">
      <c r="A9" s="292"/>
      <c r="B9" s="485"/>
      <c r="C9" s="485"/>
      <c r="D9" s="485"/>
      <c r="E9" s="485"/>
      <c r="F9" s="485"/>
      <c r="G9" s="485"/>
      <c r="H9" s="485"/>
      <c r="I9" s="485"/>
      <c r="J9" s="485"/>
      <c r="K9" s="485"/>
      <c r="L9" s="485"/>
      <c r="M9" s="485"/>
      <c r="N9" s="485"/>
      <c r="O9" s="485"/>
      <c r="P9" s="485"/>
      <c r="Q9" s="528"/>
      <c r="R9" s="488"/>
      <c r="S9" s="488"/>
      <c r="T9" s="485"/>
      <c r="U9" s="528"/>
      <c r="V9" s="488"/>
      <c r="W9" s="488"/>
      <c r="X9" s="485"/>
      <c r="Y9" s="528"/>
      <c r="Z9" s="488"/>
      <c r="AA9" s="485"/>
      <c r="AB9" s="3000"/>
      <c r="AC9" s="3000"/>
      <c r="AD9" s="292"/>
      <c r="AE9" s="292"/>
      <c r="AF9" s="292"/>
      <c r="AG9" s="292"/>
      <c r="AH9" s="292"/>
      <c r="AI9" s="292"/>
      <c r="AJ9" s="292"/>
      <c r="AK9" s="292"/>
      <c r="AL9" s="292"/>
      <c r="AM9" s="292"/>
      <c r="AN9" s="292"/>
      <c r="AO9" s="292"/>
      <c r="AP9" s="292"/>
      <c r="AQ9" s="292"/>
      <c r="AR9" s="292"/>
      <c r="AS9" s="292"/>
      <c r="AT9" s="292"/>
    </row>
    <row r="10" spans="1:46" ht="12.95" customHeight="1">
      <c r="A10" s="377"/>
      <c r="B10" s="377"/>
      <c r="C10" s="377"/>
      <c r="D10" s="377"/>
      <c r="E10" s="377"/>
      <c r="F10" s="377"/>
      <c r="G10" s="377"/>
      <c r="H10" s="377"/>
      <c r="I10" s="377"/>
      <c r="J10" s="377"/>
      <c r="K10" s="377"/>
      <c r="L10" s="377"/>
      <c r="M10" s="377"/>
      <c r="N10" s="377"/>
      <c r="O10" s="377"/>
      <c r="P10" s="377"/>
      <c r="Q10" s="377"/>
      <c r="R10" s="377"/>
      <c r="S10" s="377"/>
      <c r="T10" s="377"/>
      <c r="U10" s="377"/>
      <c r="V10" s="377"/>
      <c r="W10" s="377"/>
      <c r="X10" s="377"/>
      <c r="Y10" s="377"/>
      <c r="Z10" s="377"/>
      <c r="AA10" s="377"/>
      <c r="AB10" s="377"/>
      <c r="AC10" s="377"/>
      <c r="AD10" s="377"/>
      <c r="AE10" s="377"/>
      <c r="AF10" s="377"/>
      <c r="AG10" s="377"/>
      <c r="AH10" s="377"/>
      <c r="AI10" s="377"/>
      <c r="AJ10" s="377"/>
      <c r="AK10" s="377"/>
      <c r="AL10" s="377"/>
      <c r="AM10" s="377"/>
      <c r="AN10" s="377"/>
      <c r="AO10" s="377"/>
      <c r="AP10" s="377"/>
      <c r="AQ10" s="377"/>
      <c r="AR10" s="377"/>
      <c r="AS10" s="377"/>
      <c r="AT10" s="377"/>
    </row>
    <row r="11" spans="1:46" ht="12.95" customHeight="1">
      <c r="A11" s="377"/>
      <c r="B11" s="377"/>
      <c r="C11" s="377"/>
      <c r="D11" s="377"/>
      <c r="E11" s="377"/>
      <c r="F11" s="377"/>
      <c r="G11" s="377"/>
      <c r="H11" s="377"/>
      <c r="I11" s="377"/>
      <c r="J11" s="377"/>
      <c r="K11" s="377"/>
      <c r="L11" s="377"/>
      <c r="M11" s="377"/>
      <c r="N11" s="377"/>
      <c r="O11" s="377"/>
      <c r="P11" s="377"/>
      <c r="Q11" s="377"/>
      <c r="R11" s="377"/>
      <c r="S11" s="377"/>
      <c r="T11" s="377"/>
      <c r="U11" s="377"/>
      <c r="V11" s="377"/>
      <c r="W11" s="377"/>
      <c r="X11" s="377"/>
      <c r="Y11" s="377"/>
      <c r="Z11" s="377"/>
      <c r="AA11" s="377"/>
      <c r="AB11" s="377"/>
      <c r="AC11" s="377"/>
      <c r="AD11" s="377"/>
      <c r="AE11" s="377"/>
      <c r="AF11" s="377"/>
      <c r="AG11" s="377"/>
      <c r="AH11" s="377"/>
      <c r="AI11" s="377"/>
      <c r="AJ11" s="377"/>
      <c r="AK11" s="377"/>
      <c r="AL11" s="377"/>
      <c r="AM11" s="377"/>
      <c r="AN11" s="377"/>
      <c r="AO11" s="377"/>
      <c r="AP11" s="377"/>
      <c r="AQ11" s="377"/>
      <c r="AR11" s="377"/>
      <c r="AS11" s="377"/>
      <c r="AT11" s="377"/>
    </row>
    <row r="12" spans="1:46" ht="12.95" customHeight="1">
      <c r="A12" s="377"/>
      <c r="B12" s="377"/>
      <c r="C12" s="377"/>
      <c r="D12" s="377"/>
      <c r="E12" s="377"/>
      <c r="F12" s="377"/>
      <c r="G12" s="377"/>
      <c r="H12" s="377"/>
      <c r="I12" s="377"/>
      <c r="J12" s="377"/>
      <c r="K12" s="377"/>
      <c r="L12" s="377"/>
      <c r="M12" s="377"/>
      <c r="N12" s="377"/>
      <c r="O12" s="377"/>
      <c r="P12" s="377"/>
      <c r="Q12" s="377"/>
      <c r="R12" s="377"/>
      <c r="S12" s="377"/>
      <c r="T12" s="377"/>
      <c r="U12" s="377"/>
      <c r="V12" s="377"/>
      <c r="W12" s="377"/>
      <c r="X12" s="377"/>
      <c r="Y12" s="377"/>
      <c r="Z12" s="377"/>
      <c r="AA12" s="377"/>
      <c r="AB12" s="377"/>
      <c r="AC12" s="377"/>
      <c r="AD12" s="377"/>
      <c r="AE12" s="377"/>
      <c r="AF12" s="377"/>
      <c r="AG12" s="377"/>
      <c r="AH12" s="377"/>
      <c r="AI12" s="377"/>
      <c r="AJ12" s="377"/>
      <c r="AK12" s="377"/>
      <c r="AL12" s="377"/>
      <c r="AM12" s="377"/>
      <c r="AN12" s="377"/>
      <c r="AO12" s="377"/>
      <c r="AP12" s="377"/>
      <c r="AQ12" s="377"/>
      <c r="AR12" s="377"/>
      <c r="AS12" s="377"/>
      <c r="AT12" s="377"/>
    </row>
    <row r="13" spans="1:46" ht="12.95" customHeight="1">
      <c r="A13" s="377"/>
      <c r="B13" s="377"/>
      <c r="C13" s="377"/>
      <c r="D13" s="377"/>
      <c r="E13" s="377"/>
      <c r="F13" s="377"/>
      <c r="G13" s="377"/>
      <c r="H13" s="377"/>
      <c r="I13" s="377"/>
      <c r="J13" s="377"/>
      <c r="K13" s="377"/>
      <c r="L13" s="377"/>
      <c r="M13" s="377"/>
      <c r="N13" s="377"/>
      <c r="O13" s="377"/>
      <c r="P13" s="377"/>
      <c r="Q13" s="377"/>
      <c r="R13" s="377"/>
      <c r="S13" s="377"/>
      <c r="T13" s="377"/>
      <c r="U13" s="377"/>
      <c r="V13" s="377"/>
      <c r="W13" s="377"/>
      <c r="X13" s="377"/>
      <c r="Y13" s="377"/>
      <c r="Z13" s="377"/>
      <c r="AA13" s="377"/>
      <c r="AB13" s="377"/>
      <c r="AC13" s="377"/>
      <c r="AD13" s="377"/>
      <c r="AE13" s="377"/>
      <c r="AF13" s="377"/>
      <c r="AG13" s="377"/>
      <c r="AH13" s="377"/>
      <c r="AI13" s="377"/>
      <c r="AJ13" s="377"/>
      <c r="AK13" s="377"/>
      <c r="AL13" s="377"/>
      <c r="AM13" s="377"/>
      <c r="AN13" s="377"/>
      <c r="AO13" s="377"/>
      <c r="AP13" s="377"/>
      <c r="AQ13" s="377"/>
      <c r="AR13" s="377"/>
      <c r="AS13" s="377"/>
      <c r="AT13" s="377"/>
    </row>
    <row r="14" spans="1:46" ht="12.95" customHeight="1">
      <c r="A14" s="377"/>
      <c r="B14" s="377"/>
      <c r="C14" s="377"/>
      <c r="D14" s="377"/>
      <c r="E14" s="377"/>
      <c r="F14" s="377"/>
      <c r="G14" s="377"/>
      <c r="H14" s="377"/>
      <c r="I14" s="377"/>
      <c r="J14" s="377"/>
      <c r="K14" s="377"/>
      <c r="L14" s="377"/>
      <c r="M14" s="377"/>
      <c r="N14" s="377"/>
      <c r="O14" s="377"/>
      <c r="P14" s="377"/>
      <c r="Q14" s="377"/>
      <c r="R14" s="377"/>
      <c r="S14" s="377"/>
      <c r="T14" s="377"/>
      <c r="U14" s="377"/>
      <c r="V14" s="377"/>
      <c r="W14" s="377"/>
      <c r="X14" s="377"/>
      <c r="Y14" s="377"/>
      <c r="Z14" s="377"/>
      <c r="AA14" s="377"/>
      <c r="AB14" s="377"/>
      <c r="AC14" s="377"/>
      <c r="AD14" s="377"/>
      <c r="AE14" s="377"/>
      <c r="AF14" s="377"/>
      <c r="AG14" s="377"/>
      <c r="AH14" s="377"/>
      <c r="AI14" s="377"/>
      <c r="AJ14" s="377"/>
      <c r="AK14" s="377"/>
      <c r="AL14" s="377"/>
      <c r="AM14" s="377"/>
      <c r="AN14" s="377"/>
      <c r="AO14" s="377"/>
      <c r="AP14" s="377"/>
      <c r="AQ14" s="377"/>
      <c r="AR14" s="377"/>
      <c r="AS14" s="377"/>
      <c r="AT14" s="377"/>
    </row>
    <row r="15" spans="1:46" ht="12.95" customHeight="1">
      <c r="A15" s="377"/>
      <c r="B15" s="377"/>
      <c r="C15" s="377"/>
      <c r="D15" s="377"/>
      <c r="E15" s="377"/>
      <c r="F15" s="377"/>
      <c r="G15" s="377"/>
      <c r="H15" s="377"/>
      <c r="I15" s="377"/>
      <c r="J15" s="377"/>
      <c r="K15" s="377"/>
      <c r="L15" s="377"/>
      <c r="M15" s="377"/>
      <c r="N15" s="377"/>
      <c r="O15" s="377"/>
      <c r="P15" s="377"/>
      <c r="Q15" s="377"/>
      <c r="R15" s="377"/>
      <c r="S15" s="377"/>
      <c r="T15" s="377"/>
      <c r="U15" s="377"/>
      <c r="V15" s="377"/>
      <c r="W15" s="377"/>
      <c r="X15" s="377"/>
      <c r="Y15" s="377"/>
      <c r="Z15" s="377"/>
      <c r="AA15" s="377"/>
      <c r="AB15" s="377"/>
      <c r="AC15" s="377"/>
      <c r="AD15" s="377"/>
      <c r="AE15" s="377"/>
      <c r="AF15" s="377"/>
      <c r="AG15" s="377"/>
      <c r="AH15" s="377"/>
      <c r="AI15" s="377"/>
      <c r="AJ15" s="377"/>
      <c r="AK15" s="377"/>
      <c r="AL15" s="377"/>
      <c r="AM15" s="377"/>
      <c r="AN15" s="377"/>
      <c r="AO15" s="377"/>
      <c r="AP15" s="377"/>
      <c r="AQ15" s="377"/>
      <c r="AR15" s="377"/>
      <c r="AS15" s="377"/>
      <c r="AT15" s="377"/>
    </row>
    <row r="16" spans="1:46" ht="12.95" customHeight="1">
      <c r="A16" s="377"/>
      <c r="B16" s="377"/>
      <c r="C16" s="377"/>
      <c r="D16" s="377"/>
      <c r="E16" s="377"/>
      <c r="F16" s="377"/>
      <c r="G16" s="377"/>
      <c r="H16" s="377"/>
      <c r="I16" s="377"/>
      <c r="J16" s="377"/>
      <c r="K16" s="377"/>
      <c r="L16" s="377"/>
      <c r="M16" s="377"/>
      <c r="N16" s="377"/>
      <c r="O16" s="377"/>
      <c r="P16" s="377"/>
      <c r="Q16" s="377"/>
      <c r="R16" s="377"/>
      <c r="S16" s="377"/>
      <c r="T16" s="377"/>
      <c r="U16" s="377"/>
      <c r="V16" s="377"/>
      <c r="W16" s="377"/>
      <c r="X16" s="377"/>
      <c r="Y16" s="377"/>
      <c r="Z16" s="377"/>
      <c r="AA16" s="377"/>
      <c r="AB16" s="377"/>
      <c r="AC16" s="377"/>
      <c r="AD16" s="377"/>
      <c r="AE16" s="377"/>
      <c r="AF16" s="377"/>
      <c r="AG16" s="377"/>
      <c r="AH16" s="377"/>
      <c r="AI16" s="377"/>
      <c r="AJ16" s="377"/>
      <c r="AK16" s="377"/>
      <c r="AL16" s="377"/>
      <c r="AM16" s="377"/>
      <c r="AN16" s="377"/>
      <c r="AO16" s="377"/>
      <c r="AP16" s="377"/>
      <c r="AQ16" s="377"/>
      <c r="AR16" s="377"/>
      <c r="AS16" s="377"/>
      <c r="AT16" s="377"/>
    </row>
    <row r="17" spans="1:46" ht="12.95" customHeight="1">
      <c r="A17" s="377"/>
      <c r="B17" s="377"/>
      <c r="C17" s="377"/>
      <c r="D17" s="377"/>
      <c r="E17" s="377"/>
      <c r="F17" s="377"/>
      <c r="G17" s="377"/>
      <c r="H17" s="377"/>
      <c r="I17" s="377"/>
      <c r="J17" s="377"/>
      <c r="K17" s="377"/>
      <c r="L17" s="377"/>
      <c r="M17" s="377"/>
      <c r="N17" s="377"/>
      <c r="O17" s="377"/>
      <c r="P17" s="377"/>
      <c r="Q17" s="377"/>
      <c r="R17" s="377"/>
      <c r="S17" s="377"/>
      <c r="T17" s="377"/>
      <c r="U17" s="377"/>
      <c r="V17" s="377"/>
      <c r="W17" s="377"/>
      <c r="X17" s="377"/>
      <c r="Y17" s="377"/>
      <c r="Z17" s="377"/>
      <c r="AA17" s="377"/>
      <c r="AB17" s="377"/>
      <c r="AC17" s="377"/>
      <c r="AD17" s="377"/>
      <c r="AE17" s="377"/>
      <c r="AF17" s="377"/>
      <c r="AG17" s="377"/>
      <c r="AH17" s="377"/>
      <c r="AI17" s="377"/>
      <c r="AJ17" s="377"/>
      <c r="AK17" s="377"/>
      <c r="AL17" s="377"/>
      <c r="AM17" s="377"/>
      <c r="AN17" s="377"/>
      <c r="AO17" s="377"/>
      <c r="AP17" s="377"/>
      <c r="AQ17" s="377"/>
      <c r="AR17" s="377"/>
      <c r="AS17" s="377"/>
      <c r="AT17" s="377"/>
    </row>
    <row r="18" spans="1:46" ht="12.95" customHeight="1">
      <c r="A18" s="377"/>
      <c r="B18" s="377"/>
      <c r="C18" s="377"/>
      <c r="D18" s="377"/>
      <c r="E18" s="377"/>
      <c r="F18" s="377"/>
      <c r="G18" s="377"/>
      <c r="H18" s="377"/>
      <c r="I18" s="377"/>
      <c r="J18" s="377"/>
      <c r="K18" s="377"/>
      <c r="L18" s="377"/>
      <c r="M18" s="377"/>
      <c r="N18" s="377"/>
      <c r="O18" s="377"/>
      <c r="P18" s="377"/>
      <c r="Q18" s="377"/>
      <c r="R18" s="377"/>
      <c r="S18" s="377"/>
      <c r="T18" s="377"/>
      <c r="U18" s="377"/>
      <c r="V18" s="377"/>
      <c r="W18" s="377"/>
      <c r="X18" s="377"/>
      <c r="Y18" s="377"/>
      <c r="Z18" s="377"/>
      <c r="AA18" s="377"/>
      <c r="AB18" s="377"/>
      <c r="AC18" s="377"/>
      <c r="AD18" s="377"/>
      <c r="AE18" s="377"/>
      <c r="AF18" s="377"/>
      <c r="AG18" s="377"/>
      <c r="AH18" s="377"/>
      <c r="AI18" s="377"/>
      <c r="AJ18" s="377"/>
      <c r="AK18" s="377"/>
      <c r="AL18" s="377"/>
      <c r="AM18" s="377"/>
      <c r="AN18" s="377"/>
      <c r="AO18" s="377"/>
      <c r="AP18" s="377"/>
      <c r="AQ18" s="377"/>
      <c r="AR18" s="377"/>
      <c r="AS18" s="377"/>
      <c r="AT18" s="377"/>
    </row>
    <row r="19" spans="1:46" ht="12.95" customHeight="1">
      <c r="A19" s="377"/>
      <c r="B19" s="377"/>
      <c r="C19" s="377"/>
      <c r="D19" s="377"/>
      <c r="E19" s="377"/>
      <c r="F19" s="377"/>
      <c r="G19" s="377"/>
      <c r="H19" s="377"/>
      <c r="I19" s="377"/>
      <c r="J19" s="377"/>
      <c r="K19" s="377"/>
      <c r="L19" s="377"/>
      <c r="M19" s="377"/>
      <c r="N19" s="377"/>
      <c r="O19" s="377"/>
      <c r="P19" s="377"/>
      <c r="Q19" s="377"/>
      <c r="R19" s="377"/>
      <c r="S19" s="377"/>
      <c r="T19" s="377"/>
      <c r="U19" s="377"/>
      <c r="V19" s="377"/>
      <c r="W19" s="377"/>
      <c r="X19" s="377"/>
      <c r="Y19" s="377"/>
      <c r="Z19" s="377"/>
      <c r="AA19" s="377"/>
      <c r="AB19" s="377"/>
      <c r="AC19" s="377"/>
      <c r="AD19" s="377"/>
      <c r="AE19" s="377"/>
      <c r="AF19" s="377"/>
      <c r="AG19" s="377"/>
      <c r="AH19" s="377"/>
      <c r="AI19" s="377"/>
      <c r="AJ19" s="377"/>
      <c r="AK19" s="377"/>
      <c r="AL19" s="377"/>
      <c r="AM19" s="377"/>
      <c r="AN19" s="377"/>
      <c r="AO19" s="377"/>
      <c r="AP19" s="377"/>
      <c r="AQ19" s="377"/>
      <c r="AR19" s="377"/>
      <c r="AS19" s="377"/>
      <c r="AT19" s="377"/>
    </row>
    <row r="20" spans="1:46" ht="12.95" customHeight="1">
      <c r="A20" s="377"/>
      <c r="B20" s="377"/>
      <c r="C20" s="377"/>
      <c r="D20" s="377"/>
      <c r="E20" s="377"/>
      <c r="F20" s="377"/>
      <c r="G20" s="377"/>
      <c r="H20" s="377"/>
      <c r="I20" s="377"/>
      <c r="J20" s="377"/>
      <c r="K20" s="377"/>
      <c r="L20" s="377"/>
      <c r="M20" s="377"/>
      <c r="N20" s="377"/>
      <c r="O20" s="377"/>
      <c r="P20" s="377"/>
      <c r="Q20" s="377"/>
      <c r="R20" s="377"/>
      <c r="S20" s="377"/>
      <c r="T20" s="377"/>
      <c r="U20" s="377"/>
      <c r="V20" s="377"/>
      <c r="W20" s="377"/>
      <c r="X20" s="377"/>
      <c r="Y20" s="377"/>
      <c r="Z20" s="377"/>
      <c r="AA20" s="377"/>
      <c r="AB20" s="377"/>
      <c r="AC20" s="377"/>
      <c r="AD20" s="377"/>
      <c r="AE20" s="377"/>
      <c r="AF20" s="377"/>
      <c r="AG20" s="377"/>
      <c r="AH20" s="377"/>
      <c r="AI20" s="377"/>
      <c r="AJ20" s="377"/>
      <c r="AK20" s="377"/>
      <c r="AL20" s="377"/>
      <c r="AM20" s="377"/>
      <c r="AN20" s="377"/>
      <c r="AO20" s="377"/>
      <c r="AP20" s="377"/>
      <c r="AQ20" s="377"/>
      <c r="AR20" s="377"/>
      <c r="AS20" s="377"/>
      <c r="AT20" s="377"/>
    </row>
    <row r="21" spans="1:46" ht="12.95" customHeight="1">
      <c r="A21" s="377"/>
      <c r="B21" s="377"/>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7"/>
      <c r="AQ21" s="377"/>
      <c r="AR21" s="377"/>
      <c r="AS21" s="377"/>
      <c r="AT21" s="377"/>
    </row>
    <row r="22" spans="1:46" ht="12.95" customHeight="1">
      <c r="A22" s="377"/>
      <c r="B22" s="377"/>
      <c r="C22" s="377"/>
      <c r="D22" s="377"/>
      <c r="E22" s="377"/>
      <c r="F22" s="377"/>
      <c r="G22" s="377"/>
      <c r="H22" s="377"/>
      <c r="I22" s="377"/>
      <c r="J22" s="377"/>
      <c r="K22" s="377"/>
      <c r="L22" s="377"/>
      <c r="M22" s="377"/>
      <c r="N22" s="377"/>
      <c r="O22" s="377"/>
      <c r="P22" s="377"/>
      <c r="Q22" s="377"/>
      <c r="R22" s="377"/>
      <c r="S22" s="377"/>
      <c r="T22" s="377"/>
      <c r="U22" s="377"/>
      <c r="V22" s="377"/>
      <c r="W22" s="377"/>
      <c r="X22" s="377"/>
      <c r="Y22" s="377"/>
      <c r="Z22" s="377"/>
      <c r="AA22" s="377"/>
      <c r="AB22" s="377"/>
      <c r="AC22" s="377"/>
      <c r="AD22" s="377"/>
      <c r="AE22" s="377"/>
      <c r="AF22" s="377"/>
      <c r="AG22" s="377"/>
      <c r="AH22" s="377"/>
      <c r="AI22" s="377"/>
      <c r="AJ22" s="377"/>
      <c r="AK22" s="377"/>
      <c r="AL22" s="377"/>
      <c r="AM22" s="377"/>
      <c r="AN22" s="377"/>
      <c r="AO22" s="377"/>
      <c r="AP22" s="377"/>
      <c r="AQ22" s="377"/>
      <c r="AR22" s="377"/>
      <c r="AS22" s="377"/>
      <c r="AT22" s="377"/>
    </row>
    <row r="23" spans="1:46" ht="12.95" customHeight="1">
      <c r="A23" s="377"/>
      <c r="B23" s="377"/>
      <c r="C23" s="377"/>
      <c r="D23" s="377"/>
      <c r="E23" s="377"/>
      <c r="F23" s="377"/>
      <c r="G23" s="377"/>
      <c r="H23" s="377"/>
      <c r="I23" s="377"/>
      <c r="J23" s="377"/>
      <c r="K23" s="377"/>
      <c r="L23" s="377"/>
      <c r="M23" s="377"/>
      <c r="N23" s="377"/>
      <c r="O23" s="377"/>
      <c r="P23" s="377"/>
      <c r="Q23" s="377"/>
      <c r="R23" s="377"/>
      <c r="S23" s="377"/>
      <c r="T23" s="377"/>
      <c r="U23" s="377"/>
      <c r="V23" s="377"/>
      <c r="W23" s="377"/>
      <c r="X23" s="377"/>
      <c r="Y23" s="377"/>
      <c r="Z23" s="377"/>
      <c r="AA23" s="377"/>
      <c r="AB23" s="377"/>
      <c r="AC23" s="377"/>
      <c r="AD23" s="377"/>
      <c r="AE23" s="377"/>
      <c r="AF23" s="377"/>
      <c r="AG23" s="377"/>
      <c r="AH23" s="377"/>
      <c r="AI23" s="377"/>
      <c r="AJ23" s="377"/>
      <c r="AK23" s="377"/>
      <c r="AL23" s="377"/>
      <c r="AM23" s="377"/>
      <c r="AN23" s="377"/>
      <c r="AO23" s="377"/>
      <c r="AP23" s="377"/>
      <c r="AQ23" s="377"/>
      <c r="AR23" s="377"/>
      <c r="AS23" s="377"/>
      <c r="AT23" s="377"/>
    </row>
    <row r="24" spans="1:46" ht="12.95" customHeight="1">
      <c r="A24" s="377"/>
      <c r="B24" s="377"/>
      <c r="C24" s="377"/>
      <c r="D24" s="377"/>
      <c r="E24" s="377"/>
      <c r="F24" s="377"/>
      <c r="G24" s="377"/>
      <c r="H24" s="377"/>
      <c r="I24" s="377"/>
      <c r="J24" s="377"/>
      <c r="K24" s="377"/>
      <c r="L24" s="377"/>
      <c r="M24" s="377"/>
      <c r="N24" s="377"/>
      <c r="O24" s="377"/>
      <c r="P24" s="377"/>
      <c r="Q24" s="377"/>
      <c r="R24" s="377"/>
      <c r="S24" s="377"/>
      <c r="T24" s="377"/>
      <c r="U24" s="377"/>
      <c r="V24" s="377"/>
      <c r="W24" s="377"/>
      <c r="X24" s="377"/>
      <c r="Y24" s="377"/>
      <c r="Z24" s="377"/>
      <c r="AA24" s="377"/>
      <c r="AB24" s="377"/>
      <c r="AC24" s="377"/>
      <c r="AD24" s="377"/>
      <c r="AE24" s="377"/>
      <c r="AF24" s="377"/>
      <c r="AG24" s="377"/>
      <c r="AH24" s="377"/>
      <c r="AI24" s="377"/>
      <c r="AJ24" s="377"/>
      <c r="AK24" s="377"/>
      <c r="AL24" s="377"/>
      <c r="AM24" s="377"/>
      <c r="AN24" s="377"/>
      <c r="AO24" s="377"/>
      <c r="AP24" s="377"/>
      <c r="AQ24" s="377"/>
      <c r="AR24" s="377"/>
      <c r="AS24" s="377"/>
      <c r="AT24" s="377"/>
    </row>
    <row r="25" spans="1:46" ht="12.95" customHeight="1">
      <c r="A25" s="377"/>
      <c r="B25" s="377"/>
      <c r="C25" s="377"/>
      <c r="D25" s="377"/>
      <c r="E25" s="377"/>
      <c r="F25" s="377"/>
      <c r="G25" s="377"/>
      <c r="H25" s="377"/>
      <c r="I25" s="377"/>
      <c r="J25" s="377"/>
      <c r="K25" s="377"/>
      <c r="L25" s="377"/>
      <c r="M25" s="377"/>
      <c r="N25" s="377"/>
      <c r="O25" s="377"/>
      <c r="P25" s="377"/>
      <c r="Q25" s="377"/>
      <c r="R25" s="377"/>
      <c r="S25" s="377"/>
      <c r="T25" s="377"/>
      <c r="U25" s="377"/>
      <c r="V25" s="377"/>
      <c r="W25" s="377"/>
      <c r="X25" s="377"/>
      <c r="Y25" s="377"/>
      <c r="Z25" s="377"/>
      <c r="AA25" s="377"/>
      <c r="AB25" s="377"/>
      <c r="AC25" s="377"/>
      <c r="AD25" s="377"/>
      <c r="AE25" s="377"/>
      <c r="AF25" s="377"/>
      <c r="AG25" s="377"/>
      <c r="AH25" s="377"/>
      <c r="AI25" s="377"/>
      <c r="AJ25" s="377"/>
      <c r="AK25" s="377"/>
      <c r="AL25" s="377"/>
      <c r="AM25" s="377"/>
      <c r="AN25" s="377"/>
      <c r="AO25" s="377"/>
      <c r="AP25" s="377"/>
      <c r="AQ25" s="377"/>
      <c r="AR25" s="377"/>
      <c r="AS25" s="377"/>
      <c r="AT25" s="377"/>
    </row>
    <row r="26" spans="1:46" ht="12.95" customHeight="1">
      <c r="A26" s="377"/>
      <c r="B26" s="377"/>
      <c r="C26" s="377"/>
      <c r="D26" s="377"/>
      <c r="E26" s="377"/>
      <c r="F26" s="377"/>
      <c r="G26" s="377"/>
      <c r="H26" s="377"/>
      <c r="I26" s="377"/>
      <c r="J26" s="377"/>
      <c r="K26" s="377"/>
      <c r="L26" s="377"/>
      <c r="M26" s="377"/>
      <c r="N26" s="377"/>
      <c r="O26" s="377"/>
      <c r="P26" s="377"/>
      <c r="Q26" s="377"/>
      <c r="R26" s="377"/>
      <c r="S26" s="377"/>
      <c r="T26" s="377"/>
      <c r="U26" s="377"/>
      <c r="V26" s="377"/>
      <c r="W26" s="377"/>
      <c r="X26" s="377"/>
      <c r="Y26" s="377"/>
      <c r="Z26" s="377"/>
      <c r="AA26" s="377"/>
      <c r="AB26" s="377"/>
      <c r="AC26" s="377"/>
      <c r="AD26" s="377"/>
      <c r="AE26" s="377"/>
      <c r="AF26" s="377"/>
      <c r="AG26" s="377"/>
      <c r="AH26" s="377"/>
      <c r="AI26" s="377"/>
      <c r="AJ26" s="377"/>
      <c r="AK26" s="377"/>
      <c r="AL26" s="377"/>
      <c r="AM26" s="377"/>
      <c r="AN26" s="377"/>
      <c r="AO26" s="377"/>
      <c r="AP26" s="377"/>
      <c r="AQ26" s="377"/>
      <c r="AR26" s="377"/>
      <c r="AS26" s="377"/>
      <c r="AT26" s="377"/>
    </row>
    <row r="27" spans="1:46" ht="12.95" customHeight="1">
      <c r="A27" s="377"/>
      <c r="B27" s="377"/>
      <c r="C27" s="377"/>
      <c r="D27" s="377"/>
      <c r="E27" s="377"/>
      <c r="F27" s="377"/>
      <c r="G27" s="377"/>
      <c r="H27" s="377"/>
      <c r="I27" s="377"/>
      <c r="J27" s="377"/>
      <c r="K27" s="377"/>
      <c r="L27" s="377"/>
      <c r="M27" s="377"/>
      <c r="N27" s="377"/>
      <c r="O27" s="377"/>
      <c r="P27" s="377"/>
      <c r="Q27" s="377"/>
      <c r="R27" s="377"/>
      <c r="S27" s="377"/>
      <c r="T27" s="377"/>
      <c r="U27" s="377"/>
      <c r="V27" s="377"/>
      <c r="W27" s="377"/>
      <c r="X27" s="377"/>
      <c r="Y27" s="377"/>
      <c r="Z27" s="377"/>
      <c r="AA27" s="377"/>
      <c r="AB27" s="377"/>
      <c r="AC27" s="377"/>
      <c r="AD27" s="377"/>
      <c r="AE27" s="377"/>
      <c r="AF27" s="377"/>
      <c r="AG27" s="377"/>
      <c r="AH27" s="377"/>
      <c r="AI27" s="377"/>
      <c r="AJ27" s="377"/>
      <c r="AK27" s="377"/>
      <c r="AL27" s="377"/>
      <c r="AM27" s="377"/>
      <c r="AN27" s="377"/>
      <c r="AO27" s="377"/>
      <c r="AP27" s="377"/>
      <c r="AQ27" s="377"/>
      <c r="AR27" s="377"/>
      <c r="AS27" s="377"/>
      <c r="AT27" s="377"/>
    </row>
    <row r="28" spans="1:46" s="2" customFormat="1" ht="12.95" customHeight="1">
      <c r="A28" s="379"/>
      <c r="B28" s="2984" t="s">
        <v>9464</v>
      </c>
      <c r="C28" s="2984"/>
      <c r="D28" s="2984"/>
      <c r="E28" s="2984"/>
      <c r="F28" s="2984"/>
      <c r="G28" s="2984"/>
      <c r="H28" s="2984"/>
      <c r="I28" s="2984"/>
      <c r="J28" s="2984"/>
      <c r="K28" s="2984"/>
      <c r="L28" s="2984"/>
      <c r="M28" s="2984"/>
      <c r="N28" s="2984"/>
      <c r="O28" s="2984"/>
      <c r="P28" s="2984"/>
      <c r="Q28" s="2984"/>
      <c r="R28" s="2984"/>
      <c r="S28" s="2984"/>
      <c r="T28" s="2984"/>
      <c r="U28" s="2984"/>
      <c r="V28" s="2984"/>
      <c r="W28" s="2984"/>
      <c r="X28" s="2984"/>
      <c r="Y28" s="2984"/>
      <c r="Z28" s="2984"/>
      <c r="AA28" s="2984"/>
      <c r="AB28" s="2984"/>
      <c r="AC28" s="2984"/>
      <c r="AD28" s="2984"/>
      <c r="AE28" s="2984"/>
      <c r="AF28" s="2984"/>
      <c r="AG28" s="2984"/>
      <c r="AH28" s="2984"/>
      <c r="AI28" s="2984"/>
      <c r="AJ28" s="2984"/>
      <c r="AK28" s="61"/>
      <c r="AL28" s="61"/>
      <c r="AM28" s="61"/>
      <c r="AN28" s="61"/>
      <c r="AO28" s="61"/>
      <c r="AP28" s="61"/>
      <c r="AQ28" s="61"/>
      <c r="AR28" s="61"/>
      <c r="AS28" s="61"/>
      <c r="AT28" s="379"/>
    </row>
    <row r="29" spans="1:46" s="2" customFormat="1" ht="26.1" customHeight="1">
      <c r="A29" s="379"/>
      <c r="B29" s="2984" t="s">
        <v>9465</v>
      </c>
      <c r="C29" s="2984"/>
      <c r="D29" s="2984"/>
      <c r="E29" s="2984"/>
      <c r="F29" s="2984"/>
      <c r="G29" s="2984"/>
      <c r="H29" s="2984"/>
      <c r="I29" s="2984"/>
      <c r="J29" s="2984"/>
      <c r="K29" s="2984"/>
      <c r="L29" s="2984"/>
      <c r="M29" s="2984"/>
      <c r="N29" s="2984"/>
      <c r="O29" s="2984"/>
      <c r="P29" s="2984"/>
      <c r="Q29" s="2984"/>
      <c r="R29" s="2984"/>
      <c r="S29" s="2984"/>
      <c r="T29" s="2984"/>
      <c r="U29" s="2984"/>
      <c r="V29" s="2984"/>
      <c r="W29" s="2984"/>
      <c r="X29" s="2984"/>
      <c r="Y29" s="2984"/>
      <c r="Z29" s="2984"/>
      <c r="AA29" s="2984"/>
      <c r="AB29" s="2984"/>
      <c r="AC29" s="2984"/>
      <c r="AD29" s="2984"/>
      <c r="AE29" s="2984"/>
      <c r="AF29" s="2984"/>
      <c r="AG29" s="2984"/>
      <c r="AH29" s="2984"/>
      <c r="AI29" s="2984"/>
      <c r="AJ29" s="2984"/>
      <c r="AK29" s="61"/>
      <c r="AL29" s="61"/>
      <c r="AM29" s="61"/>
      <c r="AN29" s="61"/>
      <c r="AO29" s="61"/>
      <c r="AP29" s="61"/>
      <c r="AQ29" s="61"/>
      <c r="AR29" s="61"/>
      <c r="AS29" s="61"/>
      <c r="AT29" s="379"/>
    </row>
    <row r="30" spans="1:46" s="2" customFormat="1" ht="12.95" customHeight="1">
      <c r="A30" s="379"/>
      <c r="B30" s="2984" t="s">
        <v>9466</v>
      </c>
      <c r="C30" s="2984"/>
      <c r="D30" s="2984"/>
      <c r="E30" s="2984"/>
      <c r="F30" s="2984"/>
      <c r="G30" s="2984"/>
      <c r="H30" s="2984"/>
      <c r="I30" s="2984"/>
      <c r="J30" s="2984"/>
      <c r="K30" s="2984"/>
      <c r="L30" s="2984"/>
      <c r="M30" s="2984"/>
      <c r="N30" s="2984"/>
      <c r="O30" s="2984"/>
      <c r="P30" s="2984"/>
      <c r="Q30" s="2984"/>
      <c r="R30" s="2984"/>
      <c r="S30" s="2984"/>
      <c r="T30" s="2984"/>
      <c r="U30" s="2984"/>
      <c r="V30" s="2984"/>
      <c r="W30" s="2984"/>
      <c r="X30" s="2984"/>
      <c r="Y30" s="2984"/>
      <c r="Z30" s="2984"/>
      <c r="AA30" s="2984"/>
      <c r="AB30" s="2984"/>
      <c r="AC30" s="2984"/>
      <c r="AD30" s="2984"/>
      <c r="AE30" s="2984"/>
      <c r="AF30" s="2984"/>
      <c r="AG30" s="2984"/>
      <c r="AH30" s="2984"/>
      <c r="AI30" s="2984"/>
      <c r="AJ30" s="2984"/>
      <c r="AK30" s="61"/>
      <c r="AL30" s="61"/>
      <c r="AM30" s="61"/>
      <c r="AN30" s="61"/>
      <c r="AO30" s="61"/>
      <c r="AP30" s="61"/>
      <c r="AQ30" s="61"/>
      <c r="AR30" s="61"/>
      <c r="AS30" s="61"/>
      <c r="AT30" s="379"/>
    </row>
    <row r="31" spans="1:46" s="2" customFormat="1" ht="12.95" customHeight="1">
      <c r="A31" s="379"/>
      <c r="B31" s="2984" t="s">
        <v>5744</v>
      </c>
      <c r="C31" s="2984"/>
      <c r="D31" s="2984"/>
      <c r="E31" s="2984"/>
      <c r="F31" s="2984"/>
      <c r="G31" s="2984"/>
      <c r="H31" s="2984"/>
      <c r="I31" s="2984"/>
      <c r="J31" s="2984"/>
      <c r="K31" s="2984"/>
      <c r="L31" s="2984"/>
      <c r="M31" s="2984"/>
      <c r="N31" s="2984"/>
      <c r="O31" s="2984"/>
      <c r="P31" s="2984"/>
      <c r="Q31" s="2984"/>
      <c r="R31" s="2984"/>
      <c r="S31" s="2984"/>
      <c r="T31" s="2984"/>
      <c r="U31" s="2984"/>
      <c r="V31" s="2984"/>
      <c r="W31" s="2984"/>
      <c r="X31" s="2984"/>
      <c r="Y31" s="2984"/>
      <c r="Z31" s="2984"/>
      <c r="AA31" s="2984"/>
      <c r="AB31" s="2984"/>
      <c r="AC31" s="2984"/>
      <c r="AD31" s="2984"/>
      <c r="AE31" s="2984"/>
      <c r="AF31" s="2984"/>
      <c r="AG31" s="2984"/>
      <c r="AH31" s="2984"/>
      <c r="AI31" s="2984"/>
      <c r="AJ31" s="2984"/>
      <c r="AK31" s="61"/>
      <c r="AL31" s="61"/>
      <c r="AM31" s="61"/>
      <c r="AN31" s="61"/>
      <c r="AO31" s="61"/>
      <c r="AP31" s="61"/>
      <c r="AQ31" s="61"/>
      <c r="AR31" s="61"/>
      <c r="AS31" s="61"/>
      <c r="AT31" s="379"/>
    </row>
    <row r="32" spans="1:46" s="2" customFormat="1" ht="12.95" customHeight="1">
      <c r="A32" s="379"/>
      <c r="B32" s="2984" t="s">
        <v>5745</v>
      </c>
      <c r="C32" s="2984"/>
      <c r="D32" s="2984"/>
      <c r="E32" s="2984"/>
      <c r="F32" s="2984"/>
      <c r="G32" s="2984"/>
      <c r="H32" s="2984"/>
      <c r="I32" s="2984"/>
      <c r="J32" s="2984"/>
      <c r="K32" s="2984"/>
      <c r="L32" s="2984"/>
      <c r="M32" s="2984"/>
      <c r="N32" s="2984"/>
      <c r="O32" s="2984"/>
      <c r="P32" s="2984"/>
      <c r="Q32" s="2984"/>
      <c r="R32" s="2984"/>
      <c r="S32" s="2984"/>
      <c r="T32" s="2984"/>
      <c r="U32" s="2984"/>
      <c r="V32" s="2984"/>
      <c r="W32" s="2984"/>
      <c r="X32" s="2984"/>
      <c r="Y32" s="2984"/>
      <c r="Z32" s="2984"/>
      <c r="AA32" s="2984"/>
      <c r="AB32" s="2984"/>
      <c r="AC32" s="2984"/>
      <c r="AD32" s="2984"/>
      <c r="AE32" s="2984"/>
      <c r="AF32" s="2984"/>
      <c r="AG32" s="2984"/>
      <c r="AH32" s="2984"/>
      <c r="AI32" s="2984"/>
      <c r="AJ32" s="2984"/>
      <c r="AK32" s="61"/>
      <c r="AL32" s="61"/>
      <c r="AM32" s="61"/>
      <c r="AN32" s="61"/>
      <c r="AO32" s="61"/>
      <c r="AP32" s="61"/>
      <c r="AQ32" s="61"/>
      <c r="AR32" s="61"/>
      <c r="AS32" s="61"/>
      <c r="AT32" s="379"/>
    </row>
    <row r="33" spans="1:46" s="2" customFormat="1" ht="5.0999999999999996" customHeight="1">
      <c r="A33" s="379"/>
      <c r="B33" s="492"/>
      <c r="C33" s="492"/>
      <c r="D33" s="492"/>
      <c r="E33" s="492"/>
      <c r="F33" s="492"/>
      <c r="G33" s="492"/>
      <c r="H33" s="492"/>
      <c r="I33" s="492"/>
      <c r="J33" s="492"/>
      <c r="K33" s="492"/>
      <c r="L33" s="492"/>
      <c r="M33" s="492"/>
      <c r="N33" s="492"/>
      <c r="O33" s="492"/>
      <c r="P33" s="492"/>
      <c r="Q33" s="492"/>
      <c r="R33" s="492"/>
      <c r="S33" s="492"/>
      <c r="T33" s="492"/>
      <c r="U33" s="492"/>
      <c r="V33" s="492"/>
      <c r="W33" s="492"/>
      <c r="X33" s="492"/>
      <c r="Y33" s="492"/>
      <c r="Z33" s="492"/>
      <c r="AA33" s="492"/>
      <c r="AB33" s="492"/>
      <c r="AC33" s="492"/>
      <c r="AD33" s="61"/>
      <c r="AE33" s="61"/>
      <c r="AF33" s="61"/>
      <c r="AG33" s="61"/>
      <c r="AH33" s="61"/>
      <c r="AI33" s="61"/>
      <c r="AJ33" s="61"/>
      <c r="AK33" s="61"/>
      <c r="AL33" s="61"/>
      <c r="AM33" s="61"/>
      <c r="AN33" s="61"/>
      <c r="AO33" s="61"/>
      <c r="AP33" s="61"/>
      <c r="AQ33" s="61"/>
      <c r="AR33" s="61"/>
      <c r="AS33" s="61"/>
      <c r="AT33" s="379"/>
    </row>
    <row r="34" spans="1:46" s="2" customFormat="1" ht="12.95" customHeight="1">
      <c r="A34" s="379"/>
      <c r="B34" s="2984" t="s">
        <v>9467</v>
      </c>
      <c r="C34" s="2984"/>
      <c r="D34" s="2984"/>
      <c r="E34" s="2984"/>
      <c r="F34" s="2984"/>
      <c r="G34" s="2984"/>
      <c r="H34" s="2984"/>
      <c r="I34" s="2984"/>
      <c r="J34" s="2984"/>
      <c r="K34" s="2984"/>
      <c r="L34" s="2984"/>
      <c r="M34" s="2984"/>
      <c r="N34" s="2984"/>
      <c r="O34" s="2984"/>
      <c r="P34" s="2984"/>
      <c r="Q34" s="2984"/>
      <c r="R34" s="2984"/>
      <c r="S34" s="2984"/>
      <c r="T34" s="2984"/>
      <c r="U34" s="2984"/>
      <c r="V34" s="2984"/>
      <c r="W34" s="2984"/>
      <c r="X34" s="2984"/>
      <c r="Y34" s="2984"/>
      <c r="Z34" s="2984"/>
      <c r="AA34" s="2984"/>
      <c r="AB34" s="2984"/>
      <c r="AC34" s="2984"/>
      <c r="AD34" s="2984"/>
      <c r="AE34" s="2984"/>
      <c r="AF34" s="2984"/>
      <c r="AG34" s="2984"/>
      <c r="AH34" s="2984"/>
      <c r="AI34" s="2984"/>
      <c r="AJ34" s="2984"/>
      <c r="AK34" s="61"/>
      <c r="AL34" s="61"/>
      <c r="AM34" s="61"/>
      <c r="AN34" s="61"/>
      <c r="AO34" s="61"/>
      <c r="AP34" s="61"/>
      <c r="AQ34" s="61"/>
      <c r="AR34" s="61"/>
      <c r="AS34" s="61"/>
      <c r="AT34" s="379"/>
    </row>
    <row r="35" spans="1:46" s="2" customFormat="1" ht="26.1" customHeight="1">
      <c r="A35" s="379"/>
      <c r="B35" s="2984" t="s">
        <v>9468</v>
      </c>
      <c r="C35" s="2984"/>
      <c r="D35" s="2984"/>
      <c r="E35" s="2984"/>
      <c r="F35" s="2984"/>
      <c r="G35" s="2984"/>
      <c r="H35" s="2984"/>
      <c r="I35" s="2984"/>
      <c r="J35" s="2984"/>
      <c r="K35" s="2984"/>
      <c r="L35" s="2984"/>
      <c r="M35" s="2984"/>
      <c r="N35" s="2984"/>
      <c r="O35" s="2984"/>
      <c r="P35" s="2984"/>
      <c r="Q35" s="2984"/>
      <c r="R35" s="2984"/>
      <c r="S35" s="2984"/>
      <c r="T35" s="2984"/>
      <c r="U35" s="2984"/>
      <c r="V35" s="2984"/>
      <c r="W35" s="2984"/>
      <c r="X35" s="2984"/>
      <c r="Y35" s="2984"/>
      <c r="Z35" s="2984"/>
      <c r="AA35" s="2984"/>
      <c r="AB35" s="2984"/>
      <c r="AC35" s="2984"/>
      <c r="AD35" s="2984"/>
      <c r="AE35" s="2984"/>
      <c r="AF35" s="2984"/>
      <c r="AG35" s="2984"/>
      <c r="AH35" s="2984"/>
      <c r="AI35" s="2984"/>
      <c r="AJ35" s="2984"/>
      <c r="AK35" s="61"/>
      <c r="AL35" s="61"/>
      <c r="AM35" s="61"/>
      <c r="AN35" s="61"/>
      <c r="AO35" s="61"/>
      <c r="AP35" s="61"/>
      <c r="AQ35" s="61"/>
      <c r="AR35" s="61"/>
      <c r="AS35" s="61"/>
      <c r="AT35" s="379"/>
    </row>
    <row r="36" spans="1:46" s="2" customFormat="1" ht="12.95" customHeight="1">
      <c r="A36" s="379"/>
      <c r="B36" s="2984" t="s">
        <v>9469</v>
      </c>
      <c r="C36" s="2984"/>
      <c r="D36" s="2984"/>
      <c r="E36" s="2984"/>
      <c r="F36" s="2984"/>
      <c r="G36" s="2984"/>
      <c r="H36" s="2984"/>
      <c r="I36" s="2984"/>
      <c r="J36" s="2984"/>
      <c r="K36" s="2984"/>
      <c r="L36" s="2984"/>
      <c r="M36" s="2984"/>
      <c r="N36" s="2984"/>
      <c r="O36" s="2984"/>
      <c r="P36" s="2984"/>
      <c r="Q36" s="2984"/>
      <c r="R36" s="2984"/>
      <c r="S36" s="2984"/>
      <c r="T36" s="2984"/>
      <c r="U36" s="2984"/>
      <c r="V36" s="2984"/>
      <c r="W36" s="2984"/>
      <c r="X36" s="2984"/>
      <c r="Y36" s="2984"/>
      <c r="Z36" s="2984"/>
      <c r="AA36" s="2984"/>
      <c r="AB36" s="2984"/>
      <c r="AC36" s="2984"/>
      <c r="AD36" s="2984"/>
      <c r="AE36" s="2984"/>
      <c r="AF36" s="2984"/>
      <c r="AG36" s="2984"/>
      <c r="AH36" s="2984"/>
      <c r="AI36" s="2984"/>
      <c r="AJ36" s="2984"/>
      <c r="AK36" s="61"/>
      <c r="AL36" s="61"/>
      <c r="AM36" s="61"/>
      <c r="AN36" s="61"/>
      <c r="AO36" s="61"/>
      <c r="AP36" s="61"/>
      <c r="AQ36" s="61"/>
      <c r="AR36" s="61"/>
      <c r="AS36" s="61"/>
      <c r="AT36" s="379"/>
    </row>
    <row r="37" spans="1:46" s="2" customFormat="1" ht="26.1" customHeight="1">
      <c r="A37" s="379"/>
      <c r="B37" s="2984" t="s">
        <v>9470</v>
      </c>
      <c r="C37" s="2984"/>
      <c r="D37" s="2984"/>
      <c r="E37" s="2984"/>
      <c r="F37" s="2984"/>
      <c r="G37" s="2984"/>
      <c r="H37" s="2984"/>
      <c r="I37" s="2984"/>
      <c r="J37" s="2984"/>
      <c r="K37" s="2984"/>
      <c r="L37" s="2984"/>
      <c r="M37" s="2984"/>
      <c r="N37" s="2984"/>
      <c r="O37" s="2984"/>
      <c r="P37" s="2984"/>
      <c r="Q37" s="2984"/>
      <c r="R37" s="2984"/>
      <c r="S37" s="2984"/>
      <c r="T37" s="2984"/>
      <c r="U37" s="2984"/>
      <c r="V37" s="2984"/>
      <c r="W37" s="2984"/>
      <c r="X37" s="2984"/>
      <c r="Y37" s="2984"/>
      <c r="Z37" s="2984"/>
      <c r="AA37" s="2984"/>
      <c r="AB37" s="2984"/>
      <c r="AC37" s="2984"/>
      <c r="AD37" s="2984"/>
      <c r="AE37" s="2984"/>
      <c r="AF37" s="2984"/>
      <c r="AG37" s="2984"/>
      <c r="AH37" s="2984"/>
      <c r="AI37" s="2984"/>
      <c r="AJ37" s="2984"/>
      <c r="AK37" s="61"/>
      <c r="AL37" s="61"/>
      <c r="AM37" s="61"/>
      <c r="AN37" s="61"/>
      <c r="AO37" s="61"/>
      <c r="AP37" s="61"/>
      <c r="AQ37" s="61"/>
      <c r="AR37" s="61"/>
      <c r="AS37" s="61"/>
      <c r="AT37" s="379"/>
    </row>
    <row r="38" spans="1:46" ht="5.0999999999999996" customHeight="1" thickBot="1">
      <c r="A38" s="377"/>
      <c r="B38" s="377"/>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377"/>
    </row>
    <row r="39" spans="1:46" s="552" customFormat="1" ht="12" thickBot="1">
      <c r="A39" s="554"/>
      <c r="B39" s="529"/>
      <c r="C39" s="530" t="s">
        <v>4751</v>
      </c>
      <c r="D39" s="531" t="s">
        <v>4752</v>
      </c>
      <c r="E39" s="531" t="s">
        <v>4753</v>
      </c>
      <c r="F39" s="531" t="s">
        <v>4754</v>
      </c>
      <c r="G39" s="531" t="s">
        <v>4755</v>
      </c>
      <c r="H39" s="531" t="s">
        <v>4756</v>
      </c>
      <c r="I39" s="531" t="s">
        <v>4757</v>
      </c>
      <c r="J39" s="531" t="s">
        <v>4758</v>
      </c>
      <c r="K39" s="531" t="s">
        <v>4759</v>
      </c>
      <c r="L39" s="531" t="s">
        <v>4760</v>
      </c>
      <c r="M39" s="531" t="s">
        <v>4761</v>
      </c>
      <c r="N39" s="531" t="s">
        <v>4762</v>
      </c>
      <c r="O39" s="531" t="s">
        <v>4763</v>
      </c>
      <c r="P39" s="531" t="s">
        <v>4764</v>
      </c>
      <c r="Q39" s="531" t="s">
        <v>4765</v>
      </c>
      <c r="R39" s="531" t="s">
        <v>4766</v>
      </c>
      <c r="S39" s="531" t="s">
        <v>4767</v>
      </c>
      <c r="T39" s="531" t="s">
        <v>4768</v>
      </c>
      <c r="U39" s="531" t="s">
        <v>4769</v>
      </c>
      <c r="V39" s="531" t="s">
        <v>4770</v>
      </c>
      <c r="W39" s="531" t="s">
        <v>4771</v>
      </c>
      <c r="X39" s="531" t="s">
        <v>4772</v>
      </c>
      <c r="Y39" s="531" t="s">
        <v>4773</v>
      </c>
      <c r="Z39" s="531" t="s">
        <v>4774</v>
      </c>
      <c r="AA39" s="531" t="s">
        <v>4775</v>
      </c>
      <c r="AB39" s="531" t="s">
        <v>4776</v>
      </c>
      <c r="AC39" s="531" t="s">
        <v>4777</v>
      </c>
      <c r="AD39" s="531" t="s">
        <v>4778</v>
      </c>
      <c r="AE39" s="531" t="s">
        <v>4779</v>
      </c>
      <c r="AF39" s="531" t="s">
        <v>4780</v>
      </c>
      <c r="AG39" s="531" t="s">
        <v>4781</v>
      </c>
      <c r="AH39" s="531" t="s">
        <v>4782</v>
      </c>
      <c r="AI39" s="531" t="s">
        <v>4783</v>
      </c>
      <c r="AJ39" s="531" t="s">
        <v>4784</v>
      </c>
      <c r="AK39" s="531" t="s">
        <v>4785</v>
      </c>
      <c r="AL39" s="531" t="s">
        <v>4786</v>
      </c>
      <c r="AM39" s="531" t="s">
        <v>4787</v>
      </c>
      <c r="AN39" s="531" t="s">
        <v>4788</v>
      </c>
      <c r="AO39" s="531" t="s">
        <v>4789</v>
      </c>
      <c r="AP39" s="531" t="s">
        <v>4790</v>
      </c>
      <c r="AQ39" s="531" t="s">
        <v>4791</v>
      </c>
      <c r="AR39" s="531" t="s">
        <v>4792</v>
      </c>
      <c r="AS39" s="532" t="s">
        <v>4793</v>
      </c>
      <c r="AT39" s="554"/>
    </row>
    <row r="40" spans="1:46" s="553" customFormat="1" ht="11.25" outlineLevel="1">
      <c r="A40" s="555"/>
      <c r="B40" s="533" t="s">
        <v>4794</v>
      </c>
      <c r="C40" s="534"/>
      <c r="D40" s="535"/>
      <c r="E40" s="535"/>
      <c r="F40" s="535"/>
      <c r="G40" s="535"/>
      <c r="H40" s="535"/>
      <c r="I40" s="536" t="s">
        <v>4795</v>
      </c>
      <c r="J40" s="535"/>
      <c r="K40" s="535"/>
      <c r="L40" s="535"/>
      <c r="M40" s="535"/>
      <c r="N40" s="535"/>
      <c r="O40" s="535"/>
      <c r="P40" s="535"/>
      <c r="Q40" s="535"/>
      <c r="R40" s="536" t="s">
        <v>4795</v>
      </c>
      <c r="S40" s="535"/>
      <c r="T40" s="535"/>
      <c r="U40" s="535"/>
      <c r="V40" s="535"/>
      <c r="W40" s="535"/>
      <c r="X40" s="535"/>
      <c r="Y40" s="535"/>
      <c r="Z40" s="535"/>
      <c r="AA40" s="535" t="s">
        <v>4795</v>
      </c>
      <c r="AB40" s="535"/>
      <c r="AC40" s="535"/>
      <c r="AD40" s="535"/>
      <c r="AE40" s="535"/>
      <c r="AF40" s="535"/>
      <c r="AG40" s="535"/>
      <c r="AH40" s="535"/>
      <c r="AI40" s="535"/>
      <c r="AJ40" s="535"/>
      <c r="AK40" s="535"/>
      <c r="AL40" s="535"/>
      <c r="AM40" s="535"/>
      <c r="AN40" s="535"/>
      <c r="AO40" s="535"/>
      <c r="AP40" s="535"/>
      <c r="AQ40" s="535"/>
      <c r="AR40" s="535"/>
      <c r="AS40" s="537"/>
      <c r="AT40" s="555"/>
    </row>
    <row r="41" spans="1:46" s="553" customFormat="1" ht="11.25" outlineLevel="1">
      <c r="A41" s="555"/>
      <c r="B41" s="538" t="s">
        <v>4796</v>
      </c>
      <c r="C41" s="539"/>
      <c r="D41" s="540"/>
      <c r="E41" s="540"/>
      <c r="F41" s="540"/>
      <c r="G41" s="540"/>
      <c r="H41" s="540"/>
      <c r="I41" s="541" t="s">
        <v>4795</v>
      </c>
      <c r="J41" s="540"/>
      <c r="K41" s="540"/>
      <c r="L41" s="540"/>
      <c r="M41" s="540"/>
      <c r="N41" s="540"/>
      <c r="O41" s="540"/>
      <c r="P41" s="540"/>
      <c r="Q41" s="540"/>
      <c r="R41" s="541" t="s">
        <v>4795</v>
      </c>
      <c r="S41" s="540"/>
      <c r="T41" s="540"/>
      <c r="U41" s="540"/>
      <c r="V41" s="540"/>
      <c r="W41" s="540"/>
      <c r="X41" s="540"/>
      <c r="Y41" s="540"/>
      <c r="Z41" s="540"/>
      <c r="AA41" s="540" t="s">
        <v>4795</v>
      </c>
      <c r="AB41" s="540"/>
      <c r="AC41" s="540"/>
      <c r="AD41" s="540"/>
      <c r="AE41" s="540"/>
      <c r="AF41" s="540"/>
      <c r="AG41" s="540"/>
      <c r="AH41" s="540"/>
      <c r="AI41" s="540"/>
      <c r="AJ41" s="540"/>
      <c r="AK41" s="540"/>
      <c r="AL41" s="540" t="s">
        <v>4795</v>
      </c>
      <c r="AM41" s="540"/>
      <c r="AN41" s="540"/>
      <c r="AO41" s="540"/>
      <c r="AP41" s="540"/>
      <c r="AQ41" s="540"/>
      <c r="AR41" s="540"/>
      <c r="AS41" s="542"/>
      <c r="AT41" s="555"/>
    </row>
    <row r="42" spans="1:46" s="553" customFormat="1" ht="11.25" outlineLevel="1">
      <c r="A42" s="555"/>
      <c r="B42" s="538" t="s">
        <v>4797</v>
      </c>
      <c r="C42" s="543"/>
      <c r="D42" s="544"/>
      <c r="E42" s="544"/>
      <c r="F42" s="544"/>
      <c r="G42" s="544"/>
      <c r="H42" s="544"/>
      <c r="I42" s="541" t="s">
        <v>4795</v>
      </c>
      <c r="J42" s="544"/>
      <c r="K42" s="544"/>
      <c r="L42" s="544"/>
      <c r="M42" s="544"/>
      <c r="N42" s="544"/>
      <c r="O42" s="544"/>
      <c r="P42" s="544"/>
      <c r="Q42" s="544"/>
      <c r="R42" s="541" t="s">
        <v>4795</v>
      </c>
      <c r="S42" s="544"/>
      <c r="T42" s="544"/>
      <c r="U42" s="544"/>
      <c r="V42" s="544"/>
      <c r="W42" s="544"/>
      <c r="X42" s="541" t="s">
        <v>4795</v>
      </c>
      <c r="Y42" s="544"/>
      <c r="Z42" s="544"/>
      <c r="AA42" s="544" t="s">
        <v>4795</v>
      </c>
      <c r="AB42" s="544"/>
      <c r="AC42" s="544"/>
      <c r="AD42" s="544"/>
      <c r="AE42" s="541" t="s">
        <v>4795</v>
      </c>
      <c r="AF42" s="544"/>
      <c r="AG42" s="544"/>
      <c r="AH42" s="544"/>
      <c r="AI42" s="544"/>
      <c r="AJ42" s="544"/>
      <c r="AK42" s="544"/>
      <c r="AL42" s="544"/>
      <c r="AM42" s="544"/>
      <c r="AN42" s="544"/>
      <c r="AO42" s="544"/>
      <c r="AP42" s="544" t="s">
        <v>4795</v>
      </c>
      <c r="AQ42" s="544"/>
      <c r="AR42" s="544"/>
      <c r="AS42" s="545"/>
      <c r="AT42" s="555"/>
    </row>
    <row r="43" spans="1:46" s="553" customFormat="1" ht="11.25" outlineLevel="1">
      <c r="A43" s="555"/>
      <c r="B43" s="538" t="s">
        <v>4798</v>
      </c>
      <c r="C43" s="539"/>
      <c r="D43" s="540"/>
      <c r="E43" s="540"/>
      <c r="F43" s="540"/>
      <c r="G43" s="540"/>
      <c r="H43" s="540"/>
      <c r="I43" s="541" t="s">
        <v>4795</v>
      </c>
      <c r="J43" s="540"/>
      <c r="K43" s="540"/>
      <c r="L43" s="540"/>
      <c r="M43" s="540"/>
      <c r="N43" s="540"/>
      <c r="O43" s="540"/>
      <c r="P43" s="540"/>
      <c r="Q43" s="540"/>
      <c r="R43" s="541" t="s">
        <v>4795</v>
      </c>
      <c r="S43" s="540"/>
      <c r="T43" s="540"/>
      <c r="U43" s="540"/>
      <c r="V43" s="540"/>
      <c r="W43" s="540"/>
      <c r="X43" s="540"/>
      <c r="Y43" s="540"/>
      <c r="Z43" s="540"/>
      <c r="AA43" s="541" t="s">
        <v>4795</v>
      </c>
      <c r="AB43" s="540"/>
      <c r="AC43" s="540"/>
      <c r="AD43" s="540"/>
      <c r="AE43" s="540"/>
      <c r="AF43" s="540"/>
      <c r="AG43" s="540"/>
      <c r="AH43" s="540"/>
      <c r="AI43" s="540"/>
      <c r="AJ43" s="540"/>
      <c r="AK43" s="540"/>
      <c r="AL43" s="540"/>
      <c r="AM43" s="540"/>
      <c r="AN43" s="540"/>
      <c r="AO43" s="540"/>
      <c r="AP43" s="540"/>
      <c r="AQ43" s="540"/>
      <c r="AR43" s="540"/>
      <c r="AS43" s="542"/>
      <c r="AT43" s="555"/>
    </row>
    <row r="44" spans="1:46" s="553" customFormat="1" ht="11.25" outlineLevel="1">
      <c r="A44" s="555"/>
      <c r="B44" s="538" t="s">
        <v>4799</v>
      </c>
      <c r="C44" s="543"/>
      <c r="D44" s="544"/>
      <c r="E44" s="544"/>
      <c r="F44" s="544"/>
      <c r="G44" s="544"/>
      <c r="H44" s="544"/>
      <c r="I44" s="541" t="s">
        <v>4795</v>
      </c>
      <c r="J44" s="544"/>
      <c r="K44" s="544"/>
      <c r="L44" s="544"/>
      <c r="M44" s="544"/>
      <c r="N44" s="544"/>
      <c r="O44" s="544"/>
      <c r="P44" s="544"/>
      <c r="Q44" s="544"/>
      <c r="R44" s="541" t="s">
        <v>4795</v>
      </c>
      <c r="S44" s="544"/>
      <c r="T44" s="544"/>
      <c r="U44" s="544"/>
      <c r="V44" s="544"/>
      <c r="W44" s="544"/>
      <c r="X44" s="544"/>
      <c r="Y44" s="544"/>
      <c r="Z44" s="544"/>
      <c r="AA44" s="541" t="s">
        <v>4795</v>
      </c>
      <c r="AB44" s="544"/>
      <c r="AC44" s="544"/>
      <c r="AD44" s="541" t="s">
        <v>4795</v>
      </c>
      <c r="AE44" s="544"/>
      <c r="AF44" s="541" t="s">
        <v>4795</v>
      </c>
      <c r="AG44" s="544"/>
      <c r="AH44" s="544"/>
      <c r="AI44" s="544"/>
      <c r="AJ44" s="544"/>
      <c r="AK44" s="541" t="s">
        <v>4795</v>
      </c>
      <c r="AL44" s="544"/>
      <c r="AM44" s="544"/>
      <c r="AN44" s="544"/>
      <c r="AO44" s="541" t="s">
        <v>4795</v>
      </c>
      <c r="AP44" s="544"/>
      <c r="AQ44" s="544"/>
      <c r="AR44" s="544"/>
      <c r="AS44" s="546" t="s">
        <v>4795</v>
      </c>
      <c r="AT44" s="555"/>
    </row>
    <row r="45" spans="1:46" s="553" customFormat="1" ht="11.25" outlineLevel="1">
      <c r="A45" s="555"/>
      <c r="B45" s="538" t="s">
        <v>4800</v>
      </c>
      <c r="C45" s="539"/>
      <c r="D45" s="540"/>
      <c r="E45" s="540"/>
      <c r="F45" s="540"/>
      <c r="G45" s="540"/>
      <c r="H45" s="540"/>
      <c r="I45" s="541" t="s">
        <v>4795</v>
      </c>
      <c r="J45" s="540"/>
      <c r="K45" s="540"/>
      <c r="L45" s="540"/>
      <c r="M45" s="540"/>
      <c r="N45" s="540"/>
      <c r="O45" s="540"/>
      <c r="P45" s="540"/>
      <c r="Q45" s="541" t="s">
        <v>4795</v>
      </c>
      <c r="R45" s="541" t="s">
        <v>4795</v>
      </c>
      <c r="S45" s="540"/>
      <c r="T45" s="540"/>
      <c r="U45" s="540"/>
      <c r="V45" s="540"/>
      <c r="W45" s="540"/>
      <c r="X45" s="540"/>
      <c r="Y45" s="540"/>
      <c r="Z45" s="540"/>
      <c r="AA45" s="540"/>
      <c r="AB45" s="540"/>
      <c r="AC45" s="540"/>
      <c r="AD45" s="540"/>
      <c r="AE45" s="540"/>
      <c r="AF45" s="540"/>
      <c r="AG45" s="540"/>
      <c r="AH45" s="540"/>
      <c r="AI45" s="540"/>
      <c r="AJ45" s="540"/>
      <c r="AK45" s="540"/>
      <c r="AL45" s="540"/>
      <c r="AM45" s="540"/>
      <c r="AN45" s="540"/>
      <c r="AO45" s="540"/>
      <c r="AP45" s="540"/>
      <c r="AQ45" s="540"/>
      <c r="AR45" s="540"/>
      <c r="AS45" s="542"/>
      <c r="AT45" s="555"/>
    </row>
    <row r="46" spans="1:46" s="553" customFormat="1" ht="11.25" outlineLevel="1">
      <c r="A46" s="555"/>
      <c r="B46" s="538" t="s">
        <v>4801</v>
      </c>
      <c r="C46" s="543"/>
      <c r="D46" s="544"/>
      <c r="E46" s="544"/>
      <c r="F46" s="544"/>
      <c r="G46" s="544"/>
      <c r="H46" s="544"/>
      <c r="I46" s="541" t="s">
        <v>4795</v>
      </c>
      <c r="J46" s="544"/>
      <c r="K46" s="544"/>
      <c r="L46" s="544"/>
      <c r="M46" s="544"/>
      <c r="N46" s="544"/>
      <c r="O46" s="544"/>
      <c r="P46" s="544"/>
      <c r="Q46" s="544"/>
      <c r="R46" s="541" t="s">
        <v>4795</v>
      </c>
      <c r="S46" s="544"/>
      <c r="T46" s="544"/>
      <c r="U46" s="544"/>
      <c r="V46" s="544"/>
      <c r="W46" s="541" t="s">
        <v>4795</v>
      </c>
      <c r="X46" s="544"/>
      <c r="Y46" s="544"/>
      <c r="Z46" s="544"/>
      <c r="AA46" s="544"/>
      <c r="AB46" s="544"/>
      <c r="AC46" s="541" t="s">
        <v>4795</v>
      </c>
      <c r="AD46" s="544"/>
      <c r="AE46" s="544"/>
      <c r="AF46" s="544"/>
      <c r="AG46" s="544"/>
      <c r="AH46" s="541" t="s">
        <v>4795</v>
      </c>
      <c r="AI46" s="544"/>
      <c r="AJ46" s="544"/>
      <c r="AK46" s="544"/>
      <c r="AL46" s="544"/>
      <c r="AM46" s="541" t="s">
        <v>4795</v>
      </c>
      <c r="AN46" s="544"/>
      <c r="AO46" s="544"/>
      <c r="AP46" s="544"/>
      <c r="AQ46" s="544"/>
      <c r="AR46" s="544"/>
      <c r="AS46" s="545"/>
      <c r="AT46" s="555"/>
    </row>
    <row r="47" spans="1:46" s="553" customFormat="1" ht="11.25" outlineLevel="1">
      <c r="A47" s="555"/>
      <c r="B47" s="538" t="s">
        <v>4802</v>
      </c>
      <c r="C47" s="539"/>
      <c r="D47" s="540"/>
      <c r="E47" s="540"/>
      <c r="F47" s="540"/>
      <c r="G47" s="540"/>
      <c r="H47" s="540"/>
      <c r="I47" s="541" t="s">
        <v>4795</v>
      </c>
      <c r="J47" s="540"/>
      <c r="K47" s="540"/>
      <c r="L47" s="540"/>
      <c r="M47" s="540"/>
      <c r="N47" s="540"/>
      <c r="O47" s="540"/>
      <c r="P47" s="541" t="s">
        <v>4795</v>
      </c>
      <c r="Q47" s="540"/>
      <c r="R47" s="541" t="s">
        <v>4795</v>
      </c>
      <c r="S47" s="540"/>
      <c r="T47" s="540"/>
      <c r="U47" s="540"/>
      <c r="V47" s="540"/>
      <c r="W47" s="540"/>
      <c r="X47" s="540"/>
      <c r="Y47" s="540"/>
      <c r="Z47" s="540"/>
      <c r="AA47" s="540"/>
      <c r="AB47" s="540"/>
      <c r="AC47" s="540"/>
      <c r="AD47" s="540"/>
      <c r="AE47" s="540"/>
      <c r="AF47" s="540"/>
      <c r="AG47" s="540"/>
      <c r="AH47" s="540"/>
      <c r="AI47" s="540"/>
      <c r="AJ47" s="540"/>
      <c r="AK47" s="540"/>
      <c r="AL47" s="540"/>
      <c r="AM47" s="540"/>
      <c r="AN47" s="540"/>
      <c r="AO47" s="540"/>
      <c r="AP47" s="540"/>
      <c r="AQ47" s="540"/>
      <c r="AR47" s="540"/>
      <c r="AS47" s="542"/>
      <c r="AT47" s="555"/>
    </row>
    <row r="48" spans="1:46" s="553" customFormat="1" ht="11.25" outlineLevel="1">
      <c r="A48" s="555"/>
      <c r="B48" s="538" t="s">
        <v>4803</v>
      </c>
      <c r="C48" s="543"/>
      <c r="D48" s="544"/>
      <c r="E48" s="544"/>
      <c r="F48" s="544"/>
      <c r="G48" s="544"/>
      <c r="H48" s="544"/>
      <c r="I48" s="541" t="s">
        <v>4795</v>
      </c>
      <c r="J48" s="544"/>
      <c r="K48" s="544"/>
      <c r="L48" s="544"/>
      <c r="M48" s="544"/>
      <c r="N48" s="544"/>
      <c r="O48" s="544"/>
      <c r="P48" s="544"/>
      <c r="Q48" s="544"/>
      <c r="R48" s="544" t="s">
        <v>4795</v>
      </c>
      <c r="S48" s="544"/>
      <c r="T48" s="544"/>
      <c r="U48" s="544"/>
      <c r="V48" s="541" t="s">
        <v>4795</v>
      </c>
      <c r="W48" s="544"/>
      <c r="X48" s="544"/>
      <c r="Y48" s="544"/>
      <c r="Z48" s="544"/>
      <c r="AA48" s="544"/>
      <c r="AB48" s="544"/>
      <c r="AC48" s="544"/>
      <c r="AD48" s="544"/>
      <c r="AE48" s="544"/>
      <c r="AF48" s="544"/>
      <c r="AG48" s="544"/>
      <c r="AH48" s="544"/>
      <c r="AI48" s="544"/>
      <c r="AJ48" s="544"/>
      <c r="AK48" s="544"/>
      <c r="AL48" s="544"/>
      <c r="AM48" s="544"/>
      <c r="AN48" s="544"/>
      <c r="AO48" s="544"/>
      <c r="AP48" s="544"/>
      <c r="AQ48" s="544"/>
      <c r="AR48" s="544"/>
      <c r="AS48" s="545"/>
      <c r="AT48" s="555"/>
    </row>
    <row r="49" spans="1:46" s="553" customFormat="1" ht="11.25" outlineLevel="1">
      <c r="A49" s="555"/>
      <c r="B49" s="538" t="s">
        <v>4804</v>
      </c>
      <c r="C49" s="539"/>
      <c r="D49" s="540"/>
      <c r="E49" s="540"/>
      <c r="F49" s="540"/>
      <c r="G49" s="540"/>
      <c r="H49" s="540"/>
      <c r="I49" s="541" t="s">
        <v>4795</v>
      </c>
      <c r="J49" s="540"/>
      <c r="K49" s="540"/>
      <c r="L49" s="540"/>
      <c r="M49" s="540"/>
      <c r="N49" s="540"/>
      <c r="O49" s="541" t="s">
        <v>4795</v>
      </c>
      <c r="P49" s="540"/>
      <c r="Q49" s="540"/>
      <c r="R49" s="540" t="s">
        <v>4795</v>
      </c>
      <c r="S49" s="540"/>
      <c r="T49" s="540"/>
      <c r="U49" s="541" t="s">
        <v>4795</v>
      </c>
      <c r="V49" s="540"/>
      <c r="W49" s="540"/>
      <c r="X49" s="540"/>
      <c r="Y49" s="540"/>
      <c r="Z49" s="541" t="s">
        <v>4795</v>
      </c>
      <c r="AA49" s="540"/>
      <c r="AB49" s="540"/>
      <c r="AC49" s="540"/>
      <c r="AD49" s="540"/>
      <c r="AE49" s="540"/>
      <c r="AF49" s="540"/>
      <c r="AG49" s="540"/>
      <c r="AH49" s="540"/>
      <c r="AI49" s="540"/>
      <c r="AJ49" s="540"/>
      <c r="AK49" s="540"/>
      <c r="AL49" s="540"/>
      <c r="AM49" s="540"/>
      <c r="AN49" s="540"/>
      <c r="AO49" s="540"/>
      <c r="AP49" s="540"/>
      <c r="AQ49" s="540"/>
      <c r="AR49" s="540"/>
      <c r="AS49" s="542"/>
      <c r="AT49" s="555"/>
    </row>
    <row r="50" spans="1:46" s="553" customFormat="1" ht="11.25" outlineLevel="1">
      <c r="A50" s="555"/>
      <c r="B50" s="538" t="s">
        <v>4805</v>
      </c>
      <c r="C50" s="543"/>
      <c r="D50" s="544"/>
      <c r="E50" s="544"/>
      <c r="F50" s="544"/>
      <c r="G50" s="544"/>
      <c r="H50" s="544"/>
      <c r="I50" s="544" t="s">
        <v>4795</v>
      </c>
      <c r="J50" s="544"/>
      <c r="K50" s="544"/>
      <c r="L50" s="544"/>
      <c r="M50" s="544"/>
      <c r="N50" s="544"/>
      <c r="O50" s="544"/>
      <c r="P50" s="544"/>
      <c r="Q50" s="544"/>
      <c r="R50" s="544"/>
      <c r="S50" s="544"/>
      <c r="T50" s="544" t="s">
        <v>4795</v>
      </c>
      <c r="U50" s="544"/>
      <c r="V50" s="544"/>
      <c r="W50" s="544"/>
      <c r="X50" s="544"/>
      <c r="Y50" s="544"/>
      <c r="Z50" s="544"/>
      <c r="AA50" s="544"/>
      <c r="AB50" s="544"/>
      <c r="AC50" s="544"/>
      <c r="AD50" s="544" t="s">
        <v>4795</v>
      </c>
      <c r="AE50" s="544"/>
      <c r="AF50" s="544"/>
      <c r="AG50" s="544"/>
      <c r="AH50" s="544"/>
      <c r="AI50" s="544"/>
      <c r="AJ50" s="544"/>
      <c r="AK50" s="544"/>
      <c r="AL50" s="544"/>
      <c r="AM50" s="544" t="s">
        <v>4795</v>
      </c>
      <c r="AN50" s="544"/>
      <c r="AO50" s="544"/>
      <c r="AP50" s="544"/>
      <c r="AQ50" s="544"/>
      <c r="AR50" s="544"/>
      <c r="AS50" s="545"/>
      <c r="AT50" s="555"/>
    </row>
    <row r="51" spans="1:46" s="553" customFormat="1" ht="11.25" outlineLevel="1">
      <c r="A51" s="555"/>
      <c r="B51" s="538" t="s">
        <v>4806</v>
      </c>
      <c r="C51" s="539"/>
      <c r="D51" s="540"/>
      <c r="E51" s="540"/>
      <c r="F51" s="540"/>
      <c r="G51" s="540"/>
      <c r="H51" s="540"/>
      <c r="I51" s="541" t="s">
        <v>4795</v>
      </c>
      <c r="J51" s="540"/>
      <c r="K51" s="540"/>
      <c r="L51" s="540"/>
      <c r="M51" s="540"/>
      <c r="N51" s="540"/>
      <c r="O51" s="540"/>
      <c r="P51" s="540"/>
      <c r="Q51" s="540"/>
      <c r="R51" s="540" t="s">
        <v>4795</v>
      </c>
      <c r="S51" s="540"/>
      <c r="T51" s="540"/>
      <c r="U51" s="540"/>
      <c r="V51" s="540"/>
      <c r="W51" s="540"/>
      <c r="X51" s="540"/>
      <c r="Y51" s="540"/>
      <c r="Z51" s="540"/>
      <c r="AA51" s="541" t="s">
        <v>4795</v>
      </c>
      <c r="AB51" s="540"/>
      <c r="AC51" s="540"/>
      <c r="AD51" s="540"/>
      <c r="AE51" s="540"/>
      <c r="AF51" s="540"/>
      <c r="AG51" s="541" t="s">
        <v>4795</v>
      </c>
      <c r="AH51" s="540"/>
      <c r="AI51" s="540"/>
      <c r="AJ51" s="540"/>
      <c r="AK51" s="540"/>
      <c r="AL51" s="540"/>
      <c r="AM51" s="541" t="s">
        <v>4795</v>
      </c>
      <c r="AN51" s="540"/>
      <c r="AO51" s="540"/>
      <c r="AP51" s="540"/>
      <c r="AQ51" s="540"/>
      <c r="AR51" s="540"/>
      <c r="AS51" s="542"/>
      <c r="AT51" s="555"/>
    </row>
    <row r="52" spans="1:46" s="553" customFormat="1" ht="11.25" outlineLevel="1">
      <c r="A52" s="555"/>
      <c r="B52" s="538" t="s">
        <v>4807</v>
      </c>
      <c r="C52" s="543"/>
      <c r="D52" s="544"/>
      <c r="E52" s="544"/>
      <c r="F52" s="544"/>
      <c r="G52" s="544"/>
      <c r="H52" s="544"/>
      <c r="I52" s="541" t="s">
        <v>4795</v>
      </c>
      <c r="J52" s="544"/>
      <c r="K52" s="544"/>
      <c r="L52" s="544"/>
      <c r="M52" s="544"/>
      <c r="N52" s="544"/>
      <c r="O52" s="544"/>
      <c r="P52" s="544"/>
      <c r="Q52" s="544"/>
      <c r="R52" s="544" t="s">
        <v>4795</v>
      </c>
      <c r="S52" s="544"/>
      <c r="T52" s="544"/>
      <c r="U52" s="544"/>
      <c r="V52" s="544"/>
      <c r="W52" s="544"/>
      <c r="X52" s="544"/>
      <c r="Y52" s="544" t="s">
        <v>4795</v>
      </c>
      <c r="Z52" s="544"/>
      <c r="AA52" s="544" t="s">
        <v>4795</v>
      </c>
      <c r="AB52" s="544"/>
      <c r="AC52" s="544"/>
      <c r="AD52" s="544"/>
      <c r="AE52" s="544"/>
      <c r="AF52" s="544"/>
      <c r="AG52" s="544"/>
      <c r="AH52" s="544"/>
      <c r="AI52" s="544"/>
      <c r="AJ52" s="544"/>
      <c r="AK52" s="544"/>
      <c r="AL52" s="544"/>
      <c r="AM52" s="544"/>
      <c r="AN52" s="544"/>
      <c r="AO52" s="544"/>
      <c r="AP52" s="544"/>
      <c r="AQ52" s="544"/>
      <c r="AR52" s="544"/>
      <c r="AS52" s="545"/>
      <c r="AT52" s="555"/>
    </row>
    <row r="53" spans="1:46" s="553" customFormat="1" ht="11.25" outlineLevel="1">
      <c r="A53" s="555"/>
      <c r="B53" s="538" t="s">
        <v>4808</v>
      </c>
      <c r="C53" s="539"/>
      <c r="D53" s="540"/>
      <c r="E53" s="540"/>
      <c r="F53" s="540"/>
      <c r="G53" s="540"/>
      <c r="H53" s="540"/>
      <c r="I53" s="541" t="s">
        <v>4795</v>
      </c>
      <c r="J53" s="540"/>
      <c r="K53" s="540"/>
      <c r="L53" s="540"/>
      <c r="M53" s="540"/>
      <c r="N53" s="540"/>
      <c r="O53" s="540"/>
      <c r="P53" s="540"/>
      <c r="Q53" s="540"/>
      <c r="R53" s="540" t="s">
        <v>4795</v>
      </c>
      <c r="S53" s="540"/>
      <c r="T53" s="540"/>
      <c r="U53" s="540"/>
      <c r="V53" s="540"/>
      <c r="W53" s="540"/>
      <c r="X53" s="540"/>
      <c r="Y53" s="540"/>
      <c r="Z53" s="540"/>
      <c r="AA53" s="540" t="s">
        <v>4795</v>
      </c>
      <c r="AB53" s="540"/>
      <c r="AC53" s="540"/>
      <c r="AD53" s="540"/>
      <c r="AE53" s="540"/>
      <c r="AF53" s="540"/>
      <c r="AG53" s="540"/>
      <c r="AH53" s="540"/>
      <c r="AI53" s="540"/>
      <c r="AJ53" s="540"/>
      <c r="AK53" s="540"/>
      <c r="AL53" s="540"/>
      <c r="AM53" s="540"/>
      <c r="AN53" s="540"/>
      <c r="AO53" s="540"/>
      <c r="AP53" s="540"/>
      <c r="AQ53" s="540"/>
      <c r="AR53" s="540"/>
      <c r="AS53" s="542"/>
      <c r="AT53" s="555"/>
    </row>
    <row r="54" spans="1:46" s="553" customFormat="1" ht="11.25" outlineLevel="1">
      <c r="A54" s="555"/>
      <c r="B54" s="538" t="s">
        <v>4809</v>
      </c>
      <c r="C54" s="543"/>
      <c r="D54" s="544"/>
      <c r="E54" s="544"/>
      <c r="F54" s="544"/>
      <c r="G54" s="544"/>
      <c r="H54" s="544"/>
      <c r="I54" s="541" t="s">
        <v>4795</v>
      </c>
      <c r="J54" s="544"/>
      <c r="K54" s="544"/>
      <c r="L54" s="544"/>
      <c r="M54" s="544"/>
      <c r="N54" s="544"/>
      <c r="O54" s="544"/>
      <c r="P54" s="544"/>
      <c r="Q54" s="544"/>
      <c r="R54" s="541" t="s">
        <v>4795</v>
      </c>
      <c r="S54" s="544"/>
      <c r="T54" s="544"/>
      <c r="U54" s="544"/>
      <c r="V54" s="544"/>
      <c r="W54" s="544"/>
      <c r="X54" s="544"/>
      <c r="Y54" s="544"/>
      <c r="Z54" s="544"/>
      <c r="AA54" s="541" t="s">
        <v>4795</v>
      </c>
      <c r="AB54" s="544"/>
      <c r="AC54" s="544"/>
      <c r="AD54" s="544"/>
      <c r="AE54" s="544"/>
      <c r="AF54" s="544"/>
      <c r="AG54" s="544"/>
      <c r="AH54" s="544"/>
      <c r="AI54" s="544"/>
      <c r="AJ54" s="544"/>
      <c r="AK54" s="544"/>
      <c r="AL54" s="544"/>
      <c r="AM54" s="544"/>
      <c r="AN54" s="544"/>
      <c r="AO54" s="544"/>
      <c r="AP54" s="544"/>
      <c r="AQ54" s="544"/>
      <c r="AR54" s="544"/>
      <c r="AS54" s="545"/>
      <c r="AT54" s="555"/>
    </row>
    <row r="55" spans="1:46" s="553" customFormat="1" ht="11.25" outlineLevel="1">
      <c r="A55" s="555"/>
      <c r="B55" s="538" t="s">
        <v>4810</v>
      </c>
      <c r="C55" s="539"/>
      <c r="D55" s="540"/>
      <c r="E55" s="540"/>
      <c r="F55" s="540"/>
      <c r="G55" s="540"/>
      <c r="H55" s="540"/>
      <c r="I55" s="541" t="s">
        <v>4795</v>
      </c>
      <c r="J55" s="540"/>
      <c r="K55" s="540"/>
      <c r="L55" s="540"/>
      <c r="M55" s="540"/>
      <c r="N55" s="540"/>
      <c r="O55" s="540"/>
      <c r="P55" s="540"/>
      <c r="Q55" s="540"/>
      <c r="R55" s="541" t="s">
        <v>4795</v>
      </c>
      <c r="S55" s="540"/>
      <c r="T55" s="540"/>
      <c r="U55" s="540"/>
      <c r="V55" s="540"/>
      <c r="W55" s="540"/>
      <c r="X55" s="541" t="s">
        <v>4795</v>
      </c>
      <c r="Y55" s="540"/>
      <c r="Z55" s="540"/>
      <c r="AA55" s="541" t="s">
        <v>4795</v>
      </c>
      <c r="AB55" s="540"/>
      <c r="AC55" s="540"/>
      <c r="AD55" s="540"/>
      <c r="AE55" s="541" t="s">
        <v>4795</v>
      </c>
      <c r="AF55" s="540"/>
      <c r="AG55" s="540"/>
      <c r="AH55" s="540"/>
      <c r="AI55" s="540"/>
      <c r="AJ55" s="540"/>
      <c r="AK55" s="540"/>
      <c r="AL55" s="540"/>
      <c r="AM55" s="540"/>
      <c r="AN55" s="540"/>
      <c r="AO55" s="540"/>
      <c r="AP55" s="540"/>
      <c r="AQ55" s="540"/>
      <c r="AR55" s="540"/>
      <c r="AS55" s="542"/>
      <c r="AT55" s="555"/>
    </row>
    <row r="56" spans="1:46" s="553" customFormat="1" ht="11.25" outlineLevel="1">
      <c r="A56" s="555"/>
      <c r="B56" s="538" t="s">
        <v>4811</v>
      </c>
      <c r="C56" s="543"/>
      <c r="D56" s="544"/>
      <c r="E56" s="544"/>
      <c r="F56" s="544"/>
      <c r="G56" s="544"/>
      <c r="H56" s="544"/>
      <c r="I56" s="544" t="s">
        <v>4795</v>
      </c>
      <c r="J56" s="544"/>
      <c r="K56" s="544"/>
      <c r="L56" s="544"/>
      <c r="M56" s="544"/>
      <c r="N56" s="544"/>
      <c r="O56" s="544"/>
      <c r="P56" s="544"/>
      <c r="Q56" s="544"/>
      <c r="R56" s="544" t="s">
        <v>4795</v>
      </c>
      <c r="S56" s="544"/>
      <c r="T56" s="544"/>
      <c r="U56" s="544"/>
      <c r="V56" s="544"/>
      <c r="W56" s="544"/>
      <c r="X56" s="544"/>
      <c r="Y56" s="544"/>
      <c r="Z56" s="544"/>
      <c r="AA56" s="541" t="s">
        <v>4795</v>
      </c>
      <c r="AB56" s="544"/>
      <c r="AC56" s="544"/>
      <c r="AD56" s="544"/>
      <c r="AE56" s="544"/>
      <c r="AF56" s="541" t="s">
        <v>4795</v>
      </c>
      <c r="AG56" s="544"/>
      <c r="AH56" s="544"/>
      <c r="AI56" s="544"/>
      <c r="AJ56" s="544"/>
      <c r="AK56" s="541" t="s">
        <v>4795</v>
      </c>
      <c r="AL56" s="544"/>
      <c r="AM56" s="544"/>
      <c r="AN56" s="544"/>
      <c r="AO56" s="541" t="s">
        <v>4795</v>
      </c>
      <c r="AP56" s="544"/>
      <c r="AQ56" s="544"/>
      <c r="AR56" s="544"/>
      <c r="AS56" s="546" t="s">
        <v>4795</v>
      </c>
      <c r="AT56" s="555"/>
    </row>
    <row r="57" spans="1:46" s="553" customFormat="1" ht="11.25" outlineLevel="1">
      <c r="A57" s="555"/>
      <c r="B57" s="538" t="s">
        <v>4812</v>
      </c>
      <c r="C57" s="539"/>
      <c r="D57" s="540"/>
      <c r="E57" s="540"/>
      <c r="F57" s="540"/>
      <c r="G57" s="540"/>
      <c r="H57" s="540"/>
      <c r="I57" s="541" t="s">
        <v>4795</v>
      </c>
      <c r="J57" s="540"/>
      <c r="K57" s="540"/>
      <c r="L57" s="540"/>
      <c r="M57" s="540"/>
      <c r="N57" s="540"/>
      <c r="O57" s="540"/>
      <c r="P57" s="540"/>
      <c r="Q57" s="540"/>
      <c r="R57" s="541" t="s">
        <v>4795</v>
      </c>
      <c r="S57" s="540"/>
      <c r="T57" s="540"/>
      <c r="U57" s="540"/>
      <c r="V57" s="540"/>
      <c r="W57" s="540"/>
      <c r="X57" s="540"/>
      <c r="Y57" s="540"/>
      <c r="Z57" s="540"/>
      <c r="AA57" s="540"/>
      <c r="AB57" s="540"/>
      <c r="AC57" s="540"/>
      <c r="AD57" s="540"/>
      <c r="AE57" s="540"/>
      <c r="AF57" s="540"/>
      <c r="AG57" s="540"/>
      <c r="AH57" s="540"/>
      <c r="AI57" s="541" t="s">
        <v>4795</v>
      </c>
      <c r="AJ57" s="540"/>
      <c r="AK57" s="540"/>
      <c r="AL57" s="540"/>
      <c r="AM57" s="540"/>
      <c r="AN57" s="540"/>
      <c r="AO57" s="540"/>
      <c r="AP57" s="540"/>
      <c r="AQ57" s="540"/>
      <c r="AR57" s="540"/>
      <c r="AS57" s="542"/>
      <c r="AT57" s="555"/>
    </row>
    <row r="58" spans="1:46" s="553" customFormat="1" ht="11.25" outlineLevel="1">
      <c r="A58" s="555"/>
      <c r="B58" s="538" t="s">
        <v>4813</v>
      </c>
      <c r="C58" s="543"/>
      <c r="D58" s="544"/>
      <c r="E58" s="544"/>
      <c r="F58" s="544"/>
      <c r="G58" s="544"/>
      <c r="H58" s="544"/>
      <c r="I58" s="541" t="s">
        <v>4795</v>
      </c>
      <c r="J58" s="544"/>
      <c r="K58" s="544"/>
      <c r="L58" s="544"/>
      <c r="M58" s="544"/>
      <c r="N58" s="544"/>
      <c r="O58" s="544"/>
      <c r="P58" s="544"/>
      <c r="Q58" s="544"/>
      <c r="R58" s="541" t="s">
        <v>4795</v>
      </c>
      <c r="S58" s="544"/>
      <c r="T58" s="544"/>
      <c r="U58" s="544"/>
      <c r="V58" s="544"/>
      <c r="W58" s="541" t="s">
        <v>4795</v>
      </c>
      <c r="X58" s="544"/>
      <c r="Y58" s="544"/>
      <c r="Z58" s="544"/>
      <c r="AA58" s="544"/>
      <c r="AB58" s="544"/>
      <c r="AC58" s="541" t="s">
        <v>4795</v>
      </c>
      <c r="AD58" s="544"/>
      <c r="AE58" s="544"/>
      <c r="AF58" s="544"/>
      <c r="AG58" s="544"/>
      <c r="AH58" s="541" t="s">
        <v>4795</v>
      </c>
      <c r="AI58" s="544"/>
      <c r="AJ58" s="544"/>
      <c r="AK58" s="544"/>
      <c r="AL58" s="544"/>
      <c r="AM58" s="541" t="s">
        <v>4795</v>
      </c>
      <c r="AN58" s="544"/>
      <c r="AO58" s="544"/>
      <c r="AP58" s="544"/>
      <c r="AQ58" s="544"/>
      <c r="AR58" s="544"/>
      <c r="AS58" s="545"/>
      <c r="AT58" s="555"/>
    </row>
    <row r="59" spans="1:46" s="553" customFormat="1" ht="11.25" outlineLevel="1">
      <c r="A59" s="555"/>
      <c r="B59" s="538" t="s">
        <v>4814</v>
      </c>
      <c r="C59" s="539"/>
      <c r="D59" s="540"/>
      <c r="E59" s="540"/>
      <c r="F59" s="540"/>
      <c r="G59" s="540"/>
      <c r="H59" s="540"/>
      <c r="I59" s="541" t="s">
        <v>4795</v>
      </c>
      <c r="J59" s="540"/>
      <c r="K59" s="540"/>
      <c r="L59" s="540"/>
      <c r="M59" s="540"/>
      <c r="N59" s="540"/>
      <c r="O59" s="540"/>
      <c r="P59" s="540"/>
      <c r="Q59" s="541" t="s">
        <v>4795</v>
      </c>
      <c r="R59" s="541" t="s">
        <v>4795</v>
      </c>
      <c r="S59" s="540"/>
      <c r="T59" s="540"/>
      <c r="U59" s="540"/>
      <c r="V59" s="540"/>
      <c r="W59" s="540"/>
      <c r="X59" s="540"/>
      <c r="Y59" s="540"/>
      <c r="Z59" s="540"/>
      <c r="AA59" s="540"/>
      <c r="AB59" s="540"/>
      <c r="AC59" s="540"/>
      <c r="AD59" s="540"/>
      <c r="AE59" s="540"/>
      <c r="AF59" s="540"/>
      <c r="AG59" s="540"/>
      <c r="AH59" s="540"/>
      <c r="AI59" s="540"/>
      <c r="AJ59" s="540"/>
      <c r="AK59" s="540"/>
      <c r="AL59" s="540"/>
      <c r="AM59" s="540"/>
      <c r="AN59" s="540"/>
      <c r="AO59" s="540"/>
      <c r="AP59" s="540"/>
      <c r="AQ59" s="540"/>
      <c r="AR59" s="540"/>
      <c r="AS59" s="542"/>
      <c r="AT59" s="555"/>
    </row>
    <row r="60" spans="1:46" s="553" customFormat="1" ht="11.25" outlineLevel="1">
      <c r="A60" s="555"/>
      <c r="B60" s="538" t="s">
        <v>4815</v>
      </c>
      <c r="C60" s="543"/>
      <c r="D60" s="544"/>
      <c r="E60" s="544"/>
      <c r="F60" s="544"/>
      <c r="G60" s="544"/>
      <c r="H60" s="544"/>
      <c r="I60" s="541" t="s">
        <v>4795</v>
      </c>
      <c r="J60" s="544"/>
      <c r="K60" s="544"/>
      <c r="L60" s="544"/>
      <c r="M60" s="544"/>
      <c r="N60" s="544"/>
      <c r="O60" s="544"/>
      <c r="P60" s="541" t="s">
        <v>4795</v>
      </c>
      <c r="Q60" s="544"/>
      <c r="R60" s="544" t="s">
        <v>4795</v>
      </c>
      <c r="S60" s="544"/>
      <c r="T60" s="544"/>
      <c r="U60" s="544"/>
      <c r="V60" s="544"/>
      <c r="W60" s="544"/>
      <c r="X60" s="544"/>
      <c r="Y60" s="544"/>
      <c r="Z60" s="544"/>
      <c r="AA60" s="544"/>
      <c r="AB60" s="544"/>
      <c r="AC60" s="544"/>
      <c r="AD60" s="544"/>
      <c r="AE60" s="544"/>
      <c r="AF60" s="544"/>
      <c r="AG60" s="544"/>
      <c r="AH60" s="544"/>
      <c r="AI60" s="544"/>
      <c r="AJ60" s="544"/>
      <c r="AK60" s="544"/>
      <c r="AL60" s="544"/>
      <c r="AM60" s="544"/>
      <c r="AN60" s="544"/>
      <c r="AO60" s="544"/>
      <c r="AP60" s="544"/>
      <c r="AQ60" s="544"/>
      <c r="AR60" s="544"/>
      <c r="AS60" s="545"/>
      <c r="AT60" s="555"/>
    </row>
    <row r="61" spans="1:46" s="553" customFormat="1" ht="11.25" outlineLevel="1">
      <c r="A61" s="555"/>
      <c r="B61" s="538" t="s">
        <v>4816</v>
      </c>
      <c r="C61" s="539"/>
      <c r="D61" s="540"/>
      <c r="E61" s="540"/>
      <c r="F61" s="540"/>
      <c r="G61" s="540"/>
      <c r="H61" s="540"/>
      <c r="I61" s="541" t="s">
        <v>4795</v>
      </c>
      <c r="J61" s="540"/>
      <c r="K61" s="540"/>
      <c r="L61" s="540"/>
      <c r="M61" s="540"/>
      <c r="N61" s="540"/>
      <c r="O61" s="541" t="s">
        <v>4795</v>
      </c>
      <c r="P61" s="540"/>
      <c r="Q61" s="540"/>
      <c r="R61" s="540"/>
      <c r="S61" s="540"/>
      <c r="T61" s="540"/>
      <c r="U61" s="541" t="s">
        <v>4795</v>
      </c>
      <c r="V61" s="540"/>
      <c r="W61" s="540"/>
      <c r="X61" s="540"/>
      <c r="Y61" s="540"/>
      <c r="Z61" s="541" t="s">
        <v>4795</v>
      </c>
      <c r="AA61" s="540"/>
      <c r="AB61" s="540"/>
      <c r="AC61" s="540"/>
      <c r="AD61" s="540"/>
      <c r="AE61" s="540"/>
      <c r="AF61" s="540"/>
      <c r="AG61" s="540"/>
      <c r="AH61" s="540"/>
      <c r="AI61" s="540"/>
      <c r="AJ61" s="540"/>
      <c r="AK61" s="540"/>
      <c r="AL61" s="540"/>
      <c r="AM61" s="540"/>
      <c r="AN61" s="540"/>
      <c r="AO61" s="540"/>
      <c r="AP61" s="540"/>
      <c r="AQ61" s="540"/>
      <c r="AR61" s="540"/>
      <c r="AS61" s="542"/>
      <c r="AT61" s="555"/>
    </row>
    <row r="62" spans="1:46" s="553" customFormat="1" ht="11.25" outlineLevel="1">
      <c r="A62" s="555"/>
      <c r="B62" s="538" t="s">
        <v>4817</v>
      </c>
      <c r="C62" s="543"/>
      <c r="D62" s="544"/>
      <c r="E62" s="544"/>
      <c r="F62" s="544"/>
      <c r="G62" s="544"/>
      <c r="H62" s="544"/>
      <c r="I62" s="544"/>
      <c r="J62" s="544"/>
      <c r="K62" s="544"/>
      <c r="L62" s="544"/>
      <c r="M62" s="544"/>
      <c r="N62" s="544"/>
      <c r="O62" s="544"/>
      <c r="P62" s="544"/>
      <c r="Q62" s="544"/>
      <c r="R62" s="541" t="s">
        <v>4795</v>
      </c>
      <c r="S62" s="544"/>
      <c r="T62" s="544"/>
      <c r="U62" s="544"/>
      <c r="V62" s="544"/>
      <c r="W62" s="544"/>
      <c r="X62" s="544"/>
      <c r="Y62" s="544"/>
      <c r="Z62" s="544"/>
      <c r="AA62" s="541" t="s">
        <v>4795</v>
      </c>
      <c r="AB62" s="544"/>
      <c r="AC62" s="544"/>
      <c r="AD62" s="544"/>
      <c r="AE62" s="544"/>
      <c r="AF62" s="544"/>
      <c r="AG62" s="544"/>
      <c r="AH62" s="544"/>
      <c r="AI62" s="544"/>
      <c r="AJ62" s="544"/>
      <c r="AK62" s="544"/>
      <c r="AL62" s="544"/>
      <c r="AM62" s="544"/>
      <c r="AN62" s="544"/>
      <c r="AO62" s="544"/>
      <c r="AP62" s="544"/>
      <c r="AQ62" s="544"/>
      <c r="AR62" s="544"/>
      <c r="AS62" s="545"/>
      <c r="AT62" s="555"/>
    </row>
    <row r="63" spans="1:46" s="553" customFormat="1" ht="11.25" outlineLevel="1">
      <c r="A63" s="555"/>
      <c r="B63" s="538" t="s">
        <v>4818</v>
      </c>
      <c r="C63" s="539"/>
      <c r="D63" s="540"/>
      <c r="E63" s="540"/>
      <c r="F63" s="540"/>
      <c r="G63" s="540"/>
      <c r="H63" s="540"/>
      <c r="I63" s="540"/>
      <c r="J63" s="540"/>
      <c r="K63" s="540"/>
      <c r="L63" s="540"/>
      <c r="M63" s="540"/>
      <c r="N63" s="540"/>
      <c r="O63" s="540"/>
      <c r="P63" s="540"/>
      <c r="Q63" s="540"/>
      <c r="R63" s="541" t="s">
        <v>4795</v>
      </c>
      <c r="S63" s="540"/>
      <c r="T63" s="540"/>
      <c r="U63" s="540"/>
      <c r="V63" s="540"/>
      <c r="W63" s="540"/>
      <c r="X63" s="540"/>
      <c r="Y63" s="540"/>
      <c r="Z63" s="540"/>
      <c r="AA63" s="541" t="s">
        <v>4795</v>
      </c>
      <c r="AB63" s="540"/>
      <c r="AC63" s="540"/>
      <c r="AD63" s="540"/>
      <c r="AE63" s="540"/>
      <c r="AF63" s="540"/>
      <c r="AG63" s="540"/>
      <c r="AH63" s="540"/>
      <c r="AI63" s="540"/>
      <c r="AJ63" s="540"/>
      <c r="AK63" s="540"/>
      <c r="AL63" s="540"/>
      <c r="AM63" s="540"/>
      <c r="AN63" s="540"/>
      <c r="AO63" s="540"/>
      <c r="AP63" s="540"/>
      <c r="AQ63" s="540"/>
      <c r="AR63" s="540"/>
      <c r="AS63" s="542"/>
      <c r="AT63" s="555"/>
    </row>
    <row r="64" spans="1:46" s="553" customFormat="1" ht="11.25" outlineLevel="1">
      <c r="A64" s="555"/>
      <c r="B64" s="538" t="s">
        <v>4819</v>
      </c>
      <c r="C64" s="543"/>
      <c r="D64" s="544"/>
      <c r="E64" s="544"/>
      <c r="F64" s="544"/>
      <c r="G64" s="544"/>
      <c r="H64" s="544"/>
      <c r="I64" s="544"/>
      <c r="J64" s="544"/>
      <c r="K64" s="544"/>
      <c r="L64" s="544"/>
      <c r="M64" s="544"/>
      <c r="N64" s="544"/>
      <c r="O64" s="544"/>
      <c r="P64" s="544"/>
      <c r="Q64" s="544"/>
      <c r="R64" s="541" t="s">
        <v>4795</v>
      </c>
      <c r="S64" s="544"/>
      <c r="T64" s="544"/>
      <c r="U64" s="544"/>
      <c r="V64" s="544"/>
      <c r="W64" s="544"/>
      <c r="X64" s="544"/>
      <c r="Y64" s="544"/>
      <c r="Z64" s="541" t="s">
        <v>4795</v>
      </c>
      <c r="AA64" s="541" t="s">
        <v>4795</v>
      </c>
      <c r="AB64" s="544"/>
      <c r="AC64" s="544"/>
      <c r="AD64" s="544"/>
      <c r="AE64" s="544"/>
      <c r="AF64" s="544"/>
      <c r="AG64" s="541" t="s">
        <v>4795</v>
      </c>
      <c r="AH64" s="544"/>
      <c r="AI64" s="544"/>
      <c r="AJ64" s="544"/>
      <c r="AK64" s="544"/>
      <c r="AL64" s="544"/>
      <c r="AM64" s="541" t="s">
        <v>4795</v>
      </c>
      <c r="AN64" s="544"/>
      <c r="AO64" s="544"/>
      <c r="AP64" s="544"/>
      <c r="AQ64" s="544"/>
      <c r="AR64" s="544"/>
      <c r="AS64" s="545"/>
      <c r="AT64" s="555"/>
    </row>
    <row r="65" spans="1:46" s="553" customFormat="1" ht="11.25" outlineLevel="1">
      <c r="A65" s="555"/>
      <c r="B65" s="538" t="s">
        <v>4820</v>
      </c>
      <c r="C65" s="539"/>
      <c r="D65" s="540"/>
      <c r="E65" s="540"/>
      <c r="F65" s="540"/>
      <c r="G65" s="540"/>
      <c r="H65" s="540"/>
      <c r="I65" s="540"/>
      <c r="J65" s="540"/>
      <c r="K65" s="540"/>
      <c r="L65" s="540"/>
      <c r="M65" s="540"/>
      <c r="N65" s="540"/>
      <c r="O65" s="540"/>
      <c r="P65" s="540"/>
      <c r="Q65" s="540"/>
      <c r="R65" s="541" t="s">
        <v>4795</v>
      </c>
      <c r="S65" s="540"/>
      <c r="T65" s="540"/>
      <c r="U65" s="540"/>
      <c r="V65" s="540"/>
      <c r="W65" s="540"/>
      <c r="X65" s="540"/>
      <c r="Y65" s="540"/>
      <c r="Z65" s="540"/>
      <c r="AA65" s="541" t="s">
        <v>4795</v>
      </c>
      <c r="AB65" s="540"/>
      <c r="AC65" s="540"/>
      <c r="AD65" s="540"/>
      <c r="AE65" s="540"/>
      <c r="AF65" s="540"/>
      <c r="AG65" s="540"/>
      <c r="AH65" s="540"/>
      <c r="AI65" s="540"/>
      <c r="AJ65" s="540"/>
      <c r="AK65" s="540"/>
      <c r="AL65" s="540"/>
      <c r="AM65" s="540"/>
      <c r="AN65" s="540"/>
      <c r="AO65" s="540"/>
      <c r="AP65" s="540"/>
      <c r="AQ65" s="540"/>
      <c r="AR65" s="540"/>
      <c r="AS65" s="542"/>
      <c r="AT65" s="555"/>
    </row>
    <row r="66" spans="1:46" s="553" customFormat="1" ht="11.25" outlineLevel="1">
      <c r="A66" s="555"/>
      <c r="B66" s="538" t="s">
        <v>4821</v>
      </c>
      <c r="C66" s="543"/>
      <c r="D66" s="544"/>
      <c r="E66" s="544"/>
      <c r="F66" s="544"/>
      <c r="G66" s="544"/>
      <c r="H66" s="544"/>
      <c r="I66" s="544"/>
      <c r="J66" s="544"/>
      <c r="K66" s="544"/>
      <c r="L66" s="544"/>
      <c r="M66" s="544"/>
      <c r="N66" s="544"/>
      <c r="O66" s="544"/>
      <c r="P66" s="544"/>
      <c r="Q66" s="544"/>
      <c r="R66" s="544" t="s">
        <v>4795</v>
      </c>
      <c r="S66" s="544"/>
      <c r="T66" s="544"/>
      <c r="U66" s="544"/>
      <c r="V66" s="544"/>
      <c r="W66" s="544"/>
      <c r="X66" s="544"/>
      <c r="Y66" s="544" t="s">
        <v>4795</v>
      </c>
      <c r="Z66" s="544"/>
      <c r="AA66" s="544" t="s">
        <v>4795</v>
      </c>
      <c r="AB66" s="544"/>
      <c r="AC66" s="544"/>
      <c r="AD66" s="544"/>
      <c r="AE66" s="544"/>
      <c r="AF66" s="544"/>
      <c r="AG66" s="544"/>
      <c r="AH66" s="544"/>
      <c r="AI66" s="544"/>
      <c r="AJ66" s="544"/>
      <c r="AK66" s="544"/>
      <c r="AL66" s="544" t="s">
        <v>4795</v>
      </c>
      <c r="AM66" s="544"/>
      <c r="AN66" s="544"/>
      <c r="AO66" s="544"/>
      <c r="AP66" s="544"/>
      <c r="AQ66" s="544"/>
      <c r="AR66" s="544"/>
      <c r="AS66" s="545"/>
      <c r="AT66" s="555"/>
    </row>
    <row r="67" spans="1:46" s="553" customFormat="1" ht="11.25" outlineLevel="1">
      <c r="A67" s="555"/>
      <c r="B67" s="538" t="s">
        <v>4822</v>
      </c>
      <c r="C67" s="539"/>
      <c r="D67" s="540"/>
      <c r="E67" s="540"/>
      <c r="F67" s="540"/>
      <c r="G67" s="540"/>
      <c r="H67" s="540"/>
      <c r="I67" s="540"/>
      <c r="J67" s="540"/>
      <c r="K67" s="540"/>
      <c r="L67" s="540"/>
      <c r="M67" s="540"/>
      <c r="N67" s="540"/>
      <c r="O67" s="540"/>
      <c r="P67" s="540"/>
      <c r="Q67" s="540"/>
      <c r="R67" s="541" t="s">
        <v>4795</v>
      </c>
      <c r="S67" s="540"/>
      <c r="T67" s="540"/>
      <c r="U67" s="540"/>
      <c r="V67" s="540"/>
      <c r="W67" s="540"/>
      <c r="X67" s="540"/>
      <c r="Y67" s="540"/>
      <c r="Z67" s="540"/>
      <c r="AA67" s="541" t="s">
        <v>4795</v>
      </c>
      <c r="AB67" s="540"/>
      <c r="AC67" s="540"/>
      <c r="AD67" s="540"/>
      <c r="AE67" s="540"/>
      <c r="AF67" s="540"/>
      <c r="AG67" s="540"/>
      <c r="AH67" s="540"/>
      <c r="AI67" s="540"/>
      <c r="AJ67" s="540"/>
      <c r="AK67" s="540"/>
      <c r="AL67" s="540"/>
      <c r="AM67" s="540"/>
      <c r="AN67" s="540"/>
      <c r="AO67" s="540"/>
      <c r="AP67" s="540"/>
      <c r="AQ67" s="540"/>
      <c r="AR67" s="540"/>
      <c r="AS67" s="542"/>
      <c r="AT67" s="555"/>
    </row>
    <row r="68" spans="1:46" s="553" customFormat="1" ht="11.25" outlineLevel="1">
      <c r="A68" s="555"/>
      <c r="B68" s="538" t="s">
        <v>4823</v>
      </c>
      <c r="C68" s="543"/>
      <c r="D68" s="544"/>
      <c r="E68" s="544"/>
      <c r="F68" s="544"/>
      <c r="G68" s="544"/>
      <c r="H68" s="544"/>
      <c r="I68" s="544"/>
      <c r="J68" s="544"/>
      <c r="K68" s="544"/>
      <c r="L68" s="544"/>
      <c r="M68" s="544"/>
      <c r="N68" s="544"/>
      <c r="O68" s="544"/>
      <c r="P68" s="544"/>
      <c r="Q68" s="544"/>
      <c r="R68" s="541" t="s">
        <v>4795</v>
      </c>
      <c r="S68" s="544"/>
      <c r="T68" s="544"/>
      <c r="U68" s="544"/>
      <c r="V68" s="544"/>
      <c r="W68" s="544"/>
      <c r="X68" s="541" t="s">
        <v>4795</v>
      </c>
      <c r="Y68" s="544"/>
      <c r="Z68" s="544"/>
      <c r="AA68" s="541" t="s">
        <v>4795</v>
      </c>
      <c r="AB68" s="544"/>
      <c r="AC68" s="544"/>
      <c r="AD68" s="544"/>
      <c r="AE68" s="541" t="s">
        <v>4795</v>
      </c>
      <c r="AF68" s="541" t="s">
        <v>4795</v>
      </c>
      <c r="AG68" s="544"/>
      <c r="AH68" s="544"/>
      <c r="AI68" s="544"/>
      <c r="AJ68" s="544"/>
      <c r="AK68" s="541" t="s">
        <v>4795</v>
      </c>
      <c r="AL68" s="544"/>
      <c r="AM68" s="544"/>
      <c r="AN68" s="544"/>
      <c r="AO68" s="541" t="s">
        <v>4795</v>
      </c>
      <c r="AP68" s="544"/>
      <c r="AQ68" s="544"/>
      <c r="AR68" s="544"/>
      <c r="AS68" s="546" t="s">
        <v>4795</v>
      </c>
      <c r="AT68" s="555"/>
    </row>
    <row r="69" spans="1:46" s="553" customFormat="1" ht="11.25" outlineLevel="1">
      <c r="A69" s="555"/>
      <c r="B69" s="538" t="s">
        <v>4824</v>
      </c>
      <c r="C69" s="539"/>
      <c r="D69" s="540"/>
      <c r="E69" s="540"/>
      <c r="F69" s="540"/>
      <c r="G69" s="540"/>
      <c r="H69" s="540"/>
      <c r="I69" s="540"/>
      <c r="J69" s="540"/>
      <c r="K69" s="540"/>
      <c r="L69" s="540"/>
      <c r="M69" s="540"/>
      <c r="N69" s="540"/>
      <c r="O69" s="540"/>
      <c r="P69" s="540"/>
      <c r="Q69" s="540"/>
      <c r="R69" s="541" t="s">
        <v>4795</v>
      </c>
      <c r="S69" s="540"/>
      <c r="T69" s="540"/>
      <c r="U69" s="540"/>
      <c r="V69" s="540"/>
      <c r="W69" s="540"/>
      <c r="X69" s="540"/>
      <c r="Y69" s="540"/>
      <c r="Z69" s="540"/>
      <c r="AA69" s="540"/>
      <c r="AB69" s="540"/>
      <c r="AC69" s="540"/>
      <c r="AD69" s="541" t="s">
        <v>4795</v>
      </c>
      <c r="AE69" s="540"/>
      <c r="AF69" s="540"/>
      <c r="AG69" s="540"/>
      <c r="AH69" s="540"/>
      <c r="AI69" s="540"/>
      <c r="AJ69" s="540"/>
      <c r="AK69" s="540"/>
      <c r="AL69" s="540"/>
      <c r="AM69" s="540"/>
      <c r="AN69" s="540"/>
      <c r="AO69" s="540"/>
      <c r="AP69" s="540"/>
      <c r="AQ69" s="540"/>
      <c r="AR69" s="540"/>
      <c r="AS69" s="542"/>
      <c r="AT69" s="555"/>
    </row>
    <row r="70" spans="1:46" s="553" customFormat="1" ht="11.25" outlineLevel="1">
      <c r="A70" s="555"/>
      <c r="B70" s="538" t="s">
        <v>4825</v>
      </c>
      <c r="C70" s="543"/>
      <c r="D70" s="544"/>
      <c r="E70" s="544"/>
      <c r="F70" s="544"/>
      <c r="G70" s="544"/>
      <c r="H70" s="544"/>
      <c r="I70" s="544"/>
      <c r="J70" s="544"/>
      <c r="K70" s="544"/>
      <c r="L70" s="544"/>
      <c r="M70" s="544"/>
      <c r="N70" s="544"/>
      <c r="O70" s="544"/>
      <c r="P70" s="544"/>
      <c r="Q70" s="544"/>
      <c r="R70" s="541" t="s">
        <v>4795</v>
      </c>
      <c r="S70" s="544"/>
      <c r="T70" s="544"/>
      <c r="U70" s="544"/>
      <c r="V70" s="544"/>
      <c r="W70" s="541" t="s">
        <v>4795</v>
      </c>
      <c r="X70" s="544"/>
      <c r="Y70" s="544"/>
      <c r="Z70" s="544"/>
      <c r="AA70" s="544"/>
      <c r="AB70" s="544"/>
      <c r="AC70" s="541" t="s">
        <v>4795</v>
      </c>
      <c r="AD70" s="544"/>
      <c r="AE70" s="544"/>
      <c r="AF70" s="544"/>
      <c r="AG70" s="544"/>
      <c r="AH70" s="541" t="s">
        <v>4795</v>
      </c>
      <c r="AI70" s="544"/>
      <c r="AJ70" s="544"/>
      <c r="AK70" s="544"/>
      <c r="AL70" s="544"/>
      <c r="AM70" s="541" t="s">
        <v>4795</v>
      </c>
      <c r="AN70" s="544"/>
      <c r="AO70" s="544"/>
      <c r="AP70" s="544"/>
      <c r="AQ70" s="544"/>
      <c r="AR70" s="544"/>
      <c r="AS70" s="545"/>
      <c r="AT70" s="555"/>
    </row>
    <row r="71" spans="1:46" s="553" customFormat="1" ht="11.25" outlineLevel="1">
      <c r="A71" s="555"/>
      <c r="B71" s="538" t="s">
        <v>4826</v>
      </c>
      <c r="C71" s="539"/>
      <c r="D71" s="540"/>
      <c r="E71" s="540"/>
      <c r="F71" s="540"/>
      <c r="G71" s="540"/>
      <c r="H71" s="540"/>
      <c r="I71" s="540"/>
      <c r="J71" s="540"/>
      <c r="K71" s="540"/>
      <c r="L71" s="540"/>
      <c r="M71" s="540"/>
      <c r="N71" s="540"/>
      <c r="O71" s="540"/>
      <c r="P71" s="540"/>
      <c r="Q71" s="540"/>
      <c r="R71" s="540" t="s">
        <v>4795</v>
      </c>
      <c r="S71" s="540"/>
      <c r="T71" s="540"/>
      <c r="U71" s="540"/>
      <c r="V71" s="540"/>
      <c r="W71" s="540"/>
      <c r="X71" s="540"/>
      <c r="Y71" s="540"/>
      <c r="Z71" s="540"/>
      <c r="AA71" s="540"/>
      <c r="AB71" s="540"/>
      <c r="AC71" s="540"/>
      <c r="AD71" s="540"/>
      <c r="AE71" s="540"/>
      <c r="AF71" s="540"/>
      <c r="AG71" s="540"/>
      <c r="AH71" s="540"/>
      <c r="AI71" s="540"/>
      <c r="AJ71" s="540"/>
      <c r="AK71" s="540"/>
      <c r="AL71" s="540"/>
      <c r="AM71" s="540"/>
      <c r="AN71" s="540"/>
      <c r="AO71" s="540"/>
      <c r="AP71" s="540"/>
      <c r="AQ71" s="540"/>
      <c r="AR71" s="540"/>
      <c r="AS71" s="542"/>
      <c r="AT71" s="555"/>
    </row>
    <row r="72" spans="1:46" s="553" customFormat="1" ht="11.25" outlineLevel="1">
      <c r="A72" s="555"/>
      <c r="B72" s="538" t="s">
        <v>4827</v>
      </c>
      <c r="C72" s="543"/>
      <c r="D72" s="544"/>
      <c r="E72" s="544"/>
      <c r="F72" s="544"/>
      <c r="G72" s="544"/>
      <c r="H72" s="544"/>
      <c r="I72" s="544"/>
      <c r="J72" s="544"/>
      <c r="K72" s="544"/>
      <c r="L72" s="544"/>
      <c r="M72" s="544"/>
      <c r="N72" s="544"/>
      <c r="O72" s="544"/>
      <c r="P72" s="544"/>
      <c r="Q72" s="544"/>
      <c r="R72" s="544" t="s">
        <v>4795</v>
      </c>
      <c r="S72" s="544"/>
      <c r="T72" s="544"/>
      <c r="U72" s="544"/>
      <c r="V72" s="544"/>
      <c r="W72" s="544"/>
      <c r="X72" s="544"/>
      <c r="Y72" s="544"/>
      <c r="Z72" s="544"/>
      <c r="AA72" s="541" t="s">
        <v>4795</v>
      </c>
      <c r="AB72" s="544"/>
      <c r="AC72" s="544"/>
      <c r="AD72" s="544"/>
      <c r="AE72" s="544"/>
      <c r="AF72" s="544"/>
      <c r="AG72" s="544"/>
      <c r="AH72" s="544"/>
      <c r="AI72" s="544"/>
      <c r="AJ72" s="544"/>
      <c r="AK72" s="544"/>
      <c r="AL72" s="544"/>
      <c r="AM72" s="544"/>
      <c r="AN72" s="544"/>
      <c r="AO72" s="544"/>
      <c r="AP72" s="544"/>
      <c r="AQ72" s="544"/>
      <c r="AR72" s="544"/>
      <c r="AS72" s="545"/>
      <c r="AT72" s="555"/>
    </row>
    <row r="73" spans="1:46" s="553" customFormat="1" ht="11.25" outlineLevel="1">
      <c r="A73" s="555"/>
      <c r="B73" s="538" t="s">
        <v>4828</v>
      </c>
      <c r="C73" s="539"/>
      <c r="D73" s="540"/>
      <c r="E73" s="540"/>
      <c r="F73" s="540"/>
      <c r="G73" s="540"/>
      <c r="H73" s="540"/>
      <c r="I73" s="540"/>
      <c r="J73" s="540"/>
      <c r="K73" s="540"/>
      <c r="L73" s="540"/>
      <c r="M73" s="540"/>
      <c r="N73" s="540"/>
      <c r="O73" s="540"/>
      <c r="P73" s="540"/>
      <c r="Q73" s="540"/>
      <c r="R73" s="541" t="s">
        <v>4795</v>
      </c>
      <c r="S73" s="540"/>
      <c r="T73" s="540"/>
      <c r="U73" s="540"/>
      <c r="V73" s="540"/>
      <c r="W73" s="540"/>
      <c r="X73" s="540"/>
      <c r="Y73" s="540"/>
      <c r="Z73" s="540"/>
      <c r="AA73" s="541" t="s">
        <v>4795</v>
      </c>
      <c r="AB73" s="540"/>
      <c r="AC73" s="540"/>
      <c r="AD73" s="540"/>
      <c r="AE73" s="540"/>
      <c r="AF73" s="540"/>
      <c r="AG73" s="540"/>
      <c r="AH73" s="541" t="s">
        <v>4795</v>
      </c>
      <c r="AI73" s="540"/>
      <c r="AJ73" s="540"/>
      <c r="AK73" s="540"/>
      <c r="AL73" s="540"/>
      <c r="AM73" s="540"/>
      <c r="AN73" s="540"/>
      <c r="AO73" s="540"/>
      <c r="AP73" s="540"/>
      <c r="AQ73" s="540"/>
      <c r="AR73" s="540"/>
      <c r="AS73" s="542"/>
      <c r="AT73" s="555"/>
    </row>
    <row r="74" spans="1:46" s="553" customFormat="1" ht="11.25" outlineLevel="1">
      <c r="A74" s="555"/>
      <c r="B74" s="538" t="s">
        <v>4829</v>
      </c>
      <c r="C74" s="543"/>
      <c r="D74" s="544"/>
      <c r="E74" s="544"/>
      <c r="F74" s="544"/>
      <c r="G74" s="544"/>
      <c r="H74" s="544"/>
      <c r="I74" s="544"/>
      <c r="J74" s="544"/>
      <c r="K74" s="544"/>
      <c r="L74" s="544"/>
      <c r="M74" s="544"/>
      <c r="N74" s="544"/>
      <c r="O74" s="544"/>
      <c r="P74" s="544"/>
      <c r="Q74" s="544"/>
      <c r="R74" s="544" t="s">
        <v>4795</v>
      </c>
      <c r="S74" s="544"/>
      <c r="T74" s="544"/>
      <c r="U74" s="544"/>
      <c r="V74" s="544"/>
      <c r="W74" s="544"/>
      <c r="X74" s="544"/>
      <c r="Y74" s="544"/>
      <c r="Z74" s="544"/>
      <c r="AA74" s="541" t="s">
        <v>4795</v>
      </c>
      <c r="AB74" s="544"/>
      <c r="AC74" s="544"/>
      <c r="AD74" s="544"/>
      <c r="AE74" s="544"/>
      <c r="AF74" s="544"/>
      <c r="AG74" s="544"/>
      <c r="AH74" s="544"/>
      <c r="AI74" s="544"/>
      <c r="AJ74" s="544"/>
      <c r="AK74" s="544"/>
      <c r="AL74" s="544"/>
      <c r="AM74" s="544"/>
      <c r="AN74" s="544"/>
      <c r="AO74" s="544"/>
      <c r="AP74" s="544"/>
      <c r="AQ74" s="544"/>
      <c r="AR74" s="544"/>
      <c r="AS74" s="545"/>
      <c r="AT74" s="555"/>
    </row>
    <row r="75" spans="1:46" s="553" customFormat="1" ht="11.25" outlineLevel="1">
      <c r="A75" s="555"/>
      <c r="B75" s="538" t="s">
        <v>4830</v>
      </c>
      <c r="C75" s="539"/>
      <c r="D75" s="540"/>
      <c r="E75" s="540"/>
      <c r="F75" s="540"/>
      <c r="G75" s="540"/>
      <c r="H75" s="540"/>
      <c r="I75" s="540"/>
      <c r="J75" s="540"/>
      <c r="K75" s="540"/>
      <c r="L75" s="540"/>
      <c r="M75" s="540"/>
      <c r="N75" s="540"/>
      <c r="O75" s="540"/>
      <c r="P75" s="540"/>
      <c r="Q75" s="540"/>
      <c r="R75" s="540" t="s">
        <v>4795</v>
      </c>
      <c r="S75" s="540"/>
      <c r="T75" s="540"/>
      <c r="U75" s="540"/>
      <c r="V75" s="540"/>
      <c r="W75" s="540"/>
      <c r="X75" s="540"/>
      <c r="Y75" s="540"/>
      <c r="Z75" s="540"/>
      <c r="AA75" s="540" t="s">
        <v>4795</v>
      </c>
      <c r="AB75" s="540"/>
      <c r="AC75" s="540"/>
      <c r="AD75" s="540"/>
      <c r="AE75" s="540"/>
      <c r="AF75" s="540"/>
      <c r="AG75" s="540"/>
      <c r="AH75" s="540"/>
      <c r="AI75" s="540"/>
      <c r="AJ75" s="540"/>
      <c r="AK75" s="540"/>
      <c r="AL75" s="540"/>
      <c r="AM75" s="540"/>
      <c r="AN75" s="540"/>
      <c r="AO75" s="540"/>
      <c r="AP75" s="540"/>
      <c r="AQ75" s="540"/>
      <c r="AR75" s="540"/>
      <c r="AS75" s="542"/>
      <c r="AT75" s="555"/>
    </row>
    <row r="76" spans="1:46" s="553" customFormat="1" ht="11.25" outlineLevel="1">
      <c r="A76" s="555"/>
      <c r="B76" s="538" t="s">
        <v>4831</v>
      </c>
      <c r="C76" s="543"/>
      <c r="D76" s="544"/>
      <c r="E76" s="544"/>
      <c r="F76" s="544"/>
      <c r="G76" s="544"/>
      <c r="H76" s="544"/>
      <c r="I76" s="544"/>
      <c r="J76" s="544"/>
      <c r="K76" s="544"/>
      <c r="L76" s="544"/>
      <c r="M76" s="544"/>
      <c r="N76" s="544"/>
      <c r="O76" s="544"/>
      <c r="P76" s="544"/>
      <c r="Q76" s="544"/>
      <c r="R76" s="541" t="s">
        <v>4795</v>
      </c>
      <c r="S76" s="544"/>
      <c r="T76" s="544"/>
      <c r="U76" s="544"/>
      <c r="V76" s="544"/>
      <c r="W76" s="544"/>
      <c r="X76" s="544"/>
      <c r="Y76" s="544"/>
      <c r="Z76" s="544"/>
      <c r="AA76" s="541" t="s">
        <v>4795</v>
      </c>
      <c r="AB76" s="544"/>
      <c r="AC76" s="544"/>
      <c r="AD76" s="544"/>
      <c r="AE76" s="544"/>
      <c r="AF76" s="544"/>
      <c r="AG76" s="541" t="s">
        <v>4795</v>
      </c>
      <c r="AH76" s="544"/>
      <c r="AI76" s="544"/>
      <c r="AJ76" s="544"/>
      <c r="AK76" s="544"/>
      <c r="AL76" s="544"/>
      <c r="AM76" s="541" t="s">
        <v>4795</v>
      </c>
      <c r="AN76" s="544"/>
      <c r="AO76" s="544"/>
      <c r="AP76" s="544"/>
      <c r="AQ76" s="544"/>
      <c r="AR76" s="544"/>
      <c r="AS76" s="545"/>
      <c r="AT76" s="555"/>
    </row>
    <row r="77" spans="1:46" s="553" customFormat="1" ht="11.25" outlineLevel="1">
      <c r="A77" s="555"/>
      <c r="B77" s="538" t="s">
        <v>4832</v>
      </c>
      <c r="C77" s="539"/>
      <c r="D77" s="540"/>
      <c r="E77" s="540"/>
      <c r="F77" s="540"/>
      <c r="G77" s="540"/>
      <c r="H77" s="540"/>
      <c r="I77" s="540"/>
      <c r="J77" s="540"/>
      <c r="K77" s="540"/>
      <c r="L77" s="540"/>
      <c r="M77" s="540"/>
      <c r="N77" s="540"/>
      <c r="O77" s="540"/>
      <c r="P77" s="540"/>
      <c r="Q77" s="540"/>
      <c r="R77" s="541" t="s">
        <v>4795</v>
      </c>
      <c r="S77" s="540"/>
      <c r="T77" s="540"/>
      <c r="U77" s="540"/>
      <c r="V77" s="540"/>
      <c r="W77" s="540"/>
      <c r="X77" s="540"/>
      <c r="Y77" s="540"/>
      <c r="Z77" s="540"/>
      <c r="AA77" s="540" t="s">
        <v>4795</v>
      </c>
      <c r="AB77" s="540"/>
      <c r="AC77" s="540"/>
      <c r="AD77" s="540"/>
      <c r="AE77" s="540"/>
      <c r="AF77" s="540"/>
      <c r="AG77" s="540"/>
      <c r="AH77" s="540"/>
      <c r="AI77" s="540"/>
      <c r="AJ77" s="540"/>
      <c r="AK77" s="540"/>
      <c r="AL77" s="540"/>
      <c r="AM77" s="540"/>
      <c r="AN77" s="540"/>
      <c r="AO77" s="540"/>
      <c r="AP77" s="540"/>
      <c r="AQ77" s="540"/>
      <c r="AR77" s="540"/>
      <c r="AS77" s="542"/>
      <c r="AT77" s="555"/>
    </row>
    <row r="78" spans="1:46" s="553" customFormat="1" ht="11.25" outlineLevel="1">
      <c r="A78" s="555"/>
      <c r="B78" s="538" t="s">
        <v>4833</v>
      </c>
      <c r="C78" s="543"/>
      <c r="D78" s="544"/>
      <c r="E78" s="544"/>
      <c r="F78" s="544"/>
      <c r="G78" s="544"/>
      <c r="H78" s="544"/>
      <c r="I78" s="544"/>
      <c r="J78" s="544"/>
      <c r="K78" s="544"/>
      <c r="L78" s="544"/>
      <c r="M78" s="544"/>
      <c r="N78" s="544"/>
      <c r="O78" s="544"/>
      <c r="P78" s="544"/>
      <c r="Q78" s="544"/>
      <c r="R78" s="541" t="s">
        <v>4795</v>
      </c>
      <c r="S78" s="544"/>
      <c r="T78" s="544"/>
      <c r="U78" s="544"/>
      <c r="V78" s="544"/>
      <c r="W78" s="544"/>
      <c r="X78" s="544"/>
      <c r="Y78" s="544"/>
      <c r="Z78" s="541" t="s">
        <v>4795</v>
      </c>
      <c r="AA78" s="544" t="s">
        <v>4795</v>
      </c>
      <c r="AB78" s="544"/>
      <c r="AC78" s="544"/>
      <c r="AD78" s="544"/>
      <c r="AE78" s="544"/>
      <c r="AF78" s="544"/>
      <c r="AG78" s="544"/>
      <c r="AH78" s="544"/>
      <c r="AI78" s="544"/>
      <c r="AJ78" s="544"/>
      <c r="AK78" s="544"/>
      <c r="AL78" s="544"/>
      <c r="AM78" s="544"/>
      <c r="AN78" s="544"/>
      <c r="AO78" s="544"/>
      <c r="AP78" s="544" t="s">
        <v>4795</v>
      </c>
      <c r="AQ78" s="544"/>
      <c r="AR78" s="544"/>
      <c r="AS78" s="545"/>
      <c r="AT78" s="555"/>
    </row>
    <row r="79" spans="1:46" s="553" customFormat="1" ht="11.25" outlineLevel="1">
      <c r="A79" s="555"/>
      <c r="B79" s="538" t="s">
        <v>4834</v>
      </c>
      <c r="C79" s="539"/>
      <c r="D79" s="540"/>
      <c r="E79" s="540"/>
      <c r="F79" s="540"/>
      <c r="G79" s="540"/>
      <c r="H79" s="540"/>
      <c r="I79" s="540"/>
      <c r="J79" s="540"/>
      <c r="K79" s="540"/>
      <c r="L79" s="540"/>
      <c r="M79" s="540"/>
      <c r="N79" s="540"/>
      <c r="O79" s="540"/>
      <c r="P79" s="540"/>
      <c r="Q79" s="540"/>
      <c r="R79" s="540" t="s">
        <v>4795</v>
      </c>
      <c r="S79" s="540"/>
      <c r="T79" s="540"/>
      <c r="U79" s="540"/>
      <c r="V79" s="540"/>
      <c r="W79" s="540"/>
      <c r="X79" s="540"/>
      <c r="Y79" s="540" t="s">
        <v>4795</v>
      </c>
      <c r="Z79" s="540"/>
      <c r="AA79" s="541" t="s">
        <v>4795</v>
      </c>
      <c r="AB79" s="540"/>
      <c r="AC79" s="540"/>
      <c r="AD79" s="540"/>
      <c r="AE79" s="540"/>
      <c r="AF79" s="541" t="s">
        <v>4795</v>
      </c>
      <c r="AG79" s="540"/>
      <c r="AH79" s="540"/>
      <c r="AI79" s="540"/>
      <c r="AJ79" s="540"/>
      <c r="AK79" s="541" t="s">
        <v>4795</v>
      </c>
      <c r="AL79" s="540"/>
      <c r="AM79" s="540"/>
      <c r="AN79" s="540"/>
      <c r="AO79" s="541" t="s">
        <v>4795</v>
      </c>
      <c r="AP79" s="540"/>
      <c r="AQ79" s="540"/>
      <c r="AR79" s="540"/>
      <c r="AS79" s="546" t="s">
        <v>4795</v>
      </c>
      <c r="AT79" s="555"/>
    </row>
    <row r="80" spans="1:46" s="553" customFormat="1" ht="11.25" outlineLevel="1">
      <c r="A80" s="555"/>
      <c r="B80" s="538" t="s">
        <v>4835</v>
      </c>
      <c r="C80" s="543"/>
      <c r="D80" s="544"/>
      <c r="E80" s="544"/>
      <c r="F80" s="544"/>
      <c r="G80" s="544"/>
      <c r="H80" s="544"/>
      <c r="I80" s="544"/>
      <c r="J80" s="544"/>
      <c r="K80" s="544"/>
      <c r="L80" s="544"/>
      <c r="M80" s="544"/>
      <c r="N80" s="544"/>
      <c r="O80" s="544"/>
      <c r="P80" s="544"/>
      <c r="Q80" s="544"/>
      <c r="R80" s="541" t="s">
        <v>4795</v>
      </c>
      <c r="S80" s="544"/>
      <c r="T80" s="544"/>
      <c r="U80" s="544"/>
      <c r="V80" s="544"/>
      <c r="W80" s="544"/>
      <c r="X80" s="541" t="s">
        <v>4795</v>
      </c>
      <c r="Y80" s="544"/>
      <c r="Z80" s="544"/>
      <c r="AA80" s="544"/>
      <c r="AB80" s="544"/>
      <c r="AC80" s="544"/>
      <c r="AD80" s="544"/>
      <c r="AE80" s="541" t="s">
        <v>4795</v>
      </c>
      <c r="AF80" s="544"/>
      <c r="AG80" s="544"/>
      <c r="AH80" s="544"/>
      <c r="AI80" s="544"/>
      <c r="AJ80" s="544"/>
      <c r="AK80" s="544"/>
      <c r="AL80" s="544"/>
      <c r="AM80" s="544"/>
      <c r="AN80" s="544"/>
      <c r="AO80" s="544"/>
      <c r="AP80" s="544"/>
      <c r="AQ80" s="544"/>
      <c r="AR80" s="544"/>
      <c r="AS80" s="545"/>
      <c r="AT80" s="555"/>
    </row>
    <row r="81" spans="1:46" s="553" customFormat="1" ht="11.25" outlineLevel="1">
      <c r="A81" s="555"/>
      <c r="B81" s="538" t="s">
        <v>4836</v>
      </c>
      <c r="C81" s="539"/>
      <c r="D81" s="540"/>
      <c r="E81" s="540"/>
      <c r="F81" s="540"/>
      <c r="G81" s="540"/>
      <c r="H81" s="540"/>
      <c r="I81" s="540"/>
      <c r="J81" s="540"/>
      <c r="K81" s="540"/>
      <c r="L81" s="540"/>
      <c r="M81" s="540"/>
      <c r="N81" s="540"/>
      <c r="O81" s="540"/>
      <c r="P81" s="540"/>
      <c r="Q81" s="540"/>
      <c r="R81" s="541" t="s">
        <v>4795</v>
      </c>
      <c r="S81" s="540"/>
      <c r="T81" s="540"/>
      <c r="U81" s="540"/>
      <c r="V81" s="540"/>
      <c r="W81" s="541" t="s">
        <v>4795</v>
      </c>
      <c r="X81" s="540"/>
      <c r="Y81" s="540"/>
      <c r="Z81" s="540"/>
      <c r="AA81" s="540"/>
      <c r="AB81" s="540"/>
      <c r="AC81" s="541" t="s">
        <v>4795</v>
      </c>
      <c r="AD81" s="540"/>
      <c r="AE81" s="540"/>
      <c r="AF81" s="540"/>
      <c r="AG81" s="540"/>
      <c r="AH81" s="541" t="s">
        <v>4795</v>
      </c>
      <c r="AI81" s="540"/>
      <c r="AJ81" s="540"/>
      <c r="AK81" s="540"/>
      <c r="AL81" s="540"/>
      <c r="AM81" s="541" t="s">
        <v>4795</v>
      </c>
      <c r="AN81" s="540"/>
      <c r="AO81" s="540"/>
      <c r="AP81" s="540"/>
      <c r="AQ81" s="540"/>
      <c r="AR81" s="540"/>
      <c r="AS81" s="542"/>
      <c r="AT81" s="555"/>
    </row>
    <row r="82" spans="1:46" s="553" customFormat="1" ht="11.25" outlineLevel="1">
      <c r="A82" s="555"/>
      <c r="B82" s="538" t="s">
        <v>4837</v>
      </c>
      <c r="C82" s="543"/>
      <c r="D82" s="544"/>
      <c r="E82" s="544"/>
      <c r="F82" s="544"/>
      <c r="G82" s="544"/>
      <c r="H82" s="544"/>
      <c r="I82" s="544"/>
      <c r="J82" s="544"/>
      <c r="K82" s="544"/>
      <c r="L82" s="544"/>
      <c r="M82" s="544"/>
      <c r="N82" s="544"/>
      <c r="O82" s="544"/>
      <c r="P82" s="544"/>
      <c r="Q82" s="544"/>
      <c r="R82" s="544"/>
      <c r="S82" s="544"/>
      <c r="T82" s="544"/>
      <c r="U82" s="544"/>
      <c r="V82" s="544"/>
      <c r="W82" s="544"/>
      <c r="X82" s="544"/>
      <c r="Y82" s="544"/>
      <c r="Z82" s="544"/>
      <c r="AA82" s="544" t="s">
        <v>4795</v>
      </c>
      <c r="AB82" s="544"/>
      <c r="AC82" s="544"/>
      <c r="AD82" s="544"/>
      <c r="AE82" s="544"/>
      <c r="AF82" s="544"/>
      <c r="AG82" s="544"/>
      <c r="AH82" s="544"/>
      <c r="AI82" s="544"/>
      <c r="AJ82" s="544"/>
      <c r="AK82" s="544"/>
      <c r="AL82" s="544"/>
      <c r="AM82" s="544"/>
      <c r="AN82" s="544"/>
      <c r="AO82" s="544"/>
      <c r="AP82" s="544"/>
      <c r="AQ82" s="544"/>
      <c r="AR82" s="544"/>
      <c r="AS82" s="545"/>
      <c r="AT82" s="555"/>
    </row>
    <row r="83" spans="1:46" s="553" customFormat="1" ht="11.25" outlineLevel="1">
      <c r="A83" s="555"/>
      <c r="B83" s="538" t="s">
        <v>4838</v>
      </c>
      <c r="C83" s="539"/>
      <c r="D83" s="540"/>
      <c r="E83" s="540"/>
      <c r="F83" s="540"/>
      <c r="G83" s="540"/>
      <c r="H83" s="540"/>
      <c r="I83" s="540"/>
      <c r="J83" s="540"/>
      <c r="K83" s="540"/>
      <c r="L83" s="540"/>
      <c r="M83" s="540"/>
      <c r="N83" s="540"/>
      <c r="O83" s="540"/>
      <c r="P83" s="540"/>
      <c r="Q83" s="540"/>
      <c r="R83" s="540"/>
      <c r="S83" s="540"/>
      <c r="T83" s="540"/>
      <c r="U83" s="540"/>
      <c r="V83" s="540"/>
      <c r="W83" s="540"/>
      <c r="X83" s="540"/>
      <c r="Y83" s="540"/>
      <c r="Z83" s="540"/>
      <c r="AA83" s="541" t="s">
        <v>4795</v>
      </c>
      <c r="AB83" s="540"/>
      <c r="AC83" s="540"/>
      <c r="AD83" s="540"/>
      <c r="AE83" s="540"/>
      <c r="AF83" s="540"/>
      <c r="AG83" s="540"/>
      <c r="AH83" s="540"/>
      <c r="AI83" s="540"/>
      <c r="AJ83" s="540"/>
      <c r="AK83" s="540"/>
      <c r="AL83" s="540"/>
      <c r="AM83" s="540"/>
      <c r="AN83" s="540"/>
      <c r="AO83" s="540"/>
      <c r="AP83" s="540"/>
      <c r="AQ83" s="540"/>
      <c r="AR83" s="540"/>
      <c r="AS83" s="542"/>
      <c r="AT83" s="555"/>
    </row>
    <row r="84" spans="1:46" s="553" customFormat="1" ht="11.25" outlineLevel="1">
      <c r="A84" s="555"/>
      <c r="B84" s="538" t="s">
        <v>4839</v>
      </c>
      <c r="C84" s="543"/>
      <c r="D84" s="544"/>
      <c r="E84" s="544"/>
      <c r="F84" s="544"/>
      <c r="G84" s="544"/>
      <c r="H84" s="544"/>
      <c r="I84" s="544"/>
      <c r="J84" s="544"/>
      <c r="K84" s="544"/>
      <c r="L84" s="544"/>
      <c r="M84" s="544"/>
      <c r="N84" s="544"/>
      <c r="O84" s="544"/>
      <c r="P84" s="544"/>
      <c r="Q84" s="544"/>
      <c r="R84" s="544"/>
      <c r="S84" s="544"/>
      <c r="T84" s="544"/>
      <c r="U84" s="544"/>
      <c r="V84" s="544"/>
      <c r="W84" s="544"/>
      <c r="X84" s="544"/>
      <c r="Y84" s="544"/>
      <c r="Z84" s="544"/>
      <c r="AA84" s="544" t="s">
        <v>4795</v>
      </c>
      <c r="AB84" s="544"/>
      <c r="AC84" s="544"/>
      <c r="AD84" s="544"/>
      <c r="AE84" s="544"/>
      <c r="AF84" s="544"/>
      <c r="AG84" s="544"/>
      <c r="AH84" s="544"/>
      <c r="AI84" s="544" t="s">
        <v>4795</v>
      </c>
      <c r="AJ84" s="544"/>
      <c r="AK84" s="544"/>
      <c r="AL84" s="544"/>
      <c r="AM84" s="544"/>
      <c r="AN84" s="544"/>
      <c r="AO84" s="544"/>
      <c r="AP84" s="544"/>
      <c r="AQ84" s="544"/>
      <c r="AR84" s="544"/>
      <c r="AS84" s="545"/>
      <c r="AT84" s="555"/>
    </row>
    <row r="85" spans="1:46" s="553" customFormat="1" ht="11.25" outlineLevel="1">
      <c r="A85" s="555"/>
      <c r="B85" s="538" t="s">
        <v>4840</v>
      </c>
      <c r="C85" s="539"/>
      <c r="D85" s="540"/>
      <c r="E85" s="540"/>
      <c r="F85" s="540"/>
      <c r="G85" s="540"/>
      <c r="H85" s="540"/>
      <c r="I85" s="540"/>
      <c r="J85" s="540"/>
      <c r="K85" s="540"/>
      <c r="L85" s="540"/>
      <c r="M85" s="540"/>
      <c r="N85" s="540"/>
      <c r="O85" s="540"/>
      <c r="P85" s="540"/>
      <c r="Q85" s="540"/>
      <c r="R85" s="540"/>
      <c r="S85" s="540"/>
      <c r="T85" s="540"/>
      <c r="U85" s="540"/>
      <c r="V85" s="540"/>
      <c r="W85" s="540"/>
      <c r="X85" s="540"/>
      <c r="Y85" s="540"/>
      <c r="Z85" s="540"/>
      <c r="AA85" s="540" t="s">
        <v>4795</v>
      </c>
      <c r="AB85" s="540"/>
      <c r="AC85" s="540"/>
      <c r="AD85" s="540"/>
      <c r="AE85" s="540"/>
      <c r="AF85" s="540"/>
      <c r="AG85" s="540"/>
      <c r="AH85" s="540"/>
      <c r="AI85" s="540"/>
      <c r="AJ85" s="540"/>
      <c r="AK85" s="540"/>
      <c r="AL85" s="540"/>
      <c r="AM85" s="540"/>
      <c r="AN85" s="540"/>
      <c r="AO85" s="540"/>
      <c r="AP85" s="540"/>
      <c r="AQ85" s="540"/>
      <c r="AR85" s="540"/>
      <c r="AS85" s="542"/>
      <c r="AT85" s="555"/>
    </row>
    <row r="86" spans="1:46" s="553" customFormat="1" ht="11.25" outlineLevel="1">
      <c r="A86" s="555"/>
      <c r="B86" s="538" t="s">
        <v>4841</v>
      </c>
      <c r="C86" s="543"/>
      <c r="D86" s="544"/>
      <c r="E86" s="544"/>
      <c r="F86" s="544"/>
      <c r="G86" s="544"/>
      <c r="H86" s="544"/>
      <c r="I86" s="544"/>
      <c r="J86" s="544"/>
      <c r="K86" s="544"/>
      <c r="L86" s="544"/>
      <c r="M86" s="544"/>
      <c r="N86" s="544"/>
      <c r="O86" s="544"/>
      <c r="P86" s="544"/>
      <c r="Q86" s="544"/>
      <c r="R86" s="544"/>
      <c r="S86" s="544"/>
      <c r="T86" s="544"/>
      <c r="U86" s="544"/>
      <c r="V86" s="544"/>
      <c r="W86" s="544"/>
      <c r="X86" s="544"/>
      <c r="Y86" s="544"/>
      <c r="Z86" s="544"/>
      <c r="AA86" s="541" t="s">
        <v>4795</v>
      </c>
      <c r="AB86" s="544"/>
      <c r="AC86" s="544"/>
      <c r="AD86" s="544"/>
      <c r="AE86" s="544"/>
      <c r="AF86" s="544"/>
      <c r="AG86" s="544"/>
      <c r="AH86" s="541" t="s">
        <v>4795</v>
      </c>
      <c r="AI86" s="544"/>
      <c r="AJ86" s="544"/>
      <c r="AK86" s="544"/>
      <c r="AL86" s="544"/>
      <c r="AM86" s="544"/>
      <c r="AN86" s="544"/>
      <c r="AO86" s="544"/>
      <c r="AP86" s="544"/>
      <c r="AQ86" s="544"/>
      <c r="AR86" s="544"/>
      <c r="AS86" s="545"/>
      <c r="AT86" s="555"/>
    </row>
    <row r="87" spans="1:46" s="553" customFormat="1" ht="11.25" outlineLevel="1">
      <c r="A87" s="555"/>
      <c r="B87" s="538" t="s">
        <v>4842</v>
      </c>
      <c r="C87" s="539"/>
      <c r="D87" s="540"/>
      <c r="E87" s="540"/>
      <c r="F87" s="540"/>
      <c r="G87" s="540"/>
      <c r="H87" s="540"/>
      <c r="I87" s="540"/>
      <c r="J87" s="540"/>
      <c r="K87" s="540"/>
      <c r="L87" s="540"/>
      <c r="M87" s="540"/>
      <c r="N87" s="540"/>
      <c r="O87" s="540"/>
      <c r="P87" s="540"/>
      <c r="Q87" s="540"/>
      <c r="R87" s="540"/>
      <c r="S87" s="540"/>
      <c r="T87" s="540"/>
      <c r="U87" s="540"/>
      <c r="V87" s="540"/>
      <c r="W87" s="540"/>
      <c r="X87" s="540"/>
      <c r="Y87" s="540"/>
      <c r="Z87" s="540"/>
      <c r="AA87" s="541" t="s">
        <v>4795</v>
      </c>
      <c r="AB87" s="540"/>
      <c r="AC87" s="540"/>
      <c r="AD87" s="540"/>
      <c r="AE87" s="540"/>
      <c r="AF87" s="540"/>
      <c r="AG87" s="540"/>
      <c r="AH87" s="540"/>
      <c r="AI87" s="540"/>
      <c r="AJ87" s="540"/>
      <c r="AK87" s="540"/>
      <c r="AL87" s="540"/>
      <c r="AM87" s="540"/>
      <c r="AN87" s="540"/>
      <c r="AO87" s="540"/>
      <c r="AP87" s="540"/>
      <c r="AQ87" s="540"/>
      <c r="AR87" s="540"/>
      <c r="AS87" s="542"/>
      <c r="AT87" s="555"/>
    </row>
    <row r="88" spans="1:46" s="553" customFormat="1" ht="11.25" outlineLevel="1">
      <c r="A88" s="555"/>
      <c r="B88" s="538" t="s">
        <v>4843</v>
      </c>
      <c r="C88" s="543"/>
      <c r="D88" s="544"/>
      <c r="E88" s="544"/>
      <c r="F88" s="544"/>
      <c r="G88" s="544"/>
      <c r="H88" s="544"/>
      <c r="I88" s="544"/>
      <c r="J88" s="544"/>
      <c r="K88" s="544"/>
      <c r="L88" s="544"/>
      <c r="M88" s="544"/>
      <c r="N88" s="544"/>
      <c r="O88" s="544"/>
      <c r="P88" s="544"/>
      <c r="Q88" s="544"/>
      <c r="R88" s="544"/>
      <c r="S88" s="544"/>
      <c r="T88" s="544"/>
      <c r="U88" s="544"/>
      <c r="V88" s="544"/>
      <c r="W88" s="544"/>
      <c r="X88" s="544"/>
      <c r="Y88" s="544"/>
      <c r="Z88" s="544"/>
      <c r="AA88" s="541" t="s">
        <v>4795</v>
      </c>
      <c r="AB88" s="544"/>
      <c r="AC88" s="544"/>
      <c r="AD88" s="544"/>
      <c r="AE88" s="544"/>
      <c r="AF88" s="544"/>
      <c r="AG88" s="541" t="s">
        <v>4795</v>
      </c>
      <c r="AH88" s="544"/>
      <c r="AI88" s="544"/>
      <c r="AJ88" s="544"/>
      <c r="AK88" s="544"/>
      <c r="AL88" s="544"/>
      <c r="AM88" s="541" t="s">
        <v>4795</v>
      </c>
      <c r="AN88" s="544"/>
      <c r="AO88" s="544"/>
      <c r="AP88" s="544"/>
      <c r="AQ88" s="544"/>
      <c r="AR88" s="544"/>
      <c r="AS88" s="545"/>
      <c r="AT88" s="555"/>
    </row>
    <row r="89" spans="1:46" s="553" customFormat="1" ht="11.25" outlineLevel="1">
      <c r="A89" s="555"/>
      <c r="B89" s="538" t="s">
        <v>4844</v>
      </c>
      <c r="C89" s="539"/>
      <c r="D89" s="540"/>
      <c r="E89" s="540"/>
      <c r="F89" s="540"/>
      <c r="G89" s="540"/>
      <c r="H89" s="540"/>
      <c r="I89" s="540"/>
      <c r="J89" s="540"/>
      <c r="K89" s="540"/>
      <c r="L89" s="540"/>
      <c r="M89" s="540"/>
      <c r="N89" s="540"/>
      <c r="O89" s="540"/>
      <c r="P89" s="540"/>
      <c r="Q89" s="540"/>
      <c r="R89" s="540"/>
      <c r="S89" s="540"/>
      <c r="T89" s="540"/>
      <c r="U89" s="540"/>
      <c r="V89" s="540"/>
      <c r="W89" s="540"/>
      <c r="X89" s="540"/>
      <c r="Y89" s="540"/>
      <c r="Z89" s="540"/>
      <c r="AA89" s="540" t="s">
        <v>4795</v>
      </c>
      <c r="AB89" s="540"/>
      <c r="AC89" s="540"/>
      <c r="AD89" s="540"/>
      <c r="AE89" s="540"/>
      <c r="AF89" s="540"/>
      <c r="AG89" s="540"/>
      <c r="AH89" s="540"/>
      <c r="AI89" s="540"/>
      <c r="AJ89" s="540"/>
      <c r="AK89" s="540"/>
      <c r="AL89" s="540" t="s">
        <v>4795</v>
      </c>
      <c r="AM89" s="540"/>
      <c r="AN89" s="540"/>
      <c r="AO89" s="540"/>
      <c r="AP89" s="540"/>
      <c r="AQ89" s="540"/>
      <c r="AR89" s="540"/>
      <c r="AS89" s="542"/>
      <c r="AT89" s="555"/>
    </row>
    <row r="90" spans="1:46" s="553" customFormat="1" ht="11.25" outlineLevel="1">
      <c r="A90" s="555"/>
      <c r="B90" s="538" t="s">
        <v>4845</v>
      </c>
      <c r="C90" s="543"/>
      <c r="D90" s="544"/>
      <c r="E90" s="544"/>
      <c r="F90" s="544"/>
      <c r="G90" s="544"/>
      <c r="H90" s="544"/>
      <c r="I90" s="544"/>
      <c r="J90" s="544"/>
      <c r="K90" s="544"/>
      <c r="L90" s="544"/>
      <c r="M90" s="544"/>
      <c r="N90" s="544"/>
      <c r="O90" s="544"/>
      <c r="P90" s="544"/>
      <c r="Q90" s="544"/>
      <c r="R90" s="544"/>
      <c r="S90" s="544"/>
      <c r="T90" s="544"/>
      <c r="U90" s="544"/>
      <c r="V90" s="544"/>
      <c r="W90" s="544"/>
      <c r="X90" s="544"/>
      <c r="Y90" s="544"/>
      <c r="Z90" s="544"/>
      <c r="AA90" s="541" t="s">
        <v>4795</v>
      </c>
      <c r="AB90" s="544"/>
      <c r="AC90" s="544"/>
      <c r="AD90" s="544"/>
      <c r="AE90" s="544"/>
      <c r="AF90" s="541" t="s">
        <v>4795</v>
      </c>
      <c r="AG90" s="544"/>
      <c r="AH90" s="544"/>
      <c r="AI90" s="544"/>
      <c r="AJ90" s="544"/>
      <c r="AK90" s="541" t="s">
        <v>4795</v>
      </c>
      <c r="AL90" s="544"/>
      <c r="AM90" s="544"/>
      <c r="AN90" s="544"/>
      <c r="AO90" s="541" t="s">
        <v>4795</v>
      </c>
      <c r="AP90" s="544"/>
      <c r="AQ90" s="544"/>
      <c r="AR90" s="544"/>
      <c r="AS90" s="546" t="s">
        <v>4795</v>
      </c>
      <c r="AT90" s="555"/>
    </row>
    <row r="91" spans="1:46" s="553" customFormat="1" ht="11.25" outlineLevel="1">
      <c r="A91" s="555"/>
      <c r="B91" s="538" t="s">
        <v>4846</v>
      </c>
      <c r="C91" s="539"/>
      <c r="D91" s="540"/>
      <c r="E91" s="540"/>
      <c r="F91" s="540"/>
      <c r="G91" s="540"/>
      <c r="H91" s="540"/>
      <c r="I91" s="540"/>
      <c r="J91" s="540"/>
      <c r="K91" s="540"/>
      <c r="L91" s="540"/>
      <c r="M91" s="540"/>
      <c r="N91" s="540"/>
      <c r="O91" s="540"/>
      <c r="P91" s="540"/>
      <c r="Q91" s="540"/>
      <c r="R91" s="540"/>
      <c r="S91" s="540"/>
      <c r="T91" s="540"/>
      <c r="U91" s="540"/>
      <c r="V91" s="540"/>
      <c r="W91" s="540"/>
      <c r="X91" s="540"/>
      <c r="Y91" s="540"/>
      <c r="Z91" s="540"/>
      <c r="AA91" s="540" t="s">
        <v>4795</v>
      </c>
      <c r="AB91" s="540"/>
      <c r="AC91" s="540"/>
      <c r="AD91" s="540"/>
      <c r="AE91" s="540"/>
      <c r="AF91" s="540"/>
      <c r="AG91" s="540"/>
      <c r="AH91" s="540"/>
      <c r="AI91" s="540"/>
      <c r="AJ91" s="540"/>
      <c r="AK91" s="540"/>
      <c r="AL91" s="540"/>
      <c r="AM91" s="540"/>
      <c r="AN91" s="540"/>
      <c r="AO91" s="540"/>
      <c r="AP91" s="540"/>
      <c r="AQ91" s="540"/>
      <c r="AR91" s="540"/>
      <c r="AS91" s="542"/>
      <c r="AT91" s="555"/>
    </row>
    <row r="92" spans="1:46" s="553" customFormat="1" ht="11.25" outlineLevel="1">
      <c r="A92" s="555"/>
      <c r="B92" s="538" t="s">
        <v>4847</v>
      </c>
      <c r="C92" s="543"/>
      <c r="D92" s="544"/>
      <c r="E92" s="544"/>
      <c r="F92" s="544"/>
      <c r="G92" s="544"/>
      <c r="H92" s="544"/>
      <c r="I92" s="544"/>
      <c r="J92" s="544"/>
      <c r="K92" s="544"/>
      <c r="L92" s="544"/>
      <c r="M92" s="544"/>
      <c r="N92" s="544"/>
      <c r="O92" s="544"/>
      <c r="P92" s="544"/>
      <c r="Q92" s="544"/>
      <c r="R92" s="544"/>
      <c r="S92" s="544"/>
      <c r="T92" s="544"/>
      <c r="U92" s="544"/>
      <c r="V92" s="544"/>
      <c r="W92" s="544"/>
      <c r="X92" s="544"/>
      <c r="Y92" s="544"/>
      <c r="Z92" s="544"/>
      <c r="AA92" s="541" t="s">
        <v>4795</v>
      </c>
      <c r="AB92" s="544"/>
      <c r="AC92" s="544"/>
      <c r="AD92" s="544"/>
      <c r="AE92" s="544"/>
      <c r="AF92" s="544"/>
      <c r="AG92" s="544"/>
      <c r="AH92" s="544"/>
      <c r="AI92" s="544"/>
      <c r="AJ92" s="544"/>
      <c r="AK92" s="544"/>
      <c r="AL92" s="544"/>
      <c r="AM92" s="544"/>
      <c r="AN92" s="544"/>
      <c r="AO92" s="544"/>
      <c r="AP92" s="544"/>
      <c r="AQ92" s="544"/>
      <c r="AR92" s="544"/>
      <c r="AS92" s="545"/>
      <c r="AT92" s="555"/>
    </row>
    <row r="93" spans="1:46" s="553" customFormat="1" ht="11.25" outlineLevel="1">
      <c r="A93" s="555"/>
      <c r="B93" s="538" t="s">
        <v>4848</v>
      </c>
      <c r="C93" s="539"/>
      <c r="D93" s="540"/>
      <c r="E93" s="540"/>
      <c r="F93" s="540"/>
      <c r="G93" s="540"/>
      <c r="H93" s="540"/>
      <c r="I93" s="540"/>
      <c r="J93" s="540"/>
      <c r="K93" s="540"/>
      <c r="L93" s="540"/>
      <c r="M93" s="540"/>
      <c r="N93" s="540"/>
      <c r="O93" s="540"/>
      <c r="P93" s="540"/>
      <c r="Q93" s="540"/>
      <c r="R93" s="540"/>
      <c r="S93" s="540"/>
      <c r="T93" s="540"/>
      <c r="U93" s="540"/>
      <c r="V93" s="540"/>
      <c r="W93" s="540"/>
      <c r="X93" s="540"/>
      <c r="Y93" s="540"/>
      <c r="Z93" s="540"/>
      <c r="AA93" s="540" t="s">
        <v>4795</v>
      </c>
      <c r="AB93" s="540"/>
      <c r="AC93" s="540"/>
      <c r="AD93" s="540"/>
      <c r="AE93" s="540"/>
      <c r="AF93" s="540"/>
      <c r="AG93" s="540"/>
      <c r="AH93" s="540"/>
      <c r="AI93" s="540"/>
      <c r="AJ93" s="540"/>
      <c r="AK93" s="540"/>
      <c r="AL93" s="540"/>
      <c r="AM93" s="540"/>
      <c r="AN93" s="540"/>
      <c r="AO93" s="540"/>
      <c r="AP93" s="540"/>
      <c r="AQ93" s="540"/>
      <c r="AR93" s="540"/>
      <c r="AS93" s="542"/>
      <c r="AT93" s="555"/>
    </row>
    <row r="94" spans="1:46" s="553" customFormat="1" ht="11.25" outlineLevel="1">
      <c r="A94" s="555"/>
      <c r="B94" s="538" t="s">
        <v>4849</v>
      </c>
      <c r="C94" s="543"/>
      <c r="D94" s="544"/>
      <c r="E94" s="544"/>
      <c r="F94" s="544"/>
      <c r="G94" s="544"/>
      <c r="H94" s="544"/>
      <c r="I94" s="544"/>
      <c r="J94" s="544"/>
      <c r="K94" s="544"/>
      <c r="L94" s="544"/>
      <c r="M94" s="544"/>
      <c r="N94" s="544"/>
      <c r="O94" s="544"/>
      <c r="P94" s="544"/>
      <c r="Q94" s="544"/>
      <c r="R94" s="544"/>
      <c r="S94" s="544"/>
      <c r="T94" s="544"/>
      <c r="U94" s="544"/>
      <c r="V94" s="544"/>
      <c r="W94" s="544"/>
      <c r="X94" s="544"/>
      <c r="Y94" s="544"/>
      <c r="Z94" s="544"/>
      <c r="AA94" s="544" t="s">
        <v>4795</v>
      </c>
      <c r="AB94" s="544"/>
      <c r="AC94" s="544"/>
      <c r="AD94" s="544"/>
      <c r="AE94" s="544"/>
      <c r="AF94" s="544"/>
      <c r="AG94" s="544"/>
      <c r="AH94" s="544"/>
      <c r="AI94" s="544"/>
      <c r="AJ94" s="544"/>
      <c r="AK94" s="544"/>
      <c r="AL94" s="544"/>
      <c r="AM94" s="544"/>
      <c r="AN94" s="544"/>
      <c r="AO94" s="544"/>
      <c r="AP94" s="544"/>
      <c r="AQ94" s="544"/>
      <c r="AR94" s="544"/>
      <c r="AS94" s="545"/>
      <c r="AT94" s="555"/>
    </row>
    <row r="95" spans="1:46" s="553" customFormat="1" ht="11.25" outlineLevel="1">
      <c r="A95" s="555"/>
      <c r="B95" s="538" t="s">
        <v>4850</v>
      </c>
      <c r="C95" s="539"/>
      <c r="D95" s="540"/>
      <c r="E95" s="540"/>
      <c r="F95" s="540"/>
      <c r="G95" s="540"/>
      <c r="H95" s="540"/>
      <c r="I95" s="540"/>
      <c r="J95" s="540"/>
      <c r="K95" s="540"/>
      <c r="L95" s="540"/>
      <c r="M95" s="540"/>
      <c r="N95" s="540"/>
      <c r="O95" s="540"/>
      <c r="P95" s="540"/>
      <c r="Q95" s="540"/>
      <c r="R95" s="540"/>
      <c r="S95" s="540"/>
      <c r="T95" s="540"/>
      <c r="U95" s="540"/>
      <c r="V95" s="540"/>
      <c r="W95" s="540"/>
      <c r="X95" s="540"/>
      <c r="Y95" s="540"/>
      <c r="Z95" s="540"/>
      <c r="AA95" s="540" t="s">
        <v>4795</v>
      </c>
      <c r="AB95" s="540"/>
      <c r="AC95" s="540"/>
      <c r="AD95" s="540"/>
      <c r="AE95" s="540"/>
      <c r="AF95" s="540"/>
      <c r="AG95" s="540"/>
      <c r="AH95" s="540"/>
      <c r="AI95" s="540"/>
      <c r="AJ95" s="540"/>
      <c r="AK95" s="540"/>
      <c r="AL95" s="540"/>
      <c r="AM95" s="540"/>
      <c r="AN95" s="540"/>
      <c r="AO95" s="540"/>
      <c r="AP95" s="540"/>
      <c r="AQ95" s="540"/>
      <c r="AR95" s="540"/>
      <c r="AS95" s="542"/>
      <c r="AT95" s="555"/>
    </row>
    <row r="96" spans="1:46" s="553" customFormat="1" ht="11.25" outlineLevel="1">
      <c r="A96" s="555"/>
      <c r="B96" s="538" t="s">
        <v>4851</v>
      </c>
      <c r="C96" s="543"/>
      <c r="D96" s="544"/>
      <c r="E96" s="544"/>
      <c r="F96" s="544"/>
      <c r="G96" s="544"/>
      <c r="H96" s="544"/>
      <c r="I96" s="544"/>
      <c r="J96" s="544"/>
      <c r="K96" s="544"/>
      <c r="L96" s="544"/>
      <c r="M96" s="544"/>
      <c r="N96" s="544"/>
      <c r="O96" s="544"/>
      <c r="P96" s="544"/>
      <c r="Q96" s="544"/>
      <c r="R96" s="544"/>
      <c r="S96" s="544"/>
      <c r="T96" s="544"/>
      <c r="U96" s="544"/>
      <c r="V96" s="544"/>
      <c r="W96" s="544"/>
      <c r="X96" s="544"/>
      <c r="Y96" s="544"/>
      <c r="Z96" s="544"/>
      <c r="AA96" s="544" t="s">
        <v>4795</v>
      </c>
      <c r="AB96" s="544"/>
      <c r="AC96" s="544"/>
      <c r="AD96" s="544"/>
      <c r="AE96" s="544"/>
      <c r="AF96" s="544"/>
      <c r="AG96" s="544"/>
      <c r="AH96" s="544"/>
      <c r="AI96" s="544"/>
      <c r="AJ96" s="544"/>
      <c r="AK96" s="544"/>
      <c r="AL96" s="544"/>
      <c r="AM96" s="544"/>
      <c r="AN96" s="544"/>
      <c r="AO96" s="544"/>
      <c r="AP96" s="544"/>
      <c r="AQ96" s="544"/>
      <c r="AR96" s="544"/>
      <c r="AS96" s="545"/>
      <c r="AT96" s="555"/>
    </row>
    <row r="97" spans="1:46" s="553" customFormat="1" ht="11.25" outlineLevel="1">
      <c r="A97" s="555"/>
      <c r="B97" s="538" t="s">
        <v>4852</v>
      </c>
      <c r="C97" s="539"/>
      <c r="D97" s="540"/>
      <c r="E97" s="540"/>
      <c r="F97" s="540"/>
      <c r="G97" s="540"/>
      <c r="H97" s="540"/>
      <c r="I97" s="540"/>
      <c r="J97" s="540"/>
      <c r="K97" s="540"/>
      <c r="L97" s="540"/>
      <c r="M97" s="540"/>
      <c r="N97" s="540"/>
      <c r="O97" s="540"/>
      <c r="P97" s="540"/>
      <c r="Q97" s="540"/>
      <c r="R97" s="540"/>
      <c r="S97" s="540"/>
      <c r="T97" s="540"/>
      <c r="U97" s="540"/>
      <c r="V97" s="540"/>
      <c r="W97" s="540"/>
      <c r="X97" s="540"/>
      <c r="Y97" s="540"/>
      <c r="Z97" s="540"/>
      <c r="AA97" s="540" t="s">
        <v>4795</v>
      </c>
      <c r="AB97" s="540"/>
      <c r="AC97" s="540"/>
      <c r="AD97" s="540"/>
      <c r="AE97" s="540"/>
      <c r="AF97" s="540"/>
      <c r="AG97" s="540"/>
      <c r="AH97" s="540"/>
      <c r="AI97" s="540" t="s">
        <v>4795</v>
      </c>
      <c r="AJ97" s="540"/>
      <c r="AK97" s="540"/>
      <c r="AL97" s="540"/>
      <c r="AM97" s="540"/>
      <c r="AN97" s="540"/>
      <c r="AO97" s="540"/>
      <c r="AP97" s="540"/>
      <c r="AQ97" s="540"/>
      <c r="AR97" s="540"/>
      <c r="AS97" s="542"/>
      <c r="AT97" s="555"/>
    </row>
    <row r="98" spans="1:46" s="553" customFormat="1" ht="11.25" outlineLevel="1">
      <c r="A98" s="555"/>
      <c r="B98" s="538" t="s">
        <v>4853</v>
      </c>
      <c r="C98" s="543"/>
      <c r="D98" s="544"/>
      <c r="E98" s="544"/>
      <c r="F98" s="544"/>
      <c r="G98" s="544"/>
      <c r="H98" s="544"/>
      <c r="I98" s="544"/>
      <c r="J98" s="544"/>
      <c r="K98" s="544"/>
      <c r="L98" s="544"/>
      <c r="M98" s="544"/>
      <c r="N98" s="544"/>
      <c r="O98" s="544"/>
      <c r="P98" s="544"/>
      <c r="Q98" s="544"/>
      <c r="R98" s="544"/>
      <c r="S98" s="544"/>
      <c r="T98" s="544"/>
      <c r="U98" s="544"/>
      <c r="V98" s="544"/>
      <c r="W98" s="544"/>
      <c r="X98" s="544"/>
      <c r="Y98" s="544"/>
      <c r="Z98" s="544"/>
      <c r="AA98" s="541" t="s">
        <v>4795</v>
      </c>
      <c r="AB98" s="544"/>
      <c r="AC98" s="544"/>
      <c r="AD98" s="544"/>
      <c r="AE98" s="544"/>
      <c r="AF98" s="544"/>
      <c r="AG98" s="544"/>
      <c r="AH98" s="541" t="s">
        <v>4795</v>
      </c>
      <c r="AI98" s="544"/>
      <c r="AJ98" s="544"/>
      <c r="AK98" s="544"/>
      <c r="AL98" s="544"/>
      <c r="AM98" s="544"/>
      <c r="AN98" s="544"/>
      <c r="AO98" s="544"/>
      <c r="AP98" s="544"/>
      <c r="AQ98" s="544"/>
      <c r="AR98" s="544"/>
      <c r="AS98" s="545"/>
      <c r="AT98" s="555"/>
    </row>
    <row r="99" spans="1:46" s="553" customFormat="1" ht="11.25" outlineLevel="1">
      <c r="A99" s="555"/>
      <c r="B99" s="538" t="s">
        <v>4854</v>
      </c>
      <c r="C99" s="539"/>
      <c r="D99" s="540"/>
      <c r="E99" s="540"/>
      <c r="F99" s="540"/>
      <c r="G99" s="540"/>
      <c r="H99" s="540"/>
      <c r="I99" s="540"/>
      <c r="J99" s="540"/>
      <c r="K99" s="540"/>
      <c r="L99" s="540"/>
      <c r="M99" s="540"/>
      <c r="N99" s="540"/>
      <c r="O99" s="540"/>
      <c r="P99" s="540"/>
      <c r="Q99" s="540"/>
      <c r="R99" s="540"/>
      <c r="S99" s="540"/>
      <c r="T99" s="540"/>
      <c r="U99" s="540"/>
      <c r="V99" s="540"/>
      <c r="W99" s="540"/>
      <c r="X99" s="540"/>
      <c r="Y99" s="540"/>
      <c r="Z99" s="540"/>
      <c r="AA99" s="541" t="s">
        <v>4795</v>
      </c>
      <c r="AB99" s="540"/>
      <c r="AC99" s="540"/>
      <c r="AD99" s="540"/>
      <c r="AE99" s="540"/>
      <c r="AF99" s="540"/>
      <c r="AG99" s="541" t="s">
        <v>4795</v>
      </c>
      <c r="AH99" s="540"/>
      <c r="AI99" s="540"/>
      <c r="AJ99" s="540"/>
      <c r="AK99" s="540"/>
      <c r="AL99" s="540"/>
      <c r="AM99" s="541" t="s">
        <v>4795</v>
      </c>
      <c r="AN99" s="540"/>
      <c r="AO99" s="540"/>
      <c r="AP99" s="540"/>
      <c r="AQ99" s="540"/>
      <c r="AR99" s="540"/>
      <c r="AS99" s="542"/>
      <c r="AT99" s="555"/>
    </row>
    <row r="100" spans="1:46" s="553" customFormat="1" ht="11.25" outlineLevel="1">
      <c r="A100" s="555"/>
      <c r="B100" s="538" t="s">
        <v>4855</v>
      </c>
      <c r="C100" s="543"/>
      <c r="D100" s="544"/>
      <c r="E100" s="544"/>
      <c r="F100" s="544"/>
      <c r="G100" s="544"/>
      <c r="H100" s="544"/>
      <c r="I100" s="544"/>
      <c r="J100" s="544"/>
      <c r="K100" s="544"/>
      <c r="L100" s="544"/>
      <c r="M100" s="544"/>
      <c r="N100" s="544"/>
      <c r="O100" s="544"/>
      <c r="P100" s="544"/>
      <c r="Q100" s="544"/>
      <c r="R100" s="544"/>
      <c r="S100" s="544"/>
      <c r="T100" s="544"/>
      <c r="U100" s="544"/>
      <c r="V100" s="544"/>
      <c r="W100" s="544"/>
      <c r="X100" s="544"/>
      <c r="Y100" s="544"/>
      <c r="Z100" s="544"/>
      <c r="AA100" s="544"/>
      <c r="AB100" s="544"/>
      <c r="AC100" s="544"/>
      <c r="AD100" s="544"/>
      <c r="AE100" s="544"/>
      <c r="AF100" s="544"/>
      <c r="AG100" s="544"/>
      <c r="AH100" s="544"/>
      <c r="AI100" s="544"/>
      <c r="AJ100" s="544"/>
      <c r="AK100" s="544"/>
      <c r="AL100" s="544"/>
      <c r="AM100" s="544"/>
      <c r="AN100" s="544"/>
      <c r="AO100" s="544"/>
      <c r="AP100" s="544"/>
      <c r="AQ100" s="544"/>
      <c r="AR100" s="544"/>
      <c r="AS100" s="545"/>
      <c r="AT100" s="555"/>
    </row>
    <row r="101" spans="1:46" s="553" customFormat="1" ht="11.25" outlineLevel="1">
      <c r="A101" s="555"/>
      <c r="B101" s="538" t="s">
        <v>4856</v>
      </c>
      <c r="C101" s="539"/>
      <c r="D101" s="540"/>
      <c r="E101" s="540"/>
      <c r="F101" s="540"/>
      <c r="G101" s="540"/>
      <c r="H101" s="540"/>
      <c r="I101" s="540"/>
      <c r="J101" s="540"/>
      <c r="K101" s="540"/>
      <c r="L101" s="540"/>
      <c r="M101" s="540"/>
      <c r="N101" s="540"/>
      <c r="O101" s="540"/>
      <c r="P101" s="540"/>
      <c r="Q101" s="540"/>
      <c r="R101" s="540"/>
      <c r="S101" s="540"/>
      <c r="T101" s="540"/>
      <c r="U101" s="540"/>
      <c r="V101" s="540"/>
      <c r="W101" s="540"/>
      <c r="X101" s="540"/>
      <c r="Y101" s="540"/>
      <c r="Z101" s="540"/>
      <c r="AA101" s="540"/>
      <c r="AB101" s="540"/>
      <c r="AC101" s="540"/>
      <c r="AD101" s="540"/>
      <c r="AE101" s="540"/>
      <c r="AF101" s="540"/>
      <c r="AG101" s="540"/>
      <c r="AH101" s="540"/>
      <c r="AI101" s="540"/>
      <c r="AJ101" s="540"/>
      <c r="AK101" s="540"/>
      <c r="AL101" s="540"/>
      <c r="AM101" s="540"/>
      <c r="AN101" s="540"/>
      <c r="AO101" s="540"/>
      <c r="AP101" s="540"/>
      <c r="AQ101" s="540"/>
      <c r="AR101" s="540"/>
      <c r="AS101" s="542"/>
      <c r="AT101" s="555"/>
    </row>
    <row r="102" spans="1:46" s="553" customFormat="1" ht="11.25" outlineLevel="1">
      <c r="A102" s="555"/>
      <c r="B102" s="538" t="s">
        <v>4857</v>
      </c>
      <c r="C102" s="543"/>
      <c r="D102" s="544"/>
      <c r="E102" s="544"/>
      <c r="F102" s="544"/>
      <c r="G102" s="544"/>
      <c r="H102" s="544"/>
      <c r="I102" s="544"/>
      <c r="J102" s="544"/>
      <c r="K102" s="544"/>
      <c r="L102" s="544"/>
      <c r="M102" s="544"/>
      <c r="N102" s="544"/>
      <c r="O102" s="544"/>
      <c r="P102" s="544"/>
      <c r="Q102" s="544"/>
      <c r="R102" s="544"/>
      <c r="S102" s="544"/>
      <c r="T102" s="544"/>
      <c r="U102" s="544"/>
      <c r="V102" s="544"/>
      <c r="W102" s="544"/>
      <c r="X102" s="544"/>
      <c r="Y102" s="544"/>
      <c r="Z102" s="544"/>
      <c r="AA102" s="544"/>
      <c r="AB102" s="544"/>
      <c r="AC102" s="544"/>
      <c r="AD102" s="544"/>
      <c r="AE102" s="544"/>
      <c r="AF102" s="544"/>
      <c r="AG102" s="544"/>
      <c r="AH102" s="544"/>
      <c r="AI102" s="544"/>
      <c r="AJ102" s="544"/>
      <c r="AK102" s="544"/>
      <c r="AL102" s="544"/>
      <c r="AM102" s="544"/>
      <c r="AN102" s="544"/>
      <c r="AO102" s="544"/>
      <c r="AP102" s="544"/>
      <c r="AQ102" s="544"/>
      <c r="AR102" s="544"/>
      <c r="AS102" s="545"/>
      <c r="AT102" s="555"/>
    </row>
    <row r="103" spans="1:46" s="553" customFormat="1" ht="11.25" outlineLevel="1">
      <c r="A103" s="555"/>
      <c r="B103" s="538" t="s">
        <v>4858</v>
      </c>
      <c r="C103" s="539"/>
      <c r="D103" s="540"/>
      <c r="E103" s="540"/>
      <c r="F103" s="540"/>
      <c r="G103" s="540"/>
      <c r="H103" s="540"/>
      <c r="I103" s="540"/>
      <c r="J103" s="540"/>
      <c r="K103" s="540"/>
      <c r="L103" s="540"/>
      <c r="M103" s="540"/>
      <c r="N103" s="540"/>
      <c r="O103" s="540"/>
      <c r="P103" s="540"/>
      <c r="Q103" s="540"/>
      <c r="R103" s="540"/>
      <c r="S103" s="540"/>
      <c r="T103" s="540"/>
      <c r="U103" s="540"/>
      <c r="V103" s="540"/>
      <c r="W103" s="540"/>
      <c r="X103" s="540"/>
      <c r="Y103" s="540"/>
      <c r="Z103" s="540"/>
      <c r="AA103" s="540"/>
      <c r="AB103" s="540"/>
      <c r="AC103" s="540"/>
      <c r="AD103" s="540"/>
      <c r="AE103" s="540"/>
      <c r="AF103" s="540"/>
      <c r="AG103" s="540"/>
      <c r="AH103" s="540"/>
      <c r="AI103" s="540"/>
      <c r="AJ103" s="540"/>
      <c r="AK103" s="540"/>
      <c r="AL103" s="540"/>
      <c r="AM103" s="540"/>
      <c r="AN103" s="540"/>
      <c r="AO103" s="540"/>
      <c r="AP103" s="540"/>
      <c r="AQ103" s="540"/>
      <c r="AR103" s="540"/>
      <c r="AS103" s="542"/>
      <c r="AT103" s="555"/>
    </row>
    <row r="104" spans="1:46" s="553" customFormat="1" ht="11.25" outlineLevel="1">
      <c r="A104" s="555"/>
      <c r="B104" s="538" t="s">
        <v>4859</v>
      </c>
      <c r="C104" s="543"/>
      <c r="D104" s="544"/>
      <c r="E104" s="544"/>
      <c r="F104" s="544"/>
      <c r="G104" s="544"/>
      <c r="H104" s="544"/>
      <c r="I104" s="544"/>
      <c r="J104" s="544"/>
      <c r="K104" s="544"/>
      <c r="L104" s="544"/>
      <c r="M104" s="544"/>
      <c r="N104" s="544"/>
      <c r="O104" s="544"/>
      <c r="P104" s="544"/>
      <c r="Q104" s="544"/>
      <c r="R104" s="544"/>
      <c r="S104" s="544"/>
      <c r="T104" s="544"/>
      <c r="U104" s="544"/>
      <c r="V104" s="544"/>
      <c r="W104" s="544"/>
      <c r="X104" s="544"/>
      <c r="Y104" s="544"/>
      <c r="Z104" s="544"/>
      <c r="AA104" s="544"/>
      <c r="AB104" s="544"/>
      <c r="AC104" s="544"/>
      <c r="AD104" s="544"/>
      <c r="AE104" s="544"/>
      <c r="AF104" s="544"/>
      <c r="AG104" s="544"/>
      <c r="AH104" s="544"/>
      <c r="AI104" s="544"/>
      <c r="AJ104" s="544"/>
      <c r="AK104" s="544"/>
      <c r="AL104" s="544"/>
      <c r="AM104" s="544"/>
      <c r="AN104" s="544"/>
      <c r="AO104" s="544"/>
      <c r="AP104" s="544"/>
      <c r="AQ104" s="544"/>
      <c r="AR104" s="544"/>
      <c r="AS104" s="545"/>
      <c r="AT104" s="555"/>
    </row>
    <row r="105" spans="1:46" s="553" customFormat="1" ht="11.25" outlineLevel="1">
      <c r="A105" s="555"/>
      <c r="B105" s="538" t="s">
        <v>4860</v>
      </c>
      <c r="C105" s="539"/>
      <c r="D105" s="540"/>
      <c r="E105" s="540"/>
      <c r="F105" s="540"/>
      <c r="G105" s="540"/>
      <c r="H105" s="540"/>
      <c r="I105" s="540"/>
      <c r="J105" s="540"/>
      <c r="K105" s="540"/>
      <c r="L105" s="540"/>
      <c r="M105" s="540"/>
      <c r="N105" s="540"/>
      <c r="O105" s="540"/>
      <c r="P105" s="540"/>
      <c r="Q105" s="540"/>
      <c r="R105" s="540"/>
      <c r="S105" s="540"/>
      <c r="T105" s="540"/>
      <c r="U105" s="540"/>
      <c r="V105" s="540"/>
      <c r="W105" s="540"/>
      <c r="X105" s="540"/>
      <c r="Y105" s="540"/>
      <c r="Z105" s="540"/>
      <c r="AA105" s="540"/>
      <c r="AB105" s="540"/>
      <c r="AC105" s="540"/>
      <c r="AD105" s="540"/>
      <c r="AE105" s="540"/>
      <c r="AF105" s="540"/>
      <c r="AG105" s="540"/>
      <c r="AH105" s="540"/>
      <c r="AI105" s="540"/>
      <c r="AJ105" s="540"/>
      <c r="AK105" s="540"/>
      <c r="AL105" s="540"/>
      <c r="AM105" s="540"/>
      <c r="AN105" s="540"/>
      <c r="AO105" s="540"/>
      <c r="AP105" s="540"/>
      <c r="AQ105" s="540"/>
      <c r="AR105" s="540"/>
      <c r="AS105" s="542"/>
      <c r="AT105" s="555"/>
    </row>
    <row r="106" spans="1:46" s="553" customFormat="1" ht="11.25" outlineLevel="1">
      <c r="A106" s="555"/>
      <c r="B106" s="538" t="s">
        <v>4861</v>
      </c>
      <c r="C106" s="543"/>
      <c r="D106" s="544"/>
      <c r="E106" s="544"/>
      <c r="F106" s="544"/>
      <c r="G106" s="544"/>
      <c r="H106" s="544"/>
      <c r="I106" s="544"/>
      <c r="J106" s="544"/>
      <c r="K106" s="544"/>
      <c r="L106" s="544"/>
      <c r="M106" s="544"/>
      <c r="N106" s="544"/>
      <c r="O106" s="544"/>
      <c r="P106" s="544"/>
      <c r="Q106" s="544"/>
      <c r="R106" s="544"/>
      <c r="S106" s="544"/>
      <c r="T106" s="544"/>
      <c r="U106" s="544"/>
      <c r="V106" s="544" t="s">
        <v>4795</v>
      </c>
      <c r="W106" s="544"/>
      <c r="X106" s="544"/>
      <c r="Y106" s="544"/>
      <c r="Z106" s="544"/>
      <c r="AA106" s="544"/>
      <c r="AB106" s="544"/>
      <c r="AC106" s="544"/>
      <c r="AD106" s="544"/>
      <c r="AE106" s="544"/>
      <c r="AF106" s="544"/>
      <c r="AG106" s="544"/>
      <c r="AH106" s="544"/>
      <c r="AI106" s="544"/>
      <c r="AJ106" s="544"/>
      <c r="AK106" s="544"/>
      <c r="AL106" s="544"/>
      <c r="AM106" s="544"/>
      <c r="AN106" s="544"/>
      <c r="AO106" s="544"/>
      <c r="AP106" s="544"/>
      <c r="AQ106" s="544"/>
      <c r="AR106" s="544"/>
      <c r="AS106" s="545"/>
      <c r="AT106" s="555"/>
    </row>
    <row r="107" spans="1:46" s="553" customFormat="1" ht="11.25" outlineLevel="1">
      <c r="A107" s="555"/>
      <c r="B107" s="538" t="s">
        <v>4862</v>
      </c>
      <c r="C107" s="539"/>
      <c r="D107" s="540"/>
      <c r="E107" s="540"/>
      <c r="F107" s="540"/>
      <c r="G107" s="540"/>
      <c r="H107" s="540"/>
      <c r="I107" s="540"/>
      <c r="J107" s="540"/>
      <c r="K107" s="540"/>
      <c r="L107" s="540"/>
      <c r="M107" s="540"/>
      <c r="N107" s="540"/>
      <c r="O107" s="540"/>
      <c r="P107" s="540"/>
      <c r="Q107" s="540"/>
      <c r="R107" s="540"/>
      <c r="S107" s="540"/>
      <c r="T107" s="540"/>
      <c r="U107" s="541" t="s">
        <v>4795</v>
      </c>
      <c r="V107" s="540"/>
      <c r="W107" s="540"/>
      <c r="X107" s="540"/>
      <c r="Y107" s="540"/>
      <c r="Z107" s="540"/>
      <c r="AA107" s="540"/>
      <c r="AB107" s="540"/>
      <c r="AC107" s="540"/>
      <c r="AD107" s="540"/>
      <c r="AE107" s="540"/>
      <c r="AF107" s="540"/>
      <c r="AG107" s="540"/>
      <c r="AH107" s="540"/>
      <c r="AI107" s="540"/>
      <c r="AJ107" s="540"/>
      <c r="AK107" s="540"/>
      <c r="AL107" s="540"/>
      <c r="AM107" s="540"/>
      <c r="AN107" s="540"/>
      <c r="AO107" s="540"/>
      <c r="AP107" s="540"/>
      <c r="AQ107" s="540"/>
      <c r="AR107" s="540"/>
      <c r="AS107" s="542"/>
      <c r="AT107" s="555"/>
    </row>
    <row r="108" spans="1:46" s="553" customFormat="1" ht="11.25" outlineLevel="1">
      <c r="A108" s="555"/>
      <c r="B108" s="538" t="s">
        <v>4863</v>
      </c>
      <c r="C108" s="543"/>
      <c r="D108" s="544"/>
      <c r="E108" s="544"/>
      <c r="F108" s="544"/>
      <c r="G108" s="544"/>
      <c r="H108" s="544"/>
      <c r="I108" s="544"/>
      <c r="J108" s="544"/>
      <c r="K108" s="544"/>
      <c r="L108" s="544"/>
      <c r="M108" s="544"/>
      <c r="N108" s="544"/>
      <c r="O108" s="544"/>
      <c r="P108" s="544"/>
      <c r="Q108" s="541" t="s">
        <v>4795</v>
      </c>
      <c r="R108" s="544"/>
      <c r="S108" s="544"/>
      <c r="T108" s="541" t="s">
        <v>4795</v>
      </c>
      <c r="U108" s="544"/>
      <c r="V108" s="544"/>
      <c r="W108" s="544"/>
      <c r="X108" s="544"/>
      <c r="Y108" s="544"/>
      <c r="Z108" s="544"/>
      <c r="AA108" s="544"/>
      <c r="AB108" s="544"/>
      <c r="AC108" s="544"/>
      <c r="AD108" s="544"/>
      <c r="AE108" s="544"/>
      <c r="AF108" s="544"/>
      <c r="AG108" s="544"/>
      <c r="AH108" s="544"/>
      <c r="AI108" s="544"/>
      <c r="AJ108" s="544"/>
      <c r="AK108" s="544"/>
      <c r="AL108" s="544"/>
      <c r="AM108" s="544"/>
      <c r="AN108" s="544"/>
      <c r="AO108" s="544"/>
      <c r="AP108" s="544"/>
      <c r="AQ108" s="544"/>
      <c r="AR108" s="544"/>
      <c r="AS108" s="545"/>
      <c r="AT108" s="555"/>
    </row>
    <row r="109" spans="1:46" s="553" customFormat="1" ht="11.25" outlineLevel="1">
      <c r="A109" s="555"/>
      <c r="B109" s="538" t="s">
        <v>4864</v>
      </c>
      <c r="C109" s="539"/>
      <c r="D109" s="540"/>
      <c r="E109" s="540"/>
      <c r="F109" s="540"/>
      <c r="G109" s="540"/>
      <c r="H109" s="540"/>
      <c r="I109" s="540"/>
      <c r="J109" s="540"/>
      <c r="K109" s="540"/>
      <c r="L109" s="540"/>
      <c r="M109" s="540"/>
      <c r="N109" s="540"/>
      <c r="O109" s="540"/>
      <c r="P109" s="540"/>
      <c r="Q109" s="540"/>
      <c r="R109" s="540"/>
      <c r="S109" s="540"/>
      <c r="T109" s="540"/>
      <c r="U109" s="540"/>
      <c r="V109" s="540"/>
      <c r="W109" s="540"/>
      <c r="X109" s="540"/>
      <c r="Y109" s="540"/>
      <c r="Z109" s="540"/>
      <c r="AA109" s="540"/>
      <c r="AB109" s="540"/>
      <c r="AC109" s="540"/>
      <c r="AD109" s="540"/>
      <c r="AE109" s="540"/>
      <c r="AF109" s="540"/>
      <c r="AG109" s="540"/>
      <c r="AH109" s="540"/>
      <c r="AI109" s="540"/>
      <c r="AJ109" s="540"/>
      <c r="AK109" s="540"/>
      <c r="AL109" s="540"/>
      <c r="AM109" s="540"/>
      <c r="AN109" s="540"/>
      <c r="AO109" s="540"/>
      <c r="AP109" s="540"/>
      <c r="AQ109" s="540"/>
      <c r="AR109" s="540"/>
      <c r="AS109" s="542"/>
      <c r="AT109" s="555"/>
    </row>
    <row r="110" spans="1:46" s="553" customFormat="1" ht="11.25" outlineLevel="1">
      <c r="A110" s="555"/>
      <c r="B110" s="538" t="s">
        <v>4865</v>
      </c>
      <c r="C110" s="543"/>
      <c r="D110" s="544"/>
      <c r="E110" s="544"/>
      <c r="F110" s="544"/>
      <c r="G110" s="544"/>
      <c r="H110" s="544"/>
      <c r="I110" s="544"/>
      <c r="J110" s="544"/>
      <c r="K110" s="544"/>
      <c r="L110" s="544"/>
      <c r="M110" s="544"/>
      <c r="N110" s="544"/>
      <c r="O110" s="544"/>
      <c r="P110" s="544"/>
      <c r="Q110" s="544"/>
      <c r="R110" s="544"/>
      <c r="S110" s="544"/>
      <c r="T110" s="544"/>
      <c r="U110" s="544"/>
      <c r="V110" s="544"/>
      <c r="W110" s="544"/>
      <c r="X110" s="544"/>
      <c r="Y110" s="544"/>
      <c r="Z110" s="544"/>
      <c r="AA110" s="544"/>
      <c r="AB110" s="544"/>
      <c r="AC110" s="544"/>
      <c r="AD110" s="544"/>
      <c r="AE110" s="544"/>
      <c r="AF110" s="544"/>
      <c r="AG110" s="544"/>
      <c r="AH110" s="544"/>
      <c r="AI110" s="544"/>
      <c r="AJ110" s="544"/>
      <c r="AK110" s="544"/>
      <c r="AL110" s="544"/>
      <c r="AM110" s="544"/>
      <c r="AN110" s="544"/>
      <c r="AO110" s="544"/>
      <c r="AP110" s="544"/>
      <c r="AQ110" s="544"/>
      <c r="AR110" s="544"/>
      <c r="AS110" s="545"/>
      <c r="AT110" s="555"/>
    </row>
    <row r="111" spans="1:46" s="553" customFormat="1" ht="11.25" outlineLevel="1">
      <c r="A111" s="555"/>
      <c r="B111" s="538" t="s">
        <v>4866</v>
      </c>
      <c r="C111" s="539"/>
      <c r="D111" s="540"/>
      <c r="E111" s="540"/>
      <c r="F111" s="540"/>
      <c r="G111" s="540"/>
      <c r="H111" s="540"/>
      <c r="I111" s="540"/>
      <c r="J111" s="540"/>
      <c r="K111" s="540"/>
      <c r="L111" s="540"/>
      <c r="M111" s="540"/>
      <c r="N111" s="540"/>
      <c r="O111" s="540"/>
      <c r="P111" s="540"/>
      <c r="Q111" s="540"/>
      <c r="R111" s="540"/>
      <c r="S111" s="540"/>
      <c r="T111" s="540"/>
      <c r="U111" s="540"/>
      <c r="V111" s="540" t="s">
        <v>4795</v>
      </c>
      <c r="W111" s="540"/>
      <c r="X111" s="540"/>
      <c r="Y111" s="540"/>
      <c r="Z111" s="540"/>
      <c r="AA111" s="540"/>
      <c r="AB111" s="540"/>
      <c r="AC111" s="540"/>
      <c r="AD111" s="540"/>
      <c r="AE111" s="540"/>
      <c r="AF111" s="540"/>
      <c r="AG111" s="540"/>
      <c r="AH111" s="540"/>
      <c r="AI111" s="540"/>
      <c r="AJ111" s="540"/>
      <c r="AK111" s="540"/>
      <c r="AL111" s="540"/>
      <c r="AM111" s="540"/>
      <c r="AN111" s="540"/>
      <c r="AO111" s="540"/>
      <c r="AP111" s="540"/>
      <c r="AQ111" s="540"/>
      <c r="AR111" s="540"/>
      <c r="AS111" s="542"/>
      <c r="AT111" s="555"/>
    </row>
    <row r="112" spans="1:46" s="553" customFormat="1" ht="11.25" outlineLevel="1">
      <c r="A112" s="555"/>
      <c r="B112" s="538" t="s">
        <v>4867</v>
      </c>
      <c r="C112" s="543"/>
      <c r="D112" s="544"/>
      <c r="E112" s="544"/>
      <c r="F112" s="544"/>
      <c r="G112" s="544"/>
      <c r="H112" s="544"/>
      <c r="I112" s="544"/>
      <c r="J112" s="544"/>
      <c r="K112" s="544"/>
      <c r="L112" s="544"/>
      <c r="M112" s="544"/>
      <c r="N112" s="544"/>
      <c r="O112" s="544"/>
      <c r="P112" s="544"/>
      <c r="Q112" s="544"/>
      <c r="R112" s="544"/>
      <c r="S112" s="544"/>
      <c r="T112" s="544"/>
      <c r="U112" s="544"/>
      <c r="V112" s="544"/>
      <c r="W112" s="544"/>
      <c r="X112" s="544"/>
      <c r="Y112" s="544"/>
      <c r="Z112" s="544"/>
      <c r="AA112" s="544"/>
      <c r="AB112" s="544"/>
      <c r="AC112" s="544"/>
      <c r="AD112" s="544"/>
      <c r="AE112" s="544"/>
      <c r="AF112" s="544"/>
      <c r="AG112" s="544"/>
      <c r="AH112" s="544"/>
      <c r="AI112" s="544"/>
      <c r="AJ112" s="544"/>
      <c r="AK112" s="544"/>
      <c r="AL112" s="544"/>
      <c r="AM112" s="544"/>
      <c r="AN112" s="544"/>
      <c r="AO112" s="544"/>
      <c r="AP112" s="544"/>
      <c r="AQ112" s="544"/>
      <c r="AR112" s="544"/>
      <c r="AS112" s="545"/>
      <c r="AT112" s="555"/>
    </row>
    <row r="113" spans="1:46" s="553" customFormat="1" ht="11.25" outlineLevel="1">
      <c r="A113" s="555"/>
      <c r="B113" s="538" t="s">
        <v>4868</v>
      </c>
      <c r="C113" s="539"/>
      <c r="D113" s="540"/>
      <c r="E113" s="540"/>
      <c r="F113" s="540"/>
      <c r="G113" s="540"/>
      <c r="H113" s="540"/>
      <c r="I113" s="540"/>
      <c r="J113" s="540"/>
      <c r="K113" s="540"/>
      <c r="L113" s="540"/>
      <c r="M113" s="540"/>
      <c r="N113" s="540"/>
      <c r="O113" s="540"/>
      <c r="P113" s="540"/>
      <c r="Q113" s="540"/>
      <c r="R113" s="540"/>
      <c r="S113" s="540"/>
      <c r="T113" s="540"/>
      <c r="U113" s="541" t="s">
        <v>4795</v>
      </c>
      <c r="V113" s="540"/>
      <c r="W113" s="540"/>
      <c r="X113" s="540"/>
      <c r="Y113" s="540"/>
      <c r="Z113" s="540"/>
      <c r="AA113" s="540"/>
      <c r="AB113" s="540"/>
      <c r="AC113" s="540"/>
      <c r="AD113" s="540"/>
      <c r="AE113" s="540"/>
      <c r="AF113" s="540"/>
      <c r="AG113" s="540"/>
      <c r="AH113" s="540"/>
      <c r="AI113" s="540"/>
      <c r="AJ113" s="540"/>
      <c r="AK113" s="540"/>
      <c r="AL113" s="540"/>
      <c r="AM113" s="540"/>
      <c r="AN113" s="540"/>
      <c r="AO113" s="540"/>
      <c r="AP113" s="540"/>
      <c r="AQ113" s="540"/>
      <c r="AR113" s="540"/>
      <c r="AS113" s="542"/>
      <c r="AT113" s="555"/>
    </row>
    <row r="114" spans="1:46" s="553" customFormat="1" ht="11.25" outlineLevel="1">
      <c r="A114" s="555"/>
      <c r="B114" s="538" t="s">
        <v>4869</v>
      </c>
      <c r="C114" s="543"/>
      <c r="D114" s="544"/>
      <c r="E114" s="544"/>
      <c r="F114" s="544"/>
      <c r="G114" s="544"/>
      <c r="H114" s="544"/>
      <c r="I114" s="544"/>
      <c r="J114" s="544"/>
      <c r="K114" s="544"/>
      <c r="L114" s="544"/>
      <c r="M114" s="544"/>
      <c r="N114" s="544"/>
      <c r="O114" s="544"/>
      <c r="P114" s="544"/>
      <c r="Q114" s="544"/>
      <c r="R114" s="544"/>
      <c r="S114" s="544"/>
      <c r="T114" s="544"/>
      <c r="U114" s="544"/>
      <c r="V114" s="544"/>
      <c r="W114" s="544"/>
      <c r="X114" s="544"/>
      <c r="Y114" s="544"/>
      <c r="Z114" s="544"/>
      <c r="AA114" s="544"/>
      <c r="AB114" s="544"/>
      <c r="AC114" s="544"/>
      <c r="AD114" s="544"/>
      <c r="AE114" s="544"/>
      <c r="AF114" s="544"/>
      <c r="AG114" s="544"/>
      <c r="AH114" s="544"/>
      <c r="AI114" s="544"/>
      <c r="AJ114" s="544"/>
      <c r="AK114" s="544"/>
      <c r="AL114" s="544"/>
      <c r="AM114" s="544"/>
      <c r="AN114" s="544"/>
      <c r="AO114" s="544"/>
      <c r="AP114" s="544"/>
      <c r="AQ114" s="544"/>
      <c r="AR114" s="544"/>
      <c r="AS114" s="545"/>
      <c r="AT114" s="555"/>
    </row>
    <row r="115" spans="1:46" s="553" customFormat="1" ht="11.25" outlineLevel="1">
      <c r="A115" s="555"/>
      <c r="B115" s="538" t="s">
        <v>4870</v>
      </c>
      <c r="C115" s="539"/>
      <c r="D115" s="540"/>
      <c r="E115" s="540"/>
      <c r="F115" s="540"/>
      <c r="G115" s="540"/>
      <c r="H115" s="540"/>
      <c r="I115" s="540"/>
      <c r="J115" s="540"/>
      <c r="K115" s="540"/>
      <c r="L115" s="540"/>
      <c r="M115" s="540"/>
      <c r="N115" s="540"/>
      <c r="O115" s="540"/>
      <c r="P115" s="540"/>
      <c r="Q115" s="541" t="s">
        <v>4795</v>
      </c>
      <c r="R115" s="540"/>
      <c r="S115" s="540"/>
      <c r="T115" s="541" t="s">
        <v>4795</v>
      </c>
      <c r="U115" s="540"/>
      <c r="V115" s="540"/>
      <c r="W115" s="540"/>
      <c r="X115" s="540"/>
      <c r="Y115" s="540"/>
      <c r="Z115" s="540"/>
      <c r="AA115" s="540"/>
      <c r="AB115" s="540"/>
      <c r="AC115" s="540"/>
      <c r="AD115" s="540"/>
      <c r="AE115" s="540"/>
      <c r="AF115" s="540"/>
      <c r="AG115" s="540"/>
      <c r="AH115" s="540"/>
      <c r="AI115" s="540"/>
      <c r="AJ115" s="540"/>
      <c r="AK115" s="540"/>
      <c r="AL115" s="540"/>
      <c r="AM115" s="540"/>
      <c r="AN115" s="540"/>
      <c r="AO115" s="540"/>
      <c r="AP115" s="540"/>
      <c r="AQ115" s="540"/>
      <c r="AR115" s="540"/>
      <c r="AS115" s="542"/>
      <c r="AT115" s="555"/>
    </row>
    <row r="116" spans="1:46" s="553" customFormat="1" ht="11.25" outlineLevel="1">
      <c r="A116" s="555"/>
      <c r="B116" s="538" t="s">
        <v>4871</v>
      </c>
      <c r="C116" s="543"/>
      <c r="D116" s="544"/>
      <c r="E116" s="544"/>
      <c r="F116" s="544"/>
      <c r="G116" s="544"/>
      <c r="H116" s="544"/>
      <c r="I116" s="544"/>
      <c r="J116" s="544"/>
      <c r="K116" s="544"/>
      <c r="L116" s="544"/>
      <c r="M116" s="544"/>
      <c r="N116" s="544"/>
      <c r="O116" s="544"/>
      <c r="P116" s="544" t="s">
        <v>4795</v>
      </c>
      <c r="Q116" s="544"/>
      <c r="R116" s="544"/>
      <c r="S116" s="544"/>
      <c r="T116" s="544"/>
      <c r="U116" s="544"/>
      <c r="V116" s="544"/>
      <c r="W116" s="544"/>
      <c r="X116" s="544"/>
      <c r="Y116" s="544"/>
      <c r="Z116" s="544"/>
      <c r="AA116" s="544"/>
      <c r="AB116" s="544"/>
      <c r="AC116" s="544"/>
      <c r="AD116" s="544"/>
      <c r="AE116" s="544"/>
      <c r="AF116" s="544"/>
      <c r="AG116" s="544"/>
      <c r="AH116" s="544"/>
      <c r="AI116" s="544"/>
      <c r="AJ116" s="544"/>
      <c r="AK116" s="544"/>
      <c r="AL116" s="544"/>
      <c r="AM116" s="544"/>
      <c r="AN116" s="544"/>
      <c r="AO116" s="544"/>
      <c r="AP116" s="544"/>
      <c r="AQ116" s="544"/>
      <c r="AR116" s="544"/>
      <c r="AS116" s="545"/>
      <c r="AT116" s="555"/>
    </row>
    <row r="117" spans="1:46" s="553" customFormat="1" ht="11.25" outlineLevel="1">
      <c r="A117" s="555"/>
      <c r="B117" s="538" t="s">
        <v>4872</v>
      </c>
      <c r="C117" s="539"/>
      <c r="D117" s="540"/>
      <c r="E117" s="540"/>
      <c r="F117" s="540"/>
      <c r="G117" s="540"/>
      <c r="H117" s="541" t="s">
        <v>4795</v>
      </c>
      <c r="I117" s="540"/>
      <c r="J117" s="540"/>
      <c r="K117" s="541" t="s">
        <v>4795</v>
      </c>
      <c r="L117" s="544"/>
      <c r="M117" s="540"/>
      <c r="N117" s="544"/>
      <c r="O117" s="541" t="s">
        <v>4795</v>
      </c>
      <c r="P117" s="540"/>
      <c r="Q117" s="540"/>
      <c r="R117" s="540"/>
      <c r="S117" s="541" t="s">
        <v>4795</v>
      </c>
      <c r="T117" s="540"/>
      <c r="U117" s="540"/>
      <c r="V117" s="540"/>
      <c r="W117" s="540"/>
      <c r="X117" s="540"/>
      <c r="Y117" s="540"/>
      <c r="Z117" s="540"/>
      <c r="AA117" s="540"/>
      <c r="AB117" s="540"/>
      <c r="AC117" s="540"/>
      <c r="AD117" s="540"/>
      <c r="AE117" s="540"/>
      <c r="AF117" s="540"/>
      <c r="AG117" s="540"/>
      <c r="AH117" s="540"/>
      <c r="AI117" s="540"/>
      <c r="AJ117" s="540"/>
      <c r="AK117" s="540"/>
      <c r="AL117" s="540"/>
      <c r="AM117" s="540"/>
      <c r="AN117" s="540"/>
      <c r="AO117" s="540"/>
      <c r="AP117" s="540"/>
      <c r="AQ117" s="540"/>
      <c r="AR117" s="540"/>
      <c r="AS117" s="542"/>
      <c r="AT117" s="555"/>
    </row>
    <row r="118" spans="1:46" s="553" customFormat="1" ht="11.25" outlineLevel="1">
      <c r="A118" s="555"/>
      <c r="B118" s="538" t="s">
        <v>4873</v>
      </c>
      <c r="C118" s="543"/>
      <c r="D118" s="544"/>
      <c r="E118" s="544"/>
      <c r="F118" s="544"/>
      <c r="G118" s="544"/>
      <c r="H118" s="544"/>
      <c r="I118" s="544"/>
      <c r="J118" s="544"/>
      <c r="K118" s="544"/>
      <c r="L118" s="544"/>
      <c r="M118" s="544"/>
      <c r="N118" s="544"/>
      <c r="O118" s="544"/>
      <c r="P118" s="544"/>
      <c r="Q118" s="544"/>
      <c r="R118" s="544"/>
      <c r="S118" s="544"/>
      <c r="T118" s="544"/>
      <c r="U118" s="544"/>
      <c r="V118" s="544"/>
      <c r="W118" s="544"/>
      <c r="X118" s="544"/>
      <c r="Y118" s="544"/>
      <c r="Z118" s="544"/>
      <c r="AA118" s="544"/>
      <c r="AB118" s="544"/>
      <c r="AC118" s="544"/>
      <c r="AD118" s="544"/>
      <c r="AE118" s="544"/>
      <c r="AF118" s="544"/>
      <c r="AG118" s="544"/>
      <c r="AH118" s="544"/>
      <c r="AI118" s="544"/>
      <c r="AJ118" s="544"/>
      <c r="AK118" s="544"/>
      <c r="AL118" s="544"/>
      <c r="AM118" s="544"/>
      <c r="AN118" s="544"/>
      <c r="AO118" s="544"/>
      <c r="AP118" s="544"/>
      <c r="AQ118" s="544"/>
      <c r="AR118" s="544"/>
      <c r="AS118" s="545"/>
      <c r="AT118" s="555"/>
    </row>
    <row r="119" spans="1:46" s="553" customFormat="1" ht="11.25" outlineLevel="1">
      <c r="A119" s="555"/>
      <c r="B119" s="538" t="s">
        <v>4874</v>
      </c>
      <c r="C119" s="539"/>
      <c r="D119" s="540"/>
      <c r="E119" s="540"/>
      <c r="F119" s="540"/>
      <c r="G119" s="540"/>
      <c r="H119" s="540"/>
      <c r="I119" s="540"/>
      <c r="J119" s="540"/>
      <c r="K119" s="540"/>
      <c r="L119" s="540"/>
      <c r="M119" s="540"/>
      <c r="N119" s="540"/>
      <c r="O119" s="540"/>
      <c r="P119" s="540"/>
      <c r="Q119" s="540"/>
      <c r="R119" s="540"/>
      <c r="S119" s="540"/>
      <c r="T119" s="540"/>
      <c r="U119" s="540"/>
      <c r="V119" s="540"/>
      <c r="W119" s="540"/>
      <c r="X119" s="540"/>
      <c r="Y119" s="540"/>
      <c r="Z119" s="540"/>
      <c r="AA119" s="540"/>
      <c r="AB119" s="540"/>
      <c r="AC119" s="540"/>
      <c r="AD119" s="540"/>
      <c r="AE119" s="540"/>
      <c r="AF119" s="540"/>
      <c r="AG119" s="540"/>
      <c r="AH119" s="540"/>
      <c r="AI119" s="540"/>
      <c r="AJ119" s="540"/>
      <c r="AK119" s="540"/>
      <c r="AL119" s="540"/>
      <c r="AM119" s="540"/>
      <c r="AN119" s="540"/>
      <c r="AO119" s="540"/>
      <c r="AP119" s="540"/>
      <c r="AQ119" s="540"/>
      <c r="AR119" s="540"/>
      <c r="AS119" s="542"/>
      <c r="AT119" s="555"/>
    </row>
    <row r="120" spans="1:46" s="553" customFormat="1" ht="11.25" outlineLevel="1">
      <c r="A120" s="555"/>
      <c r="B120" s="538" t="s">
        <v>4875</v>
      </c>
      <c r="C120" s="543"/>
      <c r="D120" s="544"/>
      <c r="E120" s="544"/>
      <c r="F120" s="544"/>
      <c r="G120" s="544"/>
      <c r="H120" s="544"/>
      <c r="I120" s="544"/>
      <c r="J120" s="544"/>
      <c r="K120" s="544"/>
      <c r="L120" s="544"/>
      <c r="M120" s="544"/>
      <c r="N120" s="544"/>
      <c r="O120" s="544"/>
      <c r="P120" s="544"/>
      <c r="Q120" s="544"/>
      <c r="R120" s="544"/>
      <c r="S120" s="544"/>
      <c r="T120" s="544"/>
      <c r="U120" s="541" t="s">
        <v>4795</v>
      </c>
      <c r="V120" s="544"/>
      <c r="W120" s="544"/>
      <c r="X120" s="544"/>
      <c r="Y120" s="544"/>
      <c r="Z120" s="544"/>
      <c r="AA120" s="544"/>
      <c r="AB120" s="544"/>
      <c r="AC120" s="544"/>
      <c r="AD120" s="544"/>
      <c r="AE120" s="544"/>
      <c r="AF120" s="544"/>
      <c r="AG120" s="544"/>
      <c r="AH120" s="544"/>
      <c r="AI120" s="544"/>
      <c r="AJ120" s="544"/>
      <c r="AK120" s="544"/>
      <c r="AL120" s="544"/>
      <c r="AM120" s="544"/>
      <c r="AN120" s="544"/>
      <c r="AO120" s="544"/>
      <c r="AP120" s="544"/>
      <c r="AQ120" s="544"/>
      <c r="AR120" s="544"/>
      <c r="AS120" s="545"/>
      <c r="AT120" s="555"/>
    </row>
    <row r="121" spans="1:46" s="553" customFormat="1" ht="11.25" outlineLevel="1">
      <c r="A121" s="555"/>
      <c r="B121" s="538" t="s">
        <v>4876</v>
      </c>
      <c r="C121" s="539"/>
      <c r="D121" s="540"/>
      <c r="E121" s="540"/>
      <c r="F121" s="540"/>
      <c r="G121" s="540"/>
      <c r="H121" s="540"/>
      <c r="I121" s="540"/>
      <c r="J121" s="540"/>
      <c r="K121" s="540"/>
      <c r="L121" s="540"/>
      <c r="M121" s="540"/>
      <c r="N121" s="540"/>
      <c r="O121" s="540"/>
      <c r="P121" s="540"/>
      <c r="Q121" s="540"/>
      <c r="R121" s="540"/>
      <c r="S121" s="540"/>
      <c r="T121" s="540"/>
      <c r="U121" s="540"/>
      <c r="V121" s="540"/>
      <c r="W121" s="540"/>
      <c r="X121" s="540"/>
      <c r="Y121" s="540"/>
      <c r="Z121" s="540"/>
      <c r="AA121" s="540"/>
      <c r="AB121" s="540"/>
      <c r="AC121" s="540"/>
      <c r="AD121" s="540"/>
      <c r="AE121" s="540"/>
      <c r="AF121" s="540"/>
      <c r="AG121" s="540"/>
      <c r="AH121" s="540"/>
      <c r="AI121" s="540"/>
      <c r="AJ121" s="540"/>
      <c r="AK121" s="540"/>
      <c r="AL121" s="540"/>
      <c r="AM121" s="540"/>
      <c r="AN121" s="540"/>
      <c r="AO121" s="540"/>
      <c r="AP121" s="540"/>
      <c r="AQ121" s="540"/>
      <c r="AR121" s="540"/>
      <c r="AS121" s="542"/>
      <c r="AT121" s="555"/>
    </row>
    <row r="122" spans="1:46" s="553" customFormat="1" ht="11.25" outlineLevel="1">
      <c r="A122" s="555"/>
      <c r="B122" s="538" t="s">
        <v>4877</v>
      </c>
      <c r="C122" s="543"/>
      <c r="D122" s="544"/>
      <c r="E122" s="544"/>
      <c r="F122" s="544"/>
      <c r="G122" s="544"/>
      <c r="H122" s="544"/>
      <c r="I122" s="544"/>
      <c r="J122" s="544"/>
      <c r="K122" s="544"/>
      <c r="L122" s="544"/>
      <c r="M122" s="544"/>
      <c r="N122" s="544"/>
      <c r="O122" s="544"/>
      <c r="P122" s="544"/>
      <c r="Q122" s="544"/>
      <c r="R122" s="544"/>
      <c r="S122" s="544"/>
      <c r="T122" s="544"/>
      <c r="U122" s="544"/>
      <c r="V122" s="544"/>
      <c r="W122" s="544"/>
      <c r="X122" s="544"/>
      <c r="Y122" s="544"/>
      <c r="Z122" s="544"/>
      <c r="AA122" s="544"/>
      <c r="AB122" s="544"/>
      <c r="AC122" s="544"/>
      <c r="AD122" s="544"/>
      <c r="AE122" s="544"/>
      <c r="AF122" s="544"/>
      <c r="AG122" s="544"/>
      <c r="AH122" s="544"/>
      <c r="AI122" s="544"/>
      <c r="AJ122" s="544"/>
      <c r="AK122" s="544"/>
      <c r="AL122" s="544"/>
      <c r="AM122" s="544"/>
      <c r="AN122" s="544"/>
      <c r="AO122" s="544"/>
      <c r="AP122" s="544"/>
      <c r="AQ122" s="544"/>
      <c r="AR122" s="544"/>
      <c r="AS122" s="545"/>
      <c r="AT122" s="555"/>
    </row>
    <row r="123" spans="1:46" s="553" customFormat="1" ht="11.25" outlineLevel="1">
      <c r="A123" s="555"/>
      <c r="B123" s="538" t="s">
        <v>4878</v>
      </c>
      <c r="C123" s="539"/>
      <c r="D123" s="540"/>
      <c r="E123" s="540"/>
      <c r="F123" s="540"/>
      <c r="G123" s="540"/>
      <c r="H123" s="540"/>
      <c r="I123" s="540"/>
      <c r="J123" s="540"/>
      <c r="K123" s="540"/>
      <c r="L123" s="540"/>
      <c r="M123" s="540"/>
      <c r="N123" s="540"/>
      <c r="O123" s="540"/>
      <c r="P123" s="540"/>
      <c r="Q123" s="541" t="s">
        <v>4795</v>
      </c>
      <c r="R123" s="540"/>
      <c r="S123" s="540"/>
      <c r="T123" s="541" t="s">
        <v>4795</v>
      </c>
      <c r="U123" s="540"/>
      <c r="V123" s="540"/>
      <c r="W123" s="540"/>
      <c r="X123" s="540"/>
      <c r="Y123" s="540"/>
      <c r="Z123" s="540"/>
      <c r="AA123" s="540"/>
      <c r="AB123" s="540"/>
      <c r="AC123" s="540"/>
      <c r="AD123" s="540"/>
      <c r="AE123" s="540"/>
      <c r="AF123" s="540"/>
      <c r="AG123" s="540"/>
      <c r="AH123" s="540"/>
      <c r="AI123" s="540"/>
      <c r="AJ123" s="540"/>
      <c r="AK123" s="540"/>
      <c r="AL123" s="540"/>
      <c r="AM123" s="540"/>
      <c r="AN123" s="540"/>
      <c r="AO123" s="540"/>
      <c r="AP123" s="540"/>
      <c r="AQ123" s="540"/>
      <c r="AR123" s="540"/>
      <c r="AS123" s="542"/>
      <c r="AT123" s="555"/>
    </row>
    <row r="124" spans="1:46" s="553" customFormat="1" ht="11.25" outlineLevel="1">
      <c r="A124" s="555"/>
      <c r="B124" s="538" t="s">
        <v>4879</v>
      </c>
      <c r="C124" s="543"/>
      <c r="D124" s="544"/>
      <c r="E124" s="544"/>
      <c r="F124" s="544"/>
      <c r="G124" s="544"/>
      <c r="H124" s="544"/>
      <c r="I124" s="544"/>
      <c r="J124" s="544"/>
      <c r="K124" s="544"/>
      <c r="L124" s="544"/>
      <c r="M124" s="544"/>
      <c r="N124" s="544"/>
      <c r="O124" s="544"/>
      <c r="P124" s="544"/>
      <c r="Q124" s="544"/>
      <c r="R124" s="544"/>
      <c r="S124" s="544"/>
      <c r="T124" s="544"/>
      <c r="U124" s="544"/>
      <c r="V124" s="544"/>
      <c r="W124" s="544"/>
      <c r="X124" s="544"/>
      <c r="Y124" s="544"/>
      <c r="Z124" s="544"/>
      <c r="AA124" s="544"/>
      <c r="AB124" s="544"/>
      <c r="AC124" s="544"/>
      <c r="AD124" s="544"/>
      <c r="AE124" s="544"/>
      <c r="AF124" s="544"/>
      <c r="AG124" s="544"/>
      <c r="AH124" s="544"/>
      <c r="AI124" s="544"/>
      <c r="AJ124" s="544"/>
      <c r="AK124" s="544"/>
      <c r="AL124" s="544"/>
      <c r="AM124" s="544"/>
      <c r="AN124" s="544"/>
      <c r="AO124" s="544"/>
      <c r="AP124" s="544"/>
      <c r="AQ124" s="544"/>
      <c r="AR124" s="544"/>
      <c r="AS124" s="545"/>
      <c r="AT124" s="555"/>
    </row>
    <row r="125" spans="1:46" s="553" customFormat="1" ht="11.25" outlineLevel="1">
      <c r="A125" s="555"/>
      <c r="B125" s="538" t="s">
        <v>4880</v>
      </c>
      <c r="C125" s="543"/>
      <c r="D125" s="544"/>
      <c r="E125" s="544"/>
      <c r="F125" s="544"/>
      <c r="G125" s="544"/>
      <c r="H125" s="544"/>
      <c r="I125" s="544"/>
      <c r="J125" s="544"/>
      <c r="K125" s="544"/>
      <c r="L125" s="544" t="s">
        <v>4795</v>
      </c>
      <c r="M125" s="544"/>
      <c r="N125" s="544"/>
      <c r="O125" s="544"/>
      <c r="P125" s="544"/>
      <c r="Q125" s="544"/>
      <c r="R125" s="544"/>
      <c r="S125" s="544"/>
      <c r="T125" s="544"/>
      <c r="U125" s="544"/>
      <c r="V125" s="544"/>
      <c r="W125" s="544"/>
      <c r="X125" s="544"/>
      <c r="Y125" s="544"/>
      <c r="Z125" s="544"/>
      <c r="AA125" s="544"/>
      <c r="AB125" s="544"/>
      <c r="AC125" s="544"/>
      <c r="AD125" s="544"/>
      <c r="AE125" s="544" t="s">
        <v>4795</v>
      </c>
      <c r="AF125" s="544"/>
      <c r="AG125" s="544"/>
      <c r="AH125" s="544"/>
      <c r="AI125" s="544"/>
      <c r="AJ125" s="544"/>
      <c r="AK125" s="544"/>
      <c r="AL125" s="544"/>
      <c r="AM125" s="544"/>
      <c r="AN125" s="544"/>
      <c r="AO125" s="544"/>
      <c r="AP125" s="544"/>
      <c r="AQ125" s="544"/>
      <c r="AR125" s="544"/>
      <c r="AS125" s="545"/>
      <c r="AT125" s="555"/>
    </row>
    <row r="126" spans="1:46" s="553" customFormat="1" ht="11.25" outlineLevel="1">
      <c r="A126" s="555"/>
      <c r="B126" s="538" t="s">
        <v>4881</v>
      </c>
      <c r="C126" s="539"/>
      <c r="D126" s="540"/>
      <c r="E126" s="540"/>
      <c r="F126" s="540"/>
      <c r="G126" s="540"/>
      <c r="H126" s="541" t="s">
        <v>4795</v>
      </c>
      <c r="I126" s="540"/>
      <c r="J126" s="540"/>
      <c r="K126" s="541" t="s">
        <v>4795</v>
      </c>
      <c r="L126" s="540"/>
      <c r="M126" s="540"/>
      <c r="N126" s="540"/>
      <c r="O126" s="541" t="s">
        <v>4795</v>
      </c>
      <c r="P126" s="540"/>
      <c r="Q126" s="540"/>
      <c r="R126" s="540"/>
      <c r="S126" s="541" t="s">
        <v>4795</v>
      </c>
      <c r="T126" s="540"/>
      <c r="U126" s="540"/>
      <c r="V126" s="540"/>
      <c r="W126" s="540"/>
      <c r="X126" s="540"/>
      <c r="Y126" s="540"/>
      <c r="Z126" s="540"/>
      <c r="AA126" s="540"/>
      <c r="AB126" s="540"/>
      <c r="AC126" s="540"/>
      <c r="AD126" s="541" t="s">
        <v>4795</v>
      </c>
      <c r="AE126" s="540"/>
      <c r="AF126" s="540"/>
      <c r="AG126" s="540"/>
      <c r="AH126" s="540"/>
      <c r="AI126" s="540"/>
      <c r="AJ126" s="540"/>
      <c r="AK126" s="540"/>
      <c r="AL126" s="540"/>
      <c r="AM126" s="540"/>
      <c r="AN126" s="540"/>
      <c r="AO126" s="540"/>
      <c r="AP126" s="540"/>
      <c r="AQ126" s="540"/>
      <c r="AR126" s="540"/>
      <c r="AS126" s="542"/>
      <c r="AT126" s="555"/>
    </row>
    <row r="127" spans="1:46" s="553" customFormat="1" ht="11.25" outlineLevel="1">
      <c r="A127" s="555"/>
      <c r="B127" s="538" t="s">
        <v>4882</v>
      </c>
      <c r="C127" s="543"/>
      <c r="D127" s="544"/>
      <c r="E127" s="544"/>
      <c r="F127" s="544"/>
      <c r="G127" s="544"/>
      <c r="H127" s="544"/>
      <c r="I127" s="544"/>
      <c r="J127" s="544"/>
      <c r="K127" s="544"/>
      <c r="L127" s="544"/>
      <c r="M127" s="544"/>
      <c r="N127" s="544"/>
      <c r="O127" s="544"/>
      <c r="P127" s="544"/>
      <c r="Q127" s="544"/>
      <c r="R127" s="544"/>
      <c r="S127" s="544"/>
      <c r="T127" s="544"/>
      <c r="U127" s="544"/>
      <c r="V127" s="544"/>
      <c r="W127" s="544"/>
      <c r="X127" s="544"/>
      <c r="Y127" s="544"/>
      <c r="Z127" s="541" t="s">
        <v>4795</v>
      </c>
      <c r="AA127" s="544"/>
      <c r="AB127" s="544"/>
      <c r="AC127" s="541" t="s">
        <v>4795</v>
      </c>
      <c r="AD127" s="544"/>
      <c r="AE127" s="544"/>
      <c r="AF127" s="544"/>
      <c r="AG127" s="544"/>
      <c r="AH127" s="544"/>
      <c r="AI127" s="544"/>
      <c r="AJ127" s="544"/>
      <c r="AK127" s="544"/>
      <c r="AL127" s="544"/>
      <c r="AM127" s="544"/>
      <c r="AN127" s="544"/>
      <c r="AO127" s="544"/>
      <c r="AP127" s="544"/>
      <c r="AQ127" s="544"/>
      <c r="AR127" s="544"/>
      <c r="AS127" s="545"/>
      <c r="AT127" s="555"/>
    </row>
    <row r="128" spans="1:46" s="553" customFormat="1" ht="11.25" outlineLevel="1">
      <c r="A128" s="555"/>
      <c r="B128" s="538" t="s">
        <v>4883</v>
      </c>
      <c r="C128" s="539"/>
      <c r="D128" s="540"/>
      <c r="E128" s="540"/>
      <c r="F128" s="540"/>
      <c r="G128" s="540"/>
      <c r="H128" s="540"/>
      <c r="I128" s="540"/>
      <c r="J128" s="540"/>
      <c r="K128" s="540"/>
      <c r="L128" s="540"/>
      <c r="M128" s="540"/>
      <c r="N128" s="540"/>
      <c r="O128" s="540"/>
      <c r="P128" s="540"/>
      <c r="Q128" s="540"/>
      <c r="R128" s="540"/>
      <c r="S128" s="540"/>
      <c r="T128" s="540"/>
      <c r="U128" s="540"/>
      <c r="V128" s="540"/>
      <c r="W128" s="540"/>
      <c r="X128" s="540"/>
      <c r="Y128" s="540"/>
      <c r="Z128" s="540"/>
      <c r="AA128" s="540"/>
      <c r="AB128" s="540"/>
      <c r="AC128" s="540"/>
      <c r="AD128" s="540"/>
      <c r="AE128" s="540"/>
      <c r="AF128" s="540"/>
      <c r="AG128" s="540"/>
      <c r="AH128" s="540"/>
      <c r="AI128" s="540"/>
      <c r="AJ128" s="540"/>
      <c r="AK128" s="540"/>
      <c r="AL128" s="540"/>
      <c r="AM128" s="540"/>
      <c r="AN128" s="540"/>
      <c r="AO128" s="540"/>
      <c r="AP128" s="540"/>
      <c r="AQ128" s="540"/>
      <c r="AR128" s="540"/>
      <c r="AS128" s="542"/>
      <c r="AT128" s="555"/>
    </row>
    <row r="129" spans="1:46" s="553" customFormat="1" ht="11.25" outlineLevel="1">
      <c r="A129" s="555"/>
      <c r="B129" s="538" t="s">
        <v>4884</v>
      </c>
      <c r="C129" s="543"/>
      <c r="D129" s="544"/>
      <c r="E129" s="544"/>
      <c r="F129" s="544"/>
      <c r="G129" s="544"/>
      <c r="H129" s="544"/>
      <c r="I129" s="544"/>
      <c r="J129" s="544"/>
      <c r="K129" s="544"/>
      <c r="L129" s="544"/>
      <c r="M129" s="544"/>
      <c r="N129" s="544"/>
      <c r="O129" s="544"/>
      <c r="P129" s="544"/>
      <c r="Q129" s="544"/>
      <c r="R129" s="544"/>
      <c r="S129" s="544"/>
      <c r="T129" s="544"/>
      <c r="U129" s="544"/>
      <c r="V129" s="544"/>
      <c r="W129" s="544"/>
      <c r="X129" s="544"/>
      <c r="Y129" s="544"/>
      <c r="Z129" s="544"/>
      <c r="AA129" s="544"/>
      <c r="AB129" s="544"/>
      <c r="AC129" s="544"/>
      <c r="AD129" s="544"/>
      <c r="AE129" s="544"/>
      <c r="AF129" s="544"/>
      <c r="AG129" s="544"/>
      <c r="AH129" s="544"/>
      <c r="AI129" s="544"/>
      <c r="AJ129" s="544"/>
      <c r="AK129" s="544"/>
      <c r="AL129" s="544"/>
      <c r="AM129" s="544"/>
      <c r="AN129" s="544"/>
      <c r="AO129" s="544"/>
      <c r="AP129" s="544"/>
      <c r="AQ129" s="544"/>
      <c r="AR129" s="544"/>
      <c r="AS129" s="545"/>
      <c r="AT129" s="555"/>
    </row>
    <row r="130" spans="1:46" s="553" customFormat="1" ht="11.25" outlineLevel="1">
      <c r="A130" s="555"/>
      <c r="B130" s="538" t="s">
        <v>4885</v>
      </c>
      <c r="C130" s="543"/>
      <c r="D130" s="544"/>
      <c r="E130" s="544"/>
      <c r="F130" s="544"/>
      <c r="G130" s="544"/>
      <c r="H130" s="544"/>
      <c r="I130" s="544"/>
      <c r="J130" s="544"/>
      <c r="K130" s="544"/>
      <c r="L130" s="544"/>
      <c r="M130" s="544"/>
      <c r="N130" s="544"/>
      <c r="O130" s="544"/>
      <c r="P130" s="544"/>
      <c r="Q130" s="544"/>
      <c r="R130" s="544"/>
      <c r="S130" s="544"/>
      <c r="T130" s="544"/>
      <c r="U130" s="544"/>
      <c r="V130" s="544"/>
      <c r="W130" s="544"/>
      <c r="X130" s="544"/>
      <c r="Y130" s="544"/>
      <c r="Z130" s="544"/>
      <c r="AA130" s="544"/>
      <c r="AB130" s="544"/>
      <c r="AC130" s="544"/>
      <c r="AD130" s="544"/>
      <c r="AE130" s="544"/>
      <c r="AF130" s="544"/>
      <c r="AG130" s="544"/>
      <c r="AH130" s="544"/>
      <c r="AI130" s="544"/>
      <c r="AJ130" s="544"/>
      <c r="AK130" s="544"/>
      <c r="AL130" s="544"/>
      <c r="AM130" s="544"/>
      <c r="AN130" s="544"/>
      <c r="AO130" s="544"/>
      <c r="AP130" s="544"/>
      <c r="AQ130" s="544"/>
      <c r="AR130" s="544"/>
      <c r="AS130" s="545"/>
      <c r="AT130" s="555"/>
    </row>
    <row r="131" spans="1:46" s="553" customFormat="1" ht="11.25" outlineLevel="1">
      <c r="A131" s="555"/>
      <c r="B131" s="538" t="s">
        <v>4886</v>
      </c>
      <c r="C131" s="539"/>
      <c r="D131" s="540"/>
      <c r="E131" s="540"/>
      <c r="F131" s="540"/>
      <c r="G131" s="540"/>
      <c r="H131" s="540"/>
      <c r="I131" s="540"/>
      <c r="J131" s="540"/>
      <c r="K131" s="540"/>
      <c r="L131" s="540"/>
      <c r="M131" s="540"/>
      <c r="N131" s="540"/>
      <c r="O131" s="540"/>
      <c r="P131" s="540"/>
      <c r="Q131" s="540" t="s">
        <v>4795</v>
      </c>
      <c r="R131" s="540"/>
      <c r="S131" s="540"/>
      <c r="T131" s="540" t="s">
        <v>4795</v>
      </c>
      <c r="U131" s="540"/>
      <c r="V131" s="540"/>
      <c r="W131" s="540"/>
      <c r="X131" s="540"/>
      <c r="Y131" s="540"/>
      <c r="Z131" s="540"/>
      <c r="AA131" s="540"/>
      <c r="AB131" s="540"/>
      <c r="AC131" s="540"/>
      <c r="AD131" s="540"/>
      <c r="AE131" s="540" t="s">
        <v>4795</v>
      </c>
      <c r="AF131" s="540"/>
      <c r="AG131" s="540"/>
      <c r="AH131" s="540"/>
      <c r="AI131" s="540"/>
      <c r="AJ131" s="540"/>
      <c r="AK131" s="540"/>
      <c r="AL131" s="540"/>
      <c r="AM131" s="540"/>
      <c r="AN131" s="540"/>
      <c r="AO131" s="540"/>
      <c r="AP131" s="540"/>
      <c r="AQ131" s="540"/>
      <c r="AR131" s="540"/>
      <c r="AS131" s="542"/>
      <c r="AT131" s="555"/>
    </row>
    <row r="132" spans="1:46" s="553" customFormat="1" ht="11.25" outlineLevel="1">
      <c r="A132" s="555"/>
      <c r="B132" s="538" t="s">
        <v>4887</v>
      </c>
      <c r="C132" s="543"/>
      <c r="D132" s="544"/>
      <c r="E132" s="544"/>
      <c r="F132" s="544"/>
      <c r="G132" s="544"/>
      <c r="H132" s="544"/>
      <c r="I132" s="544"/>
      <c r="J132" s="544"/>
      <c r="K132" s="544"/>
      <c r="L132" s="544"/>
      <c r="M132" s="544"/>
      <c r="N132" s="544"/>
      <c r="O132" s="544"/>
      <c r="P132" s="544"/>
      <c r="Q132" s="544"/>
      <c r="R132" s="544"/>
      <c r="S132" s="544"/>
      <c r="T132" s="544"/>
      <c r="U132" s="544"/>
      <c r="V132" s="544"/>
      <c r="W132" s="544"/>
      <c r="X132" s="544"/>
      <c r="Y132" s="544"/>
      <c r="Z132" s="544"/>
      <c r="AA132" s="544"/>
      <c r="AB132" s="544"/>
      <c r="AC132" s="544"/>
      <c r="AD132" s="544"/>
      <c r="AE132" s="544"/>
      <c r="AF132" s="544"/>
      <c r="AG132" s="544"/>
      <c r="AH132" s="544"/>
      <c r="AI132" s="544"/>
      <c r="AJ132" s="544"/>
      <c r="AK132" s="544"/>
      <c r="AL132" s="544"/>
      <c r="AM132" s="544"/>
      <c r="AN132" s="544"/>
      <c r="AO132" s="544"/>
      <c r="AP132" s="544"/>
      <c r="AQ132" s="544"/>
      <c r="AR132" s="544"/>
      <c r="AS132" s="545"/>
      <c r="AT132" s="555"/>
    </row>
    <row r="133" spans="1:46" s="553" customFormat="1" ht="11.25" outlineLevel="1">
      <c r="A133" s="555"/>
      <c r="B133" s="538" t="s">
        <v>4888</v>
      </c>
      <c r="C133" s="539"/>
      <c r="D133" s="540"/>
      <c r="E133" s="540"/>
      <c r="F133" s="540"/>
      <c r="G133" s="540"/>
      <c r="H133" s="540"/>
      <c r="I133" s="540"/>
      <c r="J133" s="540"/>
      <c r="K133" s="540"/>
      <c r="L133" s="540"/>
      <c r="M133" s="540"/>
      <c r="N133" s="540"/>
      <c r="O133" s="540"/>
      <c r="P133" s="540" t="s">
        <v>4795</v>
      </c>
      <c r="Q133" s="540"/>
      <c r="R133" s="540"/>
      <c r="S133" s="540"/>
      <c r="T133" s="540"/>
      <c r="U133" s="540"/>
      <c r="V133" s="540"/>
      <c r="W133" s="540"/>
      <c r="X133" s="540"/>
      <c r="Y133" s="540"/>
      <c r="Z133" s="540"/>
      <c r="AA133" s="540"/>
      <c r="AB133" s="540"/>
      <c r="AC133" s="540"/>
      <c r="AD133" s="540" t="s">
        <v>4795</v>
      </c>
      <c r="AE133" s="540"/>
      <c r="AF133" s="540"/>
      <c r="AG133" s="540"/>
      <c r="AH133" s="540"/>
      <c r="AI133" s="540"/>
      <c r="AJ133" s="540"/>
      <c r="AK133" s="540"/>
      <c r="AL133" s="540"/>
      <c r="AM133" s="540"/>
      <c r="AN133" s="540"/>
      <c r="AO133" s="540"/>
      <c r="AP133" s="540"/>
      <c r="AQ133" s="540"/>
      <c r="AR133" s="540"/>
      <c r="AS133" s="542"/>
      <c r="AT133" s="555"/>
    </row>
    <row r="134" spans="1:46" s="553" customFormat="1" ht="11.25" outlineLevel="1">
      <c r="A134" s="555"/>
      <c r="B134" s="538" t="s">
        <v>4889</v>
      </c>
      <c r="C134" s="543"/>
      <c r="D134" s="544"/>
      <c r="E134" s="544"/>
      <c r="F134" s="544"/>
      <c r="G134" s="544"/>
      <c r="H134" s="544"/>
      <c r="I134" s="544"/>
      <c r="J134" s="544"/>
      <c r="K134" s="544"/>
      <c r="L134" s="544"/>
      <c r="M134" s="544"/>
      <c r="N134" s="544"/>
      <c r="O134" s="544"/>
      <c r="P134" s="544"/>
      <c r="Q134" s="544"/>
      <c r="R134" s="544"/>
      <c r="S134" s="544"/>
      <c r="T134" s="544"/>
      <c r="U134" s="544"/>
      <c r="V134" s="544"/>
      <c r="W134" s="544"/>
      <c r="X134" s="544"/>
      <c r="Y134" s="544"/>
      <c r="Z134" s="544"/>
      <c r="AA134" s="544"/>
      <c r="AB134" s="544"/>
      <c r="AC134" s="544"/>
      <c r="AD134" s="544"/>
      <c r="AE134" s="544"/>
      <c r="AF134" s="544"/>
      <c r="AG134" s="544"/>
      <c r="AH134" s="544"/>
      <c r="AI134" s="544"/>
      <c r="AJ134" s="544"/>
      <c r="AK134" s="544"/>
      <c r="AL134" s="544"/>
      <c r="AM134" s="544"/>
      <c r="AN134" s="544"/>
      <c r="AO134" s="544"/>
      <c r="AP134" s="544"/>
      <c r="AQ134" s="544"/>
      <c r="AR134" s="544"/>
      <c r="AS134" s="545"/>
      <c r="AT134" s="555"/>
    </row>
    <row r="135" spans="1:46" s="553" customFormat="1" ht="11.25" outlineLevel="1">
      <c r="A135" s="555"/>
      <c r="B135" s="538" t="s">
        <v>4890</v>
      </c>
      <c r="C135" s="539"/>
      <c r="D135" s="540"/>
      <c r="E135" s="540"/>
      <c r="F135" s="540"/>
      <c r="G135" s="540"/>
      <c r="H135" s="540"/>
      <c r="I135" s="540"/>
      <c r="J135" s="540"/>
      <c r="K135" s="541" t="s">
        <v>4795</v>
      </c>
      <c r="L135" s="540"/>
      <c r="M135" s="540"/>
      <c r="N135" s="540"/>
      <c r="O135" s="541" t="s">
        <v>4795</v>
      </c>
      <c r="P135" s="540"/>
      <c r="Q135" s="540"/>
      <c r="R135" s="540"/>
      <c r="S135" s="541" t="s">
        <v>4795</v>
      </c>
      <c r="T135" s="540"/>
      <c r="U135" s="540"/>
      <c r="V135" s="540"/>
      <c r="W135" s="540"/>
      <c r="X135" s="540"/>
      <c r="Y135" s="540"/>
      <c r="Z135" s="540" t="s">
        <v>4795</v>
      </c>
      <c r="AA135" s="540"/>
      <c r="AB135" s="540"/>
      <c r="AC135" s="540" t="s">
        <v>4795</v>
      </c>
      <c r="AD135" s="540"/>
      <c r="AE135" s="540"/>
      <c r="AF135" s="540"/>
      <c r="AG135" s="540"/>
      <c r="AH135" s="540"/>
      <c r="AI135" s="540"/>
      <c r="AJ135" s="540"/>
      <c r="AK135" s="540"/>
      <c r="AL135" s="540"/>
      <c r="AM135" s="540"/>
      <c r="AN135" s="540"/>
      <c r="AO135" s="540"/>
      <c r="AP135" s="540"/>
      <c r="AQ135" s="540"/>
      <c r="AR135" s="540"/>
      <c r="AS135" s="542"/>
      <c r="AT135" s="555"/>
    </row>
    <row r="136" spans="1:46" s="553" customFormat="1" ht="11.25" outlineLevel="1">
      <c r="A136" s="555"/>
      <c r="B136" s="538" t="s">
        <v>4891</v>
      </c>
      <c r="C136" s="543"/>
      <c r="D136" s="544"/>
      <c r="E136" s="544"/>
      <c r="F136" s="544"/>
      <c r="G136" s="544"/>
      <c r="H136" s="544"/>
      <c r="I136" s="544"/>
      <c r="J136" s="544"/>
      <c r="K136" s="544"/>
      <c r="L136" s="544"/>
      <c r="M136" s="544"/>
      <c r="N136" s="544"/>
      <c r="O136" s="544"/>
      <c r="P136" s="544"/>
      <c r="Q136" s="544"/>
      <c r="R136" s="544"/>
      <c r="S136" s="544"/>
      <c r="T136" s="544"/>
      <c r="U136" s="544"/>
      <c r="V136" s="544"/>
      <c r="W136" s="544"/>
      <c r="X136" s="544"/>
      <c r="Y136" s="541" t="s">
        <v>4795</v>
      </c>
      <c r="Z136" s="544"/>
      <c r="AA136" s="544"/>
      <c r="AB136" s="544"/>
      <c r="AC136" s="544"/>
      <c r="AD136" s="544"/>
      <c r="AE136" s="544"/>
      <c r="AF136" s="544"/>
      <c r="AG136" s="544"/>
      <c r="AH136" s="544"/>
      <c r="AI136" s="544"/>
      <c r="AJ136" s="544"/>
      <c r="AK136" s="544"/>
      <c r="AL136" s="544"/>
      <c r="AM136" s="544"/>
      <c r="AN136" s="544"/>
      <c r="AO136" s="544"/>
      <c r="AP136" s="544"/>
      <c r="AQ136" s="544"/>
      <c r="AR136" s="544"/>
      <c r="AS136" s="545"/>
      <c r="AT136" s="555"/>
    </row>
    <row r="137" spans="1:46" s="553" customFormat="1" ht="11.25" outlineLevel="1">
      <c r="A137" s="555"/>
      <c r="B137" s="538" t="s">
        <v>4892</v>
      </c>
      <c r="C137" s="539"/>
      <c r="D137" s="540"/>
      <c r="E137" s="540"/>
      <c r="F137" s="540"/>
      <c r="G137" s="540"/>
      <c r="H137" s="540"/>
      <c r="I137" s="540"/>
      <c r="J137" s="540"/>
      <c r="K137" s="540"/>
      <c r="L137" s="540"/>
      <c r="M137" s="540"/>
      <c r="N137" s="540"/>
      <c r="O137" s="540"/>
      <c r="P137" s="540"/>
      <c r="Q137" s="541" t="s">
        <v>4795</v>
      </c>
      <c r="R137" s="540"/>
      <c r="S137" s="540"/>
      <c r="T137" s="540"/>
      <c r="U137" s="541" t="s">
        <v>4795</v>
      </c>
      <c r="V137" s="540"/>
      <c r="W137" s="540"/>
      <c r="X137" s="541" t="s">
        <v>4795</v>
      </c>
      <c r="Y137" s="540"/>
      <c r="Z137" s="540"/>
      <c r="AA137" s="540"/>
      <c r="AB137" s="541" t="s">
        <v>4795</v>
      </c>
      <c r="AC137" s="540"/>
      <c r="AD137" s="540"/>
      <c r="AE137" s="540"/>
      <c r="AF137" s="540"/>
      <c r="AG137" s="540"/>
      <c r="AH137" s="540"/>
      <c r="AI137" s="540"/>
      <c r="AJ137" s="540"/>
      <c r="AK137" s="540"/>
      <c r="AL137" s="540"/>
      <c r="AM137" s="540"/>
      <c r="AN137" s="540"/>
      <c r="AO137" s="540"/>
      <c r="AP137" s="540"/>
      <c r="AQ137" s="540"/>
      <c r="AR137" s="540"/>
      <c r="AS137" s="542"/>
      <c r="AT137" s="555"/>
    </row>
    <row r="138" spans="1:46" s="553" customFormat="1" ht="11.25" outlineLevel="1">
      <c r="A138" s="555"/>
      <c r="B138" s="538" t="s">
        <v>4893</v>
      </c>
      <c r="C138" s="543"/>
      <c r="D138" s="544"/>
      <c r="E138" s="544"/>
      <c r="F138" s="544"/>
      <c r="G138" s="544"/>
      <c r="H138" s="544"/>
      <c r="I138" s="544"/>
      <c r="J138" s="544"/>
      <c r="K138" s="544"/>
      <c r="L138" s="544"/>
      <c r="M138" s="544"/>
      <c r="N138" s="544"/>
      <c r="O138" s="544"/>
      <c r="P138" s="544"/>
      <c r="Q138" s="544"/>
      <c r="R138" s="544"/>
      <c r="S138" s="544"/>
      <c r="T138" s="544"/>
      <c r="U138" s="544"/>
      <c r="V138" s="544"/>
      <c r="W138" s="544"/>
      <c r="X138" s="544"/>
      <c r="Y138" s="544"/>
      <c r="Z138" s="544"/>
      <c r="AA138" s="544"/>
      <c r="AB138" s="544"/>
      <c r="AC138" s="544"/>
      <c r="AD138" s="544"/>
      <c r="AE138" s="544"/>
      <c r="AF138" s="544"/>
      <c r="AG138" s="544"/>
      <c r="AH138" s="544"/>
      <c r="AI138" s="544"/>
      <c r="AJ138" s="544"/>
      <c r="AK138" s="544"/>
      <c r="AL138" s="544"/>
      <c r="AM138" s="544"/>
      <c r="AN138" s="544"/>
      <c r="AO138" s="544"/>
      <c r="AP138" s="544"/>
      <c r="AQ138" s="544"/>
      <c r="AR138" s="544"/>
      <c r="AS138" s="545"/>
      <c r="AT138" s="555"/>
    </row>
    <row r="139" spans="1:46" s="553" customFormat="1" ht="11.25" outlineLevel="1">
      <c r="A139" s="555"/>
      <c r="B139" s="538" t="s">
        <v>4894</v>
      </c>
      <c r="C139" s="539"/>
      <c r="D139" s="540"/>
      <c r="E139" s="540"/>
      <c r="F139" s="540"/>
      <c r="G139" s="540"/>
      <c r="H139" s="540"/>
      <c r="I139" s="540"/>
      <c r="J139" s="540"/>
      <c r="K139" s="540"/>
      <c r="L139" s="540"/>
      <c r="M139" s="540"/>
      <c r="N139" s="540"/>
      <c r="O139" s="540"/>
      <c r="P139" s="540"/>
      <c r="Q139" s="540"/>
      <c r="R139" s="540"/>
      <c r="S139" s="540"/>
      <c r="T139" s="540"/>
      <c r="U139" s="540"/>
      <c r="V139" s="540"/>
      <c r="W139" s="540"/>
      <c r="X139" s="540"/>
      <c r="Y139" s="540"/>
      <c r="Z139" s="540"/>
      <c r="AA139" s="540"/>
      <c r="AB139" s="540"/>
      <c r="AC139" s="540"/>
      <c r="AD139" s="540"/>
      <c r="AE139" s="540"/>
      <c r="AF139" s="540"/>
      <c r="AG139" s="540"/>
      <c r="AH139" s="540"/>
      <c r="AI139" s="540"/>
      <c r="AJ139" s="540"/>
      <c r="AK139" s="540"/>
      <c r="AL139" s="540"/>
      <c r="AM139" s="540"/>
      <c r="AN139" s="540"/>
      <c r="AO139" s="540"/>
      <c r="AP139" s="540"/>
      <c r="AQ139" s="540"/>
      <c r="AR139" s="540"/>
      <c r="AS139" s="542"/>
      <c r="AT139" s="555"/>
    </row>
    <row r="140" spans="1:46" s="553" customFormat="1" ht="11.25" outlineLevel="1">
      <c r="A140" s="555"/>
      <c r="B140" s="538" t="s">
        <v>4895</v>
      </c>
      <c r="C140" s="543"/>
      <c r="D140" s="544"/>
      <c r="E140" s="544"/>
      <c r="F140" s="544"/>
      <c r="G140" s="544"/>
      <c r="H140" s="544"/>
      <c r="I140" s="544"/>
      <c r="J140" s="544"/>
      <c r="K140" s="544"/>
      <c r="L140" s="544"/>
      <c r="M140" s="544"/>
      <c r="N140" s="544"/>
      <c r="O140" s="544"/>
      <c r="P140" s="544"/>
      <c r="Q140" s="544" t="s">
        <v>4795</v>
      </c>
      <c r="R140" s="544"/>
      <c r="S140" s="544"/>
      <c r="T140" s="544" t="s">
        <v>4795</v>
      </c>
      <c r="U140" s="544"/>
      <c r="V140" s="544"/>
      <c r="W140" s="544"/>
      <c r="X140" s="544"/>
      <c r="Y140" s="544"/>
      <c r="Z140" s="544"/>
      <c r="AA140" s="544"/>
      <c r="AB140" s="544"/>
      <c r="AC140" s="544"/>
      <c r="AD140" s="544"/>
      <c r="AE140" s="544"/>
      <c r="AF140" s="544"/>
      <c r="AG140" s="544"/>
      <c r="AH140" s="544"/>
      <c r="AI140" s="544"/>
      <c r="AJ140" s="544"/>
      <c r="AK140" s="544"/>
      <c r="AL140" s="544"/>
      <c r="AM140" s="544"/>
      <c r="AN140" s="544"/>
      <c r="AO140" s="544"/>
      <c r="AP140" s="544"/>
      <c r="AQ140" s="544"/>
      <c r="AR140" s="544"/>
      <c r="AS140" s="545"/>
      <c r="AT140" s="555"/>
    </row>
    <row r="141" spans="1:46" s="553" customFormat="1" ht="11.25" outlineLevel="1">
      <c r="A141" s="555"/>
      <c r="B141" s="538" t="s">
        <v>4896</v>
      </c>
      <c r="C141" s="539"/>
      <c r="D141" s="540"/>
      <c r="E141" s="540"/>
      <c r="F141" s="540"/>
      <c r="G141" s="540"/>
      <c r="H141" s="540"/>
      <c r="I141" s="540"/>
      <c r="J141" s="540"/>
      <c r="K141" s="540"/>
      <c r="L141" s="540"/>
      <c r="M141" s="540"/>
      <c r="N141" s="540"/>
      <c r="O141" s="540"/>
      <c r="P141" s="540"/>
      <c r="Q141" s="540"/>
      <c r="R141" s="540"/>
      <c r="S141" s="540"/>
      <c r="T141" s="540"/>
      <c r="U141" s="540"/>
      <c r="V141" s="540"/>
      <c r="W141" s="540"/>
      <c r="X141" s="540"/>
      <c r="Y141" s="540"/>
      <c r="Z141" s="540"/>
      <c r="AA141" s="540"/>
      <c r="AB141" s="540"/>
      <c r="AC141" s="540"/>
      <c r="AD141" s="540" t="s">
        <v>4795</v>
      </c>
      <c r="AE141" s="540"/>
      <c r="AF141" s="540"/>
      <c r="AG141" s="540"/>
      <c r="AH141" s="540"/>
      <c r="AI141" s="540"/>
      <c r="AJ141" s="540"/>
      <c r="AK141" s="540"/>
      <c r="AL141" s="540"/>
      <c r="AM141" s="540"/>
      <c r="AN141" s="540"/>
      <c r="AO141" s="540"/>
      <c r="AP141" s="540"/>
      <c r="AQ141" s="540"/>
      <c r="AR141" s="540"/>
      <c r="AS141" s="542"/>
      <c r="AT141" s="555"/>
    </row>
    <row r="142" spans="1:46" s="553" customFormat="1" ht="11.25" outlineLevel="1">
      <c r="A142" s="555"/>
      <c r="B142" s="538" t="s">
        <v>4897</v>
      </c>
      <c r="C142" s="543"/>
      <c r="D142" s="544"/>
      <c r="E142" s="544"/>
      <c r="F142" s="544"/>
      <c r="G142" s="544"/>
      <c r="H142" s="544"/>
      <c r="I142" s="544"/>
      <c r="J142" s="544"/>
      <c r="K142" s="544"/>
      <c r="L142" s="544"/>
      <c r="M142" s="544"/>
      <c r="N142" s="544"/>
      <c r="O142" s="544"/>
      <c r="P142" s="544"/>
      <c r="Q142" s="544"/>
      <c r="R142" s="544"/>
      <c r="S142" s="544"/>
      <c r="T142" s="544"/>
      <c r="U142" s="544"/>
      <c r="V142" s="544"/>
      <c r="W142" s="544"/>
      <c r="X142" s="544"/>
      <c r="Y142" s="544"/>
      <c r="Z142" s="544"/>
      <c r="AA142" s="544"/>
      <c r="AB142" s="544"/>
      <c r="AC142" s="544"/>
      <c r="AD142" s="544"/>
      <c r="AE142" s="544"/>
      <c r="AF142" s="544"/>
      <c r="AG142" s="544"/>
      <c r="AH142" s="544"/>
      <c r="AI142" s="544"/>
      <c r="AJ142" s="544"/>
      <c r="AK142" s="544"/>
      <c r="AL142" s="544"/>
      <c r="AM142" s="544"/>
      <c r="AN142" s="544"/>
      <c r="AO142" s="544"/>
      <c r="AP142" s="544"/>
      <c r="AQ142" s="544"/>
      <c r="AR142" s="544"/>
      <c r="AS142" s="545"/>
      <c r="AT142" s="555"/>
    </row>
    <row r="143" spans="1:46" s="553" customFormat="1" ht="11.25" outlineLevel="1">
      <c r="A143" s="555"/>
      <c r="B143" s="538" t="s">
        <v>4898</v>
      </c>
      <c r="C143" s="539"/>
      <c r="D143" s="540"/>
      <c r="E143" s="540"/>
      <c r="F143" s="540"/>
      <c r="G143" s="540"/>
      <c r="H143" s="540"/>
      <c r="I143" s="540"/>
      <c r="J143" s="540"/>
      <c r="K143" s="540"/>
      <c r="L143" s="540"/>
      <c r="M143" s="540"/>
      <c r="N143" s="540"/>
      <c r="O143" s="540"/>
      <c r="P143" s="540"/>
      <c r="Q143" s="540"/>
      <c r="R143" s="540"/>
      <c r="S143" s="540"/>
      <c r="T143" s="540"/>
      <c r="U143" s="540"/>
      <c r="V143" s="540"/>
      <c r="W143" s="540"/>
      <c r="X143" s="540"/>
      <c r="Y143" s="540"/>
      <c r="Z143" s="540"/>
      <c r="AA143" s="540"/>
      <c r="AB143" s="540"/>
      <c r="AC143" s="540"/>
      <c r="AD143" s="540"/>
      <c r="AE143" s="540"/>
      <c r="AF143" s="540"/>
      <c r="AG143" s="540"/>
      <c r="AH143" s="540"/>
      <c r="AI143" s="540"/>
      <c r="AJ143" s="540"/>
      <c r="AK143" s="540"/>
      <c r="AL143" s="540"/>
      <c r="AM143" s="540"/>
      <c r="AN143" s="540"/>
      <c r="AO143" s="540"/>
      <c r="AP143" s="540"/>
      <c r="AQ143" s="540"/>
      <c r="AR143" s="540"/>
      <c r="AS143" s="542"/>
      <c r="AT143" s="555"/>
    </row>
    <row r="144" spans="1:46" s="553" customFormat="1" ht="11.25" outlineLevel="1">
      <c r="A144" s="555"/>
      <c r="B144" s="538" t="s">
        <v>4899</v>
      </c>
      <c r="C144" s="543"/>
      <c r="D144" s="544"/>
      <c r="E144" s="544"/>
      <c r="F144" s="544"/>
      <c r="G144" s="544"/>
      <c r="H144" s="544"/>
      <c r="I144" s="544"/>
      <c r="J144" s="544"/>
      <c r="K144" s="544"/>
      <c r="L144" s="544"/>
      <c r="M144" s="544"/>
      <c r="N144" s="544"/>
      <c r="O144" s="544"/>
      <c r="P144" s="544"/>
      <c r="Q144" s="544"/>
      <c r="R144" s="544"/>
      <c r="S144" s="544"/>
      <c r="T144" s="544"/>
      <c r="U144" s="544"/>
      <c r="V144" s="544"/>
      <c r="W144" s="544"/>
      <c r="X144" s="544"/>
      <c r="Y144" s="544"/>
      <c r="Z144" s="544" t="s">
        <v>4795</v>
      </c>
      <c r="AA144" s="544"/>
      <c r="AB144" s="544"/>
      <c r="AC144" s="544" t="s">
        <v>4795</v>
      </c>
      <c r="AD144" s="544"/>
      <c r="AE144" s="544"/>
      <c r="AF144" s="544"/>
      <c r="AG144" s="544"/>
      <c r="AH144" s="544"/>
      <c r="AI144" s="544"/>
      <c r="AJ144" s="544"/>
      <c r="AK144" s="544"/>
      <c r="AL144" s="544"/>
      <c r="AM144" s="544"/>
      <c r="AN144" s="544"/>
      <c r="AO144" s="544"/>
      <c r="AP144" s="544"/>
      <c r="AQ144" s="544"/>
      <c r="AR144" s="544"/>
      <c r="AS144" s="545"/>
      <c r="AT144" s="555"/>
    </row>
    <row r="145" spans="1:46" s="553" customFormat="1" ht="11.25" outlineLevel="1">
      <c r="A145" s="555"/>
      <c r="B145" s="538" t="s">
        <v>4900</v>
      </c>
      <c r="C145" s="539"/>
      <c r="D145" s="540"/>
      <c r="E145" s="540"/>
      <c r="F145" s="540"/>
      <c r="G145" s="540"/>
      <c r="H145" s="541" t="s">
        <v>4795</v>
      </c>
      <c r="I145" s="540"/>
      <c r="J145" s="540"/>
      <c r="K145" s="541" t="s">
        <v>4795</v>
      </c>
      <c r="L145" s="540"/>
      <c r="M145" s="540"/>
      <c r="N145" s="540"/>
      <c r="O145" s="541" t="s">
        <v>4795</v>
      </c>
      <c r="P145" s="540"/>
      <c r="Q145" s="540"/>
      <c r="R145" s="540"/>
      <c r="S145" s="541" t="s">
        <v>4795</v>
      </c>
      <c r="T145" s="540"/>
      <c r="U145" s="540"/>
      <c r="V145" s="540"/>
      <c r="W145" s="540"/>
      <c r="X145" s="540"/>
      <c r="Y145" s="540"/>
      <c r="Z145" s="540"/>
      <c r="AA145" s="540"/>
      <c r="AB145" s="540"/>
      <c r="AC145" s="540"/>
      <c r="AD145" s="540"/>
      <c r="AE145" s="540"/>
      <c r="AF145" s="540"/>
      <c r="AG145" s="540"/>
      <c r="AH145" s="540"/>
      <c r="AI145" s="540"/>
      <c r="AJ145" s="540"/>
      <c r="AK145" s="540"/>
      <c r="AL145" s="540"/>
      <c r="AM145" s="540"/>
      <c r="AN145" s="540"/>
      <c r="AO145" s="540"/>
      <c r="AP145" s="540"/>
      <c r="AQ145" s="540"/>
      <c r="AR145" s="540"/>
      <c r="AS145" s="542"/>
      <c r="AT145" s="555"/>
    </row>
    <row r="146" spans="1:46" s="553" customFormat="1" ht="11.25" outlineLevel="1">
      <c r="A146" s="555"/>
      <c r="B146" s="538" t="s">
        <v>4901</v>
      </c>
      <c r="C146" s="543"/>
      <c r="D146" s="544"/>
      <c r="E146" s="544"/>
      <c r="F146" s="544"/>
      <c r="G146" s="544"/>
      <c r="H146" s="544"/>
      <c r="I146" s="544"/>
      <c r="J146" s="544"/>
      <c r="K146" s="544"/>
      <c r="L146" s="544"/>
      <c r="M146" s="544"/>
      <c r="N146" s="544"/>
      <c r="O146" s="544"/>
      <c r="P146" s="544"/>
      <c r="Q146" s="544"/>
      <c r="R146" s="544"/>
      <c r="S146" s="544"/>
      <c r="T146" s="544"/>
      <c r="U146" s="544"/>
      <c r="V146" s="541" t="s">
        <v>4795</v>
      </c>
      <c r="W146" s="544"/>
      <c r="X146" s="544"/>
      <c r="Y146" s="544"/>
      <c r="Z146" s="544"/>
      <c r="AA146" s="544"/>
      <c r="AB146" s="544"/>
      <c r="AC146" s="544"/>
      <c r="AD146" s="544"/>
      <c r="AE146" s="544"/>
      <c r="AF146" s="544"/>
      <c r="AG146" s="544"/>
      <c r="AH146" s="544"/>
      <c r="AI146" s="544"/>
      <c r="AJ146" s="544"/>
      <c r="AK146" s="544"/>
      <c r="AL146" s="544"/>
      <c r="AM146" s="544"/>
      <c r="AN146" s="544"/>
      <c r="AO146" s="544"/>
      <c r="AP146" s="544"/>
      <c r="AQ146" s="544"/>
      <c r="AR146" s="544"/>
      <c r="AS146" s="545"/>
      <c r="AT146" s="555"/>
    </row>
    <row r="147" spans="1:46" s="553" customFormat="1" ht="11.25" outlineLevel="1">
      <c r="A147" s="555"/>
      <c r="B147" s="538" t="s">
        <v>4902</v>
      </c>
      <c r="C147" s="539"/>
      <c r="D147" s="540"/>
      <c r="E147" s="540"/>
      <c r="F147" s="540"/>
      <c r="G147" s="540"/>
      <c r="H147" s="540"/>
      <c r="I147" s="540"/>
      <c r="J147" s="540"/>
      <c r="K147" s="540"/>
      <c r="L147" s="540"/>
      <c r="M147" s="540"/>
      <c r="N147" s="540"/>
      <c r="O147" s="540"/>
      <c r="P147" s="540"/>
      <c r="Q147" s="541" t="s">
        <v>4795</v>
      </c>
      <c r="R147" s="540"/>
      <c r="S147" s="540"/>
      <c r="T147" s="540"/>
      <c r="U147" s="541" t="s">
        <v>4795</v>
      </c>
      <c r="V147" s="540"/>
      <c r="W147" s="540"/>
      <c r="X147" s="541" t="s">
        <v>4795</v>
      </c>
      <c r="Y147" s="540"/>
      <c r="Z147" s="540"/>
      <c r="AA147" s="540"/>
      <c r="AB147" s="541" t="s">
        <v>4795</v>
      </c>
      <c r="AC147" s="540"/>
      <c r="AD147" s="540"/>
      <c r="AE147" s="540"/>
      <c r="AF147" s="540"/>
      <c r="AG147" s="540"/>
      <c r="AH147" s="540"/>
      <c r="AI147" s="540"/>
      <c r="AJ147" s="540"/>
      <c r="AK147" s="540"/>
      <c r="AL147" s="540"/>
      <c r="AM147" s="540"/>
      <c r="AN147" s="540"/>
      <c r="AO147" s="540"/>
      <c r="AP147" s="540"/>
      <c r="AQ147" s="540"/>
      <c r="AR147" s="540"/>
      <c r="AS147" s="542"/>
      <c r="AT147" s="555"/>
    </row>
    <row r="148" spans="1:46" s="553" customFormat="1" ht="11.25" outlineLevel="1">
      <c r="A148" s="555"/>
      <c r="B148" s="538" t="s">
        <v>4903</v>
      </c>
      <c r="C148" s="543"/>
      <c r="D148" s="544"/>
      <c r="E148" s="544"/>
      <c r="F148" s="544"/>
      <c r="G148" s="544"/>
      <c r="H148" s="544"/>
      <c r="I148" s="544"/>
      <c r="J148" s="544"/>
      <c r="K148" s="544"/>
      <c r="L148" s="544"/>
      <c r="M148" s="544"/>
      <c r="N148" s="544"/>
      <c r="O148" s="544"/>
      <c r="P148" s="544"/>
      <c r="Q148" s="544"/>
      <c r="R148" s="544"/>
      <c r="S148" s="544"/>
      <c r="T148" s="544"/>
      <c r="U148" s="544"/>
      <c r="V148" s="544"/>
      <c r="W148" s="544"/>
      <c r="X148" s="544"/>
      <c r="Y148" s="544"/>
      <c r="Z148" s="544"/>
      <c r="AA148" s="544"/>
      <c r="AB148" s="544"/>
      <c r="AC148" s="544"/>
      <c r="AD148" s="544"/>
      <c r="AE148" s="544"/>
      <c r="AF148" s="544"/>
      <c r="AG148" s="544"/>
      <c r="AH148" s="544"/>
      <c r="AI148" s="544"/>
      <c r="AJ148" s="544"/>
      <c r="AK148" s="544"/>
      <c r="AL148" s="544"/>
      <c r="AM148" s="544" t="s">
        <v>4795</v>
      </c>
      <c r="AN148" s="544"/>
      <c r="AO148" s="544"/>
      <c r="AP148" s="544"/>
      <c r="AQ148" s="544"/>
      <c r="AR148" s="544"/>
      <c r="AS148" s="545"/>
      <c r="AT148" s="555"/>
    </row>
    <row r="149" spans="1:46" s="553" customFormat="1" ht="11.25" outlineLevel="1">
      <c r="A149" s="555"/>
      <c r="B149" s="538" t="s">
        <v>4904</v>
      </c>
      <c r="C149" s="539"/>
      <c r="D149" s="540"/>
      <c r="E149" s="540"/>
      <c r="F149" s="540"/>
      <c r="G149" s="540"/>
      <c r="H149" s="540"/>
      <c r="I149" s="540"/>
      <c r="J149" s="540"/>
      <c r="K149" s="540"/>
      <c r="L149" s="540"/>
      <c r="M149" s="540"/>
      <c r="N149" s="540"/>
      <c r="O149" s="540"/>
      <c r="P149" s="540"/>
      <c r="Q149" s="540"/>
      <c r="R149" s="540"/>
      <c r="S149" s="540"/>
      <c r="T149" s="540"/>
      <c r="U149" s="540"/>
      <c r="V149" s="540"/>
      <c r="W149" s="540"/>
      <c r="X149" s="540"/>
      <c r="Y149" s="540"/>
      <c r="Z149" s="540"/>
      <c r="AA149" s="540"/>
      <c r="AB149" s="540"/>
      <c r="AC149" s="540"/>
      <c r="AD149" s="540"/>
      <c r="AE149" s="540"/>
      <c r="AF149" s="540"/>
      <c r="AG149" s="540"/>
      <c r="AH149" s="540"/>
      <c r="AI149" s="540"/>
      <c r="AJ149" s="540"/>
      <c r="AK149" s="540"/>
      <c r="AL149" s="540" t="s">
        <v>4795</v>
      </c>
      <c r="AM149" s="540"/>
      <c r="AN149" s="540"/>
      <c r="AO149" s="540"/>
      <c r="AP149" s="540"/>
      <c r="AQ149" s="540"/>
      <c r="AR149" s="540"/>
      <c r="AS149" s="542"/>
      <c r="AT149" s="555"/>
    </row>
    <row r="150" spans="1:46" s="553" customFormat="1" ht="12" outlineLevel="1" thickBot="1">
      <c r="A150" s="555"/>
      <c r="B150" s="547" t="s">
        <v>4905</v>
      </c>
      <c r="C150" s="548"/>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50" t="s">
        <v>4795</v>
      </c>
      <c r="AF150" s="549"/>
      <c r="AG150" s="549"/>
      <c r="AH150" s="550" t="s">
        <v>4795</v>
      </c>
      <c r="AI150" s="549"/>
      <c r="AJ150" s="549"/>
      <c r="AK150" s="550" t="s">
        <v>4795</v>
      </c>
      <c r="AL150" s="549"/>
      <c r="AM150" s="549"/>
      <c r="AN150" s="549"/>
      <c r="AO150" s="549"/>
      <c r="AP150" s="549"/>
      <c r="AQ150" s="549"/>
      <c r="AR150" s="549"/>
      <c r="AS150" s="551"/>
      <c r="AT150" s="555"/>
    </row>
    <row r="151" spans="1:46" ht="12.95" customHeight="1" outlineLevel="1" thickBot="1">
      <c r="A151" s="377"/>
      <c r="B151" s="529"/>
      <c r="C151" s="530" t="s">
        <v>4751</v>
      </c>
      <c r="D151" s="531" t="s">
        <v>4752</v>
      </c>
      <c r="E151" s="531" t="s">
        <v>4753</v>
      </c>
      <c r="F151" s="531" t="s">
        <v>4754</v>
      </c>
      <c r="G151" s="531" t="s">
        <v>4755</v>
      </c>
      <c r="H151" s="531" t="s">
        <v>4756</v>
      </c>
      <c r="I151" s="531" t="s">
        <v>4757</v>
      </c>
      <c r="J151" s="531" t="s">
        <v>4758</v>
      </c>
      <c r="K151" s="531" t="s">
        <v>4759</v>
      </c>
      <c r="L151" s="531" t="s">
        <v>4760</v>
      </c>
      <c r="M151" s="531" t="s">
        <v>4761</v>
      </c>
      <c r="N151" s="531" t="s">
        <v>4762</v>
      </c>
      <c r="O151" s="531" t="s">
        <v>4763</v>
      </c>
      <c r="P151" s="531" t="s">
        <v>4764</v>
      </c>
      <c r="Q151" s="531" t="s">
        <v>4765</v>
      </c>
      <c r="R151" s="531" t="s">
        <v>4766</v>
      </c>
      <c r="S151" s="531" t="s">
        <v>4767</v>
      </c>
      <c r="T151" s="531" t="s">
        <v>4768</v>
      </c>
      <c r="U151" s="531" t="s">
        <v>4769</v>
      </c>
      <c r="V151" s="531" t="s">
        <v>4770</v>
      </c>
      <c r="W151" s="531" t="s">
        <v>4771</v>
      </c>
      <c r="X151" s="531" t="s">
        <v>4772</v>
      </c>
      <c r="Y151" s="531" t="s">
        <v>4773</v>
      </c>
      <c r="Z151" s="531" t="s">
        <v>4774</v>
      </c>
      <c r="AA151" s="531" t="s">
        <v>4775</v>
      </c>
      <c r="AB151" s="531" t="s">
        <v>4776</v>
      </c>
      <c r="AC151" s="531" t="s">
        <v>4777</v>
      </c>
      <c r="AD151" s="531" t="s">
        <v>4778</v>
      </c>
      <c r="AE151" s="531" t="s">
        <v>4779</v>
      </c>
      <c r="AF151" s="531" t="s">
        <v>4780</v>
      </c>
      <c r="AG151" s="531" t="s">
        <v>4781</v>
      </c>
      <c r="AH151" s="531" t="s">
        <v>4782</v>
      </c>
      <c r="AI151" s="531" t="s">
        <v>4783</v>
      </c>
      <c r="AJ151" s="531" t="s">
        <v>4784</v>
      </c>
      <c r="AK151" s="531" t="s">
        <v>4785</v>
      </c>
      <c r="AL151" s="531" t="s">
        <v>4786</v>
      </c>
      <c r="AM151" s="531" t="s">
        <v>4787</v>
      </c>
      <c r="AN151" s="531" t="s">
        <v>4788</v>
      </c>
      <c r="AO151" s="531" t="s">
        <v>4789</v>
      </c>
      <c r="AP151" s="531" t="s">
        <v>4790</v>
      </c>
      <c r="AQ151" s="531" t="s">
        <v>4791</v>
      </c>
      <c r="AR151" s="531" t="s">
        <v>4792</v>
      </c>
      <c r="AS151" s="532" t="s">
        <v>4793</v>
      </c>
      <c r="AT151" s="377"/>
    </row>
  </sheetData>
  <sheetProtection autoFilter="0"/>
  <mergeCells count="16">
    <mergeCell ref="B1:D1"/>
    <mergeCell ref="E1:AJ1"/>
    <mergeCell ref="B3:AJ3"/>
    <mergeCell ref="B5:AJ5"/>
    <mergeCell ref="B6:AJ6"/>
    <mergeCell ref="B8:AJ8"/>
    <mergeCell ref="AB9:AC9"/>
    <mergeCell ref="B28:AJ28"/>
    <mergeCell ref="B29:AJ29"/>
    <mergeCell ref="B30:AJ30"/>
    <mergeCell ref="B37:AJ37"/>
    <mergeCell ref="B31:AJ31"/>
    <mergeCell ref="B32:AJ32"/>
    <mergeCell ref="B34:AJ34"/>
    <mergeCell ref="B35:AJ35"/>
    <mergeCell ref="B36:AJ36"/>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70" orientation="landscape" r:id="rId1"/>
  <headerFooter alignWithMargins="0"/>
  <rowBreaks count="2" manualBreakCount="2">
    <brk id="37" max="44" man="1"/>
    <brk id="93" max="44" man="1"/>
  </rowBreaks>
  <drawing r:id="rId2"/>
</worksheet>
</file>

<file path=xl/worksheets/sheet93.xml><?xml version="1.0" encoding="utf-8"?>
<worksheet xmlns="http://schemas.openxmlformats.org/spreadsheetml/2006/main" xmlns:r="http://schemas.openxmlformats.org/officeDocument/2006/relationships">
  <dimension ref="B1:P75"/>
  <sheetViews>
    <sheetView zoomScaleNormal="100" workbookViewId="0">
      <pane ySplit="5" topLeftCell="A6" activePane="bottomLeft" state="frozen"/>
      <selection pane="bottomLeft" activeCell="B1" sqref="B1"/>
    </sheetView>
  </sheetViews>
  <sheetFormatPr defaultRowHeight="12.95" customHeight="1"/>
  <cols>
    <col min="1" max="1" width="3.7109375" style="377" customWidth="1"/>
    <col min="2" max="2" width="14.28515625" style="377" customWidth="1"/>
    <col min="3" max="3" width="17" style="377" customWidth="1"/>
    <col min="4" max="4" width="9.28515625" style="377" customWidth="1"/>
    <col min="5" max="10" width="8.7109375" style="377" customWidth="1"/>
    <col min="11" max="16384" width="9.140625" style="377"/>
  </cols>
  <sheetData>
    <row r="1" spans="2:16" ht="12.95" customHeight="1">
      <c r="B1" s="562" t="s">
        <v>2706</v>
      </c>
      <c r="C1" s="2983" t="s">
        <v>8269</v>
      </c>
      <c r="D1" s="2983"/>
      <c r="E1" s="2983"/>
      <c r="F1" s="2983"/>
      <c r="G1" s="2983"/>
      <c r="H1" s="2983"/>
      <c r="I1" s="2983"/>
      <c r="J1" s="2983"/>
      <c r="K1" s="2983"/>
      <c r="L1" s="2983"/>
    </row>
    <row r="2" spans="2:16" ht="5.0999999999999996" customHeight="1"/>
    <row r="3" spans="2:16" ht="12.95" customHeight="1">
      <c r="B3" s="3266" t="s">
        <v>6093</v>
      </c>
      <c r="C3" s="3266"/>
      <c r="D3" s="3266"/>
      <c r="E3" s="3266"/>
      <c r="F3" s="3266"/>
      <c r="G3" s="3266"/>
      <c r="H3" s="3266"/>
      <c r="I3" s="3266"/>
      <c r="J3" s="3266"/>
      <c r="K3" s="3266"/>
      <c r="L3" s="3266"/>
      <c r="M3" s="396"/>
      <c r="N3" s="396"/>
      <c r="O3" s="396"/>
      <c r="P3" s="396"/>
    </row>
    <row r="4" spans="2:16" s="1117" customFormat="1" ht="11.25">
      <c r="B4" s="3267" t="s">
        <v>7273</v>
      </c>
      <c r="C4" s="3267"/>
      <c r="D4" s="3267"/>
      <c r="E4" s="3267"/>
      <c r="F4" s="3267"/>
      <c r="G4" s="3267"/>
      <c r="H4" s="3267"/>
      <c r="I4" s="3267"/>
      <c r="J4" s="3267"/>
      <c r="K4" s="3267"/>
      <c r="L4" s="3267"/>
      <c r="M4" s="1637"/>
      <c r="N4" s="1637"/>
      <c r="O4" s="1637"/>
      <c r="P4" s="1637"/>
    </row>
    <row r="5" spans="2:16" ht="5.0999999999999996" customHeight="1"/>
    <row r="6" spans="2:16" ht="51.95" customHeight="1">
      <c r="B6" s="2984" t="s">
        <v>9471</v>
      </c>
      <c r="C6" s="2984"/>
      <c r="D6" s="2984"/>
      <c r="E6" s="2984"/>
      <c r="F6" s="2984"/>
      <c r="G6" s="2984"/>
      <c r="H6" s="2984"/>
      <c r="I6" s="2984"/>
      <c r="J6" s="2984"/>
      <c r="K6" s="2984"/>
      <c r="L6" s="2984"/>
    </row>
    <row r="7" spans="2:16" ht="5.0999999999999996" customHeight="1">
      <c r="B7" s="1686"/>
      <c r="C7" s="1686"/>
      <c r="D7" s="1686"/>
      <c r="E7" s="1686"/>
      <c r="F7" s="1686"/>
      <c r="G7" s="1686"/>
      <c r="H7" s="1686"/>
      <c r="I7" s="1686"/>
      <c r="J7" s="1686"/>
    </row>
    <row r="8" spans="2:16" ht="39" customHeight="1">
      <c r="B8" s="2984" t="s">
        <v>9472</v>
      </c>
      <c r="C8" s="2984"/>
      <c r="D8" s="2984"/>
      <c r="E8" s="2984"/>
      <c r="F8" s="2984"/>
      <c r="G8" s="2984"/>
      <c r="H8" s="2984"/>
      <c r="I8" s="2984"/>
      <c r="J8" s="2984"/>
      <c r="K8" s="2984"/>
      <c r="L8" s="2984"/>
    </row>
    <row r="9" spans="2:16" ht="5.0999999999999996" customHeight="1">
      <c r="B9" s="1686"/>
      <c r="C9" s="1686"/>
      <c r="D9" s="1686"/>
      <c r="E9" s="1686"/>
      <c r="F9" s="1686"/>
      <c r="G9" s="1686"/>
      <c r="H9" s="1686"/>
      <c r="I9" s="1686"/>
      <c r="J9" s="1686"/>
    </row>
    <row r="10" spans="2:16" ht="12.95" customHeight="1">
      <c r="B10" s="2984" t="s">
        <v>9473</v>
      </c>
      <c r="C10" s="2984"/>
      <c r="D10" s="2984"/>
      <c r="E10" s="2984"/>
      <c r="F10" s="2984"/>
      <c r="G10" s="2984"/>
      <c r="H10" s="2984"/>
      <c r="I10" s="2984"/>
      <c r="J10" s="2984"/>
      <c r="K10" s="2984"/>
      <c r="L10" s="2984"/>
    </row>
    <row r="11" spans="2:16" ht="12.95" customHeight="1">
      <c r="B11" s="2984" t="s">
        <v>9474</v>
      </c>
      <c r="C11" s="2984"/>
      <c r="D11" s="2984"/>
      <c r="E11" s="2984"/>
      <c r="F11" s="2984"/>
      <c r="G11" s="2984"/>
      <c r="H11" s="2984"/>
      <c r="I11" s="2984"/>
      <c r="J11" s="2984"/>
      <c r="K11" s="2984"/>
      <c r="L11" s="2984"/>
    </row>
    <row r="12" spans="2:16" ht="51.95" customHeight="1">
      <c r="B12" s="2984" t="s">
        <v>9475</v>
      </c>
      <c r="C12" s="2984"/>
      <c r="D12" s="2984"/>
      <c r="E12" s="2984"/>
      <c r="F12" s="2984"/>
      <c r="G12" s="2984"/>
      <c r="H12" s="2984"/>
      <c r="I12" s="2984"/>
      <c r="J12" s="2984"/>
      <c r="K12" s="2984"/>
      <c r="L12" s="2984"/>
    </row>
    <row r="13" spans="2:16" ht="26.1" customHeight="1">
      <c r="B13" s="2984" t="s">
        <v>9476</v>
      </c>
      <c r="C13" s="2984"/>
      <c r="D13" s="2984"/>
      <c r="E13" s="2984"/>
      <c r="F13" s="2984"/>
      <c r="G13" s="2984"/>
      <c r="H13" s="2984"/>
      <c r="I13" s="2984"/>
      <c r="J13" s="2984"/>
      <c r="K13" s="2984"/>
      <c r="L13" s="2984"/>
    </row>
    <row r="14" spans="2:16" ht="12.95" customHeight="1">
      <c r="B14" s="2984" t="s">
        <v>9477</v>
      </c>
      <c r="C14" s="2984"/>
      <c r="D14" s="2984"/>
      <c r="E14" s="2984"/>
      <c r="F14" s="2984"/>
      <c r="G14" s="2984"/>
      <c r="H14" s="2984"/>
      <c r="I14" s="2984"/>
      <c r="J14" s="2984"/>
      <c r="K14" s="2984"/>
      <c r="L14" s="2984"/>
    </row>
    <row r="15" spans="2:16" ht="39" customHeight="1">
      <c r="B15" s="2984" t="s">
        <v>9478</v>
      </c>
      <c r="C15" s="2984"/>
      <c r="D15" s="2984"/>
      <c r="E15" s="2984"/>
      <c r="F15" s="2984"/>
      <c r="G15" s="2984"/>
      <c r="H15" s="2984"/>
      <c r="I15" s="2984"/>
      <c r="J15" s="2984"/>
      <c r="K15" s="2984"/>
      <c r="L15" s="2984"/>
    </row>
    <row r="16" spans="2:16" ht="39" customHeight="1">
      <c r="B16" s="2984" t="s">
        <v>9479</v>
      </c>
      <c r="C16" s="2984"/>
      <c r="D16" s="2984"/>
      <c r="E16" s="2984"/>
      <c r="F16" s="2984"/>
      <c r="G16" s="2984"/>
      <c r="H16" s="2984"/>
      <c r="I16" s="2984"/>
      <c r="J16" s="2984"/>
      <c r="K16" s="2984"/>
      <c r="L16" s="2984"/>
    </row>
    <row r="17" spans="2:12" ht="26.1" customHeight="1">
      <c r="B17" s="2984" t="s">
        <v>9480</v>
      </c>
      <c r="C17" s="2984"/>
      <c r="D17" s="2984"/>
      <c r="E17" s="2984"/>
      <c r="F17" s="2984"/>
      <c r="G17" s="2984"/>
      <c r="H17" s="2984"/>
      <c r="I17" s="2984"/>
      <c r="J17" s="2984"/>
      <c r="K17" s="2984"/>
      <c r="L17" s="2984"/>
    </row>
    <row r="18" spans="2:12" ht="26.1" customHeight="1">
      <c r="B18" s="2984" t="s">
        <v>9481</v>
      </c>
      <c r="C18" s="2984"/>
      <c r="D18" s="2984"/>
      <c r="E18" s="2984"/>
      <c r="F18" s="2984"/>
      <c r="G18" s="2984"/>
      <c r="H18" s="2984"/>
      <c r="I18" s="2984"/>
      <c r="J18" s="2984"/>
      <c r="K18" s="2984"/>
      <c r="L18" s="2984"/>
    </row>
    <row r="19" spans="2:12" ht="5.0999999999999996" customHeight="1"/>
    <row r="20" spans="2:12" ht="12.95" customHeight="1">
      <c r="B20" s="3264" t="s">
        <v>9482</v>
      </c>
      <c r="C20" s="3264"/>
      <c r="D20" s="3264"/>
      <c r="E20" s="3264"/>
      <c r="F20" s="3264"/>
      <c r="G20" s="3264"/>
      <c r="H20" s="3264"/>
      <c r="I20" s="3264"/>
      <c r="J20" s="3264"/>
      <c r="K20" s="3264"/>
      <c r="L20" s="3264"/>
    </row>
    <row r="21" spans="2:12" ht="12.95" customHeight="1">
      <c r="D21" s="61"/>
      <c r="E21" s="2984" t="s">
        <v>9487</v>
      </c>
      <c r="F21" s="2984"/>
      <c r="G21" s="2984"/>
      <c r="H21" s="2984"/>
      <c r="I21" s="2984"/>
      <c r="J21" s="2984"/>
    </row>
    <row r="22" spans="2:12" ht="12.95" customHeight="1">
      <c r="D22" s="61"/>
      <c r="E22" s="2984"/>
      <c r="F22" s="2984"/>
      <c r="G22" s="2984"/>
      <c r="H22" s="2984"/>
      <c r="I22" s="2984"/>
      <c r="J22" s="2984"/>
    </row>
    <row r="23" spans="2:12" ht="12.95" customHeight="1">
      <c r="D23" s="61"/>
      <c r="E23" s="2984"/>
      <c r="F23" s="2984"/>
      <c r="G23" s="2984"/>
      <c r="H23" s="2984"/>
      <c r="I23" s="2984"/>
      <c r="J23" s="2984"/>
    </row>
    <row r="24" spans="2:12" ht="12.95" customHeight="1">
      <c r="D24" s="61"/>
      <c r="E24" s="2984"/>
      <c r="F24" s="2984"/>
      <c r="G24" s="2984"/>
      <c r="H24" s="2984"/>
      <c r="I24" s="2984"/>
      <c r="J24" s="2984"/>
    </row>
    <row r="25" spans="2:12" ht="12.95" customHeight="1">
      <c r="D25" s="61"/>
      <c r="E25" s="2984"/>
      <c r="F25" s="2984"/>
      <c r="G25" s="2984"/>
      <c r="H25" s="2984"/>
      <c r="I25" s="2984"/>
      <c r="J25" s="2984"/>
    </row>
    <row r="26" spans="2:12" ht="12.95" customHeight="1">
      <c r="D26" s="61"/>
      <c r="E26" s="2984"/>
      <c r="F26" s="2984"/>
      <c r="G26" s="2984"/>
      <c r="H26" s="2984"/>
      <c r="I26" s="2984"/>
      <c r="J26" s="2984"/>
    </row>
    <row r="27" spans="2:12" ht="12.95" customHeight="1">
      <c r="D27" s="61"/>
      <c r="E27" s="2984"/>
      <c r="F27" s="2984"/>
      <c r="G27" s="2984"/>
      <c r="H27" s="2984"/>
      <c r="I27" s="2984"/>
      <c r="J27" s="2984"/>
    </row>
    <row r="28" spans="2:12" ht="12.95" customHeight="1">
      <c r="D28" s="61"/>
      <c r="E28" s="2984"/>
      <c r="F28" s="2984"/>
      <c r="G28" s="2984"/>
      <c r="H28" s="2984"/>
      <c r="I28" s="2984"/>
      <c r="J28" s="2984"/>
    </row>
    <row r="29" spans="2:12" ht="12.95" customHeight="1">
      <c r="D29" s="61"/>
      <c r="E29" s="2984"/>
      <c r="F29" s="2984"/>
      <c r="G29" s="2984"/>
      <c r="H29" s="2984"/>
      <c r="I29" s="2984"/>
      <c r="J29" s="2984"/>
    </row>
    <row r="30" spans="2:12" ht="12.95" customHeight="1">
      <c r="D30" s="61"/>
      <c r="E30" s="2984"/>
      <c r="F30" s="2984"/>
      <c r="G30" s="2984"/>
      <c r="H30" s="2984"/>
      <c r="I30" s="2984"/>
      <c r="J30" s="2984"/>
    </row>
    <row r="31" spans="2:12" ht="12.95" customHeight="1">
      <c r="D31" s="61"/>
      <c r="E31" s="2984"/>
      <c r="F31" s="2984"/>
      <c r="G31" s="2984"/>
      <c r="H31" s="2984"/>
      <c r="I31" s="2984"/>
      <c r="J31" s="2984"/>
    </row>
    <row r="32" spans="2:12" ht="12.95" customHeight="1">
      <c r="D32" s="61"/>
      <c r="E32" s="2984"/>
      <c r="F32" s="2984"/>
      <c r="G32" s="2984"/>
      <c r="H32" s="2984"/>
      <c r="I32" s="2984"/>
      <c r="J32" s="2984"/>
    </row>
    <row r="33" spans="4:10" ht="12.95" customHeight="1">
      <c r="D33" s="61"/>
      <c r="E33" s="2984"/>
      <c r="F33" s="2984"/>
      <c r="G33" s="2984"/>
      <c r="H33" s="2984"/>
      <c r="I33" s="2984"/>
      <c r="J33" s="2984"/>
    </row>
    <row r="34" spans="4:10" ht="12.95" customHeight="1">
      <c r="D34" s="61"/>
      <c r="E34" s="61"/>
      <c r="F34" s="61"/>
      <c r="G34" s="61"/>
      <c r="H34" s="61"/>
      <c r="I34" s="61"/>
      <c r="J34" s="61"/>
    </row>
    <row r="35" spans="4:10" ht="12.95" customHeight="1">
      <c r="D35" s="61"/>
      <c r="E35" s="2984" t="s">
        <v>9486</v>
      </c>
      <c r="F35" s="2984"/>
      <c r="G35" s="2984"/>
      <c r="H35" s="2984"/>
      <c r="I35" s="2984"/>
      <c r="J35" s="2984"/>
    </row>
    <row r="36" spans="4:10" ht="12.95" customHeight="1">
      <c r="D36" s="61"/>
      <c r="E36" s="2984"/>
      <c r="F36" s="2984"/>
      <c r="G36" s="2984"/>
      <c r="H36" s="2984"/>
      <c r="I36" s="2984"/>
      <c r="J36" s="2984"/>
    </row>
    <row r="37" spans="4:10" ht="12.95" customHeight="1">
      <c r="D37" s="61"/>
      <c r="E37" s="2984"/>
      <c r="F37" s="2984"/>
      <c r="G37" s="2984"/>
      <c r="H37" s="2984"/>
      <c r="I37" s="2984"/>
      <c r="J37" s="2984"/>
    </row>
    <row r="38" spans="4:10" ht="12.95" customHeight="1">
      <c r="D38" s="61"/>
      <c r="E38" s="2984"/>
      <c r="F38" s="2984"/>
      <c r="G38" s="2984"/>
      <c r="H38" s="2984"/>
      <c r="I38" s="2984"/>
      <c r="J38" s="2984"/>
    </row>
    <row r="39" spans="4:10" ht="12.95" customHeight="1">
      <c r="D39" s="61"/>
      <c r="E39" s="2984"/>
      <c r="F39" s="2984"/>
      <c r="G39" s="2984"/>
      <c r="H39" s="2984"/>
      <c r="I39" s="2984"/>
      <c r="J39" s="2984"/>
    </row>
    <row r="40" spans="4:10" ht="12.95" customHeight="1">
      <c r="D40" s="61"/>
      <c r="E40" s="2984"/>
      <c r="F40" s="2984"/>
      <c r="G40" s="2984"/>
      <c r="H40" s="2984"/>
      <c r="I40" s="2984"/>
      <c r="J40" s="2984"/>
    </row>
    <row r="41" spans="4:10" ht="12.95" customHeight="1">
      <c r="D41" s="61"/>
      <c r="E41" s="2984"/>
      <c r="F41" s="2984"/>
      <c r="G41" s="2984"/>
      <c r="H41" s="2984"/>
      <c r="I41" s="2984"/>
      <c r="J41" s="2984"/>
    </row>
    <row r="42" spans="4:10" ht="12.95" customHeight="1">
      <c r="D42" s="61"/>
      <c r="E42" s="2984"/>
      <c r="F42" s="2984"/>
      <c r="G42" s="2984"/>
      <c r="H42" s="2984"/>
      <c r="I42" s="2984"/>
      <c r="J42" s="2984"/>
    </row>
    <row r="43" spans="4:10" ht="12.95" customHeight="1">
      <c r="D43" s="61"/>
      <c r="E43" s="2984"/>
      <c r="F43" s="2984"/>
      <c r="G43" s="2984"/>
      <c r="H43" s="2984"/>
      <c r="I43" s="2984"/>
      <c r="J43" s="2984"/>
    </row>
    <row r="44" spans="4:10" ht="12.95" customHeight="1">
      <c r="D44" s="61"/>
      <c r="E44" s="2984"/>
      <c r="F44" s="2984"/>
      <c r="G44" s="2984"/>
      <c r="H44" s="2984"/>
      <c r="I44" s="2984"/>
      <c r="J44" s="2984"/>
    </row>
    <row r="45" spans="4:10" ht="12.95" customHeight="1">
      <c r="D45" s="61"/>
      <c r="E45" s="2984"/>
      <c r="F45" s="2984"/>
      <c r="G45" s="2984"/>
      <c r="H45" s="2984"/>
      <c r="I45" s="2984"/>
      <c r="J45" s="2984"/>
    </row>
    <row r="46" spans="4:10" ht="12.95" customHeight="1">
      <c r="D46" s="61"/>
      <c r="E46" s="2984"/>
      <c r="F46" s="2984"/>
      <c r="G46" s="2984"/>
      <c r="H46" s="2984"/>
      <c r="I46" s="2984"/>
      <c r="J46" s="2984"/>
    </row>
    <row r="47" spans="4:10" ht="5.0999999999999996" customHeight="1">
      <c r="D47" s="61"/>
      <c r="E47" s="61"/>
      <c r="F47" s="61"/>
      <c r="G47" s="61"/>
      <c r="H47" s="61"/>
      <c r="I47" s="61"/>
      <c r="J47" s="61"/>
    </row>
    <row r="48" spans="4:10" ht="12.95" customHeight="1">
      <c r="E48" s="2984" t="s">
        <v>9485</v>
      </c>
      <c r="F48" s="2984"/>
      <c r="G48" s="2984"/>
      <c r="H48" s="2984"/>
      <c r="I48" s="2984"/>
      <c r="J48" s="2984"/>
    </row>
    <row r="49" spans="5:10" ht="12.95" customHeight="1">
      <c r="E49" s="2984"/>
      <c r="F49" s="2984"/>
      <c r="G49" s="2984"/>
      <c r="H49" s="2984"/>
      <c r="I49" s="2984"/>
      <c r="J49" s="2984"/>
    </row>
    <row r="50" spans="5:10" ht="12.95" customHeight="1">
      <c r="E50" s="2984"/>
      <c r="F50" s="2984"/>
      <c r="G50" s="2984"/>
      <c r="H50" s="2984"/>
      <c r="I50" s="2984"/>
      <c r="J50" s="2984"/>
    </row>
    <row r="51" spans="5:10" ht="12.95" customHeight="1">
      <c r="E51" s="2984"/>
      <c r="F51" s="2984"/>
      <c r="G51" s="2984"/>
      <c r="H51" s="2984"/>
      <c r="I51" s="2984"/>
      <c r="J51" s="2984"/>
    </row>
    <row r="52" spans="5:10" ht="12.95" customHeight="1">
      <c r="E52" s="2984"/>
      <c r="F52" s="2984"/>
      <c r="G52" s="2984"/>
      <c r="H52" s="2984"/>
      <c r="I52" s="2984"/>
      <c r="J52" s="2984"/>
    </row>
    <row r="53" spans="5:10" ht="12.95" customHeight="1">
      <c r="E53" s="2984"/>
      <c r="F53" s="2984"/>
      <c r="G53" s="2984"/>
      <c r="H53" s="2984"/>
      <c r="I53" s="2984"/>
      <c r="J53" s="2984"/>
    </row>
    <row r="54" spans="5:10" ht="12.95" customHeight="1">
      <c r="E54" s="2984"/>
      <c r="F54" s="2984"/>
      <c r="G54" s="2984"/>
      <c r="H54" s="2984"/>
      <c r="I54" s="2984"/>
      <c r="J54" s="2984"/>
    </row>
    <row r="55" spans="5:10" ht="12.95" customHeight="1">
      <c r="E55" s="2984"/>
      <c r="F55" s="2984"/>
      <c r="G55" s="2984"/>
      <c r="H55" s="2984"/>
      <c r="I55" s="2984"/>
      <c r="J55" s="2984"/>
    </row>
    <row r="56" spans="5:10" ht="12.95" customHeight="1">
      <c r="E56" s="2984"/>
      <c r="F56" s="2984"/>
      <c r="G56" s="2984"/>
      <c r="H56" s="2984"/>
      <c r="I56" s="2984"/>
      <c r="J56" s="2984"/>
    </row>
    <row r="57" spans="5:10" ht="12.95" customHeight="1">
      <c r="E57" s="2984"/>
      <c r="F57" s="2984"/>
      <c r="G57" s="2984"/>
      <c r="H57" s="2984"/>
      <c r="I57" s="2984"/>
      <c r="J57" s="2984"/>
    </row>
    <row r="58" spans="5:10" ht="12.95" customHeight="1">
      <c r="E58" s="2984"/>
      <c r="F58" s="2984"/>
      <c r="G58" s="2984"/>
      <c r="H58" s="2984"/>
      <c r="I58" s="2984"/>
      <c r="J58" s="2984"/>
    </row>
    <row r="59" spans="5:10" ht="12.95" customHeight="1">
      <c r="E59" s="2984"/>
      <c r="F59" s="2984"/>
      <c r="G59" s="2984"/>
      <c r="H59" s="2984"/>
      <c r="I59" s="2984"/>
      <c r="J59" s="2984"/>
    </row>
    <row r="60" spans="5:10" ht="12.95" customHeight="1">
      <c r="E60" s="2984"/>
      <c r="F60" s="2984"/>
      <c r="G60" s="2984"/>
      <c r="H60" s="2984"/>
      <c r="I60" s="2984"/>
      <c r="J60" s="2984"/>
    </row>
    <row r="61" spans="5:10" ht="12.95" customHeight="1">
      <c r="E61" s="2984" t="s">
        <v>9484</v>
      </c>
      <c r="F61" s="2984"/>
      <c r="G61" s="2984"/>
      <c r="H61" s="2984"/>
      <c r="I61" s="2984"/>
      <c r="J61" s="2984"/>
    </row>
    <row r="62" spans="5:10" ht="12.95" customHeight="1">
      <c r="E62" s="2984"/>
      <c r="F62" s="2984"/>
      <c r="G62" s="2984"/>
      <c r="H62" s="2984"/>
      <c r="I62" s="2984"/>
      <c r="J62" s="2984"/>
    </row>
    <row r="63" spans="5:10" ht="12.95" customHeight="1">
      <c r="E63" s="2984"/>
      <c r="F63" s="2984"/>
      <c r="G63" s="2984"/>
      <c r="H63" s="2984"/>
      <c r="I63" s="2984"/>
      <c r="J63" s="2984"/>
    </row>
    <row r="64" spans="5:10" ht="12.95" customHeight="1">
      <c r="E64" s="2984"/>
      <c r="F64" s="2984"/>
      <c r="G64" s="2984"/>
      <c r="H64" s="2984"/>
      <c r="I64" s="2984"/>
      <c r="J64" s="2984"/>
    </row>
    <row r="65" spans="2:12" ht="12.95" customHeight="1">
      <c r="E65" s="2984"/>
      <c r="F65" s="2984"/>
      <c r="G65" s="2984"/>
      <c r="H65" s="2984"/>
      <c r="I65" s="2984"/>
      <c r="J65" s="2984"/>
    </row>
    <row r="66" spans="2:12" ht="12.95" customHeight="1">
      <c r="E66" s="2984"/>
      <c r="F66" s="2984"/>
      <c r="G66" s="2984"/>
      <c r="H66" s="2984"/>
      <c r="I66" s="2984"/>
      <c r="J66" s="2984"/>
    </row>
    <row r="67" spans="2:12" ht="12.95" customHeight="1">
      <c r="E67" s="2984"/>
      <c r="F67" s="2984"/>
      <c r="G67" s="2984"/>
      <c r="H67" s="2984"/>
      <c r="I67" s="2984"/>
      <c r="J67" s="2984"/>
    </row>
    <row r="68" spans="2:12" ht="12.95" customHeight="1">
      <c r="E68" s="2984"/>
      <c r="F68" s="2984"/>
      <c r="G68" s="2984"/>
      <c r="H68" s="2984"/>
      <c r="I68" s="2984"/>
      <c r="J68" s="2984"/>
    </row>
    <row r="69" spans="2:12" ht="12.95" customHeight="1">
      <c r="E69" s="2984"/>
      <c r="F69" s="2984"/>
      <c r="G69" s="2984"/>
      <c r="H69" s="2984"/>
      <c r="I69" s="2984"/>
      <c r="J69" s="2984"/>
    </row>
    <row r="70" spans="2:12" ht="12.95" customHeight="1">
      <c r="E70" s="2984"/>
      <c r="F70" s="2984"/>
      <c r="G70" s="2984"/>
      <c r="H70" s="2984"/>
      <c r="I70" s="2984"/>
      <c r="J70" s="2984"/>
    </row>
    <row r="71" spans="2:12" ht="12.95" customHeight="1">
      <c r="E71" s="2984"/>
      <c r="F71" s="2984"/>
      <c r="G71" s="2984"/>
      <c r="H71" s="2984"/>
      <c r="I71" s="2984"/>
      <c r="J71" s="2984"/>
    </row>
    <row r="72" spans="2:12" ht="12.95" customHeight="1">
      <c r="E72" s="2984"/>
      <c r="F72" s="2984"/>
      <c r="G72" s="2984"/>
      <c r="H72" s="2984"/>
      <c r="I72" s="2984"/>
      <c r="J72" s="2984"/>
    </row>
    <row r="73" spans="2:12" ht="12.95" customHeight="1">
      <c r="E73" s="2984"/>
      <c r="F73" s="2984"/>
      <c r="G73" s="2984"/>
      <c r="H73" s="2984"/>
      <c r="I73" s="2984"/>
      <c r="J73" s="2984"/>
    </row>
    <row r="74" spans="2:12" ht="5.0999999999999996" customHeight="1"/>
    <row r="75" spans="2:12" ht="26.1" customHeight="1">
      <c r="B75" s="4035" t="s">
        <v>9483</v>
      </c>
      <c r="C75" s="4035"/>
      <c r="D75" s="4035"/>
      <c r="E75" s="4035"/>
      <c r="F75" s="4035"/>
      <c r="G75" s="4035"/>
      <c r="H75" s="4035"/>
      <c r="I75" s="4035"/>
      <c r="J75" s="4035"/>
      <c r="K75" s="4035"/>
      <c r="L75" s="4035"/>
    </row>
  </sheetData>
  <sheetProtection autoFilter="0"/>
  <mergeCells count="20">
    <mergeCell ref="B14:L14"/>
    <mergeCell ref="B15:L15"/>
    <mergeCell ref="B16:L16"/>
    <mergeCell ref="B17:L17"/>
    <mergeCell ref="B18:L18"/>
    <mergeCell ref="B20:L20"/>
    <mergeCell ref="B75:L75"/>
    <mergeCell ref="C1:L1"/>
    <mergeCell ref="E21:J33"/>
    <mergeCell ref="E35:J46"/>
    <mergeCell ref="E48:J60"/>
    <mergeCell ref="E61:J73"/>
    <mergeCell ref="B3:L3"/>
    <mergeCell ref="B4:L4"/>
    <mergeCell ref="B6:L6"/>
    <mergeCell ref="B8:L8"/>
    <mergeCell ref="B10:L10"/>
    <mergeCell ref="B11:L11"/>
    <mergeCell ref="B12:L12"/>
    <mergeCell ref="B13:L13"/>
  </mergeCells>
  <hyperlinks>
    <hyperlink ref="B1" location="Index!A1" display="Назад"/>
  </hyperlinks>
  <printOptions horizontalCentered="1"/>
  <pageMargins left="0.23622047244094491" right="0.23622047244094491" top="0.74803149606299213" bottom="0.74803149606299213" header="0.31496062992125984" footer="0.31496062992125984"/>
  <pageSetup paperSize="9" scale="122" orientation="landscape" r:id="rId1"/>
  <headerFooter alignWithMargins="0"/>
  <rowBreaks count="2" manualBreakCount="2">
    <brk id="16" max="16383" man="1"/>
    <brk id="47" max="16383" man="1"/>
  </rowBreaks>
  <drawing r:id="rId2"/>
</worksheet>
</file>

<file path=xl/worksheets/sheet94.xml><?xml version="1.0" encoding="utf-8"?>
<worksheet xmlns="http://schemas.openxmlformats.org/spreadsheetml/2006/main" xmlns:r="http://schemas.openxmlformats.org/officeDocument/2006/relationships">
  <dimension ref="B1:M76"/>
  <sheetViews>
    <sheetView zoomScaleNormal="100" workbookViewId="0">
      <pane ySplit="4" topLeftCell="A5" activePane="bottomLeft" state="frozen"/>
      <selection pane="bottomLeft" activeCell="B1" sqref="B1"/>
    </sheetView>
  </sheetViews>
  <sheetFormatPr defaultRowHeight="12.95" customHeight="1"/>
  <cols>
    <col min="1" max="1" width="3.7109375" style="377" customWidth="1"/>
    <col min="2" max="2" width="30.7109375" style="377" customWidth="1"/>
    <col min="3" max="3" width="12.7109375" style="379" customWidth="1"/>
    <col min="4" max="4" width="1.7109375" style="377" customWidth="1"/>
    <col min="5" max="5" width="30.7109375" style="377" customWidth="1"/>
    <col min="6" max="6" width="12.7109375" style="379" customWidth="1"/>
    <col min="7" max="7" width="1.7109375" style="377" customWidth="1"/>
    <col min="8" max="8" width="30.7109375" style="377" customWidth="1"/>
    <col min="9" max="9" width="12.7109375" style="379" customWidth="1"/>
    <col min="10" max="16384" width="9.140625" style="377"/>
  </cols>
  <sheetData>
    <row r="1" spans="2:13" ht="12.95" customHeight="1">
      <c r="B1" s="562" t="s">
        <v>2706</v>
      </c>
      <c r="C1" s="2983" t="s">
        <v>8269</v>
      </c>
      <c r="D1" s="2983"/>
      <c r="E1" s="2983"/>
      <c r="F1" s="2983"/>
      <c r="G1" s="2983"/>
      <c r="H1" s="2983"/>
      <c r="I1" s="2983"/>
    </row>
    <row r="2" spans="2:13" ht="5.0999999999999996" customHeight="1"/>
    <row r="3" spans="2:13" ht="12.95" customHeight="1">
      <c r="B3" s="3266" t="s">
        <v>6430</v>
      </c>
      <c r="C3" s="3266"/>
      <c r="D3" s="3266"/>
      <c r="E3" s="3266"/>
      <c r="F3" s="3266"/>
      <c r="G3" s="3266"/>
      <c r="H3" s="3266"/>
      <c r="I3" s="3266"/>
      <c r="J3" s="396"/>
      <c r="K3" s="396"/>
      <c r="L3" s="396"/>
      <c r="M3" s="396"/>
    </row>
    <row r="4" spans="2:13" ht="5.0999999999999996" customHeight="1"/>
    <row r="5" spans="2:13" ht="39" customHeight="1">
      <c r="B5" s="2984" t="s">
        <v>9488</v>
      </c>
      <c r="C5" s="2984"/>
      <c r="D5" s="2984"/>
      <c r="E5" s="2984"/>
      <c r="F5" s="2984"/>
      <c r="G5" s="2984"/>
      <c r="H5" s="2984"/>
      <c r="I5" s="2984"/>
    </row>
    <row r="6" spans="2:13" ht="12.95" customHeight="1">
      <c r="B6" s="2984" t="s">
        <v>9489</v>
      </c>
      <c r="C6" s="2984"/>
      <c r="D6" s="2984"/>
      <c r="E6" s="2984"/>
      <c r="F6" s="2984"/>
      <c r="G6" s="2984"/>
      <c r="H6" s="2984"/>
      <c r="I6" s="2984"/>
    </row>
    <row r="7" spans="2:13" ht="5.0999999999999996" customHeight="1" thickBot="1">
      <c r="B7" s="2984"/>
      <c r="C7" s="2984"/>
      <c r="D7" s="2984"/>
      <c r="E7" s="2984"/>
      <c r="F7" s="2984"/>
      <c r="G7" s="2984"/>
      <c r="H7" s="2984"/>
      <c r="I7" s="2984"/>
    </row>
    <row r="8" spans="2:13" ht="12.95" customHeight="1" thickBot="1">
      <c r="B8" s="2115" t="s">
        <v>3476</v>
      </c>
      <c r="C8" s="1880" t="s">
        <v>6431</v>
      </c>
      <c r="D8" s="1958"/>
      <c r="E8" s="1964" t="s">
        <v>3476</v>
      </c>
      <c r="F8" s="1965" t="s">
        <v>6431</v>
      </c>
      <c r="G8" s="1958"/>
      <c r="H8" s="2115" t="s">
        <v>3476</v>
      </c>
      <c r="I8" s="1970" t="s">
        <v>6431</v>
      </c>
    </row>
    <row r="9" spans="2:13" ht="12.95" customHeight="1" thickBot="1">
      <c r="B9" s="1864" t="s">
        <v>2015</v>
      </c>
      <c r="C9" s="1865">
        <v>1</v>
      </c>
      <c r="E9" s="1877" t="s">
        <v>1948</v>
      </c>
      <c r="F9" s="1836">
        <v>15</v>
      </c>
      <c r="H9" s="1883" t="s">
        <v>3063</v>
      </c>
      <c r="I9" s="1836">
        <v>22</v>
      </c>
    </row>
    <row r="10" spans="2:13" ht="12.95" customHeight="1" thickTop="1" thickBot="1">
      <c r="B10" s="1863" t="s">
        <v>2663</v>
      </c>
      <c r="C10" s="406">
        <v>2</v>
      </c>
      <c r="E10" s="1861" t="s">
        <v>1644</v>
      </c>
      <c r="F10" s="456">
        <v>15</v>
      </c>
      <c r="H10" s="1867" t="s">
        <v>3463</v>
      </c>
      <c r="I10" s="1868">
        <v>22</v>
      </c>
    </row>
    <row r="11" spans="2:13" ht="12.95" customHeight="1" thickTop="1" thickBot="1">
      <c r="B11" s="1867" t="s">
        <v>1531</v>
      </c>
      <c r="C11" s="1868">
        <v>2</v>
      </c>
      <c r="E11" s="1860" t="s">
        <v>1949</v>
      </c>
      <c r="F11" s="456">
        <v>15</v>
      </c>
      <c r="H11" s="1862" t="s">
        <v>643</v>
      </c>
      <c r="I11" s="406">
        <v>23</v>
      </c>
    </row>
    <row r="12" spans="2:13" ht="12.95" customHeight="1" thickTop="1">
      <c r="B12" s="1866" t="s">
        <v>1533</v>
      </c>
      <c r="C12" s="406">
        <v>3</v>
      </c>
      <c r="E12" s="1860" t="s">
        <v>900</v>
      </c>
      <c r="F12" s="456">
        <v>15</v>
      </c>
      <c r="H12" s="1859" t="s">
        <v>3461</v>
      </c>
      <c r="I12" s="456">
        <v>23</v>
      </c>
    </row>
    <row r="13" spans="2:13" ht="12.95" customHeight="1" thickBot="1">
      <c r="B13" s="1869" t="s">
        <v>2014</v>
      </c>
      <c r="C13" s="1868">
        <v>3</v>
      </c>
      <c r="E13" s="1861" t="s">
        <v>3451</v>
      </c>
      <c r="F13" s="456">
        <v>15</v>
      </c>
      <c r="H13" s="1870" t="s">
        <v>1984</v>
      </c>
      <c r="I13" s="1868">
        <v>23</v>
      </c>
    </row>
    <row r="14" spans="2:13" ht="12.95" customHeight="1" thickTop="1" thickBot="1">
      <c r="B14" s="1862" t="s">
        <v>1532</v>
      </c>
      <c r="C14" s="406">
        <v>4</v>
      </c>
      <c r="E14" s="1859" t="s">
        <v>2528</v>
      </c>
      <c r="F14" s="456">
        <v>15</v>
      </c>
      <c r="H14" s="1873" t="s">
        <v>3445</v>
      </c>
      <c r="I14" s="1872">
        <v>24</v>
      </c>
    </row>
    <row r="15" spans="2:13" ht="12.95" customHeight="1" thickTop="1">
      <c r="B15" s="1859" t="s">
        <v>1534</v>
      </c>
      <c r="C15" s="456">
        <v>4</v>
      </c>
      <c r="E15" s="1860" t="s">
        <v>895</v>
      </c>
      <c r="F15" s="456">
        <v>15</v>
      </c>
      <c r="H15" s="1862" t="s">
        <v>3470</v>
      </c>
      <c r="I15" s="406">
        <v>25</v>
      </c>
    </row>
    <row r="16" spans="2:13" ht="12.95" customHeight="1" thickBot="1">
      <c r="B16" s="1870" t="s">
        <v>1535</v>
      </c>
      <c r="C16" s="1868">
        <v>4</v>
      </c>
      <c r="E16" s="1861" t="s">
        <v>642</v>
      </c>
      <c r="F16" s="456">
        <v>15</v>
      </c>
      <c r="H16" s="1870" t="s">
        <v>2534</v>
      </c>
      <c r="I16" s="1868">
        <v>25</v>
      </c>
    </row>
    <row r="17" spans="2:9" ht="12.95" customHeight="1" thickTop="1" thickBot="1">
      <c r="B17" s="1866" t="s">
        <v>373</v>
      </c>
      <c r="C17" s="406">
        <v>5</v>
      </c>
      <c r="E17" s="1861" t="s">
        <v>3460</v>
      </c>
      <c r="F17" s="456">
        <v>15</v>
      </c>
      <c r="H17" s="1873" t="s">
        <v>3446</v>
      </c>
      <c r="I17" s="1872">
        <v>26</v>
      </c>
    </row>
    <row r="18" spans="2:9" ht="12.95" customHeight="1" thickTop="1">
      <c r="B18" s="1861" t="s">
        <v>343</v>
      </c>
      <c r="C18" s="456">
        <v>5</v>
      </c>
      <c r="E18" s="1861" t="s">
        <v>2665</v>
      </c>
      <c r="F18" s="456">
        <v>15</v>
      </c>
      <c r="H18" s="1862" t="s">
        <v>641</v>
      </c>
      <c r="I18" s="406">
        <v>27</v>
      </c>
    </row>
    <row r="19" spans="2:9" ht="12.95" customHeight="1" thickBot="1">
      <c r="B19" s="1859" t="s">
        <v>1537</v>
      </c>
      <c r="C19" s="456">
        <v>5</v>
      </c>
      <c r="E19" s="1859" t="s">
        <v>3472</v>
      </c>
      <c r="F19" s="456">
        <v>15</v>
      </c>
      <c r="H19" s="1870" t="s">
        <v>613</v>
      </c>
      <c r="I19" s="1868">
        <v>27</v>
      </c>
    </row>
    <row r="20" spans="2:9" ht="12.95" customHeight="1" thickTop="1" thickBot="1">
      <c r="B20" s="1859" t="s">
        <v>1539</v>
      </c>
      <c r="C20" s="456">
        <v>5</v>
      </c>
      <c r="E20" s="1869" t="s">
        <v>1063</v>
      </c>
      <c r="F20" s="1868">
        <v>15</v>
      </c>
      <c r="H20" s="1863" t="s">
        <v>899</v>
      </c>
      <c r="I20" s="406">
        <v>28</v>
      </c>
    </row>
    <row r="21" spans="2:9" ht="12.95" customHeight="1" thickTop="1" thickBot="1">
      <c r="B21" s="1870" t="s">
        <v>1538</v>
      </c>
      <c r="C21" s="1868">
        <v>5</v>
      </c>
      <c r="E21" s="1863" t="s">
        <v>2666</v>
      </c>
      <c r="F21" s="406">
        <v>16</v>
      </c>
      <c r="H21" s="1859" t="s">
        <v>2668</v>
      </c>
      <c r="I21" s="456">
        <v>28</v>
      </c>
    </row>
    <row r="22" spans="2:9" ht="12.95" customHeight="1" thickTop="1" thickBot="1">
      <c r="B22" s="1862" t="s">
        <v>1536</v>
      </c>
      <c r="C22" s="406">
        <v>6</v>
      </c>
      <c r="E22" s="1862" t="s">
        <v>374</v>
      </c>
      <c r="F22" s="406">
        <v>17</v>
      </c>
      <c r="H22" s="1867" t="s">
        <v>2670</v>
      </c>
      <c r="I22" s="1868">
        <v>28</v>
      </c>
    </row>
    <row r="23" spans="2:9" ht="12.95" customHeight="1" thickTop="1">
      <c r="B23" s="1859" t="s">
        <v>3454</v>
      </c>
      <c r="C23" s="456">
        <v>6</v>
      </c>
      <c r="E23" s="1859" t="s">
        <v>1597</v>
      </c>
      <c r="F23" s="456">
        <v>17</v>
      </c>
      <c r="H23" s="1863" t="s">
        <v>1941</v>
      </c>
      <c r="I23" s="406">
        <v>29</v>
      </c>
    </row>
    <row r="24" spans="2:9" ht="12.95" customHeight="1" thickBot="1">
      <c r="B24" s="1859" t="s">
        <v>1721</v>
      </c>
      <c r="C24" s="456">
        <v>6</v>
      </c>
      <c r="E24" s="1860" t="s">
        <v>3062</v>
      </c>
      <c r="F24" s="456">
        <v>17</v>
      </c>
      <c r="H24" s="1870" t="s">
        <v>2669</v>
      </c>
      <c r="I24" s="1868">
        <v>29</v>
      </c>
    </row>
    <row r="25" spans="2:9" ht="12.95" customHeight="1" thickTop="1">
      <c r="B25" s="1859" t="s">
        <v>1540</v>
      </c>
      <c r="C25" s="456">
        <v>6</v>
      </c>
      <c r="E25" s="1860" t="s">
        <v>3452</v>
      </c>
      <c r="F25" s="456">
        <v>17</v>
      </c>
      <c r="H25" s="1862" t="s">
        <v>1052</v>
      </c>
      <c r="I25" s="406">
        <v>30</v>
      </c>
    </row>
    <row r="26" spans="2:9" ht="12.95" customHeight="1" thickBot="1">
      <c r="B26" s="1870" t="s">
        <v>3464</v>
      </c>
      <c r="C26" s="1868">
        <v>6</v>
      </c>
      <c r="E26" s="1859" t="s">
        <v>376</v>
      </c>
      <c r="F26" s="456">
        <v>17</v>
      </c>
      <c r="H26" s="1860" t="s">
        <v>3447</v>
      </c>
      <c r="I26" s="456">
        <v>30</v>
      </c>
    </row>
    <row r="27" spans="2:9" ht="12.95" customHeight="1" thickTop="1">
      <c r="B27" s="1866" t="s">
        <v>375</v>
      </c>
      <c r="C27" s="406">
        <v>7</v>
      </c>
      <c r="E27" s="1860" t="s">
        <v>3455</v>
      </c>
      <c r="F27" s="456">
        <v>17</v>
      </c>
      <c r="H27" s="1860" t="s">
        <v>1100</v>
      </c>
      <c r="I27" s="456">
        <v>30</v>
      </c>
    </row>
    <row r="28" spans="2:9" ht="12.95" customHeight="1" thickBot="1">
      <c r="B28" s="1869" t="s">
        <v>1593</v>
      </c>
      <c r="C28" s="1868">
        <v>7</v>
      </c>
      <c r="E28" s="1869" t="s">
        <v>898</v>
      </c>
      <c r="F28" s="1868">
        <v>17</v>
      </c>
      <c r="H28" s="1862" t="s">
        <v>567</v>
      </c>
      <c r="I28" s="406">
        <v>31</v>
      </c>
    </row>
    <row r="29" spans="2:9" ht="12.95" customHeight="1" thickTop="1">
      <c r="B29" s="1866" t="s">
        <v>378</v>
      </c>
      <c r="C29" s="406">
        <v>8</v>
      </c>
      <c r="E29" s="1862" t="s">
        <v>1518</v>
      </c>
      <c r="F29" s="406">
        <v>18</v>
      </c>
      <c r="H29" s="1859" t="s">
        <v>654</v>
      </c>
      <c r="I29" s="456">
        <v>31</v>
      </c>
    </row>
    <row r="30" spans="2:9" ht="12.95" customHeight="1">
      <c r="B30" s="1860" t="s">
        <v>377</v>
      </c>
      <c r="C30" s="456">
        <v>8</v>
      </c>
      <c r="E30" s="1859" t="s">
        <v>2323</v>
      </c>
      <c r="F30" s="456">
        <v>18</v>
      </c>
      <c r="H30" s="1860" t="s">
        <v>650</v>
      </c>
      <c r="I30" s="456">
        <v>31</v>
      </c>
    </row>
    <row r="31" spans="2:9" ht="12.95" customHeight="1" thickBot="1">
      <c r="B31" s="1867" t="s">
        <v>3458</v>
      </c>
      <c r="C31" s="1868">
        <v>8</v>
      </c>
      <c r="E31" s="1870" t="s">
        <v>3372</v>
      </c>
      <c r="F31" s="1868">
        <v>18</v>
      </c>
      <c r="H31" s="1860" t="s">
        <v>1222</v>
      </c>
      <c r="I31" s="456">
        <v>31</v>
      </c>
    </row>
    <row r="32" spans="2:9" ht="12.95" customHeight="1" thickTop="1">
      <c r="B32" s="1866" t="s">
        <v>2844</v>
      </c>
      <c r="C32" s="406">
        <v>9</v>
      </c>
      <c r="E32" s="1862" t="s">
        <v>2260</v>
      </c>
      <c r="F32" s="406">
        <v>19</v>
      </c>
      <c r="H32" s="1860" t="s">
        <v>6432</v>
      </c>
      <c r="I32" s="456">
        <v>31</v>
      </c>
    </row>
    <row r="33" spans="2:9" ht="12.95" customHeight="1" thickBot="1">
      <c r="B33" s="1861" t="s">
        <v>840</v>
      </c>
      <c r="C33" s="456">
        <v>9</v>
      </c>
      <c r="E33" s="1860" t="s">
        <v>1309</v>
      </c>
      <c r="F33" s="456">
        <v>19</v>
      </c>
      <c r="H33" s="1867" t="s">
        <v>1223</v>
      </c>
      <c r="I33" s="1868">
        <v>31</v>
      </c>
    </row>
    <row r="34" spans="2:9" ht="12.95" customHeight="1" thickTop="1">
      <c r="B34" s="1861" t="s">
        <v>372</v>
      </c>
      <c r="C34" s="456">
        <v>9</v>
      </c>
      <c r="E34" s="1860" t="s">
        <v>149</v>
      </c>
      <c r="F34" s="456">
        <v>19</v>
      </c>
      <c r="H34" s="1862" t="s">
        <v>841</v>
      </c>
      <c r="I34" s="406">
        <v>32</v>
      </c>
    </row>
    <row r="35" spans="2:9" ht="12.95" customHeight="1">
      <c r="B35" s="1861" t="s">
        <v>3465</v>
      </c>
      <c r="C35" s="456">
        <v>9</v>
      </c>
      <c r="E35" s="1859" t="s">
        <v>2664</v>
      </c>
      <c r="F35" s="456">
        <v>19</v>
      </c>
      <c r="H35" s="1859" t="s">
        <v>566</v>
      </c>
      <c r="I35" s="456">
        <v>32</v>
      </c>
    </row>
    <row r="36" spans="2:9" ht="12.95" customHeight="1" thickBot="1">
      <c r="B36" s="1869" t="s">
        <v>644</v>
      </c>
      <c r="C36" s="1868">
        <v>9</v>
      </c>
      <c r="E36" s="1859" t="s">
        <v>1596</v>
      </c>
      <c r="F36" s="456">
        <v>19</v>
      </c>
      <c r="H36" s="1870" t="s">
        <v>3453</v>
      </c>
      <c r="I36" s="1868">
        <v>32</v>
      </c>
    </row>
    <row r="37" spans="2:9" ht="12.95" customHeight="1" thickTop="1" thickBot="1">
      <c r="B37" s="1862" t="s">
        <v>2234</v>
      </c>
      <c r="C37" s="406">
        <v>10</v>
      </c>
      <c r="E37" s="1870" t="s">
        <v>901</v>
      </c>
      <c r="F37" s="1868">
        <v>19</v>
      </c>
      <c r="H37" s="1862" t="s">
        <v>3456</v>
      </c>
      <c r="I37" s="406">
        <v>34</v>
      </c>
    </row>
    <row r="38" spans="2:9" ht="12.95" customHeight="1" thickTop="1" thickBot="1">
      <c r="B38" s="1860" t="s">
        <v>3448</v>
      </c>
      <c r="C38" s="406">
        <v>10</v>
      </c>
      <c r="E38" s="1862" t="s">
        <v>2152</v>
      </c>
      <c r="F38" s="406">
        <v>20</v>
      </c>
      <c r="H38" s="1870" t="s">
        <v>2607</v>
      </c>
      <c r="I38" s="1868">
        <v>34</v>
      </c>
    </row>
    <row r="39" spans="2:9" ht="12.95" customHeight="1" thickTop="1" thickBot="1">
      <c r="B39" s="1867" t="s">
        <v>3449</v>
      </c>
      <c r="C39" s="1868">
        <v>10</v>
      </c>
      <c r="E39" s="1859" t="s">
        <v>1645</v>
      </c>
      <c r="F39" s="456">
        <v>20</v>
      </c>
      <c r="H39" s="1871" t="s">
        <v>386</v>
      </c>
      <c r="I39" s="1872">
        <v>35</v>
      </c>
    </row>
    <row r="40" spans="2:9" ht="12.95" customHeight="1" thickTop="1">
      <c r="B40" s="1881" t="s">
        <v>1594</v>
      </c>
      <c r="C40" s="1879">
        <v>11</v>
      </c>
      <c r="E40" s="1859" t="s">
        <v>3450</v>
      </c>
      <c r="F40" s="456">
        <v>20</v>
      </c>
      <c r="H40" s="1863" t="s">
        <v>1220</v>
      </c>
      <c r="I40" s="406">
        <v>36</v>
      </c>
    </row>
    <row r="41" spans="2:9" ht="12.95" customHeight="1" thickBot="1">
      <c r="B41" s="1867" t="s">
        <v>1619</v>
      </c>
      <c r="C41" s="1868">
        <v>11</v>
      </c>
      <c r="E41" s="1859" t="s">
        <v>1686</v>
      </c>
      <c r="F41" s="456">
        <v>20</v>
      </c>
      <c r="H41" s="1867" t="s">
        <v>842</v>
      </c>
      <c r="I41" s="1868">
        <v>36</v>
      </c>
    </row>
    <row r="42" spans="2:9" ht="12.95" customHeight="1" thickTop="1">
      <c r="B42" s="1866" t="s">
        <v>3469</v>
      </c>
      <c r="C42" s="406">
        <v>12</v>
      </c>
      <c r="E42" s="1861" t="s">
        <v>1062</v>
      </c>
      <c r="F42" s="456">
        <v>20</v>
      </c>
      <c r="H42" s="1862" t="s">
        <v>652</v>
      </c>
      <c r="I42" s="406">
        <v>37</v>
      </c>
    </row>
    <row r="43" spans="2:9" ht="12.95" customHeight="1">
      <c r="B43" s="1860" t="s">
        <v>1595</v>
      </c>
      <c r="C43" s="456">
        <v>12</v>
      </c>
      <c r="E43" s="1861" t="s">
        <v>150</v>
      </c>
      <c r="F43" s="456">
        <v>20</v>
      </c>
      <c r="H43" s="1861" t="s">
        <v>1221</v>
      </c>
      <c r="I43" s="456">
        <v>37</v>
      </c>
    </row>
    <row r="44" spans="2:9" ht="12.95" customHeight="1" thickBot="1">
      <c r="B44" s="1860" t="s">
        <v>612</v>
      </c>
      <c r="C44" s="456">
        <v>12</v>
      </c>
      <c r="E44" s="1859" t="s">
        <v>1947</v>
      </c>
      <c r="F44" s="456">
        <v>20</v>
      </c>
      <c r="H44" s="1867" t="s">
        <v>3462</v>
      </c>
      <c r="I44" s="1868">
        <v>37</v>
      </c>
    </row>
    <row r="45" spans="2:9" ht="12.95" customHeight="1" thickTop="1" thickBot="1">
      <c r="B45" s="1859" t="s">
        <v>2232</v>
      </c>
      <c r="C45" s="456">
        <v>12</v>
      </c>
      <c r="E45" s="1860" t="s">
        <v>614</v>
      </c>
      <c r="F45" s="456">
        <v>20</v>
      </c>
      <c r="H45" s="1873" t="s">
        <v>653</v>
      </c>
      <c r="I45" s="1872">
        <v>38</v>
      </c>
    </row>
    <row r="46" spans="2:9" ht="12.95" customHeight="1" thickTop="1" thickBot="1">
      <c r="B46" s="1859" t="s">
        <v>2233</v>
      </c>
      <c r="C46" s="456">
        <v>12</v>
      </c>
      <c r="E46" s="1860" t="s">
        <v>3466</v>
      </c>
      <c r="F46" s="456">
        <v>20</v>
      </c>
      <c r="H46" s="1873" t="s">
        <v>651</v>
      </c>
      <c r="I46" s="1872">
        <v>39</v>
      </c>
    </row>
    <row r="47" spans="2:9" ht="12.95" customHeight="1" thickTop="1" thickBot="1">
      <c r="B47" s="1859" t="s">
        <v>3444</v>
      </c>
      <c r="C47" s="456">
        <v>12</v>
      </c>
      <c r="E47" s="1870" t="s">
        <v>100</v>
      </c>
      <c r="F47" s="1868">
        <v>20</v>
      </c>
      <c r="H47" s="1862" t="s">
        <v>1744</v>
      </c>
      <c r="I47" s="406">
        <v>41</v>
      </c>
    </row>
    <row r="48" spans="2:9" ht="12.95" customHeight="1" thickTop="1" thickBot="1">
      <c r="B48" s="1859" t="s">
        <v>3467</v>
      </c>
      <c r="C48" s="456">
        <v>12</v>
      </c>
      <c r="E48" s="1862" t="s">
        <v>1519</v>
      </c>
      <c r="F48" s="406">
        <v>21</v>
      </c>
      <c r="H48" s="1870" t="s">
        <v>2018</v>
      </c>
      <c r="I48" s="1868">
        <v>41</v>
      </c>
    </row>
    <row r="49" spans="2:9" ht="12.95" customHeight="1" thickTop="1">
      <c r="B49" s="1859" t="s">
        <v>3468</v>
      </c>
      <c r="C49" s="456">
        <v>12</v>
      </c>
      <c r="E49" s="1860" t="s">
        <v>1054</v>
      </c>
      <c r="F49" s="456">
        <v>21</v>
      </c>
      <c r="H49" s="1862" t="s">
        <v>2611</v>
      </c>
      <c r="I49" s="406">
        <v>42</v>
      </c>
    </row>
    <row r="50" spans="2:9" ht="12.95" customHeight="1" thickBot="1">
      <c r="B50" s="1870" t="s">
        <v>379</v>
      </c>
      <c r="C50" s="1868">
        <v>12</v>
      </c>
      <c r="E50" s="1860" t="s">
        <v>1053</v>
      </c>
      <c r="F50" s="456">
        <v>21</v>
      </c>
      <c r="H50" s="1867" t="s">
        <v>1985</v>
      </c>
      <c r="I50" s="1868">
        <v>42</v>
      </c>
    </row>
    <row r="51" spans="2:9" ht="12.95" customHeight="1" thickTop="1" thickBot="1">
      <c r="B51" s="1866" t="s">
        <v>2325</v>
      </c>
      <c r="C51" s="406">
        <v>13</v>
      </c>
      <c r="E51" s="1859" t="s">
        <v>2322</v>
      </c>
      <c r="F51" s="456">
        <v>21</v>
      </c>
      <c r="H51" s="1862" t="s">
        <v>151</v>
      </c>
      <c r="I51" s="406">
        <v>43</v>
      </c>
    </row>
    <row r="52" spans="2:9" ht="12.95" customHeight="1" thickTop="1" thickBot="1">
      <c r="B52" s="1869" t="s">
        <v>3459</v>
      </c>
      <c r="C52" s="1868">
        <v>13</v>
      </c>
      <c r="E52" s="1859" t="s">
        <v>2545</v>
      </c>
      <c r="F52" s="456">
        <v>21</v>
      </c>
      <c r="H52" s="1874" t="s">
        <v>726</v>
      </c>
      <c r="I52" s="1872">
        <v>44</v>
      </c>
    </row>
    <row r="53" spans="2:9" ht="12.95" customHeight="1" thickTop="1" thickBot="1">
      <c r="B53" s="1863" t="s">
        <v>2324</v>
      </c>
      <c r="C53" s="406">
        <v>14</v>
      </c>
      <c r="E53" s="1859" t="s">
        <v>2667</v>
      </c>
      <c r="F53" s="456">
        <v>21</v>
      </c>
      <c r="H53" s="1874" t="s">
        <v>727</v>
      </c>
      <c r="I53" s="1872">
        <v>45</v>
      </c>
    </row>
    <row r="54" spans="2:9" ht="12.95" customHeight="1" thickTop="1" thickBot="1">
      <c r="B54" s="1860" t="s">
        <v>344</v>
      </c>
      <c r="C54" s="456">
        <v>14</v>
      </c>
      <c r="E54" s="1859" t="s">
        <v>3471</v>
      </c>
      <c r="F54" s="456">
        <v>21</v>
      </c>
      <c r="H54" s="1873" t="s">
        <v>3473</v>
      </c>
      <c r="I54" s="1872">
        <v>46</v>
      </c>
    </row>
    <row r="55" spans="2:9" ht="12.95" customHeight="1" thickTop="1" thickBot="1">
      <c r="B55" s="1861" t="s">
        <v>1817</v>
      </c>
      <c r="C55" s="456">
        <v>14</v>
      </c>
      <c r="E55" s="1870" t="s">
        <v>640</v>
      </c>
      <c r="F55" s="1868">
        <v>21</v>
      </c>
      <c r="H55" s="1875" t="s">
        <v>2019</v>
      </c>
      <c r="I55" s="1876">
        <v>47</v>
      </c>
    </row>
    <row r="56" spans="2:9" ht="12.95" customHeight="1" thickTop="1">
      <c r="B56" s="1861" t="s">
        <v>490</v>
      </c>
      <c r="C56" s="456">
        <v>14</v>
      </c>
      <c r="E56" s="1882" t="s">
        <v>1520</v>
      </c>
      <c r="F56" s="1879">
        <v>22</v>
      </c>
    </row>
    <row r="57" spans="2:9" ht="12.95" customHeight="1" thickBot="1">
      <c r="B57" s="1878" t="s">
        <v>988</v>
      </c>
      <c r="C57" s="1876">
        <v>14</v>
      </c>
      <c r="E57" s="1875" t="s">
        <v>1521</v>
      </c>
      <c r="F57" s="1876">
        <v>22</v>
      </c>
    </row>
    <row r="58" spans="2:9" ht="12.95" customHeight="1">
      <c r="B58" s="4051" t="s">
        <v>9490</v>
      </c>
      <c r="C58" s="4051"/>
      <c r="D58" s="4051"/>
      <c r="E58" s="4051"/>
      <c r="F58" s="4051"/>
      <c r="G58" s="4051"/>
      <c r="H58" s="4051"/>
      <c r="I58" s="4051"/>
    </row>
    <row r="59" spans="2:9" ht="5.0999999999999996" customHeight="1">
      <c r="F59" s="377"/>
      <c r="I59" s="377"/>
    </row>
    <row r="60" spans="2:9" ht="26.1" customHeight="1">
      <c r="B60" s="2984" t="s">
        <v>9491</v>
      </c>
      <c r="C60" s="2984"/>
      <c r="D60" s="2984"/>
      <c r="E60" s="2984"/>
      <c r="F60" s="2984"/>
      <c r="G60" s="2984"/>
      <c r="H60" s="2984"/>
      <c r="I60" s="2984"/>
    </row>
    <row r="61" spans="2:9" ht="26.1" customHeight="1">
      <c r="B61" s="2984" t="s">
        <v>9492</v>
      </c>
      <c r="C61" s="2984"/>
      <c r="D61" s="2984"/>
      <c r="E61" s="2984"/>
      <c r="F61" s="2984"/>
      <c r="G61" s="2984"/>
      <c r="H61" s="2984"/>
      <c r="I61" s="2984"/>
    </row>
    <row r="62" spans="2:9" ht="12.95" customHeight="1">
      <c r="B62" s="2984" t="s">
        <v>9493</v>
      </c>
      <c r="C62" s="2984"/>
      <c r="D62" s="2984"/>
      <c r="E62" s="2984"/>
      <c r="F62" s="2984"/>
      <c r="G62" s="2984"/>
      <c r="H62" s="2984"/>
      <c r="I62" s="2984"/>
    </row>
    <row r="63" spans="2:9" ht="12.95" customHeight="1">
      <c r="B63" s="2984" t="s">
        <v>9494</v>
      </c>
      <c r="C63" s="2984"/>
      <c r="D63" s="2984"/>
      <c r="E63" s="2984"/>
      <c r="F63" s="2984"/>
      <c r="G63" s="2984"/>
      <c r="H63" s="2984"/>
      <c r="I63" s="2984"/>
    </row>
    <row r="64" spans="2:9" ht="12.95" customHeight="1">
      <c r="B64" s="4052" t="s">
        <v>9495</v>
      </c>
      <c r="C64" s="4052"/>
      <c r="D64" s="4052"/>
      <c r="E64" s="4052"/>
      <c r="F64" s="4052"/>
      <c r="G64" s="4052"/>
      <c r="H64" s="4052"/>
      <c r="I64" s="4052"/>
    </row>
    <row r="65" spans="6:9" ht="12.95" customHeight="1">
      <c r="F65" s="377"/>
      <c r="I65" s="377"/>
    </row>
    <row r="66" spans="6:9" ht="12.95" customHeight="1">
      <c r="F66" s="377"/>
      <c r="I66" s="377"/>
    </row>
    <row r="67" spans="6:9" ht="12.95" customHeight="1">
      <c r="F67" s="377"/>
      <c r="I67" s="377"/>
    </row>
    <row r="68" spans="6:9" ht="12.95" customHeight="1">
      <c r="F68" s="377"/>
    </row>
    <row r="69" spans="6:9" ht="12.95" customHeight="1">
      <c r="F69" s="377"/>
    </row>
    <row r="70" spans="6:9" ht="12.95" customHeight="1">
      <c r="F70" s="377"/>
    </row>
    <row r="71" spans="6:9" ht="12.95" customHeight="1">
      <c r="F71" s="377"/>
    </row>
    <row r="72" spans="6:9" ht="12.95" customHeight="1">
      <c r="F72" s="377"/>
    </row>
    <row r="73" spans="6:9" ht="12.95" customHeight="1">
      <c r="F73" s="377"/>
    </row>
    <row r="74" spans="6:9" ht="12.95" customHeight="1">
      <c r="F74" s="377"/>
    </row>
    <row r="75" spans="6:9" ht="12.95" customHeight="1">
      <c r="F75" s="377"/>
    </row>
    <row r="76" spans="6:9" ht="12.95" customHeight="1">
      <c r="F76" s="377"/>
    </row>
  </sheetData>
  <sheetProtection autoFilter="0"/>
  <mergeCells count="11">
    <mergeCell ref="B7:I7"/>
    <mergeCell ref="C1:I1"/>
    <mergeCell ref="B3:I3"/>
    <mergeCell ref="B5:I5"/>
    <mergeCell ref="B6:I6"/>
    <mergeCell ref="B58:I58"/>
    <mergeCell ref="B62:I62"/>
    <mergeCell ref="B63:I63"/>
    <mergeCell ref="B61:I61"/>
    <mergeCell ref="B64:I64"/>
    <mergeCell ref="B60:I60"/>
  </mergeCells>
  <hyperlinks>
    <hyperlink ref="B1" location="Index!A1" display="Назад"/>
  </hyperlinks>
  <printOptions horizontalCentered="1"/>
  <pageMargins left="0.23622047244094491" right="0.23622047244094491" top="0.74803149606299213" bottom="0.74803149606299213" header="0.31496062992125984" footer="0.31496062992125984"/>
  <pageSetup paperSize="9" orientation="landscape" r:id="rId1"/>
  <headerFooter alignWithMargins="0"/>
</worksheet>
</file>

<file path=xl/worksheets/sheet95.xml><?xml version="1.0" encoding="utf-8"?>
<worksheet xmlns="http://schemas.openxmlformats.org/spreadsheetml/2006/main" xmlns:r="http://schemas.openxmlformats.org/officeDocument/2006/relationships">
  <dimension ref="B1:L124"/>
  <sheetViews>
    <sheetView zoomScaleNormal="100" workbookViewId="0">
      <pane ySplit="5" topLeftCell="A6" activePane="bottomLeft" state="frozen"/>
      <selection pane="bottomLeft"/>
    </sheetView>
  </sheetViews>
  <sheetFormatPr defaultRowHeight="12.95" customHeight="1"/>
  <cols>
    <col min="1" max="1" width="3.7109375" style="377" customWidth="1"/>
    <col min="2" max="2" width="9.85546875" style="377" customWidth="1"/>
    <col min="3" max="3" width="4.5703125" style="377" customWidth="1"/>
    <col min="4" max="4" width="16.85546875" style="377" customWidth="1"/>
    <col min="5" max="5" width="17.85546875" style="377" customWidth="1"/>
    <col min="6" max="6" width="9.5703125" style="377" customWidth="1"/>
    <col min="7" max="7" width="10" style="377" customWidth="1"/>
    <col min="8" max="8" width="18.42578125" style="377" customWidth="1"/>
    <col min="9" max="9" width="22.140625" style="377" customWidth="1"/>
    <col min="10" max="10" width="21.28515625" style="377" customWidth="1"/>
    <col min="11" max="16384" width="9.140625" style="377"/>
  </cols>
  <sheetData>
    <row r="1" spans="2:12" s="393" customFormat="1" ht="12.95" customHeight="1">
      <c r="B1" s="460" t="s">
        <v>2706</v>
      </c>
      <c r="C1" s="2990" t="s">
        <v>8269</v>
      </c>
      <c r="D1" s="2990"/>
      <c r="E1" s="2990"/>
      <c r="F1" s="2990"/>
      <c r="G1" s="2990"/>
      <c r="H1" s="2990"/>
      <c r="I1" s="2990"/>
      <c r="J1" s="2990"/>
    </row>
    <row r="2" spans="2:12" s="393" customFormat="1" ht="5.0999999999999996" customHeight="1">
      <c r="B2" s="444"/>
    </row>
    <row r="3" spans="2:12" s="415" customFormat="1" ht="12.95" customHeight="1">
      <c r="B3" s="2982" t="s">
        <v>4966</v>
      </c>
      <c r="C3" s="2982"/>
      <c r="D3" s="2982"/>
      <c r="E3" s="2982"/>
      <c r="F3" s="2982"/>
      <c r="G3" s="2982"/>
      <c r="H3" s="2982"/>
      <c r="I3" s="2982"/>
      <c r="J3" s="2982"/>
      <c r="K3" s="445"/>
      <c r="L3" s="445"/>
    </row>
    <row r="4" spans="2:12" s="522" customFormat="1" ht="11.25">
      <c r="B4" s="3130" t="s">
        <v>5709</v>
      </c>
      <c r="C4" s="3130"/>
      <c r="D4" s="3130"/>
      <c r="E4" s="3130"/>
      <c r="F4" s="3130"/>
      <c r="G4" s="3130"/>
      <c r="H4" s="3130"/>
      <c r="I4" s="3130"/>
      <c r="J4" s="3130"/>
    </row>
    <row r="5" spans="2:12" ht="5.0999999999999996" customHeight="1"/>
    <row r="6" spans="2:12" ht="26.1" customHeight="1">
      <c r="B6" s="3594" t="s">
        <v>9496</v>
      </c>
      <c r="C6" s="3825"/>
      <c r="D6" s="3825"/>
      <c r="E6" s="3825"/>
      <c r="F6" s="3825"/>
      <c r="G6" s="3825"/>
      <c r="H6" s="3825"/>
      <c r="I6" s="3825"/>
      <c r="J6" s="3825"/>
    </row>
    <row r="7" spans="2:12" ht="12.95" customHeight="1">
      <c r="B7" s="3594" t="s">
        <v>9497</v>
      </c>
      <c r="C7" s="3825"/>
      <c r="D7" s="3825"/>
      <c r="E7" s="3825"/>
      <c r="F7" s="3825"/>
      <c r="G7" s="3825"/>
      <c r="H7" s="3825"/>
      <c r="I7" s="3825"/>
      <c r="J7" s="3825"/>
    </row>
    <row r="8" spans="2:12" s="399" customFormat="1" ht="12.95" customHeight="1" thickBot="1">
      <c r="B8" s="3594" t="s">
        <v>9498</v>
      </c>
      <c r="C8" s="3594"/>
      <c r="D8" s="3594"/>
      <c r="E8" s="3594"/>
      <c r="F8" s="3594"/>
      <c r="G8" s="3594"/>
      <c r="H8" s="3594"/>
      <c r="I8" s="3594"/>
      <c r="J8" s="3594"/>
    </row>
    <row r="9" spans="2:12" ht="12.95" customHeight="1" thickBot="1">
      <c r="C9" s="3612" t="s">
        <v>1951</v>
      </c>
      <c r="D9" s="4092"/>
      <c r="E9" s="3613"/>
      <c r="F9" s="3256" t="s">
        <v>1970</v>
      </c>
      <c r="G9" s="4091"/>
      <c r="H9" s="4091"/>
      <c r="I9" s="3257"/>
    </row>
    <row r="10" spans="2:12" ht="12.95" customHeight="1">
      <c r="C10" s="416">
        <v>1</v>
      </c>
      <c r="D10" s="405" t="s">
        <v>2108</v>
      </c>
      <c r="E10" s="406" t="s">
        <v>2116</v>
      </c>
      <c r="F10" s="4082" t="s">
        <v>5710</v>
      </c>
      <c r="G10" s="4083"/>
      <c r="H10" s="4083"/>
      <c r="I10" s="4084"/>
    </row>
    <row r="11" spans="2:12" ht="12.95" customHeight="1">
      <c r="C11" s="462">
        <v>2</v>
      </c>
      <c r="D11" s="463" t="s">
        <v>2109</v>
      </c>
      <c r="E11" s="464" t="s">
        <v>2114</v>
      </c>
      <c r="F11" s="4085" t="s">
        <v>4967</v>
      </c>
      <c r="G11" s="4086"/>
      <c r="H11" s="4086"/>
      <c r="I11" s="4087"/>
    </row>
    <row r="12" spans="2:12" ht="12.95" customHeight="1">
      <c r="C12" s="446">
        <v>3</v>
      </c>
      <c r="D12" s="457" t="s">
        <v>2775</v>
      </c>
      <c r="E12" s="456" t="s">
        <v>2115</v>
      </c>
      <c r="F12" s="4093" t="s">
        <v>4968</v>
      </c>
      <c r="G12" s="4094"/>
      <c r="H12" s="4094"/>
      <c r="I12" s="4095"/>
    </row>
    <row r="13" spans="2:12" ht="12.95" customHeight="1">
      <c r="C13" s="462">
        <v>4</v>
      </c>
      <c r="D13" s="463" t="s">
        <v>2110</v>
      </c>
      <c r="E13" s="464" t="s">
        <v>2113</v>
      </c>
      <c r="F13" s="4085" t="s">
        <v>4969</v>
      </c>
      <c r="G13" s="4086"/>
      <c r="H13" s="4086"/>
      <c r="I13" s="4087"/>
    </row>
    <row r="14" spans="2:12" ht="12.95" customHeight="1" thickBot="1">
      <c r="C14" s="447">
        <v>5</v>
      </c>
      <c r="D14" s="458" t="s">
        <v>2111</v>
      </c>
      <c r="E14" s="461" t="s">
        <v>2112</v>
      </c>
      <c r="F14" s="4088" t="s">
        <v>5711</v>
      </c>
      <c r="G14" s="4089"/>
      <c r="H14" s="4089"/>
      <c r="I14" s="4090"/>
    </row>
    <row r="15" spans="2:12" ht="5.0999999999999996" customHeight="1"/>
    <row r="16" spans="2:12" ht="51.95" customHeight="1">
      <c r="B16" s="3594" t="s">
        <v>9499</v>
      </c>
      <c r="C16" s="3825"/>
      <c r="D16" s="3825"/>
      <c r="E16" s="3825"/>
      <c r="F16" s="3825"/>
      <c r="G16" s="3825"/>
      <c r="H16" s="3825"/>
      <c r="I16" s="3825"/>
      <c r="J16" s="3825"/>
    </row>
    <row r="17" spans="2:10" ht="51.95" customHeight="1">
      <c r="B17" s="3594" t="s">
        <v>9500</v>
      </c>
      <c r="C17" s="3825"/>
      <c r="D17" s="3825"/>
      <c r="E17" s="3825"/>
      <c r="F17" s="3825"/>
      <c r="G17" s="3825"/>
      <c r="H17" s="3825"/>
      <c r="I17" s="3825"/>
      <c r="J17" s="3825"/>
    </row>
    <row r="18" spans="2:10" ht="5.0999999999999996" customHeight="1" thickBot="1">
      <c r="B18" s="3825"/>
      <c r="C18" s="3825"/>
      <c r="D18" s="3825"/>
      <c r="E18" s="3825"/>
      <c r="F18" s="3825"/>
      <c r="G18" s="3825"/>
      <c r="H18" s="3825"/>
      <c r="I18" s="3825"/>
    </row>
    <row r="19" spans="2:10" ht="12.95" customHeight="1" thickBot="1">
      <c r="C19" s="3612" t="s">
        <v>1951</v>
      </c>
      <c r="D19" s="4053"/>
      <c r="E19" s="4096" t="s">
        <v>1950</v>
      </c>
      <c r="F19" s="4097"/>
      <c r="G19" s="4098"/>
    </row>
    <row r="20" spans="2:10" ht="12.95" customHeight="1">
      <c r="C20" s="416">
        <v>1</v>
      </c>
      <c r="D20" s="448" t="s">
        <v>2108</v>
      </c>
      <c r="E20" s="4105" t="s">
        <v>1952</v>
      </c>
      <c r="F20" s="4106"/>
      <c r="G20" s="4107"/>
    </row>
    <row r="21" spans="2:10" ht="12.95" customHeight="1">
      <c r="C21" s="462">
        <v>2</v>
      </c>
      <c r="D21" s="465" t="s">
        <v>2109</v>
      </c>
      <c r="E21" s="4122" t="s">
        <v>1389</v>
      </c>
      <c r="F21" s="4123"/>
      <c r="G21" s="4124"/>
    </row>
    <row r="22" spans="2:10" ht="12.95" customHeight="1">
      <c r="C22" s="446">
        <v>3</v>
      </c>
      <c r="D22" s="449" t="s">
        <v>2775</v>
      </c>
      <c r="E22" s="4102" t="s">
        <v>1390</v>
      </c>
      <c r="F22" s="4103"/>
      <c r="G22" s="4104"/>
    </row>
    <row r="23" spans="2:10" ht="12.95" customHeight="1">
      <c r="C23" s="462">
        <v>4</v>
      </c>
      <c r="D23" s="465" t="s">
        <v>2110</v>
      </c>
      <c r="E23" s="4122" t="s">
        <v>1388</v>
      </c>
      <c r="F23" s="4123"/>
      <c r="G23" s="4124"/>
    </row>
    <row r="24" spans="2:10" ht="12.95" customHeight="1" thickBot="1">
      <c r="C24" s="447">
        <v>5</v>
      </c>
      <c r="D24" s="450" t="s">
        <v>2111</v>
      </c>
      <c r="E24" s="4125" t="s">
        <v>1387</v>
      </c>
      <c r="F24" s="4126"/>
      <c r="G24" s="4127"/>
    </row>
    <row r="25" spans="2:10" ht="5.0999999999999996" customHeight="1"/>
    <row r="26" spans="2:10" ht="12.95" customHeight="1" thickBot="1">
      <c r="B26" s="3594" t="s">
        <v>9501</v>
      </c>
      <c r="C26" s="3825"/>
      <c r="D26" s="3825"/>
      <c r="E26" s="3825"/>
      <c r="F26" s="3825"/>
      <c r="G26" s="3825"/>
      <c r="H26" s="3825"/>
      <c r="I26" s="3825"/>
      <c r="J26" s="3825"/>
    </row>
    <row r="27" spans="2:10" ht="12.95" customHeight="1" thickBot="1">
      <c r="C27" s="3612" t="s">
        <v>1200</v>
      </c>
      <c r="D27" s="4092"/>
      <c r="E27" s="4053"/>
      <c r="F27" s="3612" t="s">
        <v>4970</v>
      </c>
      <c r="G27" s="4092"/>
      <c r="H27" s="3613"/>
    </row>
    <row r="28" spans="2:10" ht="12.95" customHeight="1">
      <c r="C28" s="4099" t="s">
        <v>4971</v>
      </c>
      <c r="D28" s="4100"/>
      <c r="E28" s="4101"/>
      <c r="F28" s="4119" t="s">
        <v>4972</v>
      </c>
      <c r="G28" s="4120"/>
      <c r="H28" s="4121"/>
    </row>
    <row r="29" spans="2:10" ht="26.1" customHeight="1">
      <c r="C29" s="3775" t="s">
        <v>4973</v>
      </c>
      <c r="D29" s="3776"/>
      <c r="E29" s="4054"/>
      <c r="F29" s="4070" t="s">
        <v>5712</v>
      </c>
      <c r="G29" s="4071"/>
      <c r="H29" s="4072"/>
    </row>
    <row r="30" spans="2:10" ht="26.1" customHeight="1">
      <c r="C30" s="3773" t="s">
        <v>5408</v>
      </c>
      <c r="D30" s="3774"/>
      <c r="E30" s="4069"/>
      <c r="F30" s="4073" t="s">
        <v>4974</v>
      </c>
      <c r="G30" s="4074"/>
      <c r="H30" s="4075"/>
    </row>
    <row r="31" spans="2:10" ht="26.1" customHeight="1">
      <c r="C31" s="3775" t="s">
        <v>4975</v>
      </c>
      <c r="D31" s="3776"/>
      <c r="E31" s="4054"/>
      <c r="F31" s="4070" t="s">
        <v>4976</v>
      </c>
      <c r="G31" s="4071"/>
      <c r="H31" s="4072"/>
    </row>
    <row r="32" spans="2:10" ht="26.1" customHeight="1">
      <c r="C32" s="3773" t="s">
        <v>5392</v>
      </c>
      <c r="D32" s="3774"/>
      <c r="E32" s="4069"/>
      <c r="F32" s="3032" t="s">
        <v>5393</v>
      </c>
      <c r="G32" s="4074"/>
      <c r="H32" s="4075"/>
    </row>
    <row r="33" spans="2:10" ht="12.95" customHeight="1">
      <c r="C33" s="3775" t="s">
        <v>5394</v>
      </c>
      <c r="D33" s="3776"/>
      <c r="E33" s="4054"/>
      <c r="F33" s="3030" t="s">
        <v>5395</v>
      </c>
      <c r="G33" s="4071"/>
      <c r="H33" s="4072"/>
    </row>
    <row r="34" spans="2:10" ht="24.95" customHeight="1" thickBot="1">
      <c r="C34" s="4079" t="s">
        <v>5396</v>
      </c>
      <c r="D34" s="4080"/>
      <c r="E34" s="4081"/>
      <c r="F34" s="4076" t="s">
        <v>5397</v>
      </c>
      <c r="G34" s="4077"/>
      <c r="H34" s="4078"/>
    </row>
    <row r="35" spans="2:10" ht="5.0999999999999996" customHeight="1"/>
    <row r="36" spans="2:10" ht="39" customHeight="1">
      <c r="B36" s="3594" t="s">
        <v>9502</v>
      </c>
      <c r="C36" s="3825"/>
      <c r="D36" s="3825"/>
      <c r="E36" s="3825"/>
      <c r="F36" s="3825"/>
      <c r="G36" s="3825"/>
      <c r="H36" s="3825"/>
      <c r="I36" s="3825"/>
      <c r="J36" s="3825"/>
    </row>
    <row r="37" spans="2:10" ht="12.95" customHeight="1">
      <c r="B37" s="3594" t="s">
        <v>9503</v>
      </c>
      <c r="C37" s="3825"/>
      <c r="D37" s="3825"/>
      <c r="E37" s="3825"/>
      <c r="F37" s="3825"/>
      <c r="G37" s="3825"/>
      <c r="H37" s="3825"/>
      <c r="I37" s="3825"/>
    </row>
    <row r="38" spans="2:10" ht="12.95" customHeight="1">
      <c r="C38" s="3134" t="s">
        <v>5713</v>
      </c>
      <c r="D38" s="3134"/>
      <c r="E38" s="3134"/>
      <c r="F38" s="3134"/>
      <c r="G38" s="3134"/>
      <c r="H38" s="3134"/>
      <c r="I38" s="3134"/>
      <c r="J38" s="3134"/>
    </row>
    <row r="39" spans="2:10" ht="26.1" customHeight="1">
      <c r="C39" s="3134" t="s">
        <v>4977</v>
      </c>
      <c r="D39" s="3134"/>
      <c r="E39" s="3134"/>
      <c r="F39" s="3134"/>
      <c r="G39" s="3134"/>
      <c r="H39" s="3134"/>
      <c r="I39" s="3134"/>
      <c r="J39" s="3134"/>
    </row>
    <row r="40" spans="2:10" ht="26.1" customHeight="1">
      <c r="C40" s="3134" t="s">
        <v>4988</v>
      </c>
      <c r="D40" s="3134"/>
      <c r="E40" s="3134"/>
      <c r="F40" s="3134"/>
      <c r="G40" s="3134"/>
      <c r="H40" s="3134"/>
      <c r="I40" s="3134"/>
      <c r="J40" s="3134"/>
    </row>
    <row r="41" spans="2:10" ht="12.95" customHeight="1">
      <c r="C41" s="3134" t="s">
        <v>10134</v>
      </c>
      <c r="D41" s="3134"/>
      <c r="E41" s="3134"/>
      <c r="F41" s="3134"/>
      <c r="G41" s="3134"/>
      <c r="H41" s="3134"/>
      <c r="I41" s="3134"/>
      <c r="J41" s="3134"/>
    </row>
    <row r="42" spans="2:10" ht="5.0999999999999996" customHeight="1"/>
    <row r="43" spans="2:10" ht="26.1" customHeight="1">
      <c r="B43" s="3594" t="s">
        <v>10135</v>
      </c>
      <c r="C43" s="4068"/>
      <c r="D43" s="4068"/>
      <c r="E43" s="4068"/>
      <c r="F43" s="4068"/>
      <c r="G43" s="4068"/>
      <c r="H43" s="4068"/>
      <c r="I43" s="4068"/>
      <c r="J43" s="4068"/>
    </row>
    <row r="44" spans="2:10" ht="5.0999999999999996" customHeight="1"/>
    <row r="45" spans="2:10" ht="39" customHeight="1">
      <c r="B45" s="3134" t="s">
        <v>9504</v>
      </c>
      <c r="C45" s="3134"/>
      <c r="D45" s="3134"/>
      <c r="E45" s="3134"/>
      <c r="F45" s="3134"/>
      <c r="G45" s="3134"/>
      <c r="H45" s="3134"/>
      <c r="I45" s="3134"/>
      <c r="J45" s="3134"/>
    </row>
    <row r="46" spans="2:10" ht="51.95" customHeight="1">
      <c r="B46" s="3134" t="s">
        <v>9505</v>
      </c>
      <c r="C46" s="3134"/>
      <c r="D46" s="3134"/>
      <c r="E46" s="3134"/>
      <c r="F46" s="3134"/>
      <c r="G46" s="3134"/>
      <c r="H46" s="3134"/>
      <c r="I46" s="3134"/>
      <c r="J46" s="3134"/>
    </row>
    <row r="47" spans="2:10" ht="5.0999999999999996" customHeight="1" thickBot="1"/>
    <row r="48" spans="2:10" ht="12.95" customHeight="1">
      <c r="D48" s="2975" t="s">
        <v>1556</v>
      </c>
      <c r="E48" s="3792" t="s">
        <v>1149</v>
      </c>
      <c r="F48" s="3624"/>
      <c r="G48" s="3624"/>
      <c r="H48" s="3624"/>
      <c r="I48" s="3793"/>
    </row>
    <row r="49" spans="2:10" ht="12.95" customHeight="1" thickBot="1">
      <c r="D49" s="2976"/>
      <c r="E49" s="466" t="s">
        <v>1463</v>
      </c>
      <c r="F49" s="4056" t="s">
        <v>3715</v>
      </c>
      <c r="G49" s="4057"/>
      <c r="H49" s="467" t="s">
        <v>3716</v>
      </c>
      <c r="I49" s="468" t="s">
        <v>3717</v>
      </c>
    </row>
    <row r="50" spans="2:10" ht="12.95" customHeight="1">
      <c r="D50" s="451" t="s">
        <v>1304</v>
      </c>
      <c r="E50" s="452">
        <v>1</v>
      </c>
      <c r="F50" s="4060" t="s">
        <v>4981</v>
      </c>
      <c r="G50" s="4061"/>
      <c r="H50" s="453" t="s">
        <v>4982</v>
      </c>
      <c r="I50" s="454" t="s">
        <v>4983</v>
      </c>
    </row>
    <row r="51" spans="2:10" ht="12.95" customHeight="1">
      <c r="D51" s="115" t="s">
        <v>4978</v>
      </c>
      <c r="E51" s="469" t="s">
        <v>4987</v>
      </c>
      <c r="F51" s="4064" t="s">
        <v>4986</v>
      </c>
      <c r="G51" s="4065"/>
      <c r="H51" s="470">
        <v>0.5</v>
      </c>
      <c r="I51" s="464" t="s">
        <v>4984</v>
      </c>
    </row>
    <row r="52" spans="2:10" ht="12.95" customHeight="1">
      <c r="D52" s="414" t="s">
        <v>4979</v>
      </c>
      <c r="E52" s="455" t="s">
        <v>4981</v>
      </c>
      <c r="F52" s="4058" t="s">
        <v>4982</v>
      </c>
      <c r="G52" s="4059"/>
      <c r="H52" s="457" t="s">
        <v>4983</v>
      </c>
      <c r="I52" s="456" t="s">
        <v>4985</v>
      </c>
    </row>
    <row r="53" spans="2:10" ht="12.95" customHeight="1" thickBot="1">
      <c r="D53" s="233" t="s">
        <v>4980</v>
      </c>
      <c r="E53" s="471" t="s">
        <v>4986</v>
      </c>
      <c r="F53" s="4062">
        <v>0.5</v>
      </c>
      <c r="G53" s="4063"/>
      <c r="H53" s="472" t="s">
        <v>4984</v>
      </c>
      <c r="I53" s="473">
        <v>0.1</v>
      </c>
    </row>
    <row r="54" spans="2:10" ht="5.0999999999999996" customHeight="1">
      <c r="D54" s="420"/>
      <c r="E54" s="421"/>
      <c r="F54" s="421"/>
      <c r="G54" s="421"/>
      <c r="H54" s="420"/>
      <c r="I54" s="421"/>
    </row>
    <row r="55" spans="2:10" ht="12.95" customHeight="1">
      <c r="B55" s="3134" t="s">
        <v>9506</v>
      </c>
      <c r="C55" s="3134"/>
      <c r="D55" s="3134"/>
      <c r="E55" s="3134"/>
      <c r="F55" s="3134"/>
      <c r="G55" s="3134"/>
      <c r="H55" s="3134"/>
      <c r="I55" s="3134"/>
      <c r="J55" s="3134"/>
    </row>
    <row r="56" spans="2:10" ht="26.1" customHeight="1">
      <c r="B56" s="3134" t="s">
        <v>9507</v>
      </c>
      <c r="C56" s="3134"/>
      <c r="D56" s="3134"/>
      <c r="E56" s="3134"/>
      <c r="F56" s="3134"/>
      <c r="G56" s="3134"/>
      <c r="H56" s="3134"/>
      <c r="I56" s="3134"/>
      <c r="J56" s="3134"/>
    </row>
    <row r="57" spans="2:10" ht="5.0999999999999996" customHeight="1"/>
    <row r="58" spans="2:10" ht="26.1" customHeight="1">
      <c r="B58" s="3134" t="s">
        <v>9508</v>
      </c>
      <c r="C58" s="3732"/>
      <c r="D58" s="3732"/>
      <c r="E58" s="3732"/>
      <c r="F58" s="3732"/>
      <c r="G58" s="3732"/>
      <c r="H58" s="3732"/>
      <c r="I58" s="3732"/>
      <c r="J58" s="3732"/>
    </row>
    <row r="59" spans="2:10" ht="5.0999999999999996" customHeight="1"/>
    <row r="60" spans="2:10" ht="12.95" customHeight="1">
      <c r="B60" s="3264" t="s">
        <v>5714</v>
      </c>
      <c r="C60" s="3264"/>
      <c r="D60" s="3264"/>
      <c r="E60" s="3264"/>
      <c r="F60" s="3264"/>
      <c r="G60" s="3264"/>
      <c r="H60" s="3264"/>
      <c r="I60" s="3264"/>
      <c r="J60" s="3264"/>
    </row>
    <row r="61" spans="2:10" ht="12.95" customHeight="1">
      <c r="B61" s="399"/>
      <c r="C61" s="399"/>
      <c r="D61" s="399"/>
      <c r="E61" s="4118" t="s">
        <v>5715</v>
      </c>
      <c r="F61" s="4118"/>
      <c r="G61" s="4118"/>
      <c r="H61" s="4118"/>
      <c r="I61" s="4118"/>
      <c r="J61" s="4118"/>
    </row>
    <row r="62" spans="2:10" ht="12.95" customHeight="1">
      <c r="B62" s="3264" t="s">
        <v>4989</v>
      </c>
      <c r="C62" s="3264"/>
      <c r="D62" s="3264"/>
      <c r="E62" s="3264"/>
      <c r="F62" s="3264"/>
      <c r="G62" s="3264"/>
      <c r="H62" s="3264"/>
      <c r="I62" s="3264"/>
      <c r="J62" s="3264"/>
    </row>
    <row r="63" spans="2:10" ht="26.1" customHeight="1">
      <c r="B63" s="399"/>
      <c r="C63" s="399"/>
      <c r="D63" s="399"/>
      <c r="E63" s="4066" t="s">
        <v>5716</v>
      </c>
      <c r="F63" s="4066"/>
      <c r="G63" s="4066"/>
      <c r="H63" s="4066"/>
      <c r="I63" s="4066"/>
      <c r="J63" s="4066"/>
    </row>
    <row r="64" spans="2:10" ht="12.95" customHeight="1">
      <c r="B64" s="3264" t="s">
        <v>4990</v>
      </c>
      <c r="C64" s="3264"/>
      <c r="D64" s="3264"/>
      <c r="E64" s="3264"/>
      <c r="F64" s="3264"/>
      <c r="G64" s="3264"/>
      <c r="H64" s="3264"/>
      <c r="I64" s="3264"/>
      <c r="J64" s="3264"/>
    </row>
    <row r="65" spans="2:10" ht="12.75">
      <c r="B65" s="399"/>
      <c r="C65" s="399"/>
      <c r="D65" s="399"/>
      <c r="E65" s="4066" t="s">
        <v>5717</v>
      </c>
      <c r="F65" s="4066"/>
      <c r="G65" s="4066"/>
      <c r="H65" s="4066"/>
      <c r="I65" s="4066"/>
      <c r="J65" s="4066"/>
    </row>
    <row r="66" spans="2:10" ht="12.95" customHeight="1">
      <c r="B66" s="3264" t="s">
        <v>4991</v>
      </c>
      <c r="C66" s="3264"/>
      <c r="D66" s="3264"/>
      <c r="E66" s="3264"/>
      <c r="F66" s="3264"/>
      <c r="G66" s="3264"/>
      <c r="H66" s="3264"/>
      <c r="I66" s="3264"/>
      <c r="J66" s="3264"/>
    </row>
    <row r="67" spans="2:10" ht="12.75">
      <c r="B67" s="399"/>
      <c r="C67" s="399"/>
      <c r="D67" s="399"/>
      <c r="E67" s="4066" t="s">
        <v>5720</v>
      </c>
      <c r="F67" s="4066"/>
      <c r="G67" s="4066"/>
      <c r="H67" s="4066"/>
      <c r="I67" s="4066"/>
      <c r="J67" s="4066"/>
    </row>
    <row r="68" spans="2:10" ht="12.95" customHeight="1">
      <c r="B68" s="3264" t="s">
        <v>4992</v>
      </c>
      <c r="C68" s="3264"/>
      <c r="D68" s="3264"/>
      <c r="E68" s="3264"/>
      <c r="F68" s="3264"/>
      <c r="G68" s="3264"/>
      <c r="H68" s="3264"/>
      <c r="I68" s="3264"/>
      <c r="J68" s="3264"/>
    </row>
    <row r="69" spans="2:10" ht="12.75">
      <c r="B69" s="399"/>
      <c r="C69" s="399"/>
      <c r="D69" s="399"/>
      <c r="E69" s="4066" t="s">
        <v>5721</v>
      </c>
      <c r="F69" s="4066"/>
      <c r="G69" s="4066"/>
      <c r="H69" s="4066"/>
      <c r="I69" s="4066"/>
      <c r="J69" s="4066"/>
    </row>
    <row r="70" spans="2:10" ht="12.95" customHeight="1">
      <c r="B70" s="3264" t="s">
        <v>5297</v>
      </c>
      <c r="C70" s="3264"/>
      <c r="D70" s="3264"/>
      <c r="E70" s="3264"/>
      <c r="F70" s="3264"/>
      <c r="G70" s="3264"/>
      <c r="H70" s="3264"/>
      <c r="I70" s="3264"/>
      <c r="J70" s="3264"/>
    </row>
    <row r="71" spans="2:10" ht="12.95" customHeight="1">
      <c r="B71" s="3264" t="s">
        <v>10136</v>
      </c>
      <c r="C71" s="3264"/>
      <c r="D71" s="3264"/>
      <c r="E71" s="3264"/>
      <c r="F71" s="3264"/>
      <c r="G71" s="3264"/>
      <c r="H71" s="3264"/>
      <c r="I71" s="3264"/>
      <c r="J71" s="3264"/>
    </row>
    <row r="72" spans="2:10" ht="12.95" customHeight="1">
      <c r="B72" s="3264" t="s">
        <v>4993</v>
      </c>
      <c r="C72" s="3264"/>
      <c r="D72" s="3264"/>
      <c r="E72" s="3264"/>
      <c r="F72" s="3264"/>
      <c r="G72" s="3264"/>
      <c r="H72" s="3264"/>
      <c r="I72" s="3264"/>
      <c r="J72" s="3264"/>
    </row>
    <row r="73" spans="2:10" ht="12.95" customHeight="1">
      <c r="B73" s="3264" t="s">
        <v>10140</v>
      </c>
      <c r="C73" s="3264"/>
      <c r="D73" s="3264"/>
      <c r="E73" s="3264"/>
      <c r="F73" s="3264"/>
      <c r="G73" s="3264"/>
      <c r="H73" s="3264"/>
      <c r="I73" s="3264"/>
      <c r="J73" s="3264"/>
    </row>
    <row r="74" spans="2:10" ht="12.95" customHeight="1">
      <c r="B74" s="3264" t="s">
        <v>10141</v>
      </c>
      <c r="C74" s="3264"/>
      <c r="D74" s="3264"/>
      <c r="E74" s="3264"/>
      <c r="F74" s="3264"/>
      <c r="G74" s="3264"/>
      <c r="H74" s="3264"/>
      <c r="I74" s="3264"/>
      <c r="J74" s="3264"/>
    </row>
    <row r="75" spans="2:10" ht="12.95" customHeight="1">
      <c r="B75" s="3264" t="s">
        <v>10142</v>
      </c>
      <c r="C75" s="3264"/>
      <c r="D75" s="3264"/>
      <c r="E75" s="3264"/>
      <c r="F75" s="3264"/>
      <c r="G75" s="3264"/>
      <c r="H75" s="3264"/>
      <c r="I75" s="3264"/>
      <c r="J75" s="3264"/>
    </row>
    <row r="76" spans="2:10" ht="12.75">
      <c r="B76" s="399"/>
      <c r="C76" s="399"/>
      <c r="D76" s="399"/>
      <c r="E76" s="4066" t="s">
        <v>5722</v>
      </c>
      <c r="F76" s="4066"/>
      <c r="G76" s="4066"/>
      <c r="H76" s="4066"/>
      <c r="I76" s="4066"/>
      <c r="J76" s="4066"/>
    </row>
    <row r="77" spans="2:10" ht="5.0999999999999996" customHeight="1">
      <c r="B77" s="399"/>
      <c r="C77" s="399"/>
      <c r="D77" s="399"/>
      <c r="E77" s="399"/>
      <c r="F77" s="399"/>
      <c r="G77" s="399"/>
      <c r="H77" s="399"/>
      <c r="I77" s="399"/>
      <c r="J77" s="399"/>
    </row>
    <row r="78" spans="2:10" ht="12.95" customHeight="1">
      <c r="B78" s="3263" t="s">
        <v>9380</v>
      </c>
      <c r="C78" s="3263"/>
      <c r="D78" s="3263"/>
      <c r="E78" s="3263"/>
      <c r="F78" s="3263"/>
      <c r="G78" s="3263"/>
      <c r="H78" s="3263"/>
      <c r="I78" s="3263"/>
      <c r="J78" s="3263"/>
    </row>
    <row r="79" spans="2:10" ht="12.95" customHeight="1">
      <c r="B79" s="3264" t="s">
        <v>4994</v>
      </c>
      <c r="C79" s="3264"/>
      <c r="D79" s="3264"/>
      <c r="E79" s="3264"/>
      <c r="F79" s="3264"/>
      <c r="G79" s="3264"/>
      <c r="H79" s="3264"/>
      <c r="I79" s="3264"/>
      <c r="J79" s="3264"/>
    </row>
    <row r="80" spans="2:10" ht="12.95" customHeight="1">
      <c r="B80" s="3264" t="s">
        <v>4995</v>
      </c>
      <c r="C80" s="3264"/>
      <c r="D80" s="3264"/>
      <c r="E80" s="3264"/>
      <c r="F80" s="3264"/>
      <c r="G80" s="3264"/>
      <c r="H80" s="3264"/>
      <c r="I80" s="3264"/>
      <c r="J80" s="3264"/>
    </row>
    <row r="81" spans="2:10" ht="5.0999999999999996" customHeight="1"/>
    <row r="82" spans="2:10" ht="12.95" customHeight="1">
      <c r="B82" s="3264" t="s">
        <v>10143</v>
      </c>
      <c r="C82" s="3264"/>
      <c r="D82" s="3264"/>
      <c r="E82" s="3264"/>
      <c r="F82" s="3264"/>
      <c r="G82" s="3264"/>
      <c r="H82" s="3264"/>
      <c r="I82" s="3264"/>
      <c r="J82" s="3264"/>
    </row>
    <row r="83" spans="2:10" ht="12.95" customHeight="1">
      <c r="B83" s="3264" t="s">
        <v>4996</v>
      </c>
      <c r="C83" s="3264"/>
      <c r="D83" s="3264"/>
      <c r="E83" s="3264"/>
      <c r="F83" s="3264"/>
      <c r="G83" s="3264"/>
      <c r="H83" s="3264"/>
      <c r="I83" s="3264"/>
      <c r="J83" s="3264"/>
    </row>
    <row r="84" spans="2:10" ht="12.95" customHeight="1">
      <c r="B84" s="3264" t="s">
        <v>4997</v>
      </c>
      <c r="C84" s="3264"/>
      <c r="D84" s="3264"/>
      <c r="E84" s="3264"/>
      <c r="F84" s="3264"/>
      <c r="G84" s="3264"/>
      <c r="H84" s="3264"/>
      <c r="I84" s="3264"/>
      <c r="J84" s="3264"/>
    </row>
    <row r="85" spans="2:10" ht="12.95" customHeight="1">
      <c r="B85" s="3264" t="s">
        <v>4998</v>
      </c>
      <c r="C85" s="3264"/>
      <c r="D85" s="3264"/>
      <c r="E85" s="3264"/>
      <c r="F85" s="3264"/>
      <c r="G85" s="3264"/>
      <c r="H85" s="3264"/>
      <c r="I85" s="3264"/>
      <c r="J85" s="3264"/>
    </row>
    <row r="86" spans="2:10" ht="12.75">
      <c r="B86" s="399"/>
      <c r="C86" s="399"/>
      <c r="D86" s="399"/>
      <c r="E86" s="4066" t="s">
        <v>5718</v>
      </c>
      <c r="F86" s="4066"/>
      <c r="G86" s="4066"/>
      <c r="H86" s="4066"/>
      <c r="I86" s="4066"/>
      <c r="J86" s="4066"/>
    </row>
    <row r="87" spans="2:10" ht="5.0999999999999996" customHeight="1">
      <c r="B87" s="399"/>
      <c r="C87" s="399"/>
      <c r="D87" s="399"/>
      <c r="E87" s="399"/>
      <c r="F87" s="399"/>
      <c r="G87" s="399"/>
      <c r="H87" s="399"/>
      <c r="I87" s="399"/>
      <c r="J87" s="399"/>
    </row>
    <row r="88" spans="2:10" ht="26.1" customHeight="1">
      <c r="B88" s="2984" t="s">
        <v>9509</v>
      </c>
      <c r="C88" s="2984"/>
      <c r="D88" s="2984"/>
      <c r="E88" s="2984"/>
      <c r="F88" s="2984"/>
      <c r="G88" s="2984"/>
      <c r="H88" s="2984"/>
      <c r="I88" s="2984"/>
      <c r="J88" s="2984"/>
    </row>
    <row r="89" spans="2:10" ht="5.0999999999999996" customHeight="1"/>
    <row r="90" spans="2:10" ht="12.95" customHeight="1">
      <c r="B90" s="3264" t="s">
        <v>4999</v>
      </c>
      <c r="C90" s="3264"/>
      <c r="D90" s="3264"/>
      <c r="E90" s="3264"/>
      <c r="F90" s="3264"/>
      <c r="G90" s="3264"/>
      <c r="H90" s="3264"/>
      <c r="I90" s="3264"/>
      <c r="J90" s="3264"/>
    </row>
    <row r="91" spans="2:10" ht="12.95" customHeight="1">
      <c r="B91" s="3264" t="s">
        <v>5719</v>
      </c>
      <c r="C91" s="3264"/>
      <c r="D91" s="3264"/>
      <c r="E91" s="3264"/>
      <c r="F91" s="3264"/>
      <c r="G91" s="3264"/>
      <c r="H91" s="3264"/>
      <c r="I91" s="3264"/>
      <c r="J91" s="3264"/>
    </row>
    <row r="92" spans="2:10" ht="12.95" customHeight="1">
      <c r="B92" s="3264" t="s">
        <v>5000</v>
      </c>
      <c r="C92" s="3264"/>
      <c r="D92" s="3264"/>
      <c r="E92" s="3264"/>
      <c r="F92" s="3264"/>
      <c r="G92" s="3264"/>
      <c r="H92" s="3264"/>
      <c r="I92" s="3264"/>
      <c r="J92" s="3264"/>
    </row>
    <row r="93" spans="2:10" ht="12.95" customHeight="1">
      <c r="B93" s="3264" t="s">
        <v>5001</v>
      </c>
      <c r="C93" s="3264"/>
      <c r="D93" s="3264"/>
      <c r="E93" s="3264"/>
      <c r="F93" s="3264"/>
      <c r="G93" s="3264"/>
      <c r="H93" s="3264"/>
      <c r="I93" s="3264"/>
      <c r="J93" s="3264"/>
    </row>
    <row r="94" spans="2:10" ht="12.95" customHeight="1">
      <c r="B94" s="3264" t="s">
        <v>5002</v>
      </c>
      <c r="C94" s="3264"/>
      <c r="D94" s="3264"/>
      <c r="E94" s="3264"/>
      <c r="F94" s="3264"/>
      <c r="G94" s="3264"/>
      <c r="H94" s="3264"/>
      <c r="I94" s="3264"/>
      <c r="J94" s="3264"/>
    </row>
    <row r="95" spans="2:10" ht="12.95" customHeight="1">
      <c r="B95" s="3264" t="s">
        <v>5003</v>
      </c>
      <c r="C95" s="3264"/>
      <c r="D95" s="3264"/>
      <c r="E95" s="3264"/>
      <c r="F95" s="3264"/>
      <c r="G95" s="3264"/>
      <c r="H95" s="3264"/>
      <c r="I95" s="3264"/>
      <c r="J95" s="3264"/>
    </row>
    <row r="96" spans="2:10" ht="12.75">
      <c r="B96" s="399"/>
      <c r="C96" s="399"/>
      <c r="D96" s="399"/>
      <c r="E96" s="4066" t="s">
        <v>5724</v>
      </c>
      <c r="F96" s="4066"/>
      <c r="G96" s="4066"/>
      <c r="H96" s="4066"/>
      <c r="I96" s="4066"/>
      <c r="J96" s="4066"/>
    </row>
    <row r="97" spans="2:10" ht="5.0999999999999996" customHeight="1">
      <c r="B97" s="399"/>
      <c r="C97" s="399"/>
      <c r="D97" s="399"/>
      <c r="E97" s="399"/>
      <c r="F97" s="399"/>
      <c r="G97" s="399"/>
      <c r="H97" s="399"/>
      <c r="I97" s="399"/>
      <c r="J97" s="399"/>
    </row>
    <row r="98" spans="2:10" ht="12.95" customHeight="1">
      <c r="B98" s="3264" t="s">
        <v>5004</v>
      </c>
      <c r="C98" s="3264"/>
      <c r="D98" s="3264"/>
      <c r="E98" s="3264"/>
      <c r="F98" s="3264"/>
      <c r="G98" s="3264"/>
      <c r="H98" s="3264"/>
      <c r="I98" s="3264"/>
      <c r="J98" s="3264"/>
    </row>
    <row r="99" spans="2:10" ht="12.95" customHeight="1">
      <c r="B99" s="3264" t="s">
        <v>5005</v>
      </c>
      <c r="C99" s="3264"/>
      <c r="D99" s="3264"/>
      <c r="E99" s="3264"/>
      <c r="F99" s="3264"/>
      <c r="G99" s="3264"/>
      <c r="H99" s="3264"/>
      <c r="I99" s="3264"/>
      <c r="J99" s="3264"/>
    </row>
    <row r="100" spans="2:10" ht="12.75">
      <c r="B100" s="399"/>
      <c r="C100" s="399"/>
      <c r="D100" s="399"/>
      <c r="E100" s="4066" t="s">
        <v>5723</v>
      </c>
      <c r="F100" s="4066"/>
      <c r="G100" s="4066"/>
      <c r="H100" s="4066"/>
      <c r="I100" s="4066"/>
      <c r="J100" s="4066"/>
    </row>
    <row r="101" spans="2:10" ht="5.0999999999999996" customHeight="1">
      <c r="B101" s="399"/>
      <c r="C101" s="399"/>
      <c r="D101" s="399"/>
      <c r="E101" s="399"/>
      <c r="F101" s="399"/>
      <c r="G101" s="399"/>
      <c r="H101" s="399"/>
      <c r="I101" s="399"/>
      <c r="J101" s="399"/>
    </row>
    <row r="102" spans="2:10" ht="26.1" customHeight="1">
      <c r="B102" s="2985" t="s">
        <v>9510</v>
      </c>
      <c r="C102" s="2985"/>
      <c r="D102" s="2985"/>
      <c r="E102" s="2985"/>
      <c r="F102" s="2985"/>
      <c r="G102" s="2985"/>
      <c r="H102" s="2985"/>
      <c r="I102" s="2985"/>
      <c r="J102" s="2985"/>
    </row>
    <row r="103" spans="2:10" ht="5.0999999999999996" customHeight="1">
      <c r="B103" s="399"/>
      <c r="C103" s="399"/>
      <c r="D103" s="399"/>
      <c r="E103" s="399"/>
      <c r="F103" s="399"/>
      <c r="G103" s="399"/>
      <c r="H103" s="399"/>
      <c r="I103" s="399"/>
      <c r="J103" s="399"/>
    </row>
    <row r="104" spans="2:10" ht="12.95" customHeight="1">
      <c r="B104" s="3264" t="s">
        <v>5006</v>
      </c>
      <c r="C104" s="3264"/>
      <c r="D104" s="3264"/>
      <c r="E104" s="3264"/>
      <c r="F104" s="3264"/>
      <c r="G104" s="3264"/>
      <c r="H104" s="3264"/>
      <c r="I104" s="3264"/>
      <c r="J104" s="3264"/>
    </row>
    <row r="105" spans="2:10" ht="12.95" customHeight="1">
      <c r="B105" s="3264" t="s">
        <v>10137</v>
      </c>
      <c r="C105" s="3264"/>
      <c r="D105" s="3264"/>
      <c r="E105" s="3264"/>
      <c r="F105" s="3264"/>
      <c r="G105" s="3264"/>
      <c r="H105" s="3264"/>
      <c r="I105" s="3264"/>
      <c r="J105" s="3264"/>
    </row>
    <row r="106" spans="2:10" ht="12.95" customHeight="1">
      <c r="B106" s="4067" t="s">
        <v>10138</v>
      </c>
      <c r="C106" s="4067"/>
      <c r="D106" s="4067"/>
      <c r="E106" s="4067"/>
      <c r="F106" s="4067"/>
      <c r="G106" s="4067"/>
      <c r="H106" s="4067"/>
      <c r="I106" s="4067"/>
      <c r="J106" s="4067"/>
    </row>
    <row r="107" spans="2:10" ht="12.75">
      <c r="B107" s="399"/>
      <c r="C107" s="399"/>
      <c r="D107" s="399"/>
      <c r="E107" s="4066" t="s">
        <v>5725</v>
      </c>
      <c r="F107" s="4066"/>
      <c r="G107" s="4066"/>
      <c r="H107" s="4066"/>
      <c r="I107" s="4066"/>
      <c r="J107" s="4066"/>
    </row>
    <row r="108" spans="2:10" ht="12.95" customHeight="1">
      <c r="B108" s="4067" t="s">
        <v>10139</v>
      </c>
      <c r="C108" s="4067"/>
      <c r="D108" s="4067"/>
      <c r="E108" s="4067"/>
      <c r="F108" s="4067"/>
      <c r="G108" s="4067"/>
      <c r="H108" s="4067"/>
      <c r="I108" s="4067"/>
      <c r="J108" s="4067"/>
    </row>
    <row r="109" spans="2:10" ht="12.95" customHeight="1">
      <c r="B109" s="4067" t="s">
        <v>5007</v>
      </c>
      <c r="C109" s="4067"/>
      <c r="D109" s="4067"/>
      <c r="E109" s="4067"/>
      <c r="F109" s="4067"/>
      <c r="G109" s="4067"/>
      <c r="H109" s="4067"/>
      <c r="I109" s="4067"/>
      <c r="J109" s="4067"/>
    </row>
    <row r="110" spans="2:10" ht="12.95" customHeight="1">
      <c r="B110" s="4067" t="s">
        <v>5011</v>
      </c>
      <c r="C110" s="4067"/>
      <c r="D110" s="4067"/>
      <c r="E110" s="4067"/>
      <c r="F110" s="4067"/>
      <c r="G110" s="4067"/>
      <c r="H110" s="4067"/>
      <c r="I110" s="4067"/>
      <c r="J110" s="4067"/>
    </row>
    <row r="111" spans="2:10" ht="12.95" customHeight="1">
      <c r="B111" s="4067" t="s">
        <v>5008</v>
      </c>
      <c r="C111" s="4067"/>
      <c r="D111" s="4067"/>
      <c r="E111" s="4067"/>
      <c r="F111" s="4067"/>
      <c r="G111" s="4067"/>
      <c r="H111" s="4067"/>
      <c r="I111" s="4067"/>
      <c r="J111" s="4067"/>
    </row>
    <row r="112" spans="2:10" ht="12.95" customHeight="1">
      <c r="B112" s="4067" t="s">
        <v>5009</v>
      </c>
      <c r="C112" s="4067"/>
      <c r="D112" s="4067"/>
      <c r="E112" s="4067"/>
      <c r="F112" s="4067"/>
      <c r="G112" s="4067"/>
      <c r="H112" s="4067"/>
      <c r="I112" s="4067"/>
      <c r="J112" s="4067"/>
    </row>
    <row r="113" spans="2:10" ht="12.95" customHeight="1">
      <c r="B113" s="4067" t="s">
        <v>5010</v>
      </c>
      <c r="C113" s="4067"/>
      <c r="D113" s="4067"/>
      <c r="E113" s="4067"/>
      <c r="F113" s="4067"/>
      <c r="G113" s="4067"/>
      <c r="H113" s="4067"/>
      <c r="I113" s="4067"/>
      <c r="J113" s="4067"/>
    </row>
    <row r="114" spans="2:10" ht="12.95" customHeight="1">
      <c r="B114" s="4067" t="s">
        <v>5012</v>
      </c>
      <c r="C114" s="4067"/>
      <c r="D114" s="4067"/>
      <c r="E114" s="4067"/>
      <c r="F114" s="4067"/>
      <c r="G114" s="4067"/>
      <c r="H114" s="4067"/>
      <c r="I114" s="4067"/>
      <c r="J114" s="4067"/>
    </row>
    <row r="115" spans="2:10" ht="5.0999999999999996" customHeight="1">
      <c r="B115" s="459"/>
      <c r="C115" s="459"/>
      <c r="D115" s="459"/>
      <c r="E115" s="459"/>
      <c r="F115" s="459"/>
      <c r="G115" s="459"/>
      <c r="H115" s="459"/>
      <c r="I115" s="459"/>
      <c r="J115" s="459"/>
    </row>
    <row r="116" spans="2:10" ht="12.95" customHeight="1" thickBot="1">
      <c r="B116" s="4055" t="s">
        <v>9511</v>
      </c>
      <c r="C116" s="4055"/>
      <c r="D116" s="4055"/>
      <c r="E116" s="4055"/>
      <c r="F116" s="4055"/>
      <c r="G116" s="4055"/>
      <c r="H116" s="4055"/>
      <c r="I116" s="4055"/>
      <c r="J116" s="4055"/>
    </row>
    <row r="117" spans="2:10" s="419" customFormat="1" ht="12.95" customHeight="1">
      <c r="B117" s="4108" t="s">
        <v>5726</v>
      </c>
      <c r="C117" s="4109"/>
      <c r="D117" s="4109"/>
      <c r="E117" s="4110"/>
      <c r="F117" s="4111" t="s">
        <v>5727</v>
      </c>
      <c r="G117" s="4109"/>
      <c r="H117" s="4109"/>
      <c r="I117" s="4110"/>
      <c r="J117" s="474"/>
    </row>
    <row r="118" spans="2:10" s="419" customFormat="1" ht="12.95" customHeight="1">
      <c r="B118" s="4112" t="s">
        <v>5728</v>
      </c>
      <c r="C118" s="4114" t="s">
        <v>5729</v>
      </c>
      <c r="D118" s="4114"/>
      <c r="E118" s="4115"/>
      <c r="F118" s="4116" t="s">
        <v>5728</v>
      </c>
      <c r="G118" s="4114" t="s">
        <v>5729</v>
      </c>
      <c r="H118" s="4114"/>
      <c r="I118" s="4115"/>
      <c r="J118" s="474"/>
    </row>
    <row r="119" spans="2:10" s="419" customFormat="1" ht="12.95" customHeight="1" thickBot="1">
      <c r="B119" s="4113"/>
      <c r="C119" s="475" t="s">
        <v>1014</v>
      </c>
      <c r="D119" s="475" t="s">
        <v>5730</v>
      </c>
      <c r="E119" s="476" t="s">
        <v>1017</v>
      </c>
      <c r="F119" s="4117"/>
      <c r="G119" s="475" t="s">
        <v>1014</v>
      </c>
      <c r="H119" s="475" t="s">
        <v>5730</v>
      </c>
      <c r="I119" s="476" t="s">
        <v>1017</v>
      </c>
      <c r="J119" s="474"/>
    </row>
    <row r="120" spans="2:10" s="419" customFormat="1" ht="12.95" customHeight="1">
      <c r="B120" s="416">
        <v>0</v>
      </c>
      <c r="C120" s="405">
        <v>0</v>
      </c>
      <c r="D120" s="405">
        <v>0</v>
      </c>
      <c r="E120" s="406">
        <v>14</v>
      </c>
      <c r="F120" s="404">
        <v>0</v>
      </c>
      <c r="G120" s="405">
        <v>0</v>
      </c>
      <c r="H120" s="405">
        <v>29</v>
      </c>
      <c r="I120" s="406">
        <v>57</v>
      </c>
      <c r="J120" s="474"/>
    </row>
    <row r="121" spans="2:10" s="419" customFormat="1" ht="12.95" customHeight="1">
      <c r="B121" s="446">
        <v>1</v>
      </c>
      <c r="C121" s="457">
        <v>0</v>
      </c>
      <c r="D121" s="457">
        <v>14</v>
      </c>
      <c r="E121" s="456">
        <v>29</v>
      </c>
      <c r="F121" s="417">
        <v>1</v>
      </c>
      <c r="G121" s="457">
        <v>14</v>
      </c>
      <c r="H121" s="457">
        <v>43</v>
      </c>
      <c r="I121" s="456">
        <v>71</v>
      </c>
      <c r="J121" s="474"/>
    </row>
    <row r="122" spans="2:10" s="419" customFormat="1" ht="12.95" customHeight="1" thickBot="1">
      <c r="B122" s="447">
        <v>2</v>
      </c>
      <c r="C122" s="458">
        <v>14</v>
      </c>
      <c r="D122" s="458">
        <v>29</v>
      </c>
      <c r="E122" s="461">
        <v>43</v>
      </c>
      <c r="F122" s="418">
        <v>2</v>
      </c>
      <c r="G122" s="458">
        <v>29</v>
      </c>
      <c r="H122" s="458">
        <v>57</v>
      </c>
      <c r="I122" s="461">
        <v>86</v>
      </c>
      <c r="J122" s="474"/>
    </row>
    <row r="123" spans="2:10" s="419" customFormat="1" ht="5.0999999999999996" customHeight="1">
      <c r="B123" s="474"/>
      <c r="C123" s="474"/>
      <c r="D123" s="474"/>
      <c r="E123" s="474"/>
      <c r="F123" s="474"/>
      <c r="G123" s="474"/>
      <c r="H123" s="474"/>
      <c r="I123" s="474"/>
      <c r="J123" s="474"/>
    </row>
    <row r="124" spans="2:10" ht="26.1" customHeight="1">
      <c r="B124" s="2987" t="s">
        <v>10144</v>
      </c>
      <c r="C124" s="2987"/>
      <c r="D124" s="2987"/>
      <c r="E124" s="2987"/>
      <c r="F124" s="2987"/>
      <c r="G124" s="2987"/>
      <c r="H124" s="2987"/>
      <c r="I124" s="2987"/>
      <c r="J124" s="2987"/>
    </row>
  </sheetData>
  <sheetProtection autoFilter="0"/>
  <mergeCells count="115">
    <mergeCell ref="B117:E117"/>
    <mergeCell ref="F117:I117"/>
    <mergeCell ref="B118:B119"/>
    <mergeCell ref="C118:E118"/>
    <mergeCell ref="F118:F119"/>
    <mergeCell ref="G118:I118"/>
    <mergeCell ref="B3:J3"/>
    <mergeCell ref="B4:J4"/>
    <mergeCell ref="E61:J61"/>
    <mergeCell ref="E63:J63"/>
    <mergeCell ref="E65:J65"/>
    <mergeCell ref="E67:J67"/>
    <mergeCell ref="E69:J69"/>
    <mergeCell ref="E76:J76"/>
    <mergeCell ref="E86:J86"/>
    <mergeCell ref="B83:J83"/>
    <mergeCell ref="B84:J84"/>
    <mergeCell ref="B85:J85"/>
    <mergeCell ref="F27:H27"/>
    <mergeCell ref="F28:H28"/>
    <mergeCell ref="E21:G21"/>
    <mergeCell ref="E23:G23"/>
    <mergeCell ref="E24:G24"/>
    <mergeCell ref="B16:J16"/>
    <mergeCell ref="B17:J17"/>
    <mergeCell ref="F10:I10"/>
    <mergeCell ref="F11:I11"/>
    <mergeCell ref="F13:I13"/>
    <mergeCell ref="F14:I14"/>
    <mergeCell ref="F9:I9"/>
    <mergeCell ref="C1:J1"/>
    <mergeCell ref="B104:J104"/>
    <mergeCell ref="C9:E9"/>
    <mergeCell ref="B6:J6"/>
    <mergeCell ref="B7:J7"/>
    <mergeCell ref="B8:J8"/>
    <mergeCell ref="F12:I12"/>
    <mergeCell ref="C33:E33"/>
    <mergeCell ref="B18:I18"/>
    <mergeCell ref="E19:G19"/>
    <mergeCell ref="C27:E27"/>
    <mergeCell ref="C28:E28"/>
    <mergeCell ref="C29:E29"/>
    <mergeCell ref="F29:H29"/>
    <mergeCell ref="B26:J26"/>
    <mergeCell ref="E22:G22"/>
    <mergeCell ref="E20:G20"/>
    <mergeCell ref="B75:J75"/>
    <mergeCell ref="B74:J74"/>
    <mergeCell ref="B80:J80"/>
    <mergeCell ref="B79:J79"/>
    <mergeCell ref="B43:J43"/>
    <mergeCell ref="C41:J41"/>
    <mergeCell ref="C30:E30"/>
    <mergeCell ref="C39:J39"/>
    <mergeCell ref="F31:H31"/>
    <mergeCell ref="F30:H30"/>
    <mergeCell ref="B55:J55"/>
    <mergeCell ref="B36:J36"/>
    <mergeCell ref="E48:I48"/>
    <mergeCell ref="B37:I37"/>
    <mergeCell ref="C40:J40"/>
    <mergeCell ref="B46:J46"/>
    <mergeCell ref="B45:J45"/>
    <mergeCell ref="C38:J38"/>
    <mergeCell ref="F33:H33"/>
    <mergeCell ref="F32:H32"/>
    <mergeCell ref="F34:H34"/>
    <mergeCell ref="C32:E32"/>
    <mergeCell ref="C34:E34"/>
    <mergeCell ref="B78:J78"/>
    <mergeCell ref="B106:J106"/>
    <mergeCell ref="B108:J108"/>
    <mergeCell ref="B114:J114"/>
    <mergeCell ref="B109:J109"/>
    <mergeCell ref="B110:J110"/>
    <mergeCell ref="B111:J111"/>
    <mergeCell ref="B112:J112"/>
    <mergeCell ref="B113:J113"/>
    <mergeCell ref="B90:J90"/>
    <mergeCell ref="B91:J91"/>
    <mergeCell ref="B92:J92"/>
    <mergeCell ref="B94:J94"/>
    <mergeCell ref="B93:J93"/>
    <mergeCell ref="B95:J95"/>
    <mergeCell ref="B98:J98"/>
    <mergeCell ref="B99:J99"/>
    <mergeCell ref="B102:J102"/>
    <mergeCell ref="E107:J107"/>
    <mergeCell ref="E96:J96"/>
    <mergeCell ref="B105:J105"/>
    <mergeCell ref="C19:D19"/>
    <mergeCell ref="C31:E31"/>
    <mergeCell ref="B124:J124"/>
    <mergeCell ref="B116:J116"/>
    <mergeCell ref="F49:G49"/>
    <mergeCell ref="F52:G52"/>
    <mergeCell ref="F50:G50"/>
    <mergeCell ref="F53:G53"/>
    <mergeCell ref="F51:G51"/>
    <mergeCell ref="D48:D49"/>
    <mergeCell ref="B60:J60"/>
    <mergeCell ref="B62:J62"/>
    <mergeCell ref="B64:J64"/>
    <mergeCell ref="B66:J66"/>
    <mergeCell ref="B68:J68"/>
    <mergeCell ref="B71:J71"/>
    <mergeCell ref="B70:J70"/>
    <mergeCell ref="B72:J72"/>
    <mergeCell ref="B73:J73"/>
    <mergeCell ref="B82:J82"/>
    <mergeCell ref="B88:J88"/>
    <mergeCell ref="B58:J58"/>
    <mergeCell ref="B56:J56"/>
    <mergeCell ref="E100:J100"/>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8" orientation="landscape" r:id="rId1"/>
  <headerFooter alignWithMargins="0"/>
  <rowBreaks count="4" manualBreakCount="4">
    <brk id="25" max="9" man="1"/>
    <brk id="46" max="9" man="1"/>
    <brk id="81" max="9" man="1"/>
    <brk id="115" max="9" man="1"/>
  </rowBreaks>
</worksheet>
</file>

<file path=xl/worksheets/sheet96.xml><?xml version="1.0" encoding="utf-8"?>
<worksheet xmlns="http://schemas.openxmlformats.org/spreadsheetml/2006/main" xmlns:r="http://schemas.openxmlformats.org/officeDocument/2006/relationships">
  <dimension ref="B1:F94"/>
  <sheetViews>
    <sheetView zoomScaleNormal="100" workbookViewId="0">
      <pane ySplit="4" topLeftCell="A5" activePane="bottomLeft" state="frozen"/>
      <selection pane="bottomLeft"/>
    </sheetView>
  </sheetViews>
  <sheetFormatPr defaultRowHeight="12.95" customHeight="1"/>
  <cols>
    <col min="1" max="1" width="3.7109375" style="292" customWidth="1"/>
    <col min="2" max="2" width="9.140625" style="292"/>
    <col min="3" max="3" width="28" style="292" customWidth="1"/>
    <col min="4" max="4" width="18.7109375" style="292" customWidth="1"/>
    <col min="5" max="5" width="25.5703125" style="292" customWidth="1"/>
    <col min="6" max="6" width="36.85546875" style="292" customWidth="1"/>
    <col min="7" max="16384" width="9.140625" style="292"/>
  </cols>
  <sheetData>
    <row r="1" spans="2:6" ht="12.95" customHeight="1">
      <c r="B1" s="313" t="s">
        <v>2706</v>
      </c>
      <c r="C1" s="2973" t="s">
        <v>8269</v>
      </c>
      <c r="D1" s="2973"/>
      <c r="E1" s="2973"/>
      <c r="F1" s="2973"/>
    </row>
    <row r="2" spans="2:6" ht="5.0999999999999996" customHeight="1"/>
    <row r="3" spans="2:6" ht="12.95" customHeight="1">
      <c r="B3" s="2978" t="s">
        <v>5014</v>
      </c>
      <c r="C3" s="2978"/>
      <c r="D3" s="2978"/>
      <c r="E3" s="2978"/>
      <c r="F3" s="2978"/>
    </row>
    <row r="4" spans="2:6" ht="5.0999999999999996" customHeight="1">
      <c r="B4" s="3566"/>
      <c r="C4" s="3566"/>
      <c r="D4" s="3566"/>
      <c r="E4" s="3566"/>
      <c r="F4" s="3566"/>
    </row>
    <row r="5" spans="2:6" ht="26.1" customHeight="1">
      <c r="B5" s="3134" t="s">
        <v>9512</v>
      </c>
      <c r="C5" s="3134"/>
      <c r="D5" s="3134"/>
      <c r="E5" s="3134"/>
      <c r="F5" s="3134"/>
    </row>
    <row r="6" spans="2:6" ht="12.95" customHeight="1">
      <c r="B6" s="3000" t="s">
        <v>9513</v>
      </c>
      <c r="C6" s="3000"/>
      <c r="D6" s="3000"/>
      <c r="E6" s="3000"/>
      <c r="F6" s="3000"/>
    </row>
    <row r="7" spans="2:6" ht="26.1" customHeight="1">
      <c r="B7" s="3134" t="s">
        <v>9514</v>
      </c>
      <c r="C7" s="3134"/>
      <c r="D7" s="3134"/>
      <c r="E7" s="3134"/>
      <c r="F7" s="3134"/>
    </row>
    <row r="8" spans="2:6" ht="12.95" customHeight="1">
      <c r="B8" s="3134" t="s">
        <v>9515</v>
      </c>
      <c r="C8" s="3134"/>
      <c r="D8" s="3134"/>
      <c r="E8" s="3134"/>
      <c r="F8" s="3134"/>
    </row>
    <row r="9" spans="2:6" ht="12.75">
      <c r="B9" s="3134" t="s">
        <v>9516</v>
      </c>
      <c r="C9" s="3134"/>
      <c r="D9" s="3134"/>
      <c r="E9" s="3134"/>
      <c r="F9" s="3134"/>
    </row>
    <row r="10" spans="2:6" ht="26.1" customHeight="1">
      <c r="B10" s="3134" t="s">
        <v>9517</v>
      </c>
      <c r="C10" s="3134"/>
      <c r="D10" s="3134"/>
      <c r="E10" s="3134"/>
      <c r="F10" s="3134"/>
    </row>
    <row r="11" spans="2:6" ht="26.1" customHeight="1">
      <c r="B11" s="3134" t="s">
        <v>9518</v>
      </c>
      <c r="C11" s="3134"/>
      <c r="D11" s="3134"/>
      <c r="E11" s="3134"/>
      <c r="F11" s="3134"/>
    </row>
    <row r="12" spans="2:6" ht="5.0999999999999996" customHeight="1">
      <c r="B12" s="330"/>
      <c r="C12" s="330"/>
      <c r="D12" s="330"/>
      <c r="E12" s="330"/>
      <c r="F12" s="330"/>
    </row>
    <row r="13" spans="2:6" ht="12.95" customHeight="1">
      <c r="B13" s="3000" t="s">
        <v>9519</v>
      </c>
      <c r="C13" s="3000"/>
      <c r="D13" s="3000"/>
      <c r="E13" s="3000"/>
      <c r="F13" s="3000"/>
    </row>
    <row r="14" spans="2:6" ht="12.95" customHeight="1">
      <c r="B14" s="3102" t="s">
        <v>9520</v>
      </c>
      <c r="C14" s="3102"/>
      <c r="D14" s="3102"/>
      <c r="E14" s="3102"/>
      <c r="F14" s="3102"/>
    </row>
    <row r="15" spans="2:6" ht="39" customHeight="1">
      <c r="B15" s="3134" t="s">
        <v>9521</v>
      </c>
      <c r="C15" s="3134"/>
      <c r="D15" s="3134"/>
      <c r="E15" s="3134"/>
      <c r="F15" s="3134"/>
    </row>
    <row r="16" spans="2:6" ht="26.1" customHeight="1">
      <c r="B16" s="4128" t="s">
        <v>5409</v>
      </c>
      <c r="C16" s="4128"/>
      <c r="D16" s="4128"/>
      <c r="E16" s="4128"/>
      <c r="F16" s="4128"/>
    </row>
    <row r="17" spans="2:6" ht="26.1" customHeight="1">
      <c r="B17" s="4128" t="s">
        <v>5410</v>
      </c>
      <c r="C17" s="4128"/>
      <c r="D17" s="4128"/>
      <c r="E17" s="4128"/>
      <c r="F17" s="4128"/>
    </row>
    <row r="18" spans="2:6" ht="12.95" customHeight="1">
      <c r="B18" s="3000" t="s">
        <v>9522</v>
      </c>
      <c r="C18" s="3000"/>
      <c r="D18" s="3000"/>
      <c r="E18" s="3000"/>
      <c r="F18" s="3000"/>
    </row>
    <row r="19" spans="2:6" ht="12.95" customHeight="1">
      <c r="B19" s="3732" t="s">
        <v>9523</v>
      </c>
      <c r="C19" s="3134"/>
      <c r="D19" s="3134"/>
      <c r="E19" s="3134"/>
      <c r="F19" s="3134"/>
    </row>
    <row r="20" spans="2:6" ht="26.1" customHeight="1">
      <c r="B20" s="3732" t="s">
        <v>9524</v>
      </c>
      <c r="C20" s="3134"/>
      <c r="D20" s="3134"/>
      <c r="E20" s="3134"/>
      <c r="F20" s="3134"/>
    </row>
    <row r="21" spans="2:6" ht="5.0999999999999996" customHeight="1"/>
    <row r="22" spans="2:6" ht="12.95" customHeight="1">
      <c r="B22" s="4131" t="s">
        <v>9525</v>
      </c>
      <c r="C22" s="4131"/>
      <c r="D22" s="4131"/>
      <c r="E22" s="4131"/>
      <c r="F22" s="4131"/>
    </row>
    <row r="23" spans="2:6" ht="65.099999999999994" customHeight="1">
      <c r="B23" s="3134" t="s">
        <v>9526</v>
      </c>
      <c r="C23" s="3134"/>
      <c r="D23" s="3134"/>
      <c r="E23" s="3134"/>
      <c r="F23" s="3134"/>
    </row>
    <row r="24" spans="2:6" ht="5.0999999999999996" customHeight="1"/>
    <row r="25" spans="2:6" ht="12.95" customHeight="1">
      <c r="C25" s="3326" t="s">
        <v>5018</v>
      </c>
      <c r="D25" s="3326"/>
    </row>
    <row r="26" spans="2:6" ht="12.95" customHeight="1">
      <c r="C26" s="3134" t="s">
        <v>5019</v>
      </c>
      <c r="D26" s="3134"/>
      <c r="E26" s="3134"/>
      <c r="F26" s="3134"/>
    </row>
    <row r="27" spans="2:6" ht="5.0999999999999996" customHeight="1">
      <c r="C27" s="296"/>
    </row>
    <row r="28" spans="2:6" ht="12.95" customHeight="1">
      <c r="C28" s="3326" t="s">
        <v>7875</v>
      </c>
      <c r="D28" s="3326"/>
    </row>
    <row r="29" spans="2:6" ht="12.95" customHeight="1">
      <c r="C29" s="3134" t="s">
        <v>5020</v>
      </c>
      <c r="D29" s="3134"/>
      <c r="E29" s="3134"/>
      <c r="F29" s="3134"/>
    </row>
    <row r="30" spans="2:6" ht="39" customHeight="1">
      <c r="C30" s="2980" t="s">
        <v>5707</v>
      </c>
      <c r="D30" s="2960"/>
      <c r="E30" s="2960"/>
      <c r="F30" s="2960"/>
    </row>
    <row r="31" spans="2:6" ht="5.0999999999999996" customHeight="1"/>
    <row r="32" spans="2:6" ht="12.95" customHeight="1">
      <c r="B32" s="3000" t="s">
        <v>9527</v>
      </c>
      <c r="C32" s="3000"/>
      <c r="D32" s="3000"/>
      <c r="E32" s="3000"/>
      <c r="F32" s="3000"/>
    </row>
    <row r="33" spans="2:6" ht="12.95" customHeight="1">
      <c r="B33" s="3732" t="s">
        <v>9528</v>
      </c>
      <c r="C33" s="3134"/>
      <c r="D33" s="3134"/>
      <c r="E33" s="3134"/>
      <c r="F33" s="3134"/>
    </row>
    <row r="34" spans="2:6" ht="26.1" customHeight="1">
      <c r="B34" s="3732" t="s">
        <v>9529</v>
      </c>
      <c r="C34" s="3134"/>
      <c r="D34" s="3134"/>
      <c r="E34" s="3134"/>
      <c r="F34" s="3134"/>
    </row>
    <row r="35" spans="2:6" ht="12.95" customHeight="1">
      <c r="B35" s="3732" t="s">
        <v>9530</v>
      </c>
      <c r="C35" s="3134"/>
      <c r="D35" s="3134"/>
      <c r="E35" s="3134"/>
      <c r="F35" s="3134"/>
    </row>
    <row r="36" spans="2:6" ht="12.95" customHeight="1">
      <c r="B36" s="3732" t="s">
        <v>9531</v>
      </c>
      <c r="C36" s="3134"/>
      <c r="D36" s="3134"/>
      <c r="E36" s="3134"/>
      <c r="F36" s="3134"/>
    </row>
    <row r="37" spans="2:6" ht="12.95" customHeight="1">
      <c r="B37" s="3732" t="s">
        <v>9532</v>
      </c>
      <c r="C37" s="3134"/>
      <c r="D37" s="3134"/>
      <c r="E37" s="3134"/>
      <c r="F37" s="3134"/>
    </row>
    <row r="38" spans="2:6" ht="12.95" customHeight="1">
      <c r="B38" s="3732" t="s">
        <v>9533</v>
      </c>
      <c r="C38" s="3134"/>
      <c r="D38" s="3134"/>
      <c r="E38" s="3134"/>
      <c r="F38" s="3134"/>
    </row>
    <row r="39" spans="2:6" ht="12.95" customHeight="1">
      <c r="B39" s="3732" t="s">
        <v>9534</v>
      </c>
      <c r="C39" s="3134"/>
      <c r="D39" s="3134"/>
      <c r="E39" s="3134"/>
      <c r="F39" s="3134"/>
    </row>
    <row r="40" spans="2:6" ht="65.099999999999994" customHeight="1">
      <c r="B40" s="3732" t="s">
        <v>9535</v>
      </c>
      <c r="C40" s="3134"/>
      <c r="D40" s="3134"/>
      <c r="E40" s="3134"/>
      <c r="F40" s="3134"/>
    </row>
    <row r="41" spans="2:6" ht="39" customHeight="1">
      <c r="B41" s="3134" t="s">
        <v>10145</v>
      </c>
      <c r="C41" s="3134"/>
      <c r="D41" s="3134"/>
      <c r="E41" s="3134"/>
      <c r="F41" s="3134"/>
    </row>
    <row r="42" spans="2:6" ht="5.0999999999999996" customHeight="1"/>
    <row r="43" spans="2:6" ht="39" customHeight="1">
      <c r="B43" s="3134" t="s">
        <v>9536</v>
      </c>
      <c r="C43" s="3134"/>
      <c r="D43" s="3134"/>
      <c r="E43" s="3134"/>
      <c r="F43" s="3134"/>
    </row>
    <row r="44" spans="2:6" ht="65.099999999999994" customHeight="1">
      <c r="B44" s="3134" t="s">
        <v>9537</v>
      </c>
      <c r="C44" s="3134"/>
      <c r="D44" s="3134"/>
      <c r="E44" s="3134"/>
      <c r="F44" s="3134"/>
    </row>
    <row r="45" spans="2:6" ht="65.099999999999994" customHeight="1">
      <c r="B45" s="3134" t="s">
        <v>9538</v>
      </c>
      <c r="C45" s="3134"/>
      <c r="D45" s="3134"/>
      <c r="E45" s="3134"/>
      <c r="F45" s="3134"/>
    </row>
    <row r="46" spans="2:6" ht="5.0999999999999996" customHeight="1"/>
    <row r="47" spans="2:6" ht="12.95" customHeight="1">
      <c r="B47" s="3102" t="s">
        <v>9539</v>
      </c>
      <c r="C47" s="3102"/>
      <c r="D47" s="3102"/>
      <c r="E47" s="3102"/>
      <c r="F47" s="3102"/>
    </row>
    <row r="48" spans="2:6" ht="26.1" customHeight="1">
      <c r="B48" s="3134" t="s">
        <v>9540</v>
      </c>
      <c r="C48" s="3134"/>
      <c r="D48" s="3134"/>
      <c r="E48" s="3134"/>
      <c r="F48" s="3134"/>
    </row>
    <row r="49" spans="2:6" ht="12.95" customHeight="1">
      <c r="B49" s="2499"/>
      <c r="C49" s="3326" t="s">
        <v>7923</v>
      </c>
      <c r="D49" s="3326"/>
      <c r="E49" s="2503" t="s">
        <v>7924</v>
      </c>
    </row>
    <row r="50" spans="2:6" ht="5.0999999999999996" customHeight="1">
      <c r="B50" s="2499"/>
      <c r="D50" s="2503"/>
      <c r="E50" s="2503"/>
      <c r="F50" s="2503"/>
    </row>
    <row r="51" spans="2:6" ht="12.95" customHeight="1">
      <c r="B51" s="2499"/>
      <c r="C51" s="3326" t="s">
        <v>7926</v>
      </c>
      <c r="D51" s="3326"/>
      <c r="E51" s="2503" t="s">
        <v>7925</v>
      </c>
      <c r="F51" s="2503"/>
    </row>
    <row r="52" spans="2:6" ht="26.1" customHeight="1">
      <c r="B52" s="3134" t="s">
        <v>9541</v>
      </c>
      <c r="C52" s="3134"/>
      <c r="D52" s="3134"/>
      <c r="E52" s="3134"/>
      <c r="F52" s="3134"/>
    </row>
    <row r="53" spans="2:6" ht="5.0999999999999996" customHeight="1">
      <c r="B53" s="330"/>
      <c r="C53" s="330"/>
      <c r="D53" s="330"/>
      <c r="E53" s="330"/>
      <c r="F53" s="330"/>
    </row>
    <row r="54" spans="2:6" ht="12.95" customHeight="1">
      <c r="B54" s="330"/>
      <c r="C54" s="3326" t="s">
        <v>5021</v>
      </c>
      <c r="D54" s="3326"/>
      <c r="E54" s="2503" t="s">
        <v>7924</v>
      </c>
      <c r="F54" s="330"/>
    </row>
    <row r="55" spans="2:6" ht="5.0999999999999996" customHeight="1">
      <c r="B55" s="2499"/>
      <c r="C55" s="2501"/>
      <c r="D55" s="2501"/>
      <c r="E55" s="2503"/>
      <c r="F55" s="2499"/>
    </row>
    <row r="56" spans="2:6" ht="12.95" customHeight="1">
      <c r="B56" s="2499"/>
      <c r="C56" s="3326" t="s">
        <v>7927</v>
      </c>
      <c r="D56" s="3326"/>
      <c r="E56" s="2503" t="s">
        <v>7925</v>
      </c>
      <c r="F56" s="2499"/>
    </row>
    <row r="57" spans="2:6" ht="12.95" customHeight="1">
      <c r="B57" s="330"/>
      <c r="C57" s="3134" t="s">
        <v>5022</v>
      </c>
      <c r="D57" s="3134"/>
      <c r="E57" s="3134"/>
      <c r="F57" s="3134"/>
    </row>
    <row r="58" spans="2:6" ht="5.0999999999999996" customHeight="1"/>
    <row r="59" spans="2:6" ht="39" customHeight="1">
      <c r="B59" s="3134" t="s">
        <v>9542</v>
      </c>
      <c r="C59" s="3134"/>
      <c r="D59" s="3134"/>
      <c r="E59" s="3134"/>
      <c r="F59" s="3134"/>
    </row>
    <row r="60" spans="2:6" ht="39" customHeight="1">
      <c r="B60" s="3134" t="s">
        <v>9543</v>
      </c>
      <c r="C60" s="3134"/>
      <c r="D60" s="3134"/>
      <c r="E60" s="3134"/>
      <c r="F60" s="3134"/>
    </row>
    <row r="61" spans="2:6" ht="78" customHeight="1">
      <c r="B61" s="3134" t="s">
        <v>9544</v>
      </c>
      <c r="C61" s="3134"/>
      <c r="D61" s="3134"/>
      <c r="E61" s="3134"/>
      <c r="F61" s="3134"/>
    </row>
    <row r="62" spans="2:6" ht="5.0999999999999996" customHeight="1"/>
    <row r="63" spans="2:6" ht="12.95" customHeight="1">
      <c r="B63" s="296" t="s">
        <v>9545</v>
      </c>
    </row>
    <row r="64" spans="2:6" ht="12.95" customHeight="1">
      <c r="B64" s="3134" t="s">
        <v>9546</v>
      </c>
      <c r="C64" s="3134"/>
      <c r="D64" s="3134"/>
      <c r="E64" s="3134"/>
      <c r="F64" s="3134"/>
    </row>
    <row r="65" spans="2:6" ht="12.95" customHeight="1">
      <c r="B65" s="2499"/>
      <c r="C65" s="3326" t="s">
        <v>7928</v>
      </c>
      <c r="D65" s="3326"/>
      <c r="E65" s="2503" t="s">
        <v>7924</v>
      </c>
      <c r="F65" s="2499"/>
    </row>
    <row r="66" spans="2:6" ht="5.0999999999999996" customHeight="1">
      <c r="B66" s="2499"/>
      <c r="C66" s="2501"/>
      <c r="D66" s="2501"/>
      <c r="E66" s="2503"/>
      <c r="F66" s="2499"/>
    </row>
    <row r="67" spans="2:6" ht="12.95" customHeight="1">
      <c r="B67" s="2499"/>
      <c r="C67" s="3326" t="s">
        <v>7929</v>
      </c>
      <c r="D67" s="3326"/>
      <c r="E67" s="2503" t="s">
        <v>7925</v>
      </c>
      <c r="F67" s="2499"/>
    </row>
    <row r="68" spans="2:6" ht="39" customHeight="1">
      <c r="B68" s="3795" t="s">
        <v>10146</v>
      </c>
      <c r="C68" s="3795"/>
      <c r="D68" s="3795"/>
      <c r="E68" s="3795"/>
      <c r="F68" s="3795"/>
    </row>
    <row r="69" spans="2:6" ht="5.0999999999999996" customHeight="1"/>
    <row r="70" spans="2:6" ht="12.95" customHeight="1">
      <c r="B70" s="3102" t="s">
        <v>9547</v>
      </c>
      <c r="C70" s="3102"/>
      <c r="D70" s="3102"/>
      <c r="E70" s="3102"/>
      <c r="F70" s="3102"/>
    </row>
    <row r="71" spans="2:6" ht="12.95" customHeight="1">
      <c r="B71" s="3102" t="s">
        <v>9548</v>
      </c>
      <c r="C71" s="3102"/>
      <c r="D71" s="3102"/>
      <c r="E71" s="3102"/>
      <c r="F71" s="3102"/>
    </row>
    <row r="72" spans="2:6" ht="5.0999999999999996" customHeight="1">
      <c r="B72" s="296"/>
    </row>
    <row r="73" spans="2:6" ht="12.95" customHeight="1">
      <c r="B73" s="3000" t="s">
        <v>9549</v>
      </c>
      <c r="C73" s="3000"/>
      <c r="D73" s="3000"/>
      <c r="E73" s="3000"/>
      <c r="F73" s="3000"/>
    </row>
    <row r="74" spans="2:6" ht="12.95" customHeight="1">
      <c r="B74" s="3732" t="s">
        <v>9550</v>
      </c>
      <c r="C74" s="3134"/>
      <c r="D74" s="3134"/>
      <c r="E74" s="3134"/>
      <c r="F74" s="3134"/>
    </row>
    <row r="75" spans="2:6" ht="26.1" customHeight="1">
      <c r="B75" s="3732" t="s">
        <v>9551</v>
      </c>
      <c r="C75" s="3134"/>
      <c r="D75" s="3134"/>
      <c r="E75" s="3134"/>
      <c r="F75" s="3134"/>
    </row>
    <row r="76" spans="2:6" ht="39" customHeight="1">
      <c r="B76" s="3732" t="s">
        <v>9552</v>
      </c>
      <c r="C76" s="3134"/>
      <c r="D76" s="3134"/>
      <c r="E76" s="3134"/>
      <c r="F76" s="3134"/>
    </row>
    <row r="77" spans="2:6" ht="5.0999999999999996" customHeight="1">
      <c r="B77" s="331"/>
      <c r="C77" s="330"/>
      <c r="D77" s="330"/>
      <c r="E77" s="330"/>
      <c r="F77" s="330"/>
    </row>
    <row r="78" spans="2:6" ht="65.099999999999994" customHeight="1">
      <c r="B78" s="3134" t="s">
        <v>9553</v>
      </c>
      <c r="C78" s="3134"/>
      <c r="D78" s="3134"/>
      <c r="E78" s="3134"/>
      <c r="F78" s="3134"/>
    </row>
    <row r="79" spans="2:6" ht="5.0999999999999996" customHeight="1">
      <c r="B79" s="330"/>
      <c r="C79" s="330"/>
      <c r="D79" s="330"/>
      <c r="E79" s="330"/>
      <c r="F79" s="330"/>
    </row>
    <row r="80" spans="2:6" ht="51.95" customHeight="1">
      <c r="B80" s="3134" t="s">
        <v>9554</v>
      </c>
      <c r="C80" s="3134"/>
      <c r="D80" s="3134"/>
      <c r="E80" s="3134"/>
      <c r="F80" s="3134"/>
    </row>
    <row r="81" spans="2:6" ht="5.0999999999999996" customHeight="1">
      <c r="B81" s="330"/>
      <c r="C81" s="330"/>
      <c r="D81" s="330"/>
      <c r="E81" s="330"/>
      <c r="F81" s="330"/>
    </row>
    <row r="82" spans="2:6" ht="12.95" customHeight="1">
      <c r="B82" s="3732" t="s">
        <v>9555</v>
      </c>
      <c r="C82" s="3732"/>
      <c r="D82" s="3732"/>
      <c r="E82" s="3732"/>
      <c r="F82" s="3732"/>
    </row>
    <row r="83" spans="2:6" ht="5.0999999999999996" customHeight="1">
      <c r="B83" s="296"/>
    </row>
    <row r="84" spans="2:6" ht="51.95" customHeight="1">
      <c r="B84" s="3134" t="s">
        <v>9556</v>
      </c>
      <c r="C84" s="3134"/>
      <c r="D84" s="3134"/>
      <c r="E84" s="3134"/>
      <c r="F84" s="3134"/>
    </row>
    <row r="85" spans="2:6" ht="12.95" customHeight="1">
      <c r="B85" s="330"/>
      <c r="C85" s="3326" t="s">
        <v>5023</v>
      </c>
      <c r="D85" s="3326"/>
      <c r="F85" s="330"/>
    </row>
    <row r="86" spans="2:6" ht="12.95" customHeight="1">
      <c r="B86" s="330"/>
      <c r="C86" s="3134" t="s">
        <v>5708</v>
      </c>
      <c r="D86" s="3134"/>
      <c r="E86" s="3134"/>
      <c r="F86" s="3134"/>
    </row>
    <row r="87" spans="2:6" ht="5.0999999999999996" customHeight="1">
      <c r="B87" s="330"/>
      <c r="C87" s="330"/>
      <c r="D87" s="330"/>
      <c r="E87" s="330"/>
      <c r="F87" s="330"/>
    </row>
    <row r="88" spans="2:6" ht="51.95" customHeight="1">
      <c r="B88" s="3134" t="s">
        <v>9557</v>
      </c>
      <c r="C88" s="3134"/>
      <c r="D88" s="3134"/>
      <c r="E88" s="3134"/>
      <c r="F88" s="3134"/>
    </row>
    <row r="89" spans="2:6" ht="5.0999999999999996" customHeight="1"/>
    <row r="90" spans="2:6" s="296" customFormat="1" ht="26.1" customHeight="1">
      <c r="B90" s="3732" t="s">
        <v>9558</v>
      </c>
      <c r="C90" s="3134"/>
      <c r="D90" s="3134"/>
      <c r="E90" s="3134"/>
      <c r="F90" s="3134"/>
    </row>
    <row r="91" spans="2:6" ht="26.1" customHeight="1">
      <c r="B91" s="4129" t="s">
        <v>7936</v>
      </c>
      <c r="C91" s="4129"/>
      <c r="D91" s="4129"/>
      <c r="E91" s="4129"/>
      <c r="F91" s="4129"/>
    </row>
    <row r="92" spans="2:6" ht="12.95" customHeight="1">
      <c r="B92" s="4130" t="s">
        <v>9987</v>
      </c>
      <c r="C92" s="4130"/>
      <c r="D92" s="4130"/>
      <c r="E92" s="4130"/>
      <c r="F92" s="4130"/>
    </row>
    <row r="93" spans="2:6" ht="5.0999999999999996" customHeight="1">
      <c r="B93" s="2498"/>
      <c r="C93" s="2498"/>
      <c r="D93" s="2498"/>
      <c r="E93" s="2498"/>
      <c r="F93" s="2498"/>
    </row>
    <row r="94" spans="2:6" ht="51.95" customHeight="1">
      <c r="B94" s="2960" t="s">
        <v>9826</v>
      </c>
      <c r="C94" s="2960"/>
      <c r="D94" s="2960"/>
      <c r="E94" s="2960"/>
      <c r="F94" s="2960"/>
    </row>
  </sheetData>
  <sheetProtection autoFilter="0"/>
  <mergeCells count="70">
    <mergeCell ref="B92:F92"/>
    <mergeCell ref="B94:F94"/>
    <mergeCell ref="B70:F70"/>
    <mergeCell ref="B71:F71"/>
    <mergeCell ref="B10:F10"/>
    <mergeCell ref="B13:F13"/>
    <mergeCell ref="B22:F22"/>
    <mergeCell ref="B32:F32"/>
    <mergeCell ref="B47:F47"/>
    <mergeCell ref="C57:F57"/>
    <mergeCell ref="B59:F59"/>
    <mergeCell ref="B43:F43"/>
    <mergeCell ref="B44:F44"/>
    <mergeCell ref="B45:F45"/>
    <mergeCell ref="B48:F48"/>
    <mergeCell ref="B37:F37"/>
    <mergeCell ref="C1:F1"/>
    <mergeCell ref="B88:F88"/>
    <mergeCell ref="C85:D85"/>
    <mergeCell ref="C86:F86"/>
    <mergeCell ref="B60:F60"/>
    <mergeCell ref="B61:F61"/>
    <mergeCell ref="B64:F64"/>
    <mergeCell ref="B68:F68"/>
    <mergeCell ref="B52:F52"/>
    <mergeCell ref="C54:D54"/>
    <mergeCell ref="B40:F40"/>
    <mergeCell ref="B41:F41"/>
    <mergeCell ref="B18:F18"/>
    <mergeCell ref="B33:F33"/>
    <mergeCell ref="B34:F34"/>
    <mergeCell ref="B74:F74"/>
    <mergeCell ref="B76:F76"/>
    <mergeCell ref="B73:F73"/>
    <mergeCell ref="B35:F35"/>
    <mergeCell ref="B36:F36"/>
    <mergeCell ref="B38:F38"/>
    <mergeCell ref="B39:F39"/>
    <mergeCell ref="C49:D49"/>
    <mergeCell ref="C51:D51"/>
    <mergeCell ref="C56:D56"/>
    <mergeCell ref="C65:D65"/>
    <mergeCell ref="C67:D67"/>
    <mergeCell ref="B75:F75"/>
    <mergeCell ref="B91:F91"/>
    <mergeCell ref="B78:F78"/>
    <mergeCell ref="B80:F80"/>
    <mergeCell ref="B82:F82"/>
    <mergeCell ref="B84:F84"/>
    <mergeCell ref="B90:F90"/>
    <mergeCell ref="C26:F26"/>
    <mergeCell ref="C28:D28"/>
    <mergeCell ref="C29:F29"/>
    <mergeCell ref="C30:F30"/>
    <mergeCell ref="B19:F19"/>
    <mergeCell ref="B20:F20"/>
    <mergeCell ref="B23:F23"/>
    <mergeCell ref="C25:D25"/>
    <mergeCell ref="B16:F16"/>
    <mergeCell ref="B17:F17"/>
    <mergeCell ref="B3:F3"/>
    <mergeCell ref="B4:F4"/>
    <mergeCell ref="B5:F5"/>
    <mergeCell ref="B7:F7"/>
    <mergeCell ref="B6:F6"/>
    <mergeCell ref="B8:F8"/>
    <mergeCell ref="B9:F9"/>
    <mergeCell ref="B11:F11"/>
    <mergeCell ref="B15:F15"/>
    <mergeCell ref="B14:F14"/>
  </mergeCells>
  <phoneticPr fontId="9" type="noConversion"/>
  <hyperlinks>
    <hyperlink ref="B1" location="Index!A1" display="Назад"/>
    <hyperlink ref="B92:F92" location="'7.6.2'!A1" display="&gt;&gt; Калькулятор расчёта урона."/>
    <hyperlink ref="B68:F68" location="'1.4'!A1" display="     При расчете урона от существа, которое может атаковать сразу несколько отрядов врага удача применяется только к тому существу, которое имеет наивысший приоритет (&gt;&gt;см.раздел 1.4). Остальные получают стандартный урон без учета модификатора удачи."/>
  </hyperlinks>
  <printOptions horizontalCentered="1"/>
  <pageMargins left="0.74803149606299213" right="0.74803149606299213" top="0.98425196850393704" bottom="0.98425196850393704" header="0.51181102362204722" footer="0.51181102362204722"/>
  <pageSetup paperSize="9" scale="97" orientation="landscape" r:id="rId1"/>
  <headerFooter alignWithMargins="0"/>
  <rowBreaks count="4" manualBreakCount="4">
    <brk id="23" max="5" man="1"/>
    <brk id="44" max="5" man="1"/>
    <brk id="68" max="5" man="1"/>
    <brk id="88" max="5" man="1"/>
  </rowBreaks>
</worksheet>
</file>

<file path=xl/worksheets/sheet97.xml><?xml version="1.0" encoding="utf-8"?>
<worksheet xmlns="http://schemas.openxmlformats.org/spreadsheetml/2006/main" xmlns:r="http://schemas.openxmlformats.org/officeDocument/2006/relationships">
  <sheetPr>
    <outlinePr summaryBelow="0"/>
  </sheetPr>
  <dimension ref="A1:V228"/>
  <sheetViews>
    <sheetView zoomScaleNormal="100" workbookViewId="0">
      <pane ySplit="4" topLeftCell="A5" activePane="bottomLeft" state="frozen"/>
      <selection pane="bottomLeft" activeCell="B1" sqref="B1"/>
    </sheetView>
  </sheetViews>
  <sheetFormatPr defaultRowHeight="12.95" customHeight="1" outlineLevelRow="1"/>
  <cols>
    <col min="1" max="1" width="3.7109375" style="292" customWidth="1"/>
    <col min="2" max="3" width="28.7109375" style="292" customWidth="1"/>
    <col min="4" max="4" width="5.7109375" style="2484" hidden="1" customWidth="1"/>
    <col min="5" max="5" width="15.7109375" style="292" customWidth="1"/>
    <col min="6" max="7" width="28.7109375" style="292" customWidth="1"/>
    <col min="8" max="8" width="9.140625" style="2484" hidden="1" customWidth="1"/>
    <col min="9" max="15" width="9.140625" style="292" hidden="1" customWidth="1"/>
    <col min="16" max="16" width="18.5703125" style="2519" hidden="1" customWidth="1"/>
    <col min="17" max="17" width="9.140625" style="292" hidden="1" customWidth="1"/>
    <col min="18" max="18" width="9.140625" style="2482" hidden="1" customWidth="1"/>
    <col min="19" max="16384" width="9.140625" style="292"/>
  </cols>
  <sheetData>
    <row r="1" spans="2:18" ht="12.95" customHeight="1">
      <c r="B1" s="2474" t="s">
        <v>2706</v>
      </c>
      <c r="C1" s="2973" t="s">
        <v>8269</v>
      </c>
      <c r="D1" s="2973"/>
      <c r="E1" s="2973"/>
      <c r="F1" s="2973"/>
      <c r="G1" s="2973"/>
    </row>
    <row r="2" spans="2:18" ht="5.0999999999999996" customHeight="1"/>
    <row r="3" spans="2:18" ht="12.95" customHeight="1">
      <c r="B3" s="2978" t="s">
        <v>9756</v>
      </c>
      <c r="C3" s="2978"/>
      <c r="D3" s="2978"/>
      <c r="E3" s="2978"/>
      <c r="F3" s="2978"/>
      <c r="G3" s="2978"/>
    </row>
    <row r="4" spans="2:18" ht="5.0999999999999996" customHeight="1">
      <c r="B4" s="3566"/>
      <c r="C4" s="3566"/>
      <c r="D4" s="3566"/>
      <c r="E4" s="3566"/>
      <c r="F4" s="3566"/>
      <c r="G4" s="3566"/>
    </row>
    <row r="5" spans="2:18" ht="39" customHeight="1">
      <c r="B5" s="2960" t="s">
        <v>9559</v>
      </c>
      <c r="C5" s="2960"/>
      <c r="D5" s="2960"/>
      <c r="E5" s="2960"/>
      <c r="F5" s="2960"/>
      <c r="G5" s="2960"/>
    </row>
    <row r="6" spans="2:18" ht="39" customHeight="1">
      <c r="B6" s="2960" t="s">
        <v>9827</v>
      </c>
      <c r="C6" s="2960"/>
      <c r="D6" s="2960"/>
      <c r="E6" s="2960"/>
      <c r="F6" s="2960"/>
      <c r="G6" s="2960"/>
      <c r="H6" s="2524"/>
      <c r="R6" s="2519"/>
    </row>
    <row r="7" spans="2:18" ht="39" customHeight="1">
      <c r="B7" s="2960" t="s">
        <v>9828</v>
      </c>
      <c r="C7" s="2960"/>
      <c r="D7" s="2960"/>
      <c r="E7" s="2960"/>
      <c r="F7" s="2960"/>
      <c r="G7" s="2960"/>
      <c r="H7" s="2524"/>
      <c r="R7" s="2519"/>
    </row>
    <row r="8" spans="2:18" ht="5.0999999999999996" customHeight="1" thickBot="1"/>
    <row r="9" spans="2:18" ht="12.95" customHeight="1" thickBot="1">
      <c r="B9" s="4146" t="s">
        <v>7868</v>
      </c>
      <c r="C9" s="4147"/>
      <c r="F9" s="4146" t="s">
        <v>7869</v>
      </c>
      <c r="G9" s="4147"/>
      <c r="J9" s="4142"/>
      <c r="K9" s="4142"/>
      <c r="L9" s="4142"/>
    </row>
    <row r="10" spans="2:18" ht="20.25">
      <c r="B10" s="2534" t="s">
        <v>7865</v>
      </c>
      <c r="C10" s="2552">
        <v>1</v>
      </c>
      <c r="F10" s="2534" t="s">
        <v>7865</v>
      </c>
      <c r="G10" s="2552">
        <v>100</v>
      </c>
      <c r="J10" s="4142"/>
      <c r="K10" s="4142"/>
      <c r="L10" s="4142"/>
    </row>
    <row r="11" spans="2:18" ht="26.25" thickBot="1">
      <c r="B11" s="2535" t="s">
        <v>7944</v>
      </c>
      <c r="C11" s="2468" t="s">
        <v>1220</v>
      </c>
      <c r="F11" s="2535" t="s">
        <v>7866</v>
      </c>
      <c r="G11" s="2468" t="s">
        <v>2232</v>
      </c>
      <c r="J11" s="4142"/>
      <c r="K11" s="4142"/>
      <c r="L11" s="4142"/>
    </row>
    <row r="12" spans="2:18" ht="5.0999999999999996" customHeight="1" thickBot="1">
      <c r="J12" s="4142"/>
      <c r="K12" s="4142"/>
      <c r="L12" s="4142"/>
    </row>
    <row r="13" spans="2:18" ht="26.1" customHeight="1" thickBot="1">
      <c r="B13" s="4167" t="str">
        <f>IF(AND(I38=0,I39=0,I40=0,I41=0,I42=0)," ",IF(I38=0,IF(I39=0,IF(I40=0,IF(I41=0,IF(I42=0," ",I42),I41),I40),I39),I38))</f>
        <v xml:space="preserve"> </v>
      </c>
      <c r="C13" s="4168"/>
      <c r="D13" s="4168"/>
      <c r="E13" s="4168"/>
      <c r="F13" s="4168"/>
      <c r="G13" s="4169"/>
      <c r="H13" s="2524"/>
      <c r="J13" s="4142"/>
      <c r="K13" s="4142"/>
      <c r="L13" s="4142"/>
      <c r="R13" s="2519"/>
    </row>
    <row r="14" spans="2:18" ht="5.0999999999999996" customHeight="1" thickBot="1">
      <c r="D14" s="2524"/>
      <c r="H14" s="2524"/>
      <c r="J14" s="4142"/>
      <c r="K14" s="4142"/>
      <c r="L14" s="4142"/>
      <c r="R14" s="2519"/>
    </row>
    <row r="15" spans="2:18" ht="23.25">
      <c r="B15" s="4148" t="str">
        <f>IF(B13=" ","Атакующий отряд нанесёт урон в диапазоне:"," ")</f>
        <v>Атакующий отряд нанесёт урон в диапазоне:</v>
      </c>
      <c r="C15" s="4149"/>
      <c r="D15" s="1598"/>
      <c r="E15" s="2546">
        <f>IF(B13=" ",C82," ")</f>
        <v>112</v>
      </c>
      <c r="F15" s="4152" t="str">
        <f>IF(B13=" ","единиц."," ")</f>
        <v>единиц.</v>
      </c>
      <c r="G15" s="4153"/>
      <c r="H15" s="2524"/>
      <c r="J15" s="4142"/>
      <c r="K15" s="4142"/>
      <c r="L15" s="4142"/>
      <c r="R15" s="2519"/>
    </row>
    <row r="16" spans="2:18" ht="24" thickBot="1">
      <c r="B16" s="4170"/>
      <c r="C16" s="4171"/>
      <c r="D16" s="2545"/>
      <c r="E16" s="2547">
        <f>IF(B13=" ",C83," ")</f>
        <v>112</v>
      </c>
      <c r="F16" s="4172"/>
      <c r="G16" s="4173"/>
      <c r="H16" s="2524"/>
      <c r="J16" s="4142"/>
      <c r="K16" s="4142"/>
      <c r="L16" s="4142"/>
      <c r="R16" s="2519"/>
    </row>
    <row r="17" spans="2:18" ht="23.25" hidden="1">
      <c r="B17" s="4148" t="str">
        <f>IF(B13=" ","Оставшееся здоровье у защищающегося отряда:"," ")</f>
        <v>Оставшееся здоровье у защищающегося отряда:</v>
      </c>
      <c r="C17" s="4149"/>
      <c r="D17" s="1598"/>
      <c r="E17" s="2546">
        <f>IF(B13=" ",IF((G10*G70-E15)&lt;0,0,(G10*G70-E15))," ")</f>
        <v>888</v>
      </c>
      <c r="F17" s="4152" t="str">
        <f>IF(B13=" ","единиц."," ")</f>
        <v>единиц.</v>
      </c>
      <c r="G17" s="4153"/>
      <c r="H17" s="2524"/>
      <c r="J17" s="4142"/>
      <c r="K17" s="4142"/>
      <c r="L17" s="4142"/>
      <c r="R17" s="2519"/>
    </row>
    <row r="18" spans="2:18" ht="24" hidden="1" thickBot="1">
      <c r="B18" s="4170"/>
      <c r="C18" s="4171"/>
      <c r="D18" s="2545"/>
      <c r="E18" s="2547">
        <f>IF(B13=" ",IF((G10*G70-E15)&lt;0,0,G10*G70-E16)," ")</f>
        <v>888</v>
      </c>
      <c r="F18" s="4172"/>
      <c r="G18" s="4173"/>
      <c r="H18" s="2524"/>
      <c r="J18" s="4142"/>
      <c r="K18" s="4142"/>
      <c r="L18" s="4142"/>
      <c r="R18" s="2519"/>
    </row>
    <row r="19" spans="2:18" ht="23.25">
      <c r="B19" s="4174" t="str">
        <f>IF(B13=" ","При этом будет убито:"," ")</f>
        <v>При этом будет убито:</v>
      </c>
      <c r="C19" s="4175"/>
      <c r="D19" s="903"/>
      <c r="E19" s="2548">
        <f>IF(B13=" ",IF((G10-ROUNDUP(E17/G70,0))&gt;G10,G10,G10-ROUNDUP(E17/G70,0))," ")</f>
        <v>11</v>
      </c>
      <c r="F19" s="4176" t="str">
        <f>IF(B13=" ","существ в защищающемся отряде."," ")</f>
        <v>существ в защищающемся отряде.</v>
      </c>
      <c r="G19" s="4177"/>
      <c r="H19" s="2524"/>
      <c r="J19" s="4142"/>
      <c r="K19" s="4142"/>
      <c r="L19" s="4142"/>
      <c r="R19" s="2519"/>
    </row>
    <row r="20" spans="2:18" ht="24" thickBot="1">
      <c r="B20" s="4150"/>
      <c r="C20" s="4151"/>
      <c r="D20" s="2544"/>
      <c r="E20" s="2549">
        <f>IF(B13=" ",IF((G10-ROUNDUP(E18/G70,0))&gt;G10,G10,G10-ROUNDUP(E18/G70,0))," ")</f>
        <v>11</v>
      </c>
      <c r="F20" s="4154"/>
      <c r="G20" s="4155"/>
      <c r="H20" s="2524"/>
      <c r="J20" s="4142"/>
      <c r="K20" s="4142"/>
      <c r="L20" s="4142"/>
      <c r="R20" s="2519"/>
    </row>
    <row r="21" spans="2:18" ht="23.25">
      <c r="B21" s="4148" t="str">
        <f>IF(B13=" ","Оставшееся здоровье верхнего существа в защищающемся отряде:"," ")</f>
        <v>Оставшееся здоровье верхнего существа в защищающемся отряде:</v>
      </c>
      <c r="C21" s="4149"/>
      <c r="D21" s="1598"/>
      <c r="E21" s="2550">
        <f>IF(B13=" ",IF(E19&lt;G10,G70-((G10-E19)*G70-E17),0)," ")</f>
        <v>8</v>
      </c>
      <c r="F21" s="4152" t="str">
        <f>IF(B13=" ","единиц."," ")</f>
        <v>единиц.</v>
      </c>
      <c r="G21" s="4153"/>
      <c r="H21" s="2524"/>
      <c r="J21" s="4142"/>
      <c r="K21" s="4142"/>
      <c r="L21" s="4142"/>
      <c r="R21" s="2519"/>
    </row>
    <row r="22" spans="2:18" ht="24" thickBot="1">
      <c r="B22" s="4150"/>
      <c r="C22" s="4151"/>
      <c r="D22" s="2544"/>
      <c r="E22" s="2549">
        <f>IF(B13=" ",IF(E20&lt;G10,G70-((G10-E20)*G70-E18),0)," ")</f>
        <v>8</v>
      </c>
      <c r="F22" s="4154"/>
      <c r="G22" s="4155"/>
      <c r="H22" s="2524"/>
      <c r="J22" s="4142"/>
      <c r="K22" s="4142"/>
      <c r="L22" s="4142"/>
      <c r="R22" s="2519"/>
    </row>
    <row r="23" spans="2:18" ht="23.25">
      <c r="B23" s="4156" t="str">
        <f>IF(B13=" ",IF(G41="Нет"," ","Огненный щит на защищающемся отряде нанесёт примерно:")," ")</f>
        <v xml:space="preserve"> </v>
      </c>
      <c r="C23" s="4157"/>
      <c r="D23" s="1598"/>
      <c r="E23" s="2550" t="str">
        <f>IF(B13=" ",IF(G41="Нет"," ",D61)," ")</f>
        <v xml:space="preserve"> </v>
      </c>
      <c r="F23" s="4160" t="str">
        <f>IF(B13=" ",IF(G41="Нет"," ","единиц урона атакующему.")," ")</f>
        <v xml:space="preserve"> </v>
      </c>
      <c r="G23" s="4161"/>
      <c r="H23" s="2524"/>
      <c r="J23" s="4142"/>
      <c r="K23" s="4142"/>
      <c r="L23" s="4142"/>
      <c r="R23" s="2519"/>
    </row>
    <row r="24" spans="2:18" ht="24" thickBot="1">
      <c r="B24" s="4158"/>
      <c r="C24" s="4159"/>
      <c r="D24" s="2545"/>
      <c r="E24" s="2551" t="str">
        <f>IF(B13=" ",IF(G41="Нет"," ",D62)," ")</f>
        <v xml:space="preserve"> </v>
      </c>
      <c r="F24" s="4162"/>
      <c r="G24" s="4163"/>
      <c r="H24" s="2555"/>
      <c r="J24" s="4142"/>
      <c r="K24" s="4142"/>
      <c r="L24" s="4142"/>
      <c r="P24" s="2554"/>
      <c r="R24" s="2554"/>
    </row>
    <row r="25" spans="2:18" ht="5.0999999999999996" customHeight="1" thickBot="1">
      <c r="B25" s="2563"/>
      <c r="C25" s="2563"/>
      <c r="D25" s="2555"/>
      <c r="E25" s="2562"/>
      <c r="F25" s="2564"/>
      <c r="G25" s="2564"/>
      <c r="H25" s="2555"/>
      <c r="J25" s="4142"/>
      <c r="K25" s="4142"/>
      <c r="L25" s="4142"/>
      <c r="P25" s="2554"/>
      <c r="R25" s="2554"/>
    </row>
    <row r="26" spans="2:18" ht="78" customHeight="1" thickBot="1">
      <c r="B26" s="4164" t="str">
        <f>VLOOKUP(C11,B88:P228,15,FALSE)</f>
        <v>Архангелы наносят на 50% урона больше Дьяволам и Архидьяволам.</v>
      </c>
      <c r="C26" s="4165"/>
      <c r="D26" s="4165"/>
      <c r="E26" s="4165"/>
      <c r="F26" s="4165"/>
      <c r="G26" s="4166"/>
      <c r="H26" s="2524"/>
      <c r="J26" s="4142"/>
      <c r="K26" s="4142"/>
      <c r="L26" s="4142"/>
      <c r="R26" s="2519"/>
    </row>
    <row r="27" spans="2:18" ht="5.0999999999999996" customHeight="1">
      <c r="D27" s="2524"/>
      <c r="H27" s="2524"/>
      <c r="J27" s="4142"/>
      <c r="K27" s="4142"/>
      <c r="L27" s="4142"/>
      <c r="R27" s="2519"/>
    </row>
    <row r="28" spans="2:18" ht="12.95" customHeight="1" thickBot="1">
      <c r="B28" s="4143" t="s">
        <v>7867</v>
      </c>
      <c r="C28" s="4143"/>
      <c r="F28" s="4143" t="s">
        <v>7867</v>
      </c>
      <c r="G28" s="4143"/>
      <c r="J28" s="4142"/>
      <c r="K28" s="4142"/>
      <c r="L28" s="4142"/>
    </row>
    <row r="29" spans="2:18" ht="12.95" customHeight="1">
      <c r="B29" s="2506" t="s">
        <v>7933</v>
      </c>
      <c r="C29" s="2540">
        <v>0</v>
      </c>
      <c r="D29" s="2512"/>
      <c r="F29" s="2506" t="s">
        <v>7933</v>
      </c>
      <c r="G29" s="2540">
        <v>0</v>
      </c>
      <c r="H29" s="2512"/>
      <c r="J29" s="2514"/>
      <c r="K29" s="2514"/>
      <c r="L29" s="2514"/>
      <c r="R29" s="2511"/>
    </row>
    <row r="30" spans="2:18" ht="12.95" customHeight="1" thickBot="1">
      <c r="B30" s="2510" t="s">
        <v>7934</v>
      </c>
      <c r="C30" s="2541">
        <v>0</v>
      </c>
      <c r="D30" s="2512"/>
      <c r="F30" s="2510" t="s">
        <v>7934</v>
      </c>
      <c r="G30" s="2541">
        <v>0</v>
      </c>
      <c r="H30" s="2512"/>
      <c r="J30" s="2514"/>
      <c r="K30" s="2514"/>
      <c r="L30" s="2514"/>
      <c r="R30" s="2511"/>
    </row>
    <row r="31" spans="2:18" ht="12.95" customHeight="1">
      <c r="B31" s="2516" t="s">
        <v>7883</v>
      </c>
      <c r="C31" s="2637" t="s">
        <v>1463</v>
      </c>
      <c r="F31" s="2506" t="s">
        <v>7885</v>
      </c>
      <c r="G31" s="2639" t="s">
        <v>1463</v>
      </c>
      <c r="H31" s="2484">
        <f>IF(G31="Нет",0,IF(G31="Базовые",0.0501,IF(G31="Продвинутые",0.1001,0.1501)))</f>
        <v>0</v>
      </c>
      <c r="I31" s="292" t="s">
        <v>1463</v>
      </c>
      <c r="J31" s="292" t="s">
        <v>1463</v>
      </c>
      <c r="K31" s="292" t="s">
        <v>1463</v>
      </c>
      <c r="L31" s="292" t="s">
        <v>1463</v>
      </c>
      <c r="M31" s="292" t="s">
        <v>1463</v>
      </c>
      <c r="N31" s="292" t="s">
        <v>1463</v>
      </c>
      <c r="O31" s="292" t="s">
        <v>1463</v>
      </c>
      <c r="P31" s="2519" t="s">
        <v>1463</v>
      </c>
      <c r="Q31" s="292" t="s">
        <v>1463</v>
      </c>
    </row>
    <row r="32" spans="2:18" ht="12.95" customHeight="1" thickBot="1">
      <c r="B32" s="2508" t="s">
        <v>7885</v>
      </c>
      <c r="C32" s="2638" t="s">
        <v>1463</v>
      </c>
      <c r="D32" s="2484">
        <f>IF(C32="Нет",0,IF(C32="Базовые",0.05,IF(C32="Продвинутые",0.1,0.15)))</f>
        <v>0</v>
      </c>
      <c r="F32" s="2507" t="s">
        <v>7884</v>
      </c>
      <c r="G32" s="2640" t="s">
        <v>1463</v>
      </c>
      <c r="H32" s="2500">
        <f>IF(G32="Нет",0,IF(G32="Базовое",0.1,IF(G32="Продвинутое",0.2,0.3)))</f>
        <v>0</v>
      </c>
      <c r="I32" s="292" t="s">
        <v>210</v>
      </c>
      <c r="J32" s="292" t="s">
        <v>7886</v>
      </c>
      <c r="K32" s="292" t="s">
        <v>1008</v>
      </c>
      <c r="L32" s="292" t="s">
        <v>3715</v>
      </c>
      <c r="M32" s="2349">
        <v>0.1</v>
      </c>
      <c r="N32" s="292" t="s">
        <v>1008</v>
      </c>
      <c r="O32" s="292" t="s">
        <v>1008</v>
      </c>
      <c r="P32" s="2519" t="s">
        <v>1008</v>
      </c>
      <c r="Q32" s="292" t="s">
        <v>7886</v>
      </c>
    </row>
    <row r="33" spans="1:18" ht="12.95" customHeight="1">
      <c r="B33" s="2508" t="s">
        <v>7884</v>
      </c>
      <c r="C33" s="2638" t="s">
        <v>1463</v>
      </c>
      <c r="D33" s="2484">
        <f>IF(C33="Нет",0,IF(C33="Базовое",0.1,IF(C33="Продвинутое",0.2,0.3)))</f>
        <v>0</v>
      </c>
      <c r="F33" s="2506" t="str">
        <f>IF(C31="Да",IF(C11="Снайпер"," ","Прямая стрела?")," ")</f>
        <v xml:space="preserve"> </v>
      </c>
      <c r="G33" s="2641" t="s">
        <v>1463</v>
      </c>
      <c r="J33" s="292" t="s">
        <v>7887</v>
      </c>
      <c r="K33" s="292" t="s">
        <v>1010</v>
      </c>
      <c r="L33" s="292" t="s">
        <v>3716</v>
      </c>
      <c r="M33" s="2349">
        <v>0.2</v>
      </c>
      <c r="N33" s="292" t="s">
        <v>1010</v>
      </c>
      <c r="O33" s="292" t="s">
        <v>1010</v>
      </c>
      <c r="P33" s="2519" t="s">
        <v>1010</v>
      </c>
      <c r="Q33" s="292" t="s">
        <v>7887</v>
      </c>
    </row>
    <row r="34" spans="1:18" ht="12.95" customHeight="1" thickBot="1">
      <c r="B34" s="2508" t="s">
        <v>7898</v>
      </c>
      <c r="C34" s="2638" t="s">
        <v>1463</v>
      </c>
      <c r="D34" s="2500">
        <f>IF(C34="Нет",0,IF(C34="Базовая",0.1,IF(C34="Продвинутая",0.25,0.5)))</f>
        <v>0</v>
      </c>
      <c r="F34" s="2510" t="str">
        <f>IF(C31="Да",IF(OR(C11="Маг",C11="Архимаг",C11="Снайпер",C11="Чародей")," ","Стрельба через стену?")," ")</f>
        <v xml:space="preserve"> </v>
      </c>
      <c r="G34" s="2642" t="s">
        <v>1463</v>
      </c>
      <c r="J34" s="292" t="s">
        <v>7888</v>
      </c>
      <c r="K34" s="292" t="s">
        <v>1012</v>
      </c>
      <c r="L34" s="292" t="s">
        <v>3717</v>
      </c>
      <c r="M34" s="2349">
        <v>0.3</v>
      </c>
      <c r="N34" s="292" t="s">
        <v>1012</v>
      </c>
      <c r="O34" s="292" t="s">
        <v>1012</v>
      </c>
      <c r="P34" s="2519" t="s">
        <v>1012</v>
      </c>
      <c r="Q34" s="292" t="s">
        <v>7888</v>
      </c>
    </row>
    <row r="35" spans="1:18" ht="12.95" customHeight="1">
      <c r="B35" s="2508" t="s">
        <v>7902</v>
      </c>
      <c r="C35" s="2638" t="s">
        <v>1463</v>
      </c>
      <c r="F35" s="2476"/>
      <c r="K35" s="292" t="s">
        <v>7917</v>
      </c>
      <c r="M35" s="2349">
        <v>0.4</v>
      </c>
      <c r="N35" s="292" t="s">
        <v>7913</v>
      </c>
      <c r="O35" s="292" t="s">
        <v>7919</v>
      </c>
      <c r="P35" s="2519" t="s">
        <v>7917</v>
      </c>
      <c r="Q35" s="292" t="s">
        <v>7922</v>
      </c>
    </row>
    <row r="36" spans="1:18" ht="12.95" customHeight="1" thickBot="1">
      <c r="B36" s="2509" t="str">
        <f>IF(OR(C11="Кавалерист",C11="Чемпион"),IF(OR(G11="Алебардщик",G11="Копейщик")," ","Кавалерийский разбег:")," ")</f>
        <v xml:space="preserve"> </v>
      </c>
      <c r="C36" s="2561">
        <v>0</v>
      </c>
      <c r="D36" s="2484">
        <f>IF(B36=" ",1,(1+0.05*C36))</f>
        <v>1</v>
      </c>
      <c r="F36" s="2476"/>
      <c r="K36" s="292" t="s">
        <v>7918</v>
      </c>
      <c r="M36" s="2349">
        <v>0.5</v>
      </c>
      <c r="N36" s="292" t="s">
        <v>7914</v>
      </c>
      <c r="O36" s="292" t="s">
        <v>7921</v>
      </c>
      <c r="P36" s="2519" t="s">
        <v>7920</v>
      </c>
    </row>
    <row r="37" spans="1:18" ht="5.0999999999999996" customHeight="1">
      <c r="K37" s="292" t="s">
        <v>7916</v>
      </c>
      <c r="N37" s="292" t="s">
        <v>7915</v>
      </c>
    </row>
    <row r="38" spans="1:18" ht="12.95" customHeight="1" thickBot="1">
      <c r="A38" s="2565"/>
      <c r="B38" s="4143" t="s">
        <v>7899</v>
      </c>
      <c r="C38" s="4143"/>
      <c r="F38" s="4143" t="s">
        <v>7899</v>
      </c>
      <c r="G38" s="4143"/>
      <c r="I38" s="4134">
        <f>IF(OR(C40="Нет",C43="Нет"),0,"ОШИБКА! Проклятие и Благословление не могут действовать на цель одновременно!")</f>
        <v>0</v>
      </c>
      <c r="J38" s="4134"/>
      <c r="K38" s="4134"/>
      <c r="L38" s="4134"/>
      <c r="M38" s="4134"/>
      <c r="N38" s="4134"/>
      <c r="O38" s="4134"/>
      <c r="P38" s="4134"/>
      <c r="Q38" s="4134"/>
      <c r="R38" s="2482">
        <v>1</v>
      </c>
    </row>
    <row r="39" spans="1:18" ht="12.95" customHeight="1" outlineLevel="1">
      <c r="B39" s="2506" t="s">
        <v>7876</v>
      </c>
      <c r="C39" s="2639" t="s">
        <v>1463</v>
      </c>
      <c r="D39" s="2484">
        <f>IF(C31="Да",0,IF(C39="Нет",0,IF(C39="Базовое",3,6)))</f>
        <v>0</v>
      </c>
      <c r="F39" s="2506" t="s">
        <v>7876</v>
      </c>
      <c r="G39" s="2639" t="s">
        <v>1463</v>
      </c>
      <c r="H39" s="2484">
        <f>IF(G39="Нет",0,IF(G39="Базовое",3,6))</f>
        <v>0</v>
      </c>
      <c r="I39" s="4134">
        <f>IF(OR(G40="Нет",G44="Нет"),0,"ОШИБКА! Проклятие и Благословление не могут действовать на цель одновременно!")</f>
        <v>0</v>
      </c>
      <c r="J39" s="4134"/>
      <c r="K39" s="4134"/>
      <c r="L39" s="4134"/>
      <c r="M39" s="4134"/>
      <c r="N39" s="4134"/>
      <c r="O39" s="4134"/>
      <c r="P39" s="4134"/>
      <c r="Q39" s="4134"/>
      <c r="R39" s="2482">
        <v>2</v>
      </c>
    </row>
    <row r="40" spans="1:18" ht="12.95" customHeight="1" outlineLevel="1">
      <c r="B40" s="2507" t="s">
        <v>7900</v>
      </c>
      <c r="C40" s="2640" t="s">
        <v>1463</v>
      </c>
      <c r="D40" s="2500" t="s">
        <v>4795</v>
      </c>
      <c r="F40" s="2507" t="s">
        <v>7900</v>
      </c>
      <c r="G40" s="2640" t="s">
        <v>1463</v>
      </c>
      <c r="H40" s="2500" t="s">
        <v>4795</v>
      </c>
      <c r="I40" s="4134">
        <f>IF(AND(VLOOKUP(C11,B88:O228,14,FALSE)="нет",C31="Да"),"ОШИБКА! Это существо не может стрелять!",0)</f>
        <v>0</v>
      </c>
      <c r="J40" s="4134"/>
      <c r="K40" s="4134"/>
      <c r="L40" s="4134"/>
      <c r="M40" s="4134"/>
      <c r="N40" s="4134"/>
      <c r="O40" s="4134"/>
      <c r="P40" s="4134"/>
      <c r="Q40" s="4134"/>
      <c r="R40" s="2482">
        <v>1</v>
      </c>
    </row>
    <row r="41" spans="1:18" ht="12.95" customHeight="1" outlineLevel="1">
      <c r="B41" s="2507" t="s">
        <v>7877</v>
      </c>
      <c r="C41" s="2640" t="s">
        <v>1463</v>
      </c>
      <c r="D41" s="2484">
        <f>IF(C41="Базовое",D69,IF(OR(C41="Продвинутое",C41="От Мастер-джинна"),ROUNDDOWN(D69*1.5,0),IF(C41="Экспертное",D69*2,0)))</f>
        <v>0</v>
      </c>
      <c r="F41" s="2507" t="s">
        <v>7895</v>
      </c>
      <c r="G41" s="2640" t="s">
        <v>1463</v>
      </c>
      <c r="H41" s="2484">
        <f>IF(G41="Базовое",0.2,IF(OR(G41="Продвинутое",G41="От Мастер-джинна"),0.25,IF(G41="Экспертное",0.3,0)))</f>
        <v>0</v>
      </c>
      <c r="I41" s="4134"/>
      <c r="J41" s="4134"/>
      <c r="K41" s="4134"/>
      <c r="L41" s="4134"/>
      <c r="M41" s="4134"/>
      <c r="N41" s="4134"/>
      <c r="O41" s="4134"/>
      <c r="P41" s="4134"/>
      <c r="Q41" s="4134"/>
      <c r="R41" s="2482">
        <v>1</v>
      </c>
    </row>
    <row r="42" spans="1:18" ht="12.95" customHeight="1" outlineLevel="1">
      <c r="B42" s="2507" t="s">
        <v>7878</v>
      </c>
      <c r="C42" s="2640" t="s">
        <v>1463</v>
      </c>
      <c r="D42" s="2484">
        <f>IF(C42="Базовое",IF(OR(G11="Зелёный дракон",G11="Золотой дракон",G11="Красный дракон",G11="Чёрный дракон",G11="Гидра",G11="Гидра хаоса",G11="Чудище",G11="Древнее чудище",G11="Огненная птица",G11="Феникс"),8,0),IF(AND(OR(C42="Продвинутое",C42="От Мастер-джинна"),OR(G11="Зелёный дракон",G11="Золотой дракон",G11="Красный дракон",G11="Чёрный дракон",G11="Гидра",G11="Гидра хаоса",G11="Чудище",G11="Древнее чудище",G11="Огненная птица",G11="Феникс",G11="Ангел",G11="Архангел",G11="Дьявол",G11="Архидьявол")),8,IF(AND(C42="Экспертное",OR(G11="Зелёный дракон",G11="Золотой дракон",G11="Красный дракон",G11="Чёрный дракон",G11="Гидра",G11="Гидра хаоса",G11="Чудище",G11="Древнее чудище",G11="Огненная птица",G11="Феникс",G11="Ангел",G11="Архангел",G11="Гигант",G11="Титан",G11="Дьявол",G11="Архидьявол")),8,0)))</f>
        <v>0</v>
      </c>
      <c r="F42" s="2507" t="s">
        <v>7877</v>
      </c>
      <c r="G42" s="2640" t="s">
        <v>1463</v>
      </c>
      <c r="H42" s="2484">
        <f>IF(G42="Базовое",H69,IF(OR(G42="Продвинутое",G42="От Мастер-джинна"),ROUNDDOWN(H69*1.5,0),IF(G42="Экспертное",H69*2,0)))</f>
        <v>0</v>
      </c>
      <c r="I42" s="4134">
        <f>IF(OR(C45="Нет",C45="Базовое"),0,IF(C31="Да","Ошибка! Существо не сможет стрелять при этом уровне Забывчивости!",0))</f>
        <v>0</v>
      </c>
      <c r="J42" s="4134"/>
      <c r="K42" s="4134"/>
      <c r="L42" s="4134"/>
      <c r="M42" s="4134"/>
      <c r="N42" s="4134"/>
      <c r="O42" s="4134"/>
      <c r="P42" s="4134"/>
      <c r="Q42" s="4134"/>
      <c r="R42" s="2482">
        <v>1</v>
      </c>
    </row>
    <row r="43" spans="1:18" ht="12.95" customHeight="1" outlineLevel="1">
      <c r="B43" s="2507" t="s">
        <v>7873</v>
      </c>
      <c r="C43" s="2640" t="s">
        <v>1463</v>
      </c>
      <c r="D43" s="2500" t="s">
        <v>4795</v>
      </c>
      <c r="F43" s="2507" t="s">
        <v>7878</v>
      </c>
      <c r="G43" s="2640" t="s">
        <v>1463</v>
      </c>
      <c r="H43" s="2484">
        <f>IF(G43="Базовое",IF(OR(C11="Зелёный дракон",C11="Золотой дракон",C11="Красный дракон",C11="Чёрный дракон",C11="Гидра",C11="Гидра хаоса",C11="Чудище",C11="Древнее чудище",C11="Огненная птица",C11="Феникс"),8,0),IF(AND(OR(G43="Продвинутое",G43="От Мастер-джинна"),OR(C11="Зелёный дракон",C11="Золотой дракон",C11="Красный дракон",C11="Чёрный дракон",C11="Гидра",C11="Гидра хаоса",C11="Чудище",C11="Древнее чудище",C11="Огненная птица",C11="Феникс",C11="Ангел",C11="Архангел",C11="Дьявол",C11="Архидьявол")),8,IF(AND(G43="Экспертное",OR(C11="Зелёный дракон",C11="Золотой дракон",C11="Красный дракон",C11="Чёрный дракон",C11="Гидра",C11="Гидра хаоса",C11="Чудище",C11="Древнее чудище",C11="Огненная птица",C11="Феникс",C11="Ангел",C11="Архангел",C11="Гигант",C11="Титан",C11="Дьявол",C11="Архидьявол")),8,0)))</f>
        <v>0</v>
      </c>
    </row>
    <row r="44" spans="1:18" ht="12.95" customHeight="1" outlineLevel="1">
      <c r="B44" s="2507" t="s">
        <v>7881</v>
      </c>
      <c r="C44" s="2640" t="s">
        <v>1463</v>
      </c>
      <c r="D44" s="2484">
        <f>IF(C44="Нет",0,IF(C44="Базовое",3,6))</f>
        <v>0</v>
      </c>
      <c r="F44" s="2507" t="s">
        <v>7873</v>
      </c>
      <c r="G44" s="2640" t="s">
        <v>1463</v>
      </c>
      <c r="H44" s="2500" t="s">
        <v>4795</v>
      </c>
    </row>
    <row r="45" spans="1:18" ht="12.95" customHeight="1" outlineLevel="1">
      <c r="B45" s="2507" t="s">
        <v>7892</v>
      </c>
      <c r="C45" s="2640" t="s">
        <v>1463</v>
      </c>
      <c r="D45" s="2484">
        <f>IF(VLOOKUP(C11,B88:O228,14,FALSE)="да",IF(C45="Нет",1,0.5),1)</f>
        <v>1</v>
      </c>
      <c r="F45" s="2507" t="s">
        <v>7881</v>
      </c>
      <c r="G45" s="2640" t="s">
        <v>1463</v>
      </c>
      <c r="H45" s="2484">
        <f>IF(G45="Нет",0,IF(G45="Базовое",3,6))</f>
        <v>0</v>
      </c>
    </row>
    <row r="46" spans="1:18" ht="12.95" customHeight="1" outlineLevel="1">
      <c r="B46" s="2507" t="s">
        <v>7879</v>
      </c>
      <c r="C46" s="2640" t="s">
        <v>1463</v>
      </c>
      <c r="D46" s="2484">
        <f>IF(C46="Нет",0,IF(C46="Базовое",2,4))</f>
        <v>0</v>
      </c>
      <c r="F46" s="2507" t="s">
        <v>7879</v>
      </c>
      <c r="G46" s="2640" t="s">
        <v>1463</v>
      </c>
      <c r="H46" s="2484">
        <f>IF(G46="Нет",0,IF(G46="Базовое",2,4))</f>
        <v>0</v>
      </c>
    </row>
    <row r="47" spans="1:18" ht="12.95" customHeight="1" outlineLevel="1">
      <c r="B47" s="2507" t="s">
        <v>7890</v>
      </c>
      <c r="C47" s="2640" t="s">
        <v>1463</v>
      </c>
      <c r="D47" s="2484">
        <f>IF(C47="Нет",1,IF(C47="Базовое",0.85,0.7))</f>
        <v>1</v>
      </c>
      <c r="F47" s="2507" t="s">
        <v>7890</v>
      </c>
      <c r="G47" s="2640" t="s">
        <v>1463</v>
      </c>
      <c r="H47" s="2515">
        <f>IF(C31="Да",1,IF(G47="Нет",1,IF(G47="Базовое",0.85,0.7)))</f>
        <v>1</v>
      </c>
    </row>
    <row r="48" spans="1:18" ht="12.95" customHeight="1" outlineLevel="1">
      <c r="B48" s="2507" t="s">
        <v>7882</v>
      </c>
      <c r="C48" s="2640" t="s">
        <v>1463</v>
      </c>
      <c r="D48" s="2484">
        <f>IF(C48="Нет",0,IF(C48="Базовое",3,6))</f>
        <v>0</v>
      </c>
      <c r="F48" s="2507" t="s">
        <v>7882</v>
      </c>
      <c r="G48" s="2640" t="s">
        <v>1463</v>
      </c>
      <c r="H48" s="2512">
        <f>IF(G48="Нет",0,IF(G48="Базовое",3,6))</f>
        <v>0</v>
      </c>
    </row>
    <row r="49" spans="2:18" ht="12.95" customHeight="1" outlineLevel="1">
      <c r="B49" s="4144" t="s">
        <v>7901</v>
      </c>
      <c r="C49" s="2640" t="s">
        <v>1463</v>
      </c>
      <c r="D49" s="2484">
        <f>IF(C49="Базовое",3*C50,IF(C49="Продвинутое",4*C50,IF(C49="Экспертное",5*C50,0)))</f>
        <v>0</v>
      </c>
      <c r="F49" s="4144" t="s">
        <v>7901</v>
      </c>
      <c r="G49" s="2640" t="s">
        <v>1463</v>
      </c>
      <c r="H49" s="2512">
        <f>IF(G49="Базовое",3*G50,IF(G49="Продвинутое",4*G50,IF(G49="Экспертное",5*G50,0)))</f>
        <v>0</v>
      </c>
    </row>
    <row r="50" spans="2:18" ht="12.95" customHeight="1" outlineLevel="1">
      <c r="B50" s="4144"/>
      <c r="C50" s="2542">
        <v>1</v>
      </c>
      <c r="D50" s="2515" t="s">
        <v>4795</v>
      </c>
      <c r="F50" s="4144"/>
      <c r="G50" s="2542">
        <v>1</v>
      </c>
      <c r="H50" s="2515" t="s">
        <v>4795</v>
      </c>
    </row>
    <row r="51" spans="2:18" ht="12.95" customHeight="1" outlineLevel="1">
      <c r="B51" s="2507" t="s">
        <v>7880</v>
      </c>
      <c r="C51" s="2640" t="s">
        <v>1463</v>
      </c>
      <c r="D51" s="2484">
        <f>IF(C31="Нет",0,IF(C51="Нет",0,IF(C51="Базовое",3,6)))</f>
        <v>0</v>
      </c>
      <c r="F51" s="2507" t="s">
        <v>7891</v>
      </c>
      <c r="G51" s="2640" t="s">
        <v>1463</v>
      </c>
      <c r="H51" s="2515">
        <f>IF(C31="Нет",1,IF(G51="Нет",1,IF(G51="Базовое",0.75,0.5)))</f>
        <v>1</v>
      </c>
    </row>
    <row r="52" spans="2:18" ht="12.95" customHeight="1" outlineLevel="1">
      <c r="B52" s="2507" t="s">
        <v>7893</v>
      </c>
      <c r="C52" s="2640" t="s">
        <v>1463</v>
      </c>
      <c r="D52" s="2484">
        <f>IF(C52="Да",0.5,1)</f>
        <v>1</v>
      </c>
      <c r="F52" s="2507" t="s">
        <v>7893</v>
      </c>
      <c r="G52" s="2640" t="s">
        <v>1463</v>
      </c>
      <c r="H52" s="2512">
        <f>IF(G52="Да",0.5,1)</f>
        <v>1</v>
      </c>
    </row>
    <row r="53" spans="2:18" ht="12.95" customHeight="1" outlineLevel="1">
      <c r="B53" s="2507" t="s">
        <v>7903</v>
      </c>
      <c r="C53" s="2640" t="s">
        <v>1463</v>
      </c>
      <c r="D53" s="2484">
        <f>IF(C53="Да",2,0)</f>
        <v>0</v>
      </c>
      <c r="F53" s="2507" t="s">
        <v>7903</v>
      </c>
      <c r="G53" s="2640" t="s">
        <v>1463</v>
      </c>
      <c r="H53" s="2515">
        <f>IF(G53="Да",2,0)</f>
        <v>0</v>
      </c>
    </row>
    <row r="54" spans="2:18" ht="12.95" customHeight="1" outlineLevel="1">
      <c r="B54" s="2507" t="s">
        <v>7894</v>
      </c>
      <c r="C54" s="2640" t="s">
        <v>1463</v>
      </c>
      <c r="D54" s="2484">
        <f>IF(C54="Нет",1,(100%-C54))</f>
        <v>1</v>
      </c>
      <c r="F54" s="2507" t="s">
        <v>7904</v>
      </c>
      <c r="G54" s="2640" t="s">
        <v>1463</v>
      </c>
      <c r="H54" s="2484">
        <f>IF(G54="Да",0.5,1)</f>
        <v>1</v>
      </c>
    </row>
    <row r="55" spans="2:18" ht="12.95" customHeight="1" outlineLevel="1">
      <c r="B55" s="4144" t="s">
        <v>7905</v>
      </c>
      <c r="C55" s="2640" t="s">
        <v>1463</v>
      </c>
      <c r="D55" s="2484">
        <f>IF(C55="Да",3*C56,0)</f>
        <v>0</v>
      </c>
      <c r="F55" s="2507" t="s">
        <v>7894</v>
      </c>
      <c r="G55" s="2640" t="s">
        <v>1463</v>
      </c>
      <c r="H55" s="2512">
        <f>IF(G55="Нет",1,(100%-G55))</f>
        <v>1</v>
      </c>
    </row>
    <row r="56" spans="2:18" ht="12.95" customHeight="1" outlineLevel="1" thickBot="1">
      <c r="B56" s="4145"/>
      <c r="C56" s="2543">
        <v>1</v>
      </c>
      <c r="D56" s="2515" t="s">
        <v>4795</v>
      </c>
      <c r="F56" s="4144" t="s">
        <v>7905</v>
      </c>
      <c r="G56" s="2640" t="s">
        <v>1463</v>
      </c>
      <c r="H56" s="2515">
        <f>IF(G56="Да",3*G57,0)</f>
        <v>0</v>
      </c>
    </row>
    <row r="57" spans="2:18" ht="12.95" customHeight="1" outlineLevel="1" thickBot="1">
      <c r="B57" s="2476"/>
      <c r="F57" s="4145"/>
      <c r="G57" s="2543">
        <v>1</v>
      </c>
      <c r="H57" s="2515" t="s">
        <v>4795</v>
      </c>
    </row>
    <row r="58" spans="2:18" ht="12.95" hidden="1" customHeight="1">
      <c r="B58" s="2513" t="s">
        <v>7930</v>
      </c>
      <c r="C58" s="2511">
        <f>IF(AND(C31="Нет",VLOOKUP(C11,B88:O228,14,FALSE)="да"),IF(OR(C11="Фанатик",C11="Маг",C11="Архимаг",C11="Титан",C11="Бехолдер",C11="Созерцатель",C11="Медуза",C11="Королева медуз",C11="Чародей"),1,0.5),1)</f>
        <v>1</v>
      </c>
      <c r="H58" s="292"/>
    </row>
    <row r="59" spans="2:18" ht="12.95" hidden="1" customHeight="1">
      <c r="B59" s="2513" t="s">
        <v>7931</v>
      </c>
      <c r="C59" s="2511">
        <f>IF(AND(C31="Да",G33="Нет"),IF(C11="Снайпер",1,0.5),1)</f>
        <v>1</v>
      </c>
      <c r="H59" s="292"/>
    </row>
    <row r="60" spans="2:18" ht="12.95" hidden="1" customHeight="1">
      <c r="B60" s="2513" t="s">
        <v>7932</v>
      </c>
      <c r="C60" s="2511">
        <f>IF(AND(C31="Да",G34="Да"),IF(OR(C11="Маг",C11="Архимаг",C11="Снайпер",C11="Чародей"),1,0.5),1)</f>
        <v>1</v>
      </c>
    </row>
    <row r="61" spans="2:18" ht="12.95" hidden="1" customHeight="1">
      <c r="B61" s="3655" t="s">
        <v>7935</v>
      </c>
      <c r="C61" s="2511">
        <f>ROUNDDOWN(ROUNDDOWN((C73*C63*D36+IF(C68&lt;G69,0,C75*D36*C63)+D33*C73+C79),0)*H54,0)</f>
        <v>112</v>
      </c>
      <c r="D61" s="2512">
        <f>ROUNDDOWN(C61*H41,0)</f>
        <v>0</v>
      </c>
      <c r="F61" s="3655"/>
      <c r="G61" s="2511"/>
      <c r="H61" s="2512"/>
      <c r="R61" s="2511"/>
    </row>
    <row r="62" spans="2:18" ht="12.95" hidden="1" customHeight="1">
      <c r="B62" s="3655"/>
      <c r="C62" s="2511">
        <f>ROUNDDOWN(ROUNDDOWN((C74*C63+C76*IF(C68&lt;G69,0,1)*IF(C68&lt;G69,0,1)+D33*C73+C80),0),0)</f>
        <v>112</v>
      </c>
      <c r="D62" s="2512">
        <f>ROUNDDOWN(C62*H41,0)</f>
        <v>0</v>
      </c>
      <c r="F62" s="3655"/>
      <c r="G62" s="2511"/>
      <c r="H62" s="2512"/>
      <c r="R62" s="2511"/>
    </row>
    <row r="63" spans="2:18" ht="12.95" hidden="1" customHeight="1">
      <c r="B63" s="2525" t="s">
        <v>7938</v>
      </c>
      <c r="C63" s="2519">
        <f>IF(OR(C11="Ангел",C11="Архангел"),IF(OR(G11="Дьявол",G11="Архидьявол"),1.5,1),IF(OR(C11="Дьявол",C11="Архидьявол"),IF(OR(G11="Ангел",G11="Архангел"),1.5,1),IF(OR(C11="Джинн",C11="Мастер-джинн"),IF(OR(G11="Ифрит",G11="Султан-ифрит"),1.5,1),IF(OR(C11="Ифрит",C11="Султан-ифрит"),IF(OR(G11="Джинн",G11="Мастер-джинн"),1.5,1),IF(C11="Титан",IF(G11="Чёрный дракон",1.5,1),IF(C11="Чёрный дракон",IF(G11="Титан",1.5,1),IF(OR(C11="Элементаль воздуха",C11="Штормовой элементаль"),IF(OR(G11="Элементаль земли",G11="Магмовый элементаль"),2,1),IF(OR(C11="Элементаль земли",C11="Магмовый элементаль"),IF(OR(G11="Элементаль воздуха",G11="Штормовой элементаль"),2,1),IF(OR(C11="Элементаль воды",C11="Ледяной элементаль"),IF(OR(G11="Элементаль огня",G11="Энергетический элементаль"),2,1),IF(OR(C11="Элементаль огня",C11="Энергетический элементаль"),IF(OR(G11="Элементаль воды",G11="Ледяной элементаль"),1.5,1),1))))))))))</f>
        <v>1</v>
      </c>
      <c r="D63" s="2524"/>
      <c r="F63" s="2525"/>
      <c r="G63" s="2519"/>
      <c r="H63" s="2524"/>
      <c r="R63" s="2519"/>
    </row>
    <row r="64" spans="2:18" ht="12.95" hidden="1" customHeight="1">
      <c r="B64" s="2525" t="s">
        <v>7939</v>
      </c>
      <c r="C64" s="2519">
        <f>IF(C11="Психический элементаль",IF(OR(VLOOKUP(G11,B88:L228,9,FALSE)="да",VLOOKUP(G11,B88:L228,10,FALSE)="да",VLOOKUP(G11,B88:L228,11,FALSE)="да",G11="Гигант",G11="Титан",G11="Чёрный дракон"),0.5,1),IF(C11="Магический элементаль",IF(OR(G11="Магический элементаль",G11="Чёрный дракон"),0.5,1),1))</f>
        <v>1</v>
      </c>
      <c r="D64" s="2524"/>
      <c r="F64" s="2525"/>
      <c r="G64" s="2519"/>
      <c r="H64" s="2524"/>
      <c r="R64" s="2519"/>
    </row>
    <row r="65" spans="2:18" ht="12.95" hidden="1" customHeight="1">
      <c r="B65" s="2525" t="s">
        <v>7940</v>
      </c>
      <c r="C65" s="2519">
        <f>IF(C11="Чудище",0.6,IF(C11="Древнее чудище",0.2,1))</f>
        <v>1</v>
      </c>
      <c r="D65" s="2524">
        <f>IF(C65&lt;1,1,0)</f>
        <v>0</v>
      </c>
      <c r="F65" s="2525" t="s">
        <v>7941</v>
      </c>
      <c r="G65" s="2520">
        <f>ROUNDUP(IF((G69*C65-D65)&lt;0,0,G69*C65-D65),0)</f>
        <v>5</v>
      </c>
      <c r="H65" s="2524"/>
      <c r="R65" s="2519"/>
    </row>
    <row r="66" spans="2:18" ht="5.0999999999999996" customHeight="1"/>
    <row r="67" spans="2:18" ht="13.5" thickBot="1">
      <c r="D67" s="2555"/>
      <c r="H67" s="2555"/>
      <c r="P67" s="2554"/>
      <c r="R67" s="2554"/>
    </row>
    <row r="68" spans="2:18" ht="12.95" customHeight="1">
      <c r="B68" s="2496" t="s">
        <v>7871</v>
      </c>
      <c r="C68" s="2493">
        <f>IF((VLOOKUP(C11,B88:H228,5,FALSE)+D39+D41+D42-D44+D46+D51+C29-D53)&lt;0,0,VLOOKUP(C11,B88:H228,5,FALSE)+D39+D41+D42-D44+D46+D51+C29-D53)</f>
        <v>30</v>
      </c>
      <c r="F68" s="2496" t="s">
        <v>7871</v>
      </c>
      <c r="G68" s="2493">
        <f>IF((VLOOKUP(G11,B88:H228,5,FALSE)+H39+H42+H43-H45+H46+G29-H53)&lt;0,0,VLOOKUP(G11,B88:H228,5,FALSE)+H39+H42+H43-H45+H46+G29-H53)</f>
        <v>4</v>
      </c>
    </row>
    <row r="69" spans="2:18" ht="12.95" customHeight="1">
      <c r="B69" s="2497" t="s">
        <v>7872</v>
      </c>
      <c r="C69" s="2494">
        <f>IF(C41="Нет",IF((VLOOKUP(C11,B88:H228,6,FALSE)+C30+D46+D48-D49-D53-D55)&lt;0,0,VLOOKUP(C11,B88:H228,6,FALSE)+C30+D46+D48-D49-D53-D55),0)</f>
        <v>30</v>
      </c>
      <c r="D69" s="2505">
        <f>IF((VLOOKUP(C11,B88:H228,6,FALSE)+C30+D46+D48-D49-D53-D55)&lt;0,0,VLOOKUP(C11,B88:H228,6,FALSE)+C30+D46+D48-D49-D53-D55)</f>
        <v>30</v>
      </c>
      <c r="F69" s="2497" t="s">
        <v>7872</v>
      </c>
      <c r="G69" s="2494">
        <f>IF(G42="Нет",IF((VLOOKUP(G11,B88:H228,6,FALSE)+G30+H48-H49-H53-H56)&lt;0,0,VLOOKUP(G11,B88:H228,6,FALSE)+G30+H48-H49-H53-H56),0)</f>
        <v>5</v>
      </c>
      <c r="H69" s="2484">
        <f>IF((VLOOKUP(G11,B88:H228,6,FALSE)+G30+H48-H49-H53-H56)&lt;0,0,VLOOKUP(G11,B88:H228,6,FALSE)+G30+H48-H49-H53-H56)</f>
        <v>5</v>
      </c>
    </row>
    <row r="70" spans="2:18" ht="12.95" customHeight="1">
      <c r="B70" s="2497" t="s">
        <v>7909</v>
      </c>
      <c r="C70" s="2494">
        <f>ROUNDUP(VLOOKUP(C11,B88:H228,7,FALSE)*D52*D54,0)</f>
        <v>250</v>
      </c>
      <c r="F70" s="2497" t="s">
        <v>7909</v>
      </c>
      <c r="G70" s="2494">
        <f>ROUNDUP(VLOOKUP(G11,B88:H228,7,FALSE)*H52*H55,0)</f>
        <v>10</v>
      </c>
    </row>
    <row r="71" spans="2:18" ht="12.95" customHeight="1">
      <c r="B71" s="4137" t="s">
        <v>7910</v>
      </c>
      <c r="C71" s="2494">
        <f>IF(C43="Нет",IF(C40="Нет",VLOOKUP(C11,B88:H228,2,FALSE),IF(OR(C40="Базовое",C40="От Мумии",C40="От Чёрного рыцаря",C40="От Рыцаря смерти"),VLOOKUP(C11,B88:H228,2,FALSE),IF((VLOOKUP(C11,B88:H228,2,FALSE)-1)&lt;1,1,VLOOKUP(C11,B88:H228,2,FALSE)-1))),C72)</f>
        <v>50</v>
      </c>
      <c r="F71" s="4137" t="s">
        <v>7910</v>
      </c>
      <c r="G71" s="2494" t="str">
        <f>IF(G44="Нет",IF(G40="Нет",VLOOKUP(G11,B88:H228,2,FALSE),IF(OR(G40="Базовое",G40="От Мумии",G40="От Чёрного рыцаря",G40="От Рыцаря смерти"),VLOOKUP(G11,B88:H228,2,FALSE),IF((VLOOKUP(G11,B88:H228,2,FALSE)-1)&lt;1,1,VLOOKUP(G11,B88:H228,2,FALSE)-1))),G72)</f>
        <v>1</v>
      </c>
    </row>
    <row r="72" spans="2:18" ht="12.95" customHeight="1" thickBot="1">
      <c r="B72" s="4138"/>
      <c r="C72" s="2495" t="str">
        <f>IF(C43="Нет",IF(C40="Нет",VLOOKUP(C11,B88:H228,3,FALSE),C71),IF(C43="Базовое",VLOOKUP(C11,B88:H228,3,FALSE),VLOOKUP(C11,B88:H228,3,FALSE)+1))</f>
        <v>50</v>
      </c>
      <c r="F72" s="4138"/>
      <c r="G72" s="2495" t="str">
        <f>IF(G44="Нет",IF(G40="Нет",VLOOKUP(G11,B88:H228,3,FALSE),G71),IF(G44="Базовое",VLOOKUP(G11,B88:H228,3,FALSE),VLOOKUP(G11,B88:H228,3,FALSE)+1))</f>
        <v>3</v>
      </c>
    </row>
    <row r="73" spans="2:18" ht="12.95" hidden="1" customHeight="1">
      <c r="B73" s="4139" t="s">
        <v>7870</v>
      </c>
      <c r="C73" s="2529">
        <f>C10*C71*D45</f>
        <v>50</v>
      </c>
      <c r="F73" s="2368"/>
      <c r="G73" s="2523"/>
    </row>
    <row r="74" spans="2:18" ht="12.95" hidden="1" customHeight="1">
      <c r="B74" s="4140"/>
      <c r="C74" s="2530">
        <f>C10*C72*D45</f>
        <v>50</v>
      </c>
      <c r="F74" s="2368"/>
      <c r="G74" s="2523"/>
    </row>
    <row r="75" spans="2:18" ht="12.95" hidden="1" customHeight="1">
      <c r="B75" s="4140" t="s">
        <v>7874</v>
      </c>
      <c r="C75" s="2530">
        <f>IF(C68&gt;G65,IF((C68-G65)&gt;60,60*0.05*C73,ROUNDDOWN((C68-G65)*0.05*C73,0)),IF((G65-C68)&gt;28,-28*0.025*C73,ROUNDUP((C68-G65)*0.025*C73,0)))</f>
        <v>62</v>
      </c>
      <c r="D75" s="292"/>
      <c r="F75" s="2368"/>
      <c r="G75" s="2523"/>
    </row>
    <row r="76" spans="2:18" ht="12.95" hidden="1" customHeight="1">
      <c r="B76" s="4140"/>
      <c r="C76" s="2530">
        <f>IF(C68&gt;G65,IF((C68-G65)&gt;60,60*0.05*C74,ROUNDDOWN((C68-G65)*0.05*C74,0)),IF((G65-C68)&gt;27,-28*0.025*C74,ROUNDUP((C68-G65)*0.025*C74,0)))</f>
        <v>62</v>
      </c>
      <c r="D76" s="292"/>
      <c r="F76" s="2368"/>
      <c r="G76" s="2523"/>
    </row>
    <row r="77" spans="2:18" ht="12.95" hidden="1" customHeight="1">
      <c r="B77" s="4140" t="str">
        <f>IF(C31="Да","Модификатор Стрельбы:","Модификатор Нападения:")</f>
        <v>Модификатор Нападения:</v>
      </c>
      <c r="C77" s="2530">
        <f>ROUNDDOWN(IF(C31="Да",IF(C68&gt;G65,D34*C73,D34*(C73+C75)),IF(C68&gt;G65,D33*C73,D33*(C73+C75))),0)</f>
        <v>0</v>
      </c>
      <c r="F77" s="2368"/>
      <c r="G77" s="2523"/>
    </row>
    <row r="78" spans="2:18" ht="12.95" hidden="1" customHeight="1">
      <c r="B78" s="4140"/>
      <c r="C78" s="2530">
        <f>ROUNDDOWN(IF(C31="Да",IF(C68&gt;G65,D34*C74,D34*(C74+C76)),IF(C68&gt;G65,D33*C74,D33*(C74+C76))),0)</f>
        <v>0</v>
      </c>
      <c r="F78" s="2368"/>
      <c r="G78" s="2523"/>
    </row>
    <row r="79" spans="2:18" ht="12.95" hidden="1" customHeight="1">
      <c r="B79" s="4140" t="s">
        <v>7911</v>
      </c>
      <c r="C79" s="2530">
        <f>IF(C35="Да",IF(C68&lt;G65,C73+C75,C73),0)</f>
        <v>0</v>
      </c>
      <c r="F79" s="2368"/>
      <c r="G79" s="2523"/>
    </row>
    <row r="80" spans="2:18" ht="12.95" hidden="1" customHeight="1">
      <c r="B80" s="4140"/>
      <c r="C80" s="2530">
        <f>IF(C35="Да",IF(C68&lt;G65,C74+C76,C74),0)</f>
        <v>0</v>
      </c>
      <c r="F80" s="2368"/>
      <c r="G80" s="2523"/>
    </row>
    <row r="81" spans="2:22" ht="12.95" hidden="1" customHeight="1">
      <c r="B81" s="2502" t="s">
        <v>7889</v>
      </c>
      <c r="C81" s="2517">
        <f>1-H31</f>
        <v>1</v>
      </c>
      <c r="F81" s="2533"/>
      <c r="G81" s="2523"/>
    </row>
    <row r="82" spans="2:22" ht="12.95" hidden="1" customHeight="1">
      <c r="B82" s="4140" t="s">
        <v>7912</v>
      </c>
      <c r="C82" s="2530">
        <f>ROUNDDOWN((C73*C63*D36+C75*IF(C68&lt;G69,D36,1)*IF(C68&lt;G69,C63,1)+C77+C79)*C59*C58*C60*C81*H47*H51*H54*C64,0)</f>
        <v>112</v>
      </c>
      <c r="F82" s="2368"/>
      <c r="G82" s="2523"/>
    </row>
    <row r="83" spans="2:22" ht="12.95" hidden="1" customHeight="1" thickBot="1">
      <c r="B83" s="4141"/>
      <c r="C83" s="2531">
        <f>ROUNDDOWN(ROUNDDOWN((C74*C63*D36+C76*IF(C68&lt;G69,D36,1)*IF(C68&lt;G69,C63,1)+C78+C80)*C59*C58*C60,0)*C81*H47*H51*H54*C64,0)</f>
        <v>112</v>
      </c>
      <c r="F83" s="2368"/>
      <c r="G83" s="2523"/>
    </row>
    <row r="84" spans="2:22" ht="5.0999999999999996" hidden="1" customHeight="1">
      <c r="C84" s="2518"/>
    </row>
    <row r="85" spans="2:22" ht="12.95" hidden="1" customHeight="1">
      <c r="B85" s="2588">
        <v>1</v>
      </c>
      <c r="C85" s="2588">
        <v>2</v>
      </c>
      <c r="D85" s="2588">
        <v>3</v>
      </c>
      <c r="E85" s="2588">
        <v>4</v>
      </c>
      <c r="F85" s="2588">
        <v>5</v>
      </c>
      <c r="G85" s="2588">
        <v>6</v>
      </c>
      <c r="H85" s="2588">
        <v>7</v>
      </c>
      <c r="I85" s="2588">
        <v>8</v>
      </c>
      <c r="J85" s="2588">
        <v>9</v>
      </c>
      <c r="K85" s="2588">
        <v>10</v>
      </c>
      <c r="L85" s="2588">
        <v>11</v>
      </c>
      <c r="M85" s="2588">
        <v>12</v>
      </c>
      <c r="N85" s="2588">
        <v>13</v>
      </c>
      <c r="O85" s="2588">
        <v>14</v>
      </c>
      <c r="P85" s="2588">
        <v>15</v>
      </c>
      <c r="Q85" s="2528"/>
      <c r="R85" s="2528"/>
      <c r="S85" s="2528"/>
      <c r="T85" s="2528"/>
      <c r="U85" s="2528"/>
      <c r="V85" s="2528"/>
    </row>
    <row r="86" spans="2:22" ht="12.95" hidden="1" customHeight="1">
      <c r="B86" s="2477" t="s">
        <v>3621</v>
      </c>
      <c r="C86" s="2479" t="s">
        <v>1842</v>
      </c>
      <c r="D86" s="2485"/>
      <c r="E86" s="2480"/>
      <c r="F86" s="2475" t="s">
        <v>119</v>
      </c>
      <c r="G86" s="2475" t="s">
        <v>120</v>
      </c>
      <c r="H86" s="2483" t="s">
        <v>1926</v>
      </c>
      <c r="I86" s="4132" t="s">
        <v>7907</v>
      </c>
      <c r="J86" s="4132" t="s">
        <v>3541</v>
      </c>
      <c r="K86" s="4132" t="s">
        <v>7906</v>
      </c>
      <c r="L86" s="4132" t="s">
        <v>3611</v>
      </c>
      <c r="M86" s="4132" t="s">
        <v>3612</v>
      </c>
      <c r="N86" s="4132" t="s">
        <v>7908</v>
      </c>
      <c r="O86" s="4132" t="s">
        <v>136</v>
      </c>
      <c r="P86" s="4135" t="s">
        <v>7529</v>
      </c>
      <c r="Q86" s="2536"/>
      <c r="R86" s="2504"/>
      <c r="S86" s="431"/>
      <c r="T86" s="431"/>
      <c r="U86" s="431"/>
      <c r="V86" s="431"/>
    </row>
    <row r="87" spans="2:22" ht="12.95" hidden="1" customHeight="1">
      <c r="B87" s="2478"/>
      <c r="C87" s="2469" t="s">
        <v>2826</v>
      </c>
      <c r="D87" s="2469" t="s">
        <v>2827</v>
      </c>
      <c r="E87" s="2469"/>
      <c r="F87" s="2475"/>
      <c r="G87" s="2475"/>
      <c r="H87" s="2483"/>
      <c r="I87" s="4133"/>
      <c r="J87" s="4133"/>
      <c r="K87" s="4133"/>
      <c r="L87" s="4133"/>
      <c r="M87" s="4133"/>
      <c r="N87" s="4133"/>
      <c r="O87" s="4133"/>
      <c r="P87" s="4136"/>
      <c r="Q87" s="2537"/>
      <c r="R87" s="2504"/>
      <c r="S87" s="431"/>
      <c r="T87" s="431"/>
      <c r="U87" s="431"/>
      <c r="V87" s="431"/>
    </row>
    <row r="88" spans="2:22" ht="12.95" hidden="1" customHeight="1">
      <c r="B88" s="2470" t="s">
        <v>2232</v>
      </c>
      <c r="C88" s="1269" t="s">
        <v>729</v>
      </c>
      <c r="D88" s="1269" t="s">
        <v>844</v>
      </c>
      <c r="E88" s="1269"/>
      <c r="F88" s="1270">
        <v>4</v>
      </c>
      <c r="G88" s="1270">
        <v>5</v>
      </c>
      <c r="H88" s="1270">
        <v>10</v>
      </c>
      <c r="I88" s="2113" t="s">
        <v>1304</v>
      </c>
      <c r="J88" s="2113" t="s">
        <v>1304</v>
      </c>
      <c r="K88" s="2113" t="s">
        <v>1304</v>
      </c>
      <c r="L88" s="2113" t="s">
        <v>1304</v>
      </c>
      <c r="M88" s="2113" t="s">
        <v>1304</v>
      </c>
      <c r="N88" s="2113" t="s">
        <v>1304</v>
      </c>
      <c r="O88" s="2113" t="s">
        <v>1304</v>
      </c>
      <c r="P88" s="2538" t="s">
        <v>8029</v>
      </c>
      <c r="Q88" s="2527"/>
      <c r="R88" s="2522"/>
      <c r="S88" s="2527"/>
      <c r="T88" s="2527"/>
      <c r="U88" s="2527"/>
      <c r="V88" s="2527"/>
    </row>
    <row r="89" spans="2:22" ht="12.95" hidden="1" customHeight="1">
      <c r="B89" s="2471" t="s">
        <v>2233</v>
      </c>
      <c r="C89" s="1334" t="s">
        <v>2135</v>
      </c>
      <c r="D89" s="128" t="s">
        <v>844</v>
      </c>
      <c r="E89" s="128"/>
      <c r="F89" s="1333">
        <v>6</v>
      </c>
      <c r="G89" s="130">
        <v>5</v>
      </c>
      <c r="H89" s="130">
        <v>10</v>
      </c>
      <c r="I89" s="2113" t="s">
        <v>1304</v>
      </c>
      <c r="J89" s="2113" t="s">
        <v>1304</v>
      </c>
      <c r="K89" s="2113" t="s">
        <v>1304</v>
      </c>
      <c r="L89" s="2113" t="s">
        <v>1304</v>
      </c>
      <c r="M89" s="2113" t="s">
        <v>1304</v>
      </c>
      <c r="N89" s="2113" t="s">
        <v>1304</v>
      </c>
      <c r="O89" s="2113" t="s">
        <v>1304</v>
      </c>
      <c r="P89" s="2539" t="s">
        <v>8030</v>
      </c>
      <c r="Q89" s="2527"/>
      <c r="R89" s="2522"/>
      <c r="S89" s="2527"/>
      <c r="T89" s="2527"/>
      <c r="U89" s="2527"/>
      <c r="V89" s="2527"/>
    </row>
    <row r="90" spans="2:22" ht="12.95" hidden="1" customHeight="1">
      <c r="B90" s="2470" t="s">
        <v>373</v>
      </c>
      <c r="C90" s="1269" t="s">
        <v>2135</v>
      </c>
      <c r="D90" s="1269" t="s">
        <v>844</v>
      </c>
      <c r="E90" s="1269"/>
      <c r="F90" s="1270">
        <v>6</v>
      </c>
      <c r="G90" s="1270">
        <v>3</v>
      </c>
      <c r="H90" s="1270">
        <v>10</v>
      </c>
      <c r="I90" s="2113" t="s">
        <v>1304</v>
      </c>
      <c r="J90" s="2113" t="s">
        <v>1304</v>
      </c>
      <c r="K90" s="2113" t="s">
        <v>1304</v>
      </c>
      <c r="L90" s="2113" t="s">
        <v>1304</v>
      </c>
      <c r="M90" s="2113" t="s">
        <v>1304</v>
      </c>
      <c r="N90" s="2113" t="s">
        <v>1304</v>
      </c>
      <c r="O90" s="2113" t="s">
        <v>7344</v>
      </c>
      <c r="P90" s="2538" t="s">
        <v>7666</v>
      </c>
      <c r="Q90" s="2527"/>
      <c r="R90" s="2522"/>
      <c r="S90" s="2527"/>
      <c r="T90" s="2527"/>
      <c r="U90" s="2527"/>
      <c r="V90" s="2527"/>
    </row>
    <row r="91" spans="2:22" ht="12.95" hidden="1" customHeight="1">
      <c r="B91" s="2471" t="s">
        <v>343</v>
      </c>
      <c r="C91" s="128" t="s">
        <v>2135</v>
      </c>
      <c r="D91" s="128" t="s">
        <v>844</v>
      </c>
      <c r="E91" s="128"/>
      <c r="F91" s="130">
        <v>6</v>
      </c>
      <c r="G91" s="130">
        <v>3</v>
      </c>
      <c r="H91" s="130">
        <v>10</v>
      </c>
      <c r="I91" s="2113" t="s">
        <v>1304</v>
      </c>
      <c r="J91" s="2113" t="s">
        <v>1304</v>
      </c>
      <c r="K91" s="2113" t="s">
        <v>1304</v>
      </c>
      <c r="L91" s="2113" t="s">
        <v>1304</v>
      </c>
      <c r="M91" s="2113" t="s">
        <v>1304</v>
      </c>
      <c r="N91" s="2113" t="s">
        <v>7344</v>
      </c>
      <c r="O91" s="2113" t="s">
        <v>7344</v>
      </c>
      <c r="P91" s="2539" t="s">
        <v>7945</v>
      </c>
      <c r="Q91" s="2527"/>
      <c r="R91" s="2522"/>
      <c r="S91" s="2527"/>
      <c r="T91" s="2527"/>
      <c r="U91" s="2527"/>
      <c r="V91" s="2527"/>
    </row>
    <row r="92" spans="2:22" ht="12.95" hidden="1" customHeight="1">
      <c r="B92" s="2470" t="s">
        <v>2324</v>
      </c>
      <c r="C92" s="1269" t="s">
        <v>844</v>
      </c>
      <c r="D92" s="1269" t="s">
        <v>2158</v>
      </c>
      <c r="E92" s="1269"/>
      <c r="F92" s="1270">
        <v>8</v>
      </c>
      <c r="G92" s="1270">
        <v>8</v>
      </c>
      <c r="H92" s="1270">
        <v>25</v>
      </c>
      <c r="I92" s="2113" t="s">
        <v>1304</v>
      </c>
      <c r="J92" s="2113" t="s">
        <v>1304</v>
      </c>
      <c r="K92" s="2113" t="s">
        <v>1304</v>
      </c>
      <c r="L92" s="2113" t="s">
        <v>1304</v>
      </c>
      <c r="M92" s="2113" t="s">
        <v>1304</v>
      </c>
      <c r="N92" s="2113" t="s">
        <v>1304</v>
      </c>
      <c r="O92" s="2113" t="s">
        <v>1304</v>
      </c>
      <c r="P92" s="2538" t="s">
        <v>7666</v>
      </c>
      <c r="Q92" s="2527"/>
      <c r="R92" s="2522"/>
      <c r="S92" s="2527"/>
      <c r="T92" s="2527"/>
      <c r="U92" s="2527"/>
      <c r="V92" s="2527"/>
    </row>
    <row r="93" spans="2:22" ht="12.95" hidden="1" customHeight="1">
      <c r="B93" s="2472" t="s">
        <v>344</v>
      </c>
      <c r="C93" s="128" t="s">
        <v>844</v>
      </c>
      <c r="D93" s="128" t="s">
        <v>2158</v>
      </c>
      <c r="E93" s="128"/>
      <c r="F93" s="1333">
        <v>9</v>
      </c>
      <c r="G93" s="1333">
        <v>9</v>
      </c>
      <c r="H93" s="130">
        <v>25</v>
      </c>
      <c r="I93" s="2113" t="s">
        <v>1304</v>
      </c>
      <c r="J93" s="2113" t="s">
        <v>1304</v>
      </c>
      <c r="K93" s="2113" t="s">
        <v>1304</v>
      </c>
      <c r="L93" s="2113" t="s">
        <v>1304</v>
      </c>
      <c r="M93" s="2113" t="s">
        <v>1304</v>
      </c>
      <c r="N93" s="2113" t="s">
        <v>1304</v>
      </c>
      <c r="O93" s="2113" t="s">
        <v>1304</v>
      </c>
      <c r="P93" s="2539" t="s">
        <v>7666</v>
      </c>
      <c r="Q93" s="2527"/>
      <c r="R93" s="2522"/>
      <c r="S93" s="2527"/>
      <c r="T93" s="2527"/>
      <c r="U93" s="2527"/>
      <c r="V93" s="2527"/>
    </row>
    <row r="94" spans="2:22" ht="12.95" hidden="1" customHeight="1">
      <c r="B94" s="2470" t="s">
        <v>2152</v>
      </c>
      <c r="C94" s="1269" t="s">
        <v>2158</v>
      </c>
      <c r="D94" s="1269" t="s">
        <v>3157</v>
      </c>
      <c r="E94" s="1269"/>
      <c r="F94" s="1270">
        <v>10</v>
      </c>
      <c r="G94" s="1270">
        <v>12</v>
      </c>
      <c r="H94" s="1270">
        <v>35</v>
      </c>
      <c r="I94" s="2113" t="s">
        <v>1304</v>
      </c>
      <c r="J94" s="2113" t="s">
        <v>1304</v>
      </c>
      <c r="K94" s="2113" t="s">
        <v>1304</v>
      </c>
      <c r="L94" s="2113" t="s">
        <v>1304</v>
      </c>
      <c r="M94" s="2113" t="s">
        <v>1304</v>
      </c>
      <c r="N94" s="2113" t="s">
        <v>1304</v>
      </c>
      <c r="O94" s="2113" t="s">
        <v>1304</v>
      </c>
      <c r="P94" s="2538" t="s">
        <v>7666</v>
      </c>
      <c r="Q94" s="2527"/>
      <c r="R94" s="2522"/>
      <c r="S94" s="2527"/>
      <c r="T94" s="2527"/>
      <c r="U94" s="2527"/>
      <c r="V94" s="2527"/>
    </row>
    <row r="95" spans="2:22" ht="12.95" hidden="1" customHeight="1">
      <c r="B95" s="2472" t="s">
        <v>1645</v>
      </c>
      <c r="C95" s="1334" t="s">
        <v>1888</v>
      </c>
      <c r="D95" s="1334" t="s">
        <v>2136</v>
      </c>
      <c r="E95" s="1334"/>
      <c r="F95" s="1333">
        <v>12</v>
      </c>
      <c r="G95" s="130">
        <v>12</v>
      </c>
      <c r="H95" s="130">
        <v>35</v>
      </c>
      <c r="I95" s="2113" t="s">
        <v>1304</v>
      </c>
      <c r="J95" s="2113" t="s">
        <v>1304</v>
      </c>
      <c r="K95" s="2113" t="s">
        <v>1304</v>
      </c>
      <c r="L95" s="2113" t="s">
        <v>1304</v>
      </c>
      <c r="M95" s="2113" t="s">
        <v>1304</v>
      </c>
      <c r="N95" s="2113" t="s">
        <v>7344</v>
      </c>
      <c r="O95" s="2113" t="s">
        <v>1304</v>
      </c>
      <c r="P95" s="2539" t="s">
        <v>8005</v>
      </c>
      <c r="Q95" s="2527"/>
      <c r="R95" s="2522"/>
      <c r="S95" s="2527"/>
      <c r="T95" s="2527"/>
      <c r="U95" s="2527"/>
      <c r="V95" s="2527"/>
    </row>
    <row r="96" spans="2:22" ht="12.95" hidden="1" customHeight="1">
      <c r="B96" s="2470" t="s">
        <v>1948</v>
      </c>
      <c r="C96" s="1269" t="s">
        <v>2136</v>
      </c>
      <c r="D96" s="1269" t="s">
        <v>1458</v>
      </c>
      <c r="E96" s="1269"/>
      <c r="F96" s="1270">
        <v>12</v>
      </c>
      <c r="G96" s="1270">
        <v>7</v>
      </c>
      <c r="H96" s="1270">
        <v>30</v>
      </c>
      <c r="I96" s="2113" t="s">
        <v>1304</v>
      </c>
      <c r="J96" s="2113" t="s">
        <v>1304</v>
      </c>
      <c r="K96" s="2113" t="s">
        <v>1304</v>
      </c>
      <c r="L96" s="2113" t="s">
        <v>1304</v>
      </c>
      <c r="M96" s="2113" t="s">
        <v>1304</v>
      </c>
      <c r="N96" s="2113" t="s">
        <v>1304</v>
      </c>
      <c r="O96" s="2113" t="s">
        <v>7344</v>
      </c>
      <c r="P96" s="2554" t="s">
        <v>7666</v>
      </c>
      <c r="Q96" s="2527"/>
      <c r="R96" s="2522"/>
      <c r="S96" s="2527"/>
      <c r="T96" s="2527"/>
      <c r="U96" s="2527"/>
      <c r="V96" s="2527"/>
    </row>
    <row r="97" spans="2:22" ht="12.95" hidden="1" customHeight="1">
      <c r="B97" s="2472" t="s">
        <v>1644</v>
      </c>
      <c r="C97" s="128" t="s">
        <v>2136</v>
      </c>
      <c r="D97" s="128" t="s">
        <v>1458</v>
      </c>
      <c r="E97" s="128"/>
      <c r="F97" s="130">
        <v>12</v>
      </c>
      <c r="G97" s="1333">
        <v>10</v>
      </c>
      <c r="H97" s="130">
        <v>30</v>
      </c>
      <c r="I97" s="2113" t="s">
        <v>1304</v>
      </c>
      <c r="J97" s="2113" t="s">
        <v>1304</v>
      </c>
      <c r="K97" s="2113" t="s">
        <v>1304</v>
      </c>
      <c r="L97" s="2113" t="s">
        <v>1304</v>
      </c>
      <c r="M97" s="2113" t="s">
        <v>1304</v>
      </c>
      <c r="N97" s="2113" t="s">
        <v>1304</v>
      </c>
      <c r="O97" s="2113" t="s">
        <v>7344</v>
      </c>
      <c r="P97" s="2538" t="s">
        <v>7946</v>
      </c>
      <c r="Q97" s="2527"/>
      <c r="R97" s="2522"/>
      <c r="S97" s="2527"/>
      <c r="T97" s="2527"/>
      <c r="U97" s="2527"/>
      <c r="V97" s="2527"/>
    </row>
    <row r="98" spans="2:22" ht="12.95" hidden="1" customHeight="1">
      <c r="B98" s="2470" t="s">
        <v>567</v>
      </c>
      <c r="C98" s="1269" t="s">
        <v>678</v>
      </c>
      <c r="D98" s="1269" t="s">
        <v>2350</v>
      </c>
      <c r="E98" s="1269"/>
      <c r="F98" s="1270">
        <v>15</v>
      </c>
      <c r="G98" s="1270">
        <v>15</v>
      </c>
      <c r="H98" s="1270">
        <v>100</v>
      </c>
      <c r="I98" s="2113" t="s">
        <v>1304</v>
      </c>
      <c r="J98" s="2113" t="s">
        <v>1304</v>
      </c>
      <c r="K98" s="2113" t="s">
        <v>1304</v>
      </c>
      <c r="L98" s="2113" t="s">
        <v>1304</v>
      </c>
      <c r="M98" s="2113" t="s">
        <v>1304</v>
      </c>
      <c r="N98" s="2113" t="s">
        <v>1304</v>
      </c>
      <c r="O98" s="2113" t="s">
        <v>1304</v>
      </c>
      <c r="P98" s="2538" t="s">
        <v>7947</v>
      </c>
      <c r="Q98" s="2527"/>
      <c r="R98" s="2522"/>
      <c r="S98" s="2527"/>
      <c r="T98" s="2527"/>
      <c r="U98" s="2527"/>
      <c r="V98" s="2527"/>
    </row>
    <row r="99" spans="2:22" ht="12.95" hidden="1" customHeight="1">
      <c r="B99" s="2472" t="s">
        <v>654</v>
      </c>
      <c r="C99" s="1334" t="s">
        <v>1393</v>
      </c>
      <c r="D99" s="128" t="s">
        <v>2350</v>
      </c>
      <c r="E99" s="128"/>
      <c r="F99" s="1333">
        <v>16</v>
      </c>
      <c r="G99" s="1333">
        <v>16</v>
      </c>
      <c r="H99" s="130">
        <v>100</v>
      </c>
      <c r="I99" s="2113" t="s">
        <v>1304</v>
      </c>
      <c r="J99" s="2113" t="s">
        <v>1304</v>
      </c>
      <c r="K99" s="2113" t="s">
        <v>1304</v>
      </c>
      <c r="L99" s="2113" t="s">
        <v>1304</v>
      </c>
      <c r="M99" s="2113" t="s">
        <v>1304</v>
      </c>
      <c r="N99" s="2113" t="s">
        <v>1304</v>
      </c>
      <c r="O99" s="2113" t="s">
        <v>1304</v>
      </c>
      <c r="P99" s="2539" t="s">
        <v>7948</v>
      </c>
      <c r="Q99" s="2527"/>
      <c r="R99" s="2522"/>
      <c r="S99" s="2527"/>
      <c r="T99" s="2527"/>
      <c r="U99" s="2527"/>
      <c r="V99" s="2527"/>
    </row>
    <row r="100" spans="2:22" ht="12.95" hidden="1" customHeight="1">
      <c r="B100" s="2470" t="s">
        <v>650</v>
      </c>
      <c r="C100" s="1269">
        <v>50</v>
      </c>
      <c r="D100" s="1269" t="s">
        <v>1666</v>
      </c>
      <c r="E100" s="1269"/>
      <c r="F100" s="1270">
        <v>20</v>
      </c>
      <c r="G100" s="1270">
        <v>20</v>
      </c>
      <c r="H100" s="1270">
        <v>200</v>
      </c>
      <c r="I100" s="2113" t="s">
        <v>1304</v>
      </c>
      <c r="J100" s="2113" t="s">
        <v>1304</v>
      </c>
      <c r="K100" s="2113" t="s">
        <v>1304</v>
      </c>
      <c r="L100" s="2113" t="s">
        <v>1304</v>
      </c>
      <c r="M100" s="2113" t="s">
        <v>1304</v>
      </c>
      <c r="N100" s="2113" t="s">
        <v>1304</v>
      </c>
      <c r="O100" s="2113" t="s">
        <v>1304</v>
      </c>
      <c r="P100" s="1272" t="s">
        <v>7949</v>
      </c>
      <c r="Q100" s="2527"/>
      <c r="R100" s="2522"/>
      <c r="S100" s="2527"/>
      <c r="T100" s="2527"/>
      <c r="U100" s="2527"/>
      <c r="V100" s="2527"/>
    </row>
    <row r="101" spans="2:22" ht="12.95" hidden="1" customHeight="1" thickBot="1">
      <c r="B101" s="2472" t="s">
        <v>1220</v>
      </c>
      <c r="C101" s="128">
        <v>50</v>
      </c>
      <c r="D101" s="128" t="s">
        <v>1666</v>
      </c>
      <c r="E101" s="128"/>
      <c r="F101" s="1333">
        <v>30</v>
      </c>
      <c r="G101" s="1333">
        <v>30</v>
      </c>
      <c r="H101" s="1333">
        <v>250</v>
      </c>
      <c r="I101" s="2113" t="s">
        <v>1304</v>
      </c>
      <c r="J101" s="2113" t="s">
        <v>1304</v>
      </c>
      <c r="K101" s="2113" t="s">
        <v>1304</v>
      </c>
      <c r="L101" s="2113" t="s">
        <v>1304</v>
      </c>
      <c r="M101" s="2113" t="s">
        <v>1304</v>
      </c>
      <c r="N101" s="2113" t="s">
        <v>1304</v>
      </c>
      <c r="O101" s="2113" t="s">
        <v>1304</v>
      </c>
      <c r="P101" s="1272" t="s">
        <v>7950</v>
      </c>
      <c r="Q101" s="2527"/>
      <c r="R101" s="2522"/>
      <c r="S101" s="2527"/>
      <c r="T101" s="2527"/>
      <c r="U101" s="2527"/>
      <c r="V101" s="2527"/>
    </row>
    <row r="102" spans="2:22" ht="12.95" hidden="1" customHeight="1">
      <c r="B102" s="2470" t="s">
        <v>2234</v>
      </c>
      <c r="C102" s="1269" t="s">
        <v>2135</v>
      </c>
      <c r="D102" s="1269" t="s">
        <v>844</v>
      </c>
      <c r="E102" s="1269"/>
      <c r="F102" s="1270">
        <v>5</v>
      </c>
      <c r="G102" s="1270">
        <v>3</v>
      </c>
      <c r="H102" s="1270">
        <v>8</v>
      </c>
      <c r="I102" s="2113" t="s">
        <v>1304</v>
      </c>
      <c r="J102" s="2113" t="s">
        <v>1304</v>
      </c>
      <c r="K102" s="2113" t="s">
        <v>1304</v>
      </c>
      <c r="L102" s="2113" t="s">
        <v>1304</v>
      </c>
      <c r="M102" s="2113" t="s">
        <v>1304</v>
      </c>
      <c r="N102" s="2113" t="s">
        <v>1304</v>
      </c>
      <c r="O102" s="2113" t="s">
        <v>1304</v>
      </c>
      <c r="P102" s="1285" t="s">
        <v>7666</v>
      </c>
      <c r="Q102" s="2527"/>
      <c r="R102" s="2522"/>
      <c r="S102" s="2527"/>
      <c r="T102" s="2527"/>
      <c r="U102" s="2527"/>
      <c r="V102" s="2527"/>
    </row>
    <row r="103" spans="2:22" ht="12.95" hidden="1" customHeight="1">
      <c r="B103" s="2472" t="s">
        <v>3444</v>
      </c>
      <c r="C103" s="128" t="s">
        <v>2135</v>
      </c>
      <c r="D103" s="128" t="s">
        <v>844</v>
      </c>
      <c r="E103" s="128"/>
      <c r="F103" s="1333">
        <v>6</v>
      </c>
      <c r="G103" s="130">
        <v>3</v>
      </c>
      <c r="H103" s="1333">
        <v>10</v>
      </c>
      <c r="I103" s="2113" t="s">
        <v>1304</v>
      </c>
      <c r="J103" s="2113" t="s">
        <v>1304</v>
      </c>
      <c r="K103" s="2113" t="s">
        <v>1304</v>
      </c>
      <c r="L103" s="2113" t="s">
        <v>1304</v>
      </c>
      <c r="M103" s="2113" t="s">
        <v>1304</v>
      </c>
      <c r="N103" s="2113" t="s">
        <v>1304</v>
      </c>
      <c r="O103" s="2113" t="s">
        <v>1304</v>
      </c>
      <c r="P103" s="151" t="s">
        <v>7666</v>
      </c>
      <c r="Q103" s="2527"/>
      <c r="R103" s="2522"/>
      <c r="S103" s="2527"/>
      <c r="T103" s="2527"/>
      <c r="U103" s="2527"/>
      <c r="V103" s="2527"/>
    </row>
    <row r="104" spans="2:22" ht="12.95" hidden="1" customHeight="1">
      <c r="B104" s="2470" t="s">
        <v>374</v>
      </c>
      <c r="C104" s="1269" t="s">
        <v>2135</v>
      </c>
      <c r="D104" s="1269" t="s">
        <v>755</v>
      </c>
      <c r="E104" s="1269"/>
      <c r="F104" s="1270">
        <v>6</v>
      </c>
      <c r="G104" s="1270">
        <v>7</v>
      </c>
      <c r="H104" s="1270">
        <v>20</v>
      </c>
      <c r="I104" s="2113" t="s">
        <v>1304</v>
      </c>
      <c r="J104" s="2113" t="s">
        <v>1304</v>
      </c>
      <c r="K104" s="2113" t="s">
        <v>1304</v>
      </c>
      <c r="L104" s="2113" t="s">
        <v>1304</v>
      </c>
      <c r="M104" s="2113" t="s">
        <v>1304</v>
      </c>
      <c r="N104" s="2113" t="s">
        <v>1304</v>
      </c>
      <c r="O104" s="2113" t="s">
        <v>1304</v>
      </c>
      <c r="P104" s="1272" t="s">
        <v>7666</v>
      </c>
      <c r="Q104" s="2527"/>
      <c r="R104" s="2522"/>
      <c r="S104" s="2527"/>
      <c r="T104" s="2527"/>
      <c r="U104" s="2527"/>
      <c r="V104" s="2527"/>
    </row>
    <row r="105" spans="2:22" ht="12.95" hidden="1" customHeight="1">
      <c r="B105" s="2472" t="s">
        <v>1597</v>
      </c>
      <c r="C105" s="128" t="s">
        <v>2135</v>
      </c>
      <c r="D105" s="128" t="s">
        <v>755</v>
      </c>
      <c r="E105" s="128"/>
      <c r="F105" s="129">
        <v>7</v>
      </c>
      <c r="G105" s="130">
        <v>7</v>
      </c>
      <c r="H105" s="130">
        <v>20</v>
      </c>
      <c r="I105" s="2113" t="s">
        <v>1304</v>
      </c>
      <c r="J105" s="2113" t="s">
        <v>1304</v>
      </c>
      <c r="K105" s="2113" t="s">
        <v>1304</v>
      </c>
      <c r="L105" s="2113" t="s">
        <v>1304</v>
      </c>
      <c r="M105" s="2113" t="s">
        <v>1304</v>
      </c>
      <c r="N105" s="2113" t="s">
        <v>1304</v>
      </c>
      <c r="O105" s="2113" t="s">
        <v>1304</v>
      </c>
      <c r="P105" s="151" t="s">
        <v>7666</v>
      </c>
      <c r="Q105" s="2527"/>
      <c r="R105" s="2522"/>
      <c r="S105" s="2527"/>
      <c r="T105" s="2527"/>
      <c r="U105" s="2527"/>
      <c r="V105" s="2527"/>
    </row>
    <row r="106" spans="2:22" ht="12.95" hidden="1" customHeight="1">
      <c r="B106" s="2470" t="s">
        <v>2844</v>
      </c>
      <c r="C106" s="1269" t="s">
        <v>844</v>
      </c>
      <c r="D106" s="1269" t="s">
        <v>756</v>
      </c>
      <c r="E106" s="1269"/>
      <c r="F106" s="1270">
        <v>9</v>
      </c>
      <c r="G106" s="1270">
        <v>5</v>
      </c>
      <c r="H106" s="1270">
        <v>15</v>
      </c>
      <c r="I106" s="2113" t="s">
        <v>1304</v>
      </c>
      <c r="J106" s="2113" t="s">
        <v>1304</v>
      </c>
      <c r="K106" s="2113" t="s">
        <v>1304</v>
      </c>
      <c r="L106" s="2113" t="s">
        <v>1304</v>
      </c>
      <c r="M106" s="2113" t="s">
        <v>1304</v>
      </c>
      <c r="N106" s="2113" t="s">
        <v>1304</v>
      </c>
      <c r="O106" s="2113" t="s">
        <v>7344</v>
      </c>
      <c r="P106" s="1272" t="s">
        <v>7666</v>
      </c>
      <c r="Q106" s="2527"/>
      <c r="R106" s="2522"/>
      <c r="S106" s="2527"/>
      <c r="T106" s="2527"/>
      <c r="U106" s="2527"/>
      <c r="V106" s="2527"/>
    </row>
    <row r="107" spans="2:22" ht="12.95" hidden="1" customHeight="1">
      <c r="B107" s="2472" t="s">
        <v>840</v>
      </c>
      <c r="C107" s="128" t="s">
        <v>844</v>
      </c>
      <c r="D107" s="128" t="s">
        <v>756</v>
      </c>
      <c r="E107" s="128"/>
      <c r="F107" s="130">
        <v>9</v>
      </c>
      <c r="G107" s="130">
        <v>5</v>
      </c>
      <c r="H107" s="130">
        <v>15</v>
      </c>
      <c r="I107" s="2113" t="s">
        <v>1304</v>
      </c>
      <c r="J107" s="2113" t="s">
        <v>1304</v>
      </c>
      <c r="K107" s="2113" t="s">
        <v>1304</v>
      </c>
      <c r="L107" s="2113" t="s">
        <v>1304</v>
      </c>
      <c r="M107" s="2113" t="s">
        <v>1304</v>
      </c>
      <c r="N107" s="2113" t="s">
        <v>7344</v>
      </c>
      <c r="O107" s="2113" t="s">
        <v>7344</v>
      </c>
      <c r="P107" s="2539" t="s">
        <v>7951</v>
      </c>
      <c r="Q107" s="2527"/>
      <c r="R107" s="2522"/>
      <c r="S107" s="2527"/>
      <c r="T107" s="2527"/>
      <c r="U107" s="2527"/>
      <c r="V107" s="2527"/>
    </row>
    <row r="108" spans="2:22" ht="12.95" hidden="1" customHeight="1">
      <c r="B108" s="2470" t="s">
        <v>1949</v>
      </c>
      <c r="C108" s="1269" t="s">
        <v>756</v>
      </c>
      <c r="D108" s="1269" t="s">
        <v>3157</v>
      </c>
      <c r="E108" s="1269"/>
      <c r="F108" s="1270">
        <v>9</v>
      </c>
      <c r="G108" s="1270">
        <v>8</v>
      </c>
      <c r="H108" s="1270">
        <v>30</v>
      </c>
      <c r="I108" s="2113" t="s">
        <v>1304</v>
      </c>
      <c r="J108" s="2113" t="s">
        <v>1304</v>
      </c>
      <c r="K108" s="2113" t="s">
        <v>1304</v>
      </c>
      <c r="L108" s="2113" t="s">
        <v>1304</v>
      </c>
      <c r="M108" s="2113" t="s">
        <v>1304</v>
      </c>
      <c r="N108" s="2113" t="s">
        <v>1304</v>
      </c>
      <c r="O108" s="2113" t="s">
        <v>1304</v>
      </c>
      <c r="P108" s="1272" t="s">
        <v>7666</v>
      </c>
      <c r="Q108" s="2527"/>
      <c r="R108" s="2522"/>
      <c r="S108" s="2527"/>
      <c r="T108" s="2527"/>
      <c r="U108" s="2527"/>
      <c r="V108" s="2527"/>
    </row>
    <row r="109" spans="2:22" ht="12.95" hidden="1" customHeight="1">
      <c r="B109" s="2472" t="s">
        <v>900</v>
      </c>
      <c r="C109" s="128" t="s">
        <v>756</v>
      </c>
      <c r="D109" s="128" t="s">
        <v>3157</v>
      </c>
      <c r="E109" s="128"/>
      <c r="F109" s="130">
        <v>9</v>
      </c>
      <c r="G109" s="129">
        <v>10</v>
      </c>
      <c r="H109" s="130">
        <v>30</v>
      </c>
      <c r="I109" s="2113" t="s">
        <v>1304</v>
      </c>
      <c r="J109" s="2113" t="s">
        <v>1304</v>
      </c>
      <c r="K109" s="2113" t="s">
        <v>1304</v>
      </c>
      <c r="L109" s="2113" t="s">
        <v>1304</v>
      </c>
      <c r="M109" s="2113" t="s">
        <v>1304</v>
      </c>
      <c r="N109" s="2113" t="s">
        <v>1304</v>
      </c>
      <c r="O109" s="2113" t="s">
        <v>1304</v>
      </c>
      <c r="P109" s="151" t="s">
        <v>7666</v>
      </c>
      <c r="Q109" s="2527"/>
      <c r="R109" s="2522"/>
      <c r="S109" s="2527"/>
      <c r="T109" s="2527"/>
      <c r="U109" s="2527"/>
      <c r="V109" s="2527"/>
    </row>
    <row r="110" spans="2:22" ht="12.95" hidden="1" customHeight="1">
      <c r="B110" s="2470" t="s">
        <v>3445</v>
      </c>
      <c r="C110" s="1269" t="s">
        <v>2136</v>
      </c>
      <c r="D110" s="1269" t="s">
        <v>1665</v>
      </c>
      <c r="E110" s="1269"/>
      <c r="F110" s="1270">
        <v>9</v>
      </c>
      <c r="G110" s="1270">
        <v>12</v>
      </c>
      <c r="H110" s="1270">
        <v>55</v>
      </c>
      <c r="I110" s="2113" t="s">
        <v>1304</v>
      </c>
      <c r="J110" s="2113" t="s">
        <v>1304</v>
      </c>
      <c r="K110" s="2113" t="s">
        <v>1304</v>
      </c>
      <c r="L110" s="2113" t="s">
        <v>1304</v>
      </c>
      <c r="M110" s="2113" t="s">
        <v>1304</v>
      </c>
      <c r="N110" s="2113" t="s">
        <v>1304</v>
      </c>
      <c r="O110" s="2113" t="s">
        <v>1304</v>
      </c>
      <c r="P110" s="1286" t="s">
        <v>7666</v>
      </c>
      <c r="Q110" s="2527"/>
      <c r="R110" s="2522"/>
      <c r="S110" s="2527"/>
      <c r="T110" s="2527"/>
      <c r="U110" s="2527"/>
      <c r="V110" s="2527"/>
    </row>
    <row r="111" spans="2:22" ht="12.95" hidden="1" customHeight="1">
      <c r="B111" s="2472" t="s">
        <v>3446</v>
      </c>
      <c r="C111" s="128" t="s">
        <v>2136</v>
      </c>
      <c r="D111" s="128" t="s">
        <v>1665</v>
      </c>
      <c r="E111" s="128"/>
      <c r="F111" s="130">
        <v>9</v>
      </c>
      <c r="G111" s="130">
        <v>12</v>
      </c>
      <c r="H111" s="129">
        <v>65</v>
      </c>
      <c r="I111" s="2113" t="s">
        <v>1304</v>
      </c>
      <c r="J111" s="2113" t="s">
        <v>1304</v>
      </c>
      <c r="K111" s="2113" t="s">
        <v>1304</v>
      </c>
      <c r="L111" s="2113" t="s">
        <v>1304</v>
      </c>
      <c r="M111" s="2113" t="s">
        <v>1304</v>
      </c>
      <c r="N111" s="2113" t="s">
        <v>1304</v>
      </c>
      <c r="O111" s="2113" t="s">
        <v>1304</v>
      </c>
      <c r="P111" s="153" t="s">
        <v>7666</v>
      </c>
      <c r="Q111" s="2527"/>
      <c r="R111" s="2522"/>
      <c r="S111" s="2527"/>
      <c r="T111" s="2527"/>
      <c r="U111" s="2527"/>
      <c r="V111" s="2527"/>
    </row>
    <row r="112" spans="2:22" ht="12.95" hidden="1" customHeight="1">
      <c r="B112" s="2470" t="s">
        <v>1052</v>
      </c>
      <c r="C112" s="1269" t="s">
        <v>1905</v>
      </c>
      <c r="D112" s="1269" t="s">
        <v>3162</v>
      </c>
      <c r="E112" s="1269"/>
      <c r="F112" s="1270">
        <v>15</v>
      </c>
      <c r="G112" s="1270">
        <v>14</v>
      </c>
      <c r="H112" s="1270">
        <v>90</v>
      </c>
      <c r="I112" s="2113" t="s">
        <v>1304</v>
      </c>
      <c r="J112" s="2113" t="s">
        <v>1304</v>
      </c>
      <c r="K112" s="2113" t="s">
        <v>1304</v>
      </c>
      <c r="L112" s="2113" t="s">
        <v>1304</v>
      </c>
      <c r="M112" s="2113" t="s">
        <v>1304</v>
      </c>
      <c r="N112" s="2113" t="s">
        <v>1304</v>
      </c>
      <c r="O112" s="2113" t="s">
        <v>1304</v>
      </c>
      <c r="P112" s="1272" t="s">
        <v>7952</v>
      </c>
      <c r="Q112" s="2527"/>
      <c r="R112" s="2522"/>
      <c r="S112" s="2527"/>
      <c r="T112" s="2527"/>
      <c r="U112" s="2527"/>
      <c r="V112" s="2527"/>
    </row>
    <row r="113" spans="2:22" ht="12.95" hidden="1" customHeight="1">
      <c r="B113" s="2472" t="s">
        <v>841</v>
      </c>
      <c r="C113" s="128" t="s">
        <v>1905</v>
      </c>
      <c r="D113" s="128" t="s">
        <v>3162</v>
      </c>
      <c r="E113" s="128"/>
      <c r="F113" s="130">
        <v>15</v>
      </c>
      <c r="G113" s="130">
        <v>14</v>
      </c>
      <c r="H113" s="129">
        <v>110</v>
      </c>
      <c r="I113" s="2113" t="s">
        <v>1304</v>
      </c>
      <c r="J113" s="2113" t="s">
        <v>1304</v>
      </c>
      <c r="K113" s="2113" t="s">
        <v>1304</v>
      </c>
      <c r="L113" s="2113" t="s">
        <v>1304</v>
      </c>
      <c r="M113" s="2113" t="s">
        <v>1304</v>
      </c>
      <c r="N113" s="2113" t="s">
        <v>1304</v>
      </c>
      <c r="O113" s="2113" t="s">
        <v>1304</v>
      </c>
      <c r="P113" s="1272" t="s">
        <v>7953</v>
      </c>
      <c r="Q113" s="2527"/>
      <c r="R113" s="2522"/>
      <c r="S113" s="2527"/>
      <c r="T113" s="2527"/>
      <c r="U113" s="2527"/>
      <c r="V113" s="2527"/>
    </row>
    <row r="114" spans="2:22" ht="12.95" hidden="1" customHeight="1">
      <c r="B114" s="2470" t="s">
        <v>3447</v>
      </c>
      <c r="C114" s="1269" t="s">
        <v>3177</v>
      </c>
      <c r="D114" s="1269" t="s">
        <v>1666</v>
      </c>
      <c r="E114" s="1269"/>
      <c r="F114" s="1270">
        <v>18</v>
      </c>
      <c r="G114" s="1270">
        <v>18</v>
      </c>
      <c r="H114" s="1270">
        <v>180</v>
      </c>
      <c r="I114" s="2113" t="s">
        <v>1304</v>
      </c>
      <c r="J114" s="2113" t="s">
        <v>1304</v>
      </c>
      <c r="K114" s="2113" t="s">
        <v>1304</v>
      </c>
      <c r="L114" s="2113" t="s">
        <v>1304</v>
      </c>
      <c r="M114" s="2113" t="s">
        <v>1304</v>
      </c>
      <c r="N114" s="2113" t="s">
        <v>1304</v>
      </c>
      <c r="O114" s="2113" t="s">
        <v>1304</v>
      </c>
      <c r="P114" s="1272" t="s">
        <v>7955</v>
      </c>
      <c r="Q114" s="2527"/>
      <c r="R114" s="2522"/>
      <c r="S114" s="2527"/>
      <c r="T114" s="2527"/>
      <c r="U114" s="2527"/>
      <c r="V114" s="2527"/>
    </row>
    <row r="115" spans="2:22" ht="12.95" hidden="1" customHeight="1">
      <c r="B115" s="2472" t="s">
        <v>842</v>
      </c>
      <c r="C115" s="128" t="s">
        <v>3177</v>
      </c>
      <c r="D115" s="128" t="s">
        <v>1666</v>
      </c>
      <c r="E115" s="128"/>
      <c r="F115" s="129">
        <v>27</v>
      </c>
      <c r="G115" s="129">
        <v>27</v>
      </c>
      <c r="H115" s="129">
        <v>250</v>
      </c>
      <c r="I115" s="2113" t="s">
        <v>1304</v>
      </c>
      <c r="J115" s="2113" t="s">
        <v>1304</v>
      </c>
      <c r="K115" s="2113" t="s">
        <v>1304</v>
      </c>
      <c r="L115" s="2113" t="s">
        <v>1304</v>
      </c>
      <c r="M115" s="2113" t="s">
        <v>1304</v>
      </c>
      <c r="N115" s="2113" t="s">
        <v>1304</v>
      </c>
      <c r="O115" s="2113" t="s">
        <v>1304</v>
      </c>
      <c r="P115" s="1272" t="s">
        <v>7954</v>
      </c>
      <c r="Q115" s="2527"/>
      <c r="R115" s="2522"/>
      <c r="S115" s="2527"/>
      <c r="T115" s="2527"/>
      <c r="U115" s="2527"/>
      <c r="V115" s="2527"/>
    </row>
    <row r="116" spans="2:22" ht="12.95" hidden="1" customHeight="1">
      <c r="B116" s="2470" t="s">
        <v>1532</v>
      </c>
      <c r="C116" s="1269" t="s">
        <v>729</v>
      </c>
      <c r="D116" s="1269" t="s">
        <v>2135</v>
      </c>
      <c r="E116" s="1269"/>
      <c r="F116" s="1270">
        <v>3</v>
      </c>
      <c r="G116" s="1270">
        <v>3</v>
      </c>
      <c r="H116" s="1270">
        <v>4</v>
      </c>
      <c r="I116" s="2113" t="s">
        <v>1304</v>
      </c>
      <c r="J116" s="2113" t="s">
        <v>1304</v>
      </c>
      <c r="K116" s="2113" t="s">
        <v>1304</v>
      </c>
      <c r="L116" s="2113" t="s">
        <v>1304</v>
      </c>
      <c r="M116" s="2113" t="s">
        <v>1304</v>
      </c>
      <c r="N116" s="2113" t="s">
        <v>1304</v>
      </c>
      <c r="O116" s="2113" t="s">
        <v>1304</v>
      </c>
      <c r="P116" s="1267" t="s">
        <v>7666</v>
      </c>
      <c r="Q116" s="2527"/>
      <c r="R116" s="2522"/>
      <c r="S116" s="2527"/>
      <c r="T116" s="2527"/>
      <c r="U116" s="2527"/>
      <c r="V116" s="2527"/>
    </row>
    <row r="117" spans="2:22" ht="12.95" hidden="1" customHeight="1">
      <c r="B117" s="2472" t="s">
        <v>1533</v>
      </c>
      <c r="C117" s="128" t="s">
        <v>729</v>
      </c>
      <c r="D117" s="128" t="s">
        <v>2135</v>
      </c>
      <c r="E117" s="128"/>
      <c r="F117" s="129">
        <v>4</v>
      </c>
      <c r="G117" s="129">
        <v>4</v>
      </c>
      <c r="H117" s="130">
        <v>4</v>
      </c>
      <c r="I117" s="2113" t="s">
        <v>1304</v>
      </c>
      <c r="J117" s="2113" t="s">
        <v>1304</v>
      </c>
      <c r="K117" s="2113" t="s">
        <v>1304</v>
      </c>
      <c r="L117" s="2113" t="s">
        <v>1304</v>
      </c>
      <c r="M117" s="2113" t="s">
        <v>1304</v>
      </c>
      <c r="N117" s="2113" t="s">
        <v>1304</v>
      </c>
      <c r="O117" s="2113" t="s">
        <v>7344</v>
      </c>
      <c r="P117" s="151" t="s">
        <v>7666</v>
      </c>
      <c r="Q117" s="2527"/>
      <c r="R117" s="2522"/>
      <c r="S117" s="2527"/>
      <c r="T117" s="2527"/>
      <c r="U117" s="2527"/>
      <c r="V117" s="2527"/>
    </row>
    <row r="118" spans="2:22" ht="12.95" hidden="1" customHeight="1">
      <c r="B118" s="2470" t="s">
        <v>3448</v>
      </c>
      <c r="C118" s="1269" t="s">
        <v>2135</v>
      </c>
      <c r="D118" s="1269" t="s">
        <v>844</v>
      </c>
      <c r="E118" s="1269"/>
      <c r="F118" s="1270">
        <v>6</v>
      </c>
      <c r="G118" s="1270">
        <v>6</v>
      </c>
      <c r="H118" s="1270">
        <v>16</v>
      </c>
      <c r="I118" s="2113" t="s">
        <v>1304</v>
      </c>
      <c r="J118" s="2113" t="s">
        <v>1304</v>
      </c>
      <c r="K118" s="2113" t="s">
        <v>1304</v>
      </c>
      <c r="L118" s="2113" t="s">
        <v>1304</v>
      </c>
      <c r="M118" s="2113" t="s">
        <v>7344</v>
      </c>
      <c r="N118" s="2113" t="s">
        <v>1304</v>
      </c>
      <c r="O118" s="2113" t="s">
        <v>1304</v>
      </c>
      <c r="P118" s="1286" t="s">
        <v>7956</v>
      </c>
      <c r="Q118" s="2527"/>
      <c r="R118" s="2522"/>
      <c r="S118" s="2527"/>
      <c r="T118" s="2527"/>
      <c r="U118" s="2527"/>
      <c r="V118" s="2527"/>
    </row>
    <row r="119" spans="2:22" ht="12.95" hidden="1" customHeight="1">
      <c r="B119" s="2472" t="s">
        <v>3449</v>
      </c>
      <c r="C119" s="128" t="s">
        <v>2135</v>
      </c>
      <c r="D119" s="128" t="s">
        <v>844</v>
      </c>
      <c r="E119" s="128"/>
      <c r="F119" s="129">
        <v>7</v>
      </c>
      <c r="G119" s="129">
        <v>7</v>
      </c>
      <c r="H119" s="130">
        <v>16</v>
      </c>
      <c r="I119" s="2113" t="s">
        <v>1304</v>
      </c>
      <c r="J119" s="2113" t="s">
        <v>1304</v>
      </c>
      <c r="K119" s="2113" t="s">
        <v>1304</v>
      </c>
      <c r="L119" s="2113" t="s">
        <v>1304</v>
      </c>
      <c r="M119" s="2113" t="s">
        <v>7344</v>
      </c>
      <c r="N119" s="2113" t="s">
        <v>1304</v>
      </c>
      <c r="O119" s="2113" t="s">
        <v>1304</v>
      </c>
      <c r="P119" s="1286" t="s">
        <v>7957</v>
      </c>
      <c r="Q119" s="2527"/>
      <c r="R119" s="2522"/>
      <c r="S119" s="2527"/>
      <c r="T119" s="2527"/>
      <c r="U119" s="2527"/>
      <c r="V119" s="2527"/>
    </row>
    <row r="120" spans="2:22" ht="12.95" hidden="1" customHeight="1">
      <c r="B120" s="2470" t="s">
        <v>2260</v>
      </c>
      <c r="C120" s="1269" t="s">
        <v>755</v>
      </c>
      <c r="D120" s="1269" t="s">
        <v>756</v>
      </c>
      <c r="E120" s="1269"/>
      <c r="F120" s="1270">
        <v>7</v>
      </c>
      <c r="G120" s="1270">
        <v>10</v>
      </c>
      <c r="H120" s="1270">
        <v>30</v>
      </c>
      <c r="I120" s="2113" t="s">
        <v>1304</v>
      </c>
      <c r="J120" s="2113" t="s">
        <v>1304</v>
      </c>
      <c r="K120" s="2113" t="s">
        <v>1304</v>
      </c>
      <c r="L120" s="2113" t="s">
        <v>7344</v>
      </c>
      <c r="M120" s="2113" t="s">
        <v>1304</v>
      </c>
      <c r="N120" s="2113" t="s">
        <v>1304</v>
      </c>
      <c r="O120" s="2113" t="s">
        <v>1304</v>
      </c>
      <c r="P120" s="1272" t="s">
        <v>7965</v>
      </c>
      <c r="Q120" s="2527"/>
      <c r="R120" s="2522"/>
      <c r="S120" s="2527"/>
      <c r="T120" s="2527"/>
      <c r="U120" s="2527"/>
      <c r="V120" s="2527"/>
    </row>
    <row r="121" spans="2:22" ht="12.95" hidden="1" customHeight="1">
      <c r="B121" s="2472" t="s">
        <v>3450</v>
      </c>
      <c r="C121" s="128" t="s">
        <v>755</v>
      </c>
      <c r="D121" s="128" t="s">
        <v>756</v>
      </c>
      <c r="E121" s="128"/>
      <c r="F121" s="129">
        <v>9</v>
      </c>
      <c r="G121" s="130">
        <v>10</v>
      </c>
      <c r="H121" s="129">
        <v>35</v>
      </c>
      <c r="I121" s="2113" t="s">
        <v>1304</v>
      </c>
      <c r="J121" s="2113" t="s">
        <v>1304</v>
      </c>
      <c r="K121" s="2113" t="s">
        <v>1304</v>
      </c>
      <c r="L121" s="2113" t="s">
        <v>7344</v>
      </c>
      <c r="M121" s="2113" t="s">
        <v>1304</v>
      </c>
      <c r="N121" s="2113" t="s">
        <v>1304</v>
      </c>
      <c r="O121" s="2113" t="s">
        <v>1304</v>
      </c>
      <c r="P121" s="1272" t="s">
        <v>7966</v>
      </c>
      <c r="Q121" s="2527"/>
      <c r="R121" s="2522"/>
      <c r="S121" s="2527"/>
      <c r="T121" s="2527"/>
      <c r="U121" s="2527"/>
      <c r="V121" s="2527"/>
    </row>
    <row r="122" spans="2:22" ht="12.95" hidden="1" customHeight="1">
      <c r="B122" s="2470" t="s">
        <v>1817</v>
      </c>
      <c r="C122" s="1269" t="s">
        <v>1888</v>
      </c>
      <c r="D122" s="1269" t="s">
        <v>3157</v>
      </c>
      <c r="E122" s="1269"/>
      <c r="F122" s="1270">
        <v>11</v>
      </c>
      <c r="G122" s="1270">
        <v>8</v>
      </c>
      <c r="H122" s="1270">
        <v>25</v>
      </c>
      <c r="I122" s="2113" t="s">
        <v>1304</v>
      </c>
      <c r="J122" s="2113" t="s">
        <v>1304</v>
      </c>
      <c r="K122" s="2113" t="s">
        <v>1304</v>
      </c>
      <c r="L122" s="2113" t="s">
        <v>1304</v>
      </c>
      <c r="M122" s="2113" t="s">
        <v>1304</v>
      </c>
      <c r="N122" s="2113" t="s">
        <v>1304</v>
      </c>
      <c r="O122" s="2113" t="s">
        <v>7344</v>
      </c>
      <c r="P122" s="1272" t="s">
        <v>7958</v>
      </c>
      <c r="Q122" s="2527"/>
      <c r="R122" s="2522"/>
      <c r="S122" s="2527"/>
      <c r="T122" s="2527"/>
      <c r="U122" s="2527"/>
      <c r="V122" s="2527"/>
    </row>
    <row r="123" spans="2:22" ht="12.95" hidden="1" customHeight="1">
      <c r="B123" s="2472" t="s">
        <v>3451</v>
      </c>
      <c r="C123" s="128" t="s">
        <v>1888</v>
      </c>
      <c r="D123" s="128" t="s">
        <v>3157</v>
      </c>
      <c r="E123" s="128"/>
      <c r="F123" s="129">
        <v>12</v>
      </c>
      <c r="G123" s="129">
        <v>9</v>
      </c>
      <c r="H123" s="129">
        <v>30</v>
      </c>
      <c r="I123" s="2113" t="s">
        <v>1304</v>
      </c>
      <c r="J123" s="2113" t="s">
        <v>1304</v>
      </c>
      <c r="K123" s="2113" t="s">
        <v>1304</v>
      </c>
      <c r="L123" s="2113" t="s">
        <v>1304</v>
      </c>
      <c r="M123" s="2113" t="s">
        <v>1304</v>
      </c>
      <c r="N123" s="2113" t="s">
        <v>1304</v>
      </c>
      <c r="O123" s="2113" t="s">
        <v>7344</v>
      </c>
      <c r="P123" s="1272" t="s">
        <v>7959</v>
      </c>
      <c r="Q123" s="2527"/>
      <c r="R123" s="2522"/>
      <c r="S123" s="2527"/>
      <c r="T123" s="2527"/>
      <c r="U123" s="2527"/>
      <c r="V123" s="2527"/>
    </row>
    <row r="124" spans="2:22" ht="12.95" hidden="1" customHeight="1">
      <c r="B124" s="2470" t="s">
        <v>3062</v>
      </c>
      <c r="C124" s="1269" t="s">
        <v>3477</v>
      </c>
      <c r="D124" s="1269" t="s">
        <v>1640</v>
      </c>
      <c r="E124" s="1269"/>
      <c r="F124" s="1270">
        <v>12</v>
      </c>
      <c r="G124" s="1270">
        <v>12</v>
      </c>
      <c r="H124" s="1270">
        <v>40</v>
      </c>
      <c r="I124" s="2113" t="s">
        <v>1304</v>
      </c>
      <c r="J124" s="2113" t="s">
        <v>1304</v>
      </c>
      <c r="K124" s="2113" t="s">
        <v>1304</v>
      </c>
      <c r="L124" s="2113" t="s">
        <v>1304</v>
      </c>
      <c r="M124" s="2113" t="s">
        <v>1304</v>
      </c>
      <c r="N124" s="2113" t="s">
        <v>1304</v>
      </c>
      <c r="O124" s="2113" t="s">
        <v>1304</v>
      </c>
      <c r="P124" s="1272" t="s">
        <v>7960</v>
      </c>
      <c r="Q124" s="2527"/>
      <c r="R124" s="2522"/>
      <c r="S124" s="2527"/>
      <c r="T124" s="2527"/>
      <c r="U124" s="2527"/>
      <c r="V124" s="2527"/>
    </row>
    <row r="125" spans="2:22" ht="12.95" hidden="1" customHeight="1">
      <c r="B125" s="2472" t="s">
        <v>3452</v>
      </c>
      <c r="C125" s="128" t="s">
        <v>3477</v>
      </c>
      <c r="D125" s="128" t="s">
        <v>1640</v>
      </c>
      <c r="E125" s="128"/>
      <c r="F125" s="130">
        <v>12</v>
      </c>
      <c r="G125" s="130">
        <v>12</v>
      </c>
      <c r="H125" s="130">
        <v>40</v>
      </c>
      <c r="I125" s="2113" t="s">
        <v>1304</v>
      </c>
      <c r="J125" s="2113" t="s">
        <v>1304</v>
      </c>
      <c r="K125" s="2113" t="s">
        <v>1304</v>
      </c>
      <c r="L125" s="2113" t="s">
        <v>1304</v>
      </c>
      <c r="M125" s="2113" t="s">
        <v>1304</v>
      </c>
      <c r="N125" s="2113" t="s">
        <v>1304</v>
      </c>
      <c r="O125" s="2113" t="s">
        <v>1304</v>
      </c>
      <c r="P125" s="1272" t="s">
        <v>7961</v>
      </c>
      <c r="Q125" s="2527"/>
      <c r="R125" s="2522"/>
      <c r="S125" s="2527"/>
      <c r="T125" s="2527"/>
      <c r="U125" s="2527"/>
      <c r="V125" s="2527"/>
    </row>
    <row r="126" spans="2:22" ht="12.95" hidden="1" customHeight="1">
      <c r="B126" s="2470" t="s">
        <v>566</v>
      </c>
      <c r="C126" s="1269" t="s">
        <v>1393</v>
      </c>
      <c r="D126" s="1269" t="s">
        <v>1393</v>
      </c>
      <c r="E126" s="1269"/>
      <c r="F126" s="1270">
        <v>16</v>
      </c>
      <c r="G126" s="1270">
        <v>13</v>
      </c>
      <c r="H126" s="1270">
        <v>110</v>
      </c>
      <c r="I126" s="2113" t="s">
        <v>7344</v>
      </c>
      <c r="J126" s="2113" t="s">
        <v>1304</v>
      </c>
      <c r="K126" s="2113" t="s">
        <v>1304</v>
      </c>
      <c r="L126" s="2113" t="s">
        <v>1304</v>
      </c>
      <c r="M126" s="2113" t="s">
        <v>1304</v>
      </c>
      <c r="N126" s="2113" t="s">
        <v>1304</v>
      </c>
      <c r="O126" s="2113" t="s">
        <v>1304</v>
      </c>
      <c r="P126" s="1272" t="s">
        <v>7962</v>
      </c>
      <c r="Q126" s="2527"/>
      <c r="R126" s="2522"/>
      <c r="S126" s="2527"/>
      <c r="T126" s="2527"/>
      <c r="U126" s="2527"/>
      <c r="V126" s="2527"/>
    </row>
    <row r="127" spans="2:22" ht="12.95" hidden="1" customHeight="1">
      <c r="B127" s="2472" t="s">
        <v>3453</v>
      </c>
      <c r="C127" s="135" t="s">
        <v>561</v>
      </c>
      <c r="D127" s="135" t="s">
        <v>561</v>
      </c>
      <c r="E127" s="135"/>
      <c r="F127" s="130">
        <v>16</v>
      </c>
      <c r="G127" s="130">
        <v>13</v>
      </c>
      <c r="H127" s="130">
        <v>110</v>
      </c>
      <c r="I127" s="2113" t="s">
        <v>7344</v>
      </c>
      <c r="J127" s="2113" t="s">
        <v>1304</v>
      </c>
      <c r="K127" s="2113" t="s">
        <v>1304</v>
      </c>
      <c r="L127" s="2113" t="s">
        <v>1304</v>
      </c>
      <c r="M127" s="2113" t="s">
        <v>1304</v>
      </c>
      <c r="N127" s="2113" t="s">
        <v>1304</v>
      </c>
      <c r="O127" s="2113" t="s">
        <v>1304</v>
      </c>
      <c r="P127" s="1272" t="s">
        <v>7963</v>
      </c>
      <c r="Q127" s="2527"/>
      <c r="R127" s="2522"/>
      <c r="S127" s="2527"/>
      <c r="T127" s="2527"/>
      <c r="U127" s="2527"/>
      <c r="V127" s="2527"/>
    </row>
    <row r="128" spans="2:22" ht="12.95" hidden="1" customHeight="1">
      <c r="B128" s="2470" t="s">
        <v>652</v>
      </c>
      <c r="C128" s="1269" t="s">
        <v>3177</v>
      </c>
      <c r="D128" s="1269" t="s">
        <v>3196</v>
      </c>
      <c r="E128" s="1269"/>
      <c r="F128" s="1270">
        <v>19</v>
      </c>
      <c r="G128" s="1270">
        <v>16</v>
      </c>
      <c r="H128" s="1270">
        <v>150</v>
      </c>
      <c r="I128" s="2113" t="s">
        <v>1304</v>
      </c>
      <c r="J128" s="2113" t="s">
        <v>1304</v>
      </c>
      <c r="K128" s="2113" t="s">
        <v>1304</v>
      </c>
      <c r="L128" s="2113" t="s">
        <v>1304</v>
      </c>
      <c r="M128" s="2113" t="s">
        <v>1304</v>
      </c>
      <c r="N128" s="2113" t="s">
        <v>1304</v>
      </c>
      <c r="O128" s="2113" t="s">
        <v>1304</v>
      </c>
      <c r="P128" s="1272" t="s">
        <v>7964</v>
      </c>
      <c r="Q128" s="2527"/>
      <c r="R128" s="2522"/>
      <c r="S128" s="2527"/>
      <c r="T128" s="2527"/>
      <c r="U128" s="2527"/>
      <c r="V128" s="2527"/>
    </row>
    <row r="129" spans="2:22" ht="12.95" hidden="1" customHeight="1" thickBot="1">
      <c r="B129" s="2472" t="s">
        <v>1221</v>
      </c>
      <c r="C129" s="128" t="s">
        <v>3177</v>
      </c>
      <c r="D129" s="128" t="s">
        <v>3196</v>
      </c>
      <c r="E129" s="128"/>
      <c r="F129" s="129">
        <v>24</v>
      </c>
      <c r="G129" s="129">
        <v>24</v>
      </c>
      <c r="H129" s="129">
        <v>300</v>
      </c>
      <c r="I129" s="2113" t="s">
        <v>1304</v>
      </c>
      <c r="J129" s="2113" t="s">
        <v>1304</v>
      </c>
      <c r="K129" s="2113" t="s">
        <v>1304</v>
      </c>
      <c r="L129" s="2113" t="s">
        <v>1304</v>
      </c>
      <c r="M129" s="2113" t="s">
        <v>1304</v>
      </c>
      <c r="N129" s="2113" t="s">
        <v>1304</v>
      </c>
      <c r="O129" s="2113" t="s">
        <v>7344</v>
      </c>
      <c r="P129" s="152" t="s">
        <v>7967</v>
      </c>
      <c r="Q129" s="2527"/>
      <c r="R129" s="2522"/>
      <c r="S129" s="2527"/>
      <c r="T129" s="2527"/>
      <c r="U129" s="2527"/>
      <c r="V129" s="2527"/>
    </row>
    <row r="130" spans="2:22" ht="12.95" hidden="1" customHeight="1">
      <c r="B130" s="2470" t="s">
        <v>1536</v>
      </c>
      <c r="C130" s="1269" t="s">
        <v>729</v>
      </c>
      <c r="D130" s="1269" t="s">
        <v>844</v>
      </c>
      <c r="E130" s="1269"/>
      <c r="F130" s="1270">
        <v>5</v>
      </c>
      <c r="G130" s="1270">
        <v>4</v>
      </c>
      <c r="H130" s="1270">
        <v>6</v>
      </c>
      <c r="I130" s="2113" t="s">
        <v>1304</v>
      </c>
      <c r="J130" s="2113" t="s">
        <v>7344</v>
      </c>
      <c r="K130" s="2113" t="s">
        <v>1304</v>
      </c>
      <c r="L130" s="2113" t="s">
        <v>1304</v>
      </c>
      <c r="M130" s="2113" t="s">
        <v>1304</v>
      </c>
      <c r="N130" s="2113" t="s">
        <v>1304</v>
      </c>
      <c r="O130" s="2113" t="s">
        <v>1304</v>
      </c>
      <c r="P130" s="1285" t="s">
        <v>7968</v>
      </c>
      <c r="Q130" s="2527"/>
      <c r="R130" s="2522"/>
      <c r="S130" s="2527"/>
      <c r="T130" s="2527"/>
      <c r="U130" s="2527"/>
      <c r="V130" s="2527"/>
    </row>
    <row r="131" spans="2:22" ht="12.95" hidden="1" customHeight="1">
      <c r="B131" s="2472" t="s">
        <v>3454</v>
      </c>
      <c r="C131" s="128" t="s">
        <v>729</v>
      </c>
      <c r="D131" s="128" t="s">
        <v>844</v>
      </c>
      <c r="E131" s="128"/>
      <c r="F131" s="129">
        <v>6</v>
      </c>
      <c r="G131" s="129">
        <v>6</v>
      </c>
      <c r="H131" s="130">
        <v>6</v>
      </c>
      <c r="I131" s="2113" t="s">
        <v>1304</v>
      </c>
      <c r="J131" s="2113" t="s">
        <v>7344</v>
      </c>
      <c r="K131" s="2113" t="s">
        <v>1304</v>
      </c>
      <c r="L131" s="2113" t="s">
        <v>1304</v>
      </c>
      <c r="M131" s="2113" t="s">
        <v>1304</v>
      </c>
      <c r="N131" s="2113" t="s">
        <v>1304</v>
      </c>
      <c r="O131" s="2113" t="s">
        <v>1304</v>
      </c>
      <c r="P131" s="151" t="s">
        <v>7969</v>
      </c>
      <c r="Q131" s="2527"/>
      <c r="R131" s="2522"/>
      <c r="S131" s="2527"/>
      <c r="T131" s="2527"/>
      <c r="U131" s="2527"/>
      <c r="V131" s="2527"/>
    </row>
    <row r="132" spans="2:22" ht="12.95" hidden="1" customHeight="1">
      <c r="B132" s="2470" t="s">
        <v>2528</v>
      </c>
      <c r="C132" s="1269" t="s">
        <v>2135</v>
      </c>
      <c r="D132" s="1269" t="s">
        <v>844</v>
      </c>
      <c r="E132" s="1269"/>
      <c r="F132" s="1270">
        <v>5</v>
      </c>
      <c r="G132" s="1270">
        <v>5</v>
      </c>
      <c r="H132" s="1270">
        <v>15</v>
      </c>
      <c r="I132" s="2113" t="s">
        <v>1304</v>
      </c>
      <c r="J132" s="2113" t="s">
        <v>7344</v>
      </c>
      <c r="K132" s="2113" t="s">
        <v>1304</v>
      </c>
      <c r="L132" s="2113" t="s">
        <v>1304</v>
      </c>
      <c r="M132" s="2113" t="s">
        <v>1304</v>
      </c>
      <c r="N132" s="2113" t="s">
        <v>1304</v>
      </c>
      <c r="O132" s="2113" t="s">
        <v>1304</v>
      </c>
      <c r="P132" s="1272" t="s">
        <v>7970</v>
      </c>
      <c r="Q132" s="2527"/>
      <c r="R132" s="2522"/>
      <c r="S132" s="2527"/>
      <c r="T132" s="2527"/>
      <c r="U132" s="2527"/>
      <c r="V132" s="2527"/>
    </row>
    <row r="133" spans="2:22" ht="12.95" hidden="1" customHeight="1">
      <c r="B133" s="2472" t="s">
        <v>376</v>
      </c>
      <c r="C133" s="128" t="s">
        <v>2135</v>
      </c>
      <c r="D133" s="128" t="s">
        <v>844</v>
      </c>
      <c r="E133" s="128"/>
      <c r="F133" s="130">
        <v>5</v>
      </c>
      <c r="G133" s="130">
        <v>5</v>
      </c>
      <c r="H133" s="129">
        <v>20</v>
      </c>
      <c r="I133" s="2113" t="s">
        <v>1304</v>
      </c>
      <c r="J133" s="2113" t="s">
        <v>7344</v>
      </c>
      <c r="K133" s="2113" t="s">
        <v>1304</v>
      </c>
      <c r="L133" s="2113" t="s">
        <v>1304</v>
      </c>
      <c r="M133" s="2113" t="s">
        <v>1304</v>
      </c>
      <c r="N133" s="2113" t="s">
        <v>1304</v>
      </c>
      <c r="O133" s="2113" t="s">
        <v>1304</v>
      </c>
      <c r="P133" s="151" t="s">
        <v>8742</v>
      </c>
      <c r="Q133" s="2527"/>
      <c r="R133" s="2522"/>
      <c r="S133" s="2527"/>
      <c r="T133" s="2527"/>
      <c r="U133" s="2527"/>
      <c r="V133" s="2527"/>
    </row>
    <row r="134" spans="2:22" ht="12.95" hidden="1" customHeight="1">
      <c r="B134" s="2470" t="s">
        <v>1594</v>
      </c>
      <c r="C134" s="1269" t="s">
        <v>844</v>
      </c>
      <c r="D134" s="1269" t="s">
        <v>756</v>
      </c>
      <c r="E134" s="1269"/>
      <c r="F134" s="1270">
        <v>7</v>
      </c>
      <c r="G134" s="1270">
        <v>7</v>
      </c>
      <c r="H134" s="1270">
        <v>18</v>
      </c>
      <c r="I134" s="2113" t="s">
        <v>1304</v>
      </c>
      <c r="J134" s="2113" t="s">
        <v>7344</v>
      </c>
      <c r="K134" s="2113" t="s">
        <v>1304</v>
      </c>
      <c r="L134" s="2113" t="s">
        <v>1304</v>
      </c>
      <c r="M134" s="2113" t="s">
        <v>1304</v>
      </c>
      <c r="N134" s="2113" t="s">
        <v>1304</v>
      </c>
      <c r="O134" s="2113" t="s">
        <v>1304</v>
      </c>
      <c r="P134" s="1272" t="s">
        <v>7971</v>
      </c>
      <c r="Q134" s="2527"/>
      <c r="R134" s="2522"/>
      <c r="S134" s="2527"/>
      <c r="T134" s="2527"/>
      <c r="U134" s="2527"/>
      <c r="V134" s="2527"/>
    </row>
    <row r="135" spans="2:22" ht="12.95" hidden="1" customHeight="1">
      <c r="B135" s="2472" t="s">
        <v>1619</v>
      </c>
      <c r="C135" s="128" t="s">
        <v>844</v>
      </c>
      <c r="D135" s="128" t="s">
        <v>756</v>
      </c>
      <c r="E135" s="128"/>
      <c r="F135" s="130">
        <v>7</v>
      </c>
      <c r="G135" s="130">
        <v>7</v>
      </c>
      <c r="H135" s="130">
        <v>18</v>
      </c>
      <c r="I135" s="2113" t="s">
        <v>1304</v>
      </c>
      <c r="J135" s="2113" t="s">
        <v>7344</v>
      </c>
      <c r="K135" s="2113" t="s">
        <v>1304</v>
      </c>
      <c r="L135" s="2113" t="s">
        <v>1304</v>
      </c>
      <c r="M135" s="2113" t="s">
        <v>1304</v>
      </c>
      <c r="N135" s="2113" t="s">
        <v>1304</v>
      </c>
      <c r="O135" s="2113" t="s">
        <v>1304</v>
      </c>
      <c r="P135" s="151" t="s">
        <v>7972</v>
      </c>
      <c r="Q135" s="2527"/>
      <c r="R135" s="2522"/>
      <c r="S135" s="2527"/>
      <c r="T135" s="2527"/>
      <c r="U135" s="2527"/>
      <c r="V135" s="2527"/>
    </row>
    <row r="136" spans="2:22" ht="12.95" hidden="1" customHeight="1">
      <c r="B136" s="2470" t="s">
        <v>895</v>
      </c>
      <c r="C136" s="1269" t="s">
        <v>756</v>
      </c>
      <c r="D136" s="1269" t="s">
        <v>2137</v>
      </c>
      <c r="E136" s="1269"/>
      <c r="F136" s="1270">
        <v>10</v>
      </c>
      <c r="G136" s="1270">
        <v>9</v>
      </c>
      <c r="H136" s="1270">
        <v>30</v>
      </c>
      <c r="I136" s="2113" t="s">
        <v>7344</v>
      </c>
      <c r="J136" s="2113" t="s">
        <v>7344</v>
      </c>
      <c r="K136" s="2113" t="s">
        <v>1304</v>
      </c>
      <c r="L136" s="2113" t="s">
        <v>1304</v>
      </c>
      <c r="M136" s="2113" t="s">
        <v>1304</v>
      </c>
      <c r="N136" s="2113" t="s">
        <v>1304</v>
      </c>
      <c r="O136" s="2113" t="s">
        <v>1304</v>
      </c>
      <c r="P136" s="1272" t="s">
        <v>7973</v>
      </c>
      <c r="Q136" s="2527"/>
      <c r="R136" s="2522"/>
      <c r="S136" s="2527"/>
      <c r="T136" s="2527"/>
      <c r="U136" s="2527"/>
      <c r="V136" s="2527"/>
    </row>
    <row r="137" spans="2:22" ht="12.95" hidden="1" customHeight="1">
      <c r="B137" s="2472" t="s">
        <v>3455</v>
      </c>
      <c r="C137" s="128" t="s">
        <v>756</v>
      </c>
      <c r="D137" s="128" t="s">
        <v>2137</v>
      </c>
      <c r="E137" s="128"/>
      <c r="F137" s="130">
        <v>10</v>
      </c>
      <c r="G137" s="129">
        <v>10</v>
      </c>
      <c r="H137" s="129">
        <v>40</v>
      </c>
      <c r="I137" s="2113" t="s">
        <v>7344</v>
      </c>
      <c r="J137" s="2113" t="s">
        <v>7344</v>
      </c>
      <c r="K137" s="2113" t="s">
        <v>1304</v>
      </c>
      <c r="L137" s="2113" t="s">
        <v>1304</v>
      </c>
      <c r="M137" s="2113" t="s">
        <v>1304</v>
      </c>
      <c r="N137" s="2113" t="s">
        <v>1304</v>
      </c>
      <c r="O137" s="2113" t="s">
        <v>1304</v>
      </c>
      <c r="P137" s="151" t="s">
        <v>7974</v>
      </c>
      <c r="Q137" s="2527"/>
      <c r="R137" s="2522"/>
      <c r="S137" s="2527"/>
      <c r="T137" s="2527"/>
      <c r="U137" s="2527"/>
      <c r="V137" s="2527"/>
    </row>
    <row r="138" spans="2:22" ht="12.95" hidden="1" customHeight="1">
      <c r="B138" s="2470" t="s">
        <v>642</v>
      </c>
      <c r="C138" s="1269" t="s">
        <v>3158</v>
      </c>
      <c r="D138" s="1269" t="s">
        <v>3477</v>
      </c>
      <c r="E138" s="1269"/>
      <c r="F138" s="1270">
        <v>13</v>
      </c>
      <c r="G138" s="1270">
        <v>10</v>
      </c>
      <c r="H138" s="1270">
        <v>30</v>
      </c>
      <c r="I138" s="2113" t="s">
        <v>1304</v>
      </c>
      <c r="J138" s="2113" t="s">
        <v>7344</v>
      </c>
      <c r="K138" s="2113" t="s">
        <v>1304</v>
      </c>
      <c r="L138" s="2113" t="s">
        <v>1304</v>
      </c>
      <c r="M138" s="2113" t="s">
        <v>1304</v>
      </c>
      <c r="N138" s="2113" t="s">
        <v>1304</v>
      </c>
      <c r="O138" s="2113" t="s">
        <v>7344</v>
      </c>
      <c r="P138" s="1272" t="s">
        <v>7975</v>
      </c>
      <c r="Q138" s="2527"/>
      <c r="R138" s="2522"/>
      <c r="S138" s="2527"/>
      <c r="T138" s="2527"/>
      <c r="U138" s="2527"/>
      <c r="V138" s="2527"/>
    </row>
    <row r="139" spans="2:22" ht="12.95" hidden="1" customHeight="1">
      <c r="B139" s="2472" t="s">
        <v>898</v>
      </c>
      <c r="C139" s="128" t="s">
        <v>3158</v>
      </c>
      <c r="D139" s="135" t="s">
        <v>678</v>
      </c>
      <c r="E139" s="135"/>
      <c r="F139" s="130">
        <v>13</v>
      </c>
      <c r="G139" s="130">
        <v>10</v>
      </c>
      <c r="H139" s="129">
        <v>40</v>
      </c>
      <c r="I139" s="2113" t="s">
        <v>1304</v>
      </c>
      <c r="J139" s="2113" t="s">
        <v>7344</v>
      </c>
      <c r="K139" s="2113" t="s">
        <v>1304</v>
      </c>
      <c r="L139" s="2113" t="s">
        <v>1304</v>
      </c>
      <c r="M139" s="2113" t="s">
        <v>1304</v>
      </c>
      <c r="N139" s="2113" t="s">
        <v>1304</v>
      </c>
      <c r="O139" s="2113" t="s">
        <v>7344</v>
      </c>
      <c r="P139" s="151" t="s">
        <v>7976</v>
      </c>
      <c r="Q139" s="2527"/>
      <c r="R139" s="2522"/>
      <c r="S139" s="2527"/>
      <c r="T139" s="2527"/>
      <c r="U139" s="2527"/>
      <c r="V139" s="2527"/>
    </row>
    <row r="140" spans="2:22" ht="12.95" hidden="1" customHeight="1">
      <c r="B140" s="2470" t="s">
        <v>3456</v>
      </c>
      <c r="C140" s="1269" t="s">
        <v>678</v>
      </c>
      <c r="D140" s="1269" t="s">
        <v>561</v>
      </c>
      <c r="E140" s="1269"/>
      <c r="F140" s="1270">
        <v>16</v>
      </c>
      <c r="G140" s="1270">
        <v>16</v>
      </c>
      <c r="H140" s="1270">
        <v>120</v>
      </c>
      <c r="I140" s="2113" t="s">
        <v>1304</v>
      </c>
      <c r="J140" s="2113" t="s">
        <v>7344</v>
      </c>
      <c r="K140" s="2113" t="s">
        <v>1304</v>
      </c>
      <c r="L140" s="2113" t="s">
        <v>1304</v>
      </c>
      <c r="M140" s="2113" t="s">
        <v>1304</v>
      </c>
      <c r="N140" s="2113" t="s">
        <v>1304</v>
      </c>
      <c r="O140" s="2113" t="s">
        <v>1304</v>
      </c>
      <c r="P140" s="1272" t="s">
        <v>7977</v>
      </c>
      <c r="Q140" s="2527"/>
      <c r="R140" s="2522"/>
      <c r="S140" s="2527"/>
      <c r="T140" s="2527"/>
      <c r="U140" s="2527"/>
      <c r="V140" s="2527"/>
    </row>
    <row r="141" spans="2:22" ht="12.95" hidden="1" customHeight="1">
      <c r="B141" s="2472" t="s">
        <v>2607</v>
      </c>
      <c r="C141" s="128" t="s">
        <v>678</v>
      </c>
      <c r="D141" s="128" t="s">
        <v>561</v>
      </c>
      <c r="E141" s="128"/>
      <c r="F141" s="129">
        <v>18</v>
      </c>
      <c r="G141" s="129">
        <v>18</v>
      </c>
      <c r="H141" s="130">
        <v>120</v>
      </c>
      <c r="I141" s="2113" t="s">
        <v>1304</v>
      </c>
      <c r="J141" s="2113" t="s">
        <v>7344</v>
      </c>
      <c r="K141" s="2113" t="s">
        <v>1304</v>
      </c>
      <c r="L141" s="2113" t="s">
        <v>1304</v>
      </c>
      <c r="M141" s="2113" t="s">
        <v>1304</v>
      </c>
      <c r="N141" s="2113" t="s">
        <v>1304</v>
      </c>
      <c r="O141" s="2113" t="s">
        <v>1304</v>
      </c>
      <c r="P141" s="151" t="s">
        <v>7978</v>
      </c>
      <c r="Q141" s="2527"/>
      <c r="R141" s="2522"/>
      <c r="S141" s="2527"/>
      <c r="T141" s="2527"/>
      <c r="U141" s="2527"/>
      <c r="V141" s="2527"/>
    </row>
    <row r="142" spans="2:22" ht="12.95" hidden="1" customHeight="1">
      <c r="B142" s="2470" t="s">
        <v>899</v>
      </c>
      <c r="C142" s="1269" t="s">
        <v>2350</v>
      </c>
      <c r="D142" s="1269" t="s">
        <v>1666</v>
      </c>
      <c r="E142" s="1269"/>
      <c r="F142" s="1270">
        <v>17</v>
      </c>
      <c r="G142" s="1270">
        <v>15</v>
      </c>
      <c r="H142" s="1270">
        <v>150</v>
      </c>
      <c r="I142" s="2113" t="s">
        <v>1304</v>
      </c>
      <c r="J142" s="2113" t="s">
        <v>7344</v>
      </c>
      <c r="K142" s="2113" t="s">
        <v>1304</v>
      </c>
      <c r="L142" s="2113" t="s">
        <v>1304</v>
      </c>
      <c r="M142" s="2113" t="s">
        <v>1304</v>
      </c>
      <c r="N142" s="2113" t="s">
        <v>1304</v>
      </c>
      <c r="O142" s="2113" t="s">
        <v>1304</v>
      </c>
      <c r="P142" s="1272" t="s">
        <v>7979</v>
      </c>
      <c r="Q142" s="2527"/>
      <c r="R142" s="2522"/>
      <c r="S142" s="2527"/>
      <c r="T142" s="2527"/>
      <c r="U142" s="2527"/>
      <c r="V142" s="2527"/>
    </row>
    <row r="143" spans="2:22" ht="12.95" hidden="1" customHeight="1" thickBot="1">
      <c r="B143" s="2472" t="s">
        <v>3457</v>
      </c>
      <c r="C143" s="128" t="s">
        <v>2350</v>
      </c>
      <c r="D143" s="128" t="s">
        <v>1666</v>
      </c>
      <c r="E143" s="128"/>
      <c r="F143" s="129">
        <v>19</v>
      </c>
      <c r="G143" s="129">
        <v>17</v>
      </c>
      <c r="H143" s="129">
        <v>200</v>
      </c>
      <c r="I143" s="2113" t="s">
        <v>1304</v>
      </c>
      <c r="J143" s="2113" t="s">
        <v>7344</v>
      </c>
      <c r="K143" s="2113" t="s">
        <v>1304</v>
      </c>
      <c r="L143" s="2113" t="s">
        <v>1304</v>
      </c>
      <c r="M143" s="2113" t="s">
        <v>1304</v>
      </c>
      <c r="N143" s="2113" t="s">
        <v>1304</v>
      </c>
      <c r="O143" s="2113" t="s">
        <v>1304</v>
      </c>
      <c r="P143" s="2521" t="s">
        <v>7980</v>
      </c>
      <c r="Q143" s="2527"/>
      <c r="R143" s="2522"/>
      <c r="S143" s="2527"/>
      <c r="T143" s="2527"/>
      <c r="U143" s="2527"/>
      <c r="V143" s="2527"/>
    </row>
    <row r="144" spans="2:22" ht="12.95" hidden="1" customHeight="1">
      <c r="B144" s="2470" t="s">
        <v>1537</v>
      </c>
      <c r="C144" s="1269" t="s">
        <v>729</v>
      </c>
      <c r="D144" s="1269" t="s">
        <v>844</v>
      </c>
      <c r="E144" s="1269"/>
      <c r="F144" s="1270">
        <v>4</v>
      </c>
      <c r="G144" s="1270">
        <v>3</v>
      </c>
      <c r="H144" s="1270">
        <v>5</v>
      </c>
      <c r="I144" s="2113" t="s">
        <v>1304</v>
      </c>
      <c r="J144" s="2113" t="s">
        <v>1304</v>
      </c>
      <c r="K144" s="2113" t="s">
        <v>1304</v>
      </c>
      <c r="L144" s="2113" t="s">
        <v>1304</v>
      </c>
      <c r="M144" s="2113" t="s">
        <v>1304</v>
      </c>
      <c r="N144" s="2113" t="s">
        <v>1304</v>
      </c>
      <c r="O144" s="2113" t="s">
        <v>1304</v>
      </c>
      <c r="P144" s="1267" t="s">
        <v>7981</v>
      </c>
      <c r="Q144" s="2527"/>
      <c r="R144" s="2522"/>
      <c r="S144" s="2527"/>
      <c r="T144" s="2527"/>
      <c r="U144" s="2527"/>
      <c r="V144" s="2527"/>
    </row>
    <row r="145" spans="2:22" ht="12.95" hidden="1" customHeight="1">
      <c r="B145" s="2472" t="s">
        <v>1721</v>
      </c>
      <c r="C145" s="128" t="s">
        <v>729</v>
      </c>
      <c r="D145" s="128" t="s">
        <v>844</v>
      </c>
      <c r="E145" s="128"/>
      <c r="F145" s="129">
        <v>5</v>
      </c>
      <c r="G145" s="129">
        <v>4</v>
      </c>
      <c r="H145" s="129">
        <v>6</v>
      </c>
      <c r="I145" s="2113" t="s">
        <v>1304</v>
      </c>
      <c r="J145" s="2113" t="s">
        <v>1304</v>
      </c>
      <c r="K145" s="2113" t="s">
        <v>1304</v>
      </c>
      <c r="L145" s="2113" t="s">
        <v>1304</v>
      </c>
      <c r="M145" s="2113" t="s">
        <v>1304</v>
      </c>
      <c r="N145" s="2113" t="s">
        <v>1304</v>
      </c>
      <c r="O145" s="2113" t="s">
        <v>1304</v>
      </c>
      <c r="P145" s="151" t="s">
        <v>7982</v>
      </c>
      <c r="Q145" s="2527"/>
      <c r="R145" s="2522"/>
      <c r="S145" s="2527"/>
      <c r="T145" s="2527"/>
      <c r="U145" s="2527"/>
      <c r="V145" s="2527"/>
    </row>
    <row r="146" spans="2:22" ht="12.95" hidden="1" customHeight="1">
      <c r="B146" s="2470" t="s">
        <v>377</v>
      </c>
      <c r="C146" s="1269" t="s">
        <v>729</v>
      </c>
      <c r="D146" s="1269" t="s">
        <v>755</v>
      </c>
      <c r="E146" s="1269"/>
      <c r="F146" s="1270">
        <v>5</v>
      </c>
      <c r="G146" s="1270">
        <v>6</v>
      </c>
      <c r="H146" s="1270">
        <v>14</v>
      </c>
      <c r="I146" s="2113" t="s">
        <v>1304</v>
      </c>
      <c r="J146" s="2113" t="s">
        <v>1304</v>
      </c>
      <c r="K146" s="2113" t="s">
        <v>1304</v>
      </c>
      <c r="L146" s="2113" t="s">
        <v>1304</v>
      </c>
      <c r="M146" s="2113" t="s">
        <v>1304</v>
      </c>
      <c r="N146" s="2113" t="s">
        <v>1304</v>
      </c>
      <c r="O146" s="2113" t="s">
        <v>1304</v>
      </c>
      <c r="P146" s="1272" t="s">
        <v>7666</v>
      </c>
      <c r="Q146" s="2527"/>
      <c r="R146" s="2522"/>
      <c r="S146" s="2527"/>
      <c r="T146" s="2527"/>
      <c r="U146" s="2527"/>
      <c r="V146" s="2527"/>
    </row>
    <row r="147" spans="2:22" ht="12.95" hidden="1" customHeight="1">
      <c r="B147" s="2472" t="s">
        <v>3458</v>
      </c>
      <c r="C147" s="128" t="s">
        <v>729</v>
      </c>
      <c r="D147" s="128" t="s">
        <v>755</v>
      </c>
      <c r="E147" s="128"/>
      <c r="F147" s="129">
        <v>6</v>
      </c>
      <c r="G147" s="130">
        <v>6</v>
      </c>
      <c r="H147" s="130">
        <v>14</v>
      </c>
      <c r="I147" s="2113" t="s">
        <v>7344</v>
      </c>
      <c r="J147" s="2113" t="s">
        <v>1304</v>
      </c>
      <c r="K147" s="2113" t="s">
        <v>1304</v>
      </c>
      <c r="L147" s="2113" t="s">
        <v>1304</v>
      </c>
      <c r="M147" s="2113" t="s">
        <v>1304</v>
      </c>
      <c r="N147" s="2113" t="s">
        <v>1304</v>
      </c>
      <c r="O147" s="2113" t="s">
        <v>1304</v>
      </c>
      <c r="P147" s="151" t="s">
        <v>7983</v>
      </c>
      <c r="Q147" s="2527"/>
      <c r="R147" s="2522"/>
      <c r="S147" s="2527"/>
      <c r="T147" s="2527"/>
      <c r="U147" s="2527"/>
      <c r="V147" s="2527"/>
    </row>
    <row r="148" spans="2:22" ht="12.95" hidden="1" customHeight="1">
      <c r="B148" s="2470" t="s">
        <v>2325</v>
      </c>
      <c r="C148" s="1269" t="s">
        <v>844</v>
      </c>
      <c r="D148" s="1269" t="s">
        <v>756</v>
      </c>
      <c r="E148" s="1269"/>
      <c r="F148" s="1270">
        <v>9</v>
      </c>
      <c r="G148" s="1270">
        <v>7</v>
      </c>
      <c r="H148" s="1270">
        <v>22</v>
      </c>
      <c r="I148" s="2113" t="s">
        <v>1304</v>
      </c>
      <c r="J148" s="2113" t="s">
        <v>1304</v>
      </c>
      <c r="K148" s="2113" t="s">
        <v>1304</v>
      </c>
      <c r="L148" s="2113" t="s">
        <v>1304</v>
      </c>
      <c r="M148" s="2113" t="s">
        <v>1304</v>
      </c>
      <c r="N148" s="2113" t="s">
        <v>1304</v>
      </c>
      <c r="O148" s="2113" t="s">
        <v>7344</v>
      </c>
      <c r="P148" s="1272" t="s">
        <v>7984</v>
      </c>
      <c r="Q148" s="2527"/>
      <c r="R148" s="2522"/>
      <c r="S148" s="2527"/>
      <c r="T148" s="2527"/>
      <c r="U148" s="2527"/>
      <c r="V148" s="2527"/>
    </row>
    <row r="149" spans="2:22" ht="12.95" hidden="1" customHeight="1">
      <c r="B149" s="2472" t="s">
        <v>3459</v>
      </c>
      <c r="C149" s="128" t="s">
        <v>844</v>
      </c>
      <c r="D149" s="128" t="s">
        <v>756</v>
      </c>
      <c r="E149" s="128"/>
      <c r="F149" s="129">
        <v>10</v>
      </c>
      <c r="G149" s="129">
        <v>8</v>
      </c>
      <c r="H149" s="130">
        <v>22</v>
      </c>
      <c r="I149" s="2113" t="s">
        <v>1304</v>
      </c>
      <c r="J149" s="2113" t="s">
        <v>1304</v>
      </c>
      <c r="K149" s="2113" t="s">
        <v>1304</v>
      </c>
      <c r="L149" s="2113" t="s">
        <v>1304</v>
      </c>
      <c r="M149" s="2113" t="s">
        <v>1304</v>
      </c>
      <c r="N149" s="2113" t="s">
        <v>1304</v>
      </c>
      <c r="O149" s="2113" t="s">
        <v>7344</v>
      </c>
      <c r="P149" s="1272" t="s">
        <v>7985</v>
      </c>
      <c r="Q149" s="2527"/>
      <c r="R149" s="2522"/>
      <c r="S149" s="2527"/>
      <c r="T149" s="2527"/>
      <c r="U149" s="2527"/>
      <c r="V149" s="2527"/>
    </row>
    <row r="150" spans="2:22" ht="12.95" hidden="1" customHeight="1">
      <c r="B150" s="2470" t="s">
        <v>490</v>
      </c>
      <c r="C150" s="1269" t="s">
        <v>2158</v>
      </c>
      <c r="D150" s="1269" t="s">
        <v>2137</v>
      </c>
      <c r="E150" s="1269"/>
      <c r="F150" s="1270">
        <v>9</v>
      </c>
      <c r="G150" s="1270">
        <v>9</v>
      </c>
      <c r="H150" s="1270">
        <v>25</v>
      </c>
      <c r="I150" s="2113" t="s">
        <v>1304</v>
      </c>
      <c r="J150" s="2113" t="s">
        <v>1304</v>
      </c>
      <c r="K150" s="2113" t="s">
        <v>1304</v>
      </c>
      <c r="L150" s="2113" t="s">
        <v>1304</v>
      </c>
      <c r="M150" s="2113" t="s">
        <v>1304</v>
      </c>
      <c r="N150" s="2113" t="s">
        <v>1304</v>
      </c>
      <c r="O150" s="2113" t="s">
        <v>7344</v>
      </c>
      <c r="P150" s="1272" t="s">
        <v>7986</v>
      </c>
      <c r="Q150" s="2527"/>
      <c r="R150" s="2522"/>
      <c r="S150" s="2527"/>
      <c r="T150" s="2527"/>
      <c r="U150" s="2527"/>
      <c r="V150" s="2527"/>
    </row>
    <row r="151" spans="2:22" ht="12.95" hidden="1" customHeight="1">
      <c r="B151" s="2472" t="s">
        <v>3460</v>
      </c>
      <c r="C151" s="128" t="s">
        <v>2158</v>
      </c>
      <c r="D151" s="128" t="s">
        <v>2137</v>
      </c>
      <c r="E151" s="128"/>
      <c r="F151" s="129">
        <v>10</v>
      </c>
      <c r="G151" s="129">
        <v>10</v>
      </c>
      <c r="H151" s="129">
        <v>30</v>
      </c>
      <c r="I151" s="2113" t="s">
        <v>1304</v>
      </c>
      <c r="J151" s="2113" t="s">
        <v>1304</v>
      </c>
      <c r="K151" s="2113" t="s">
        <v>1304</v>
      </c>
      <c r="L151" s="2113" t="s">
        <v>1304</v>
      </c>
      <c r="M151" s="2113" t="s">
        <v>1304</v>
      </c>
      <c r="N151" s="2113" t="s">
        <v>1304</v>
      </c>
      <c r="O151" s="2113" t="s">
        <v>7344</v>
      </c>
      <c r="P151" s="1272" t="s">
        <v>7987</v>
      </c>
      <c r="Q151" s="2527"/>
      <c r="R151" s="2522"/>
      <c r="S151" s="2527"/>
      <c r="T151" s="2527"/>
      <c r="U151" s="2527"/>
      <c r="V151" s="2527"/>
    </row>
    <row r="152" spans="2:22" ht="12.95" hidden="1" customHeight="1">
      <c r="B152" s="2470" t="s">
        <v>643</v>
      </c>
      <c r="C152" s="1269" t="s">
        <v>1458</v>
      </c>
      <c r="D152" s="1269" t="s">
        <v>1393</v>
      </c>
      <c r="E152" s="1269"/>
      <c r="F152" s="1270">
        <v>14</v>
      </c>
      <c r="G152" s="1270">
        <v>12</v>
      </c>
      <c r="H152" s="1270">
        <v>50</v>
      </c>
      <c r="I152" s="2113" t="s">
        <v>1304</v>
      </c>
      <c r="J152" s="2113" t="s">
        <v>1304</v>
      </c>
      <c r="K152" s="2113" t="s">
        <v>1304</v>
      </c>
      <c r="L152" s="2113" t="s">
        <v>1304</v>
      </c>
      <c r="M152" s="2113" t="s">
        <v>1304</v>
      </c>
      <c r="N152" s="2113" t="s">
        <v>1304</v>
      </c>
      <c r="O152" s="2113" t="s">
        <v>1304</v>
      </c>
      <c r="P152" s="1272" t="s">
        <v>7666</v>
      </c>
      <c r="Q152" s="2527"/>
      <c r="R152" s="2522"/>
      <c r="S152" s="2527"/>
      <c r="T152" s="2527"/>
      <c r="U152" s="2527"/>
      <c r="V152" s="2527"/>
    </row>
    <row r="153" spans="2:22" ht="12.95" hidden="1" customHeight="1">
      <c r="B153" s="2472" t="s">
        <v>3461</v>
      </c>
      <c r="C153" s="128" t="s">
        <v>1458</v>
      </c>
      <c r="D153" s="128" t="s">
        <v>1393</v>
      </c>
      <c r="E153" s="128"/>
      <c r="F153" s="129">
        <v>15</v>
      </c>
      <c r="G153" s="129">
        <v>15</v>
      </c>
      <c r="H153" s="130">
        <v>50</v>
      </c>
      <c r="I153" s="2113" t="s">
        <v>1304</v>
      </c>
      <c r="J153" s="2113" t="s">
        <v>1304</v>
      </c>
      <c r="K153" s="2113" t="s">
        <v>1304</v>
      </c>
      <c r="L153" s="2113" t="s">
        <v>1304</v>
      </c>
      <c r="M153" s="2113" t="s">
        <v>1304</v>
      </c>
      <c r="N153" s="2113" t="s">
        <v>1304</v>
      </c>
      <c r="O153" s="2113" t="s">
        <v>1304</v>
      </c>
      <c r="P153" s="151" t="s">
        <v>7666</v>
      </c>
      <c r="Q153" s="2527"/>
      <c r="R153" s="2522"/>
      <c r="S153" s="2527"/>
      <c r="T153" s="2527"/>
      <c r="U153" s="2527"/>
      <c r="V153" s="2527"/>
    </row>
    <row r="154" spans="2:22" ht="12.95" hidden="1" customHeight="1">
      <c r="B154" s="2470" t="s">
        <v>1054</v>
      </c>
      <c r="C154" s="1269" t="s">
        <v>1665</v>
      </c>
      <c r="D154" s="1269" t="s">
        <v>1393</v>
      </c>
      <c r="E154" s="1269"/>
      <c r="F154" s="1270">
        <v>15</v>
      </c>
      <c r="G154" s="1270">
        <v>13</v>
      </c>
      <c r="H154" s="1270">
        <v>80</v>
      </c>
      <c r="I154" s="2113" t="s">
        <v>1304</v>
      </c>
      <c r="J154" s="2113" t="s">
        <v>1304</v>
      </c>
      <c r="K154" s="2113" t="s">
        <v>1304</v>
      </c>
      <c r="L154" s="2113" t="s">
        <v>1304</v>
      </c>
      <c r="M154" s="2113" t="s">
        <v>1304</v>
      </c>
      <c r="N154" s="2113" t="s">
        <v>1304</v>
      </c>
      <c r="O154" s="2113" t="s">
        <v>1304</v>
      </c>
      <c r="P154" s="1272" t="s">
        <v>7666</v>
      </c>
      <c r="Q154" s="2527"/>
      <c r="R154" s="2522"/>
      <c r="S154" s="2527"/>
      <c r="T154" s="2527"/>
      <c r="U154" s="2527"/>
      <c r="V154" s="2527"/>
    </row>
    <row r="155" spans="2:22" ht="12.95" hidden="1" customHeight="1">
      <c r="B155" s="2472" t="s">
        <v>1053</v>
      </c>
      <c r="C155" s="128" t="s">
        <v>1665</v>
      </c>
      <c r="D155" s="128" t="s">
        <v>1393</v>
      </c>
      <c r="E155" s="128"/>
      <c r="F155" s="129">
        <v>16</v>
      </c>
      <c r="G155" s="129">
        <v>14</v>
      </c>
      <c r="H155" s="130">
        <v>80</v>
      </c>
      <c r="I155" s="2113" t="s">
        <v>1304</v>
      </c>
      <c r="J155" s="2113" t="s">
        <v>1304</v>
      </c>
      <c r="K155" s="2113" t="s">
        <v>1304</v>
      </c>
      <c r="L155" s="2113" t="s">
        <v>1304</v>
      </c>
      <c r="M155" s="2113" t="s">
        <v>1304</v>
      </c>
      <c r="N155" s="2113" t="s">
        <v>1304</v>
      </c>
      <c r="O155" s="2113" t="s">
        <v>1304</v>
      </c>
      <c r="P155" s="151" t="s">
        <v>7988</v>
      </c>
      <c r="Q155" s="2527"/>
      <c r="R155" s="2522"/>
      <c r="S155" s="2527"/>
      <c r="T155" s="2527"/>
      <c r="U155" s="2527"/>
      <c r="V155" s="2527"/>
    </row>
    <row r="156" spans="2:22" ht="12.95" hidden="1" customHeight="1">
      <c r="B156" s="2470" t="s">
        <v>1100</v>
      </c>
      <c r="C156" s="1269" t="s">
        <v>3177</v>
      </c>
      <c r="D156" s="1269" t="s">
        <v>1666</v>
      </c>
      <c r="E156" s="1269"/>
      <c r="F156" s="1270">
        <v>19</v>
      </c>
      <c r="G156" s="1270">
        <v>19</v>
      </c>
      <c r="H156" s="1270">
        <v>180</v>
      </c>
      <c r="I156" s="2113" t="s">
        <v>1304</v>
      </c>
      <c r="J156" s="2113" t="s">
        <v>1304</v>
      </c>
      <c r="K156" s="2113" t="s">
        <v>1304</v>
      </c>
      <c r="L156" s="2113" t="s">
        <v>1304</v>
      </c>
      <c r="M156" s="2113" t="s">
        <v>1304</v>
      </c>
      <c r="N156" s="2113" t="s">
        <v>1304</v>
      </c>
      <c r="O156" s="2113" t="s">
        <v>1304</v>
      </c>
      <c r="P156" s="1272" t="s">
        <v>7989</v>
      </c>
      <c r="Q156" s="2527"/>
      <c r="R156" s="2522"/>
      <c r="S156" s="2527"/>
      <c r="T156" s="2527"/>
      <c r="U156" s="2527"/>
      <c r="V156" s="2527"/>
    </row>
    <row r="157" spans="2:22" ht="12.95" hidden="1" customHeight="1" thickBot="1">
      <c r="B157" s="2472" t="s">
        <v>3462</v>
      </c>
      <c r="C157" s="128" t="s">
        <v>3177</v>
      </c>
      <c r="D157" s="128" t="s">
        <v>1666</v>
      </c>
      <c r="E157" s="128"/>
      <c r="F157" s="129">
        <v>25</v>
      </c>
      <c r="G157" s="129">
        <v>25</v>
      </c>
      <c r="H157" s="129">
        <v>300</v>
      </c>
      <c r="I157" s="2113" t="s">
        <v>1304</v>
      </c>
      <c r="J157" s="2113" t="s">
        <v>1304</v>
      </c>
      <c r="K157" s="2113" t="s">
        <v>1304</v>
      </c>
      <c r="L157" s="2113" t="s">
        <v>1304</v>
      </c>
      <c r="M157" s="2113" t="s">
        <v>1304</v>
      </c>
      <c r="N157" s="2113" t="s">
        <v>1304</v>
      </c>
      <c r="O157" s="2113" t="s">
        <v>1304</v>
      </c>
      <c r="P157" s="152" t="s">
        <v>7990</v>
      </c>
      <c r="Q157" s="2527"/>
      <c r="R157" s="2522"/>
      <c r="S157" s="2527"/>
      <c r="T157" s="2527"/>
      <c r="U157" s="2527"/>
      <c r="V157" s="2527"/>
    </row>
    <row r="158" spans="2:22" ht="12.95" hidden="1" customHeight="1">
      <c r="B158" s="2470" t="s">
        <v>1534</v>
      </c>
      <c r="C158" s="1269" t="s">
        <v>729</v>
      </c>
      <c r="D158" s="1269" t="s">
        <v>2135</v>
      </c>
      <c r="E158" s="1269"/>
      <c r="F158" s="1270">
        <v>2</v>
      </c>
      <c r="G158" s="1270">
        <v>3</v>
      </c>
      <c r="H158" s="1270">
        <v>4</v>
      </c>
      <c r="I158" s="2113" t="s">
        <v>1304</v>
      </c>
      <c r="J158" s="2113" t="s">
        <v>1304</v>
      </c>
      <c r="K158" s="2113" t="s">
        <v>1304</v>
      </c>
      <c r="L158" s="2113" t="s">
        <v>1304</v>
      </c>
      <c r="M158" s="2113" t="s">
        <v>1304</v>
      </c>
      <c r="N158" s="2113" t="s">
        <v>1304</v>
      </c>
      <c r="O158" s="2113" t="s">
        <v>1304</v>
      </c>
      <c r="P158" s="1285" t="s">
        <v>7666</v>
      </c>
      <c r="Q158" s="2527"/>
      <c r="R158" s="2522"/>
      <c r="S158" s="2527"/>
      <c r="T158" s="2527"/>
      <c r="U158" s="2527"/>
      <c r="V158" s="2527"/>
    </row>
    <row r="159" spans="2:22" ht="12.95" hidden="1" customHeight="1">
      <c r="B159" s="2472" t="s">
        <v>1535</v>
      </c>
      <c r="C159" s="128" t="s">
        <v>729</v>
      </c>
      <c r="D159" s="128" t="s">
        <v>2135</v>
      </c>
      <c r="E159" s="128"/>
      <c r="F159" s="129">
        <v>4</v>
      </c>
      <c r="G159" s="129">
        <v>4</v>
      </c>
      <c r="H159" s="130">
        <v>4</v>
      </c>
      <c r="I159" s="2113" t="s">
        <v>1304</v>
      </c>
      <c r="J159" s="2113" t="s">
        <v>1304</v>
      </c>
      <c r="K159" s="2113" t="s">
        <v>1304</v>
      </c>
      <c r="L159" s="2113" t="s">
        <v>1304</v>
      </c>
      <c r="M159" s="2113" t="s">
        <v>1304</v>
      </c>
      <c r="N159" s="2113" t="s">
        <v>1304</v>
      </c>
      <c r="O159" s="2113" t="s">
        <v>1304</v>
      </c>
      <c r="P159" s="151" t="s">
        <v>7666</v>
      </c>
      <c r="Q159" s="2527"/>
      <c r="R159" s="2522"/>
      <c r="S159" s="2527"/>
      <c r="T159" s="2527"/>
      <c r="U159" s="2527"/>
      <c r="V159" s="2527"/>
    </row>
    <row r="160" spans="2:22" ht="12.95" hidden="1" customHeight="1">
      <c r="B160" s="2470" t="s">
        <v>375</v>
      </c>
      <c r="C160" s="1269" t="s">
        <v>2135</v>
      </c>
      <c r="D160" s="1269" t="s">
        <v>755</v>
      </c>
      <c r="E160" s="1269"/>
      <c r="F160" s="1270">
        <v>6</v>
      </c>
      <c r="G160" s="1270">
        <v>4</v>
      </c>
      <c r="H160" s="1270">
        <v>13</v>
      </c>
      <c r="I160" s="2113" t="s">
        <v>1304</v>
      </c>
      <c r="J160" s="2113" t="s">
        <v>1304</v>
      </c>
      <c r="K160" s="2113" t="s">
        <v>1304</v>
      </c>
      <c r="L160" s="2113" t="s">
        <v>1304</v>
      </c>
      <c r="M160" s="2113" t="s">
        <v>1304</v>
      </c>
      <c r="N160" s="2113" t="s">
        <v>1304</v>
      </c>
      <c r="O160" s="2113" t="s">
        <v>7344</v>
      </c>
      <c r="P160" s="1272" t="s">
        <v>7666</v>
      </c>
      <c r="Q160" s="2527"/>
      <c r="R160" s="2522"/>
      <c r="S160" s="2527"/>
      <c r="T160" s="2527"/>
      <c r="U160" s="2527"/>
      <c r="V160" s="2527"/>
    </row>
    <row r="161" spans="2:22" ht="12.95" hidden="1" customHeight="1">
      <c r="B161" s="2472" t="s">
        <v>1593</v>
      </c>
      <c r="C161" s="128" t="s">
        <v>2135</v>
      </c>
      <c r="D161" s="128" t="s">
        <v>755</v>
      </c>
      <c r="E161" s="128"/>
      <c r="F161" s="129">
        <v>7</v>
      </c>
      <c r="G161" s="130">
        <v>4</v>
      </c>
      <c r="H161" s="130">
        <v>13</v>
      </c>
      <c r="I161" s="2113" t="s">
        <v>1304</v>
      </c>
      <c r="J161" s="2113" t="s">
        <v>1304</v>
      </c>
      <c r="K161" s="2113" t="s">
        <v>1304</v>
      </c>
      <c r="L161" s="2113" t="s">
        <v>1304</v>
      </c>
      <c r="M161" s="2113" t="s">
        <v>1304</v>
      </c>
      <c r="N161" s="2113" t="s">
        <v>1304</v>
      </c>
      <c r="O161" s="2113" t="s">
        <v>7344</v>
      </c>
      <c r="P161" s="151" t="s">
        <v>7991</v>
      </c>
      <c r="Q161" s="2527"/>
      <c r="R161" s="2522"/>
      <c r="S161" s="2527"/>
      <c r="T161" s="2527"/>
      <c r="U161" s="2527"/>
      <c r="V161" s="2527"/>
    </row>
    <row r="162" spans="2:22" ht="12.95" hidden="1" customHeight="1">
      <c r="B162" s="2470" t="s">
        <v>1518</v>
      </c>
      <c r="C162" s="1269" t="s">
        <v>2135</v>
      </c>
      <c r="D162" s="1269" t="s">
        <v>1888</v>
      </c>
      <c r="E162" s="1269"/>
      <c r="F162" s="1270">
        <v>10</v>
      </c>
      <c r="G162" s="1270">
        <v>6</v>
      </c>
      <c r="H162" s="1270">
        <v>25</v>
      </c>
      <c r="I162" s="2113" t="s">
        <v>1304</v>
      </c>
      <c r="J162" s="2113" t="s">
        <v>1304</v>
      </c>
      <c r="K162" s="2113" t="s">
        <v>1304</v>
      </c>
      <c r="L162" s="2113" t="s">
        <v>1304</v>
      </c>
      <c r="M162" s="2113" t="s">
        <v>1304</v>
      </c>
      <c r="N162" s="2113" t="s">
        <v>1304</v>
      </c>
      <c r="O162" s="2113" t="s">
        <v>1304</v>
      </c>
      <c r="P162" s="1272" t="s">
        <v>7666</v>
      </c>
      <c r="Q162" s="2527"/>
      <c r="R162" s="2522"/>
      <c r="S162" s="2527"/>
      <c r="T162" s="2527"/>
      <c r="U162" s="2527"/>
      <c r="V162" s="2527"/>
    </row>
    <row r="163" spans="2:22" ht="12.95" hidden="1" customHeight="1">
      <c r="B163" s="2472" t="s">
        <v>2323</v>
      </c>
      <c r="C163" s="128" t="s">
        <v>2135</v>
      </c>
      <c r="D163" s="128" t="s">
        <v>1888</v>
      </c>
      <c r="E163" s="128"/>
      <c r="F163" s="130">
        <v>10</v>
      </c>
      <c r="G163" s="129">
        <v>8</v>
      </c>
      <c r="H163" s="130">
        <v>25</v>
      </c>
      <c r="I163" s="2113" t="s">
        <v>7344</v>
      </c>
      <c r="J163" s="2113" t="s">
        <v>1304</v>
      </c>
      <c r="K163" s="2113" t="s">
        <v>1304</v>
      </c>
      <c r="L163" s="2113" t="s">
        <v>1304</v>
      </c>
      <c r="M163" s="2113" t="s">
        <v>1304</v>
      </c>
      <c r="N163" s="2113" t="s">
        <v>1304</v>
      </c>
      <c r="O163" s="2113" t="s">
        <v>1304</v>
      </c>
      <c r="P163" s="151" t="s">
        <v>7992</v>
      </c>
      <c r="Q163" s="2527"/>
      <c r="R163" s="2522"/>
      <c r="S163" s="2527"/>
      <c r="T163" s="2527"/>
      <c r="U163" s="2527"/>
      <c r="V163" s="2527"/>
    </row>
    <row r="164" spans="2:22" ht="12.95" hidden="1" customHeight="1">
      <c r="B164" s="2470" t="s">
        <v>1686</v>
      </c>
      <c r="C164" s="1269" t="s">
        <v>1888</v>
      </c>
      <c r="D164" s="1269" t="s">
        <v>3157</v>
      </c>
      <c r="E164" s="1269"/>
      <c r="F164" s="1270">
        <v>10</v>
      </c>
      <c r="G164" s="1270">
        <v>10</v>
      </c>
      <c r="H164" s="1270">
        <v>35</v>
      </c>
      <c r="I164" s="2113" t="s">
        <v>1304</v>
      </c>
      <c r="J164" s="2113" t="s">
        <v>1304</v>
      </c>
      <c r="K164" s="2113" t="s">
        <v>1304</v>
      </c>
      <c r="L164" s="2113" t="s">
        <v>1304</v>
      </c>
      <c r="M164" s="2113" t="s">
        <v>1304</v>
      </c>
      <c r="N164" s="2113" t="s">
        <v>1304</v>
      </c>
      <c r="O164" s="2113" t="s">
        <v>1304</v>
      </c>
      <c r="P164" s="1272" t="s">
        <v>7666</v>
      </c>
      <c r="Q164" s="2527"/>
      <c r="R164" s="2522"/>
      <c r="S164" s="2527"/>
      <c r="T164" s="2527"/>
      <c r="U164" s="2527"/>
      <c r="V164" s="2527"/>
    </row>
    <row r="165" spans="2:22" ht="12.95" hidden="1" customHeight="1">
      <c r="B165" s="2472" t="s">
        <v>1519</v>
      </c>
      <c r="C165" s="128" t="s">
        <v>1888</v>
      </c>
      <c r="D165" s="128" t="s">
        <v>3157</v>
      </c>
      <c r="E165" s="128"/>
      <c r="F165" s="130">
        <v>10</v>
      </c>
      <c r="G165" s="130">
        <v>10</v>
      </c>
      <c r="H165" s="129">
        <v>40</v>
      </c>
      <c r="I165" s="2113" t="s">
        <v>1304</v>
      </c>
      <c r="J165" s="2113" t="s">
        <v>1304</v>
      </c>
      <c r="K165" s="2113" t="s">
        <v>1304</v>
      </c>
      <c r="L165" s="2113" t="s">
        <v>1304</v>
      </c>
      <c r="M165" s="2113" t="s">
        <v>1304</v>
      </c>
      <c r="N165" s="2113" t="s">
        <v>1304</v>
      </c>
      <c r="O165" s="2113" t="s">
        <v>1304</v>
      </c>
      <c r="P165" s="151" t="s">
        <v>7666</v>
      </c>
      <c r="Q165" s="2527"/>
      <c r="R165" s="2522"/>
      <c r="S165" s="2527"/>
      <c r="T165" s="2527"/>
      <c r="U165" s="2527"/>
      <c r="V165" s="2527"/>
    </row>
    <row r="166" spans="2:22" ht="12.95" hidden="1" customHeight="1">
      <c r="B166" s="2470" t="s">
        <v>1520</v>
      </c>
      <c r="C166" s="1269" t="s">
        <v>3477</v>
      </c>
      <c r="D166" s="1269" t="s">
        <v>3159</v>
      </c>
      <c r="E166" s="1269"/>
      <c r="F166" s="1270">
        <v>13</v>
      </c>
      <c r="G166" s="1270">
        <v>13</v>
      </c>
      <c r="H166" s="1270">
        <v>45</v>
      </c>
      <c r="I166" s="2113" t="s">
        <v>1304</v>
      </c>
      <c r="J166" s="2113" t="s">
        <v>1304</v>
      </c>
      <c r="K166" s="2113" t="s">
        <v>1304</v>
      </c>
      <c r="L166" s="2113" t="s">
        <v>1304</v>
      </c>
      <c r="M166" s="2113" t="s">
        <v>1304</v>
      </c>
      <c r="N166" s="2113" t="s">
        <v>1304</v>
      </c>
      <c r="O166" s="2113" t="s">
        <v>1304</v>
      </c>
      <c r="P166" s="1272" t="s">
        <v>7666</v>
      </c>
      <c r="Q166" s="2527"/>
      <c r="R166" s="2522"/>
      <c r="S166" s="2527"/>
      <c r="T166" s="2527"/>
      <c r="U166" s="2527"/>
      <c r="V166" s="2527"/>
    </row>
    <row r="167" spans="2:22" ht="12.95" hidden="1" customHeight="1">
      <c r="B167" s="2472" t="s">
        <v>1521</v>
      </c>
      <c r="C167" s="128" t="s">
        <v>3477</v>
      </c>
      <c r="D167" s="128" t="s">
        <v>3159</v>
      </c>
      <c r="E167" s="128"/>
      <c r="F167" s="130">
        <v>13</v>
      </c>
      <c r="G167" s="130">
        <v>13</v>
      </c>
      <c r="H167" s="130">
        <v>45</v>
      </c>
      <c r="I167" s="2113" t="s">
        <v>1304</v>
      </c>
      <c r="J167" s="2113" t="s">
        <v>1304</v>
      </c>
      <c r="K167" s="2113" t="s">
        <v>1304</v>
      </c>
      <c r="L167" s="2113" t="s">
        <v>1304</v>
      </c>
      <c r="M167" s="2113" t="s">
        <v>1304</v>
      </c>
      <c r="N167" s="2113" t="s">
        <v>1304</v>
      </c>
      <c r="O167" s="2113" t="s">
        <v>1304</v>
      </c>
      <c r="P167" s="151" t="s">
        <v>7666</v>
      </c>
      <c r="Q167" s="2527"/>
      <c r="R167" s="2522"/>
      <c r="S167" s="2527"/>
      <c r="T167" s="2527"/>
      <c r="U167" s="2527"/>
      <c r="V167" s="2527"/>
    </row>
    <row r="168" spans="2:22" ht="12.95" hidden="1" customHeight="1">
      <c r="B168" s="2470" t="s">
        <v>3063</v>
      </c>
      <c r="C168" s="1269" t="s">
        <v>1640</v>
      </c>
      <c r="D168" s="1269" t="s">
        <v>2010</v>
      </c>
      <c r="E168" s="1269"/>
      <c r="F168" s="1270">
        <v>16</v>
      </c>
      <c r="G168" s="1270">
        <v>12</v>
      </c>
      <c r="H168" s="1270">
        <v>90</v>
      </c>
      <c r="I168" s="2113" t="s">
        <v>1304</v>
      </c>
      <c r="J168" s="2113" t="s">
        <v>1304</v>
      </c>
      <c r="K168" s="2113" t="s">
        <v>1304</v>
      </c>
      <c r="L168" s="2113" t="s">
        <v>1304</v>
      </c>
      <c r="M168" s="2113" t="s">
        <v>1304</v>
      </c>
      <c r="N168" s="2113" t="s">
        <v>1304</v>
      </c>
      <c r="O168" s="2113" t="s">
        <v>1304</v>
      </c>
      <c r="P168" s="1272" t="s">
        <v>7995</v>
      </c>
      <c r="Q168" s="2527"/>
      <c r="R168" s="2522"/>
      <c r="S168" s="2527"/>
      <c r="T168" s="2527"/>
      <c r="U168" s="2527"/>
      <c r="V168" s="2527"/>
    </row>
    <row r="169" spans="2:22" ht="12.95" hidden="1" customHeight="1">
      <c r="B169" s="2472" t="s">
        <v>3463</v>
      </c>
      <c r="C169" s="128" t="s">
        <v>1640</v>
      </c>
      <c r="D169" s="128" t="s">
        <v>2010</v>
      </c>
      <c r="E169" s="128"/>
      <c r="F169" s="130">
        <v>16</v>
      </c>
      <c r="G169" s="129">
        <v>14</v>
      </c>
      <c r="H169" s="130">
        <v>90</v>
      </c>
      <c r="I169" s="2113" t="s">
        <v>1304</v>
      </c>
      <c r="J169" s="2113" t="s">
        <v>1304</v>
      </c>
      <c r="K169" s="2113" t="s">
        <v>1304</v>
      </c>
      <c r="L169" s="2113" t="s">
        <v>1304</v>
      </c>
      <c r="M169" s="2113" t="s">
        <v>1304</v>
      </c>
      <c r="N169" s="2113" t="s">
        <v>1304</v>
      </c>
      <c r="O169" s="2113" t="s">
        <v>1304</v>
      </c>
      <c r="P169" s="151" t="s">
        <v>7996</v>
      </c>
      <c r="Q169" s="2527"/>
      <c r="R169" s="2522"/>
      <c r="S169" s="2527"/>
      <c r="T169" s="2527"/>
      <c r="U169" s="2527"/>
      <c r="V169" s="2527"/>
    </row>
    <row r="170" spans="2:22" ht="12.95" hidden="1" customHeight="1">
      <c r="B170" s="2470" t="s">
        <v>1941</v>
      </c>
      <c r="C170" s="1269" t="s">
        <v>561</v>
      </c>
      <c r="D170" s="1269" t="s">
        <v>3177</v>
      </c>
      <c r="E170" s="1269"/>
      <c r="F170" s="1270">
        <v>19</v>
      </c>
      <c r="G170" s="1270">
        <v>21</v>
      </c>
      <c r="H170" s="1270">
        <v>160</v>
      </c>
      <c r="I170" s="2113" t="s">
        <v>7344</v>
      </c>
      <c r="J170" s="2113" t="s">
        <v>1304</v>
      </c>
      <c r="K170" s="2113" t="s">
        <v>1304</v>
      </c>
      <c r="L170" s="2113" t="s">
        <v>1304</v>
      </c>
      <c r="M170" s="2113" t="s">
        <v>1304</v>
      </c>
      <c r="N170" s="2113" t="s">
        <v>1304</v>
      </c>
      <c r="O170" s="2113" t="s">
        <v>1304</v>
      </c>
      <c r="P170" s="1272" t="s">
        <v>7994</v>
      </c>
      <c r="Q170" s="2527"/>
      <c r="R170" s="2522"/>
      <c r="S170" s="2527"/>
      <c r="T170" s="2527"/>
      <c r="U170" s="2527"/>
      <c r="V170" s="2527"/>
    </row>
    <row r="171" spans="2:22" ht="12.95" hidden="1" customHeight="1" thickBot="1">
      <c r="B171" s="2472" t="s">
        <v>1222</v>
      </c>
      <c r="C171" s="128" t="s">
        <v>561</v>
      </c>
      <c r="D171" s="128" t="s">
        <v>3177</v>
      </c>
      <c r="E171" s="128"/>
      <c r="F171" s="129">
        <v>26</v>
      </c>
      <c r="G171" s="129">
        <v>28</v>
      </c>
      <c r="H171" s="129">
        <v>200</v>
      </c>
      <c r="I171" s="2113" t="s">
        <v>7344</v>
      </c>
      <c r="J171" s="2113" t="s">
        <v>1304</v>
      </c>
      <c r="K171" s="2113" t="s">
        <v>1304</v>
      </c>
      <c r="L171" s="2113" t="s">
        <v>1304</v>
      </c>
      <c r="M171" s="2113" t="s">
        <v>1304</v>
      </c>
      <c r="N171" s="2113" t="s">
        <v>1304</v>
      </c>
      <c r="O171" s="2113" t="s">
        <v>1304</v>
      </c>
      <c r="P171" s="2521" t="s">
        <v>7993</v>
      </c>
      <c r="Q171" s="2527"/>
      <c r="R171" s="2522"/>
      <c r="S171" s="2527"/>
      <c r="T171" s="2527"/>
      <c r="U171" s="2527"/>
      <c r="V171" s="2527"/>
    </row>
    <row r="172" spans="2:22" ht="12.95" hidden="1" customHeight="1">
      <c r="B172" s="2470" t="s">
        <v>1540</v>
      </c>
      <c r="C172" s="1269" t="s">
        <v>2135</v>
      </c>
      <c r="D172" s="1269" t="s">
        <v>844</v>
      </c>
      <c r="E172" s="1269"/>
      <c r="F172" s="1270">
        <v>3</v>
      </c>
      <c r="G172" s="1270">
        <v>5</v>
      </c>
      <c r="H172" s="1270">
        <v>6</v>
      </c>
      <c r="I172" s="2113" t="s">
        <v>1304</v>
      </c>
      <c r="J172" s="2113" t="s">
        <v>1304</v>
      </c>
      <c r="K172" s="2113" t="s">
        <v>1304</v>
      </c>
      <c r="L172" s="2113" t="s">
        <v>1304</v>
      </c>
      <c r="M172" s="2113" t="s">
        <v>1304</v>
      </c>
      <c r="N172" s="2113" t="s">
        <v>1304</v>
      </c>
      <c r="O172" s="2113" t="s">
        <v>1304</v>
      </c>
      <c r="P172" s="1267" t="s">
        <v>7666</v>
      </c>
      <c r="Q172" s="2527"/>
      <c r="R172" s="2522"/>
      <c r="S172" s="2527"/>
      <c r="T172" s="2527"/>
      <c r="U172" s="2527"/>
      <c r="V172" s="2527"/>
    </row>
    <row r="173" spans="2:22" ht="12.95" hidden="1" customHeight="1">
      <c r="B173" s="2472" t="s">
        <v>3464</v>
      </c>
      <c r="C173" s="128" t="s">
        <v>2135</v>
      </c>
      <c r="D173" s="128" t="s">
        <v>844</v>
      </c>
      <c r="E173" s="128"/>
      <c r="F173" s="129">
        <v>4</v>
      </c>
      <c r="G173" s="129">
        <v>6</v>
      </c>
      <c r="H173" s="130">
        <v>6</v>
      </c>
      <c r="I173" s="2113" t="s">
        <v>1304</v>
      </c>
      <c r="J173" s="2113" t="s">
        <v>1304</v>
      </c>
      <c r="K173" s="2113" t="s">
        <v>1304</v>
      </c>
      <c r="L173" s="2113" t="s">
        <v>1304</v>
      </c>
      <c r="M173" s="2113" t="s">
        <v>1304</v>
      </c>
      <c r="N173" s="2113" t="s">
        <v>1304</v>
      </c>
      <c r="O173" s="2113" t="s">
        <v>1304</v>
      </c>
      <c r="P173" s="151" t="s">
        <v>7666</v>
      </c>
      <c r="Q173" s="2527"/>
      <c r="R173" s="2522"/>
      <c r="S173" s="2527"/>
      <c r="T173" s="2527"/>
      <c r="U173" s="2527"/>
      <c r="V173" s="2527"/>
    </row>
    <row r="174" spans="2:22" ht="12.95" hidden="1" customHeight="1">
      <c r="B174" s="2470" t="s">
        <v>378</v>
      </c>
      <c r="C174" s="1269" t="s">
        <v>2135</v>
      </c>
      <c r="D174" s="1269" t="s">
        <v>844</v>
      </c>
      <c r="E174" s="1269"/>
      <c r="F174" s="1270">
        <v>5</v>
      </c>
      <c r="G174" s="1270">
        <v>6</v>
      </c>
      <c r="H174" s="1270">
        <v>14</v>
      </c>
      <c r="I174" s="2113" t="s">
        <v>1304</v>
      </c>
      <c r="J174" s="2113" t="s">
        <v>1304</v>
      </c>
      <c r="K174" s="2113" t="s">
        <v>1304</v>
      </c>
      <c r="L174" s="2113" t="s">
        <v>1304</v>
      </c>
      <c r="M174" s="2113" t="s">
        <v>1304</v>
      </c>
      <c r="N174" s="2113" t="s">
        <v>1304</v>
      </c>
      <c r="O174" s="2113" t="s">
        <v>7344</v>
      </c>
      <c r="P174" s="1272" t="s">
        <v>7666</v>
      </c>
      <c r="Q174" s="2527"/>
      <c r="R174" s="2522"/>
      <c r="S174" s="2527"/>
      <c r="T174" s="2527"/>
      <c r="U174" s="2527"/>
      <c r="V174" s="2527"/>
    </row>
    <row r="175" spans="2:22" ht="12.95" hidden="1" customHeight="1">
      <c r="B175" s="2472" t="s">
        <v>3465</v>
      </c>
      <c r="C175" s="128" t="s">
        <v>2135</v>
      </c>
      <c r="D175" s="135" t="s">
        <v>756</v>
      </c>
      <c r="E175" s="135"/>
      <c r="F175" s="129">
        <v>6</v>
      </c>
      <c r="G175" s="129">
        <v>8</v>
      </c>
      <c r="H175" s="129">
        <v>15</v>
      </c>
      <c r="I175" s="2113" t="s">
        <v>1304</v>
      </c>
      <c r="J175" s="2113" t="s">
        <v>1304</v>
      </c>
      <c r="K175" s="2113" t="s">
        <v>1304</v>
      </c>
      <c r="L175" s="2113" t="s">
        <v>1304</v>
      </c>
      <c r="M175" s="2113" t="s">
        <v>1304</v>
      </c>
      <c r="N175" s="2113" t="s">
        <v>1304</v>
      </c>
      <c r="O175" s="2113" t="s">
        <v>7344</v>
      </c>
      <c r="P175" s="151" t="s">
        <v>7666</v>
      </c>
      <c r="Q175" s="2527"/>
      <c r="R175" s="2522"/>
      <c r="S175" s="2527"/>
      <c r="T175" s="2527"/>
      <c r="U175" s="2527"/>
      <c r="V175" s="2527"/>
    </row>
    <row r="176" spans="2:22" ht="12.95" hidden="1" customHeight="1">
      <c r="B176" s="2470" t="s">
        <v>1595</v>
      </c>
      <c r="C176" s="1269" t="s">
        <v>2135</v>
      </c>
      <c r="D176" s="1269" t="s">
        <v>756</v>
      </c>
      <c r="E176" s="1269"/>
      <c r="F176" s="1270">
        <v>7</v>
      </c>
      <c r="G176" s="1270">
        <v>9</v>
      </c>
      <c r="H176" s="1270">
        <v>20</v>
      </c>
      <c r="I176" s="2113" t="s">
        <v>1304</v>
      </c>
      <c r="J176" s="2113" t="s">
        <v>1304</v>
      </c>
      <c r="K176" s="2113" t="s">
        <v>1304</v>
      </c>
      <c r="L176" s="2113" t="s">
        <v>1304</v>
      </c>
      <c r="M176" s="2113" t="s">
        <v>1304</v>
      </c>
      <c r="N176" s="2113" t="s">
        <v>1304</v>
      </c>
      <c r="O176" s="2113" t="s">
        <v>1304</v>
      </c>
      <c r="P176" s="1272" t="s">
        <v>7997</v>
      </c>
      <c r="Q176" s="2527"/>
      <c r="R176" s="2522"/>
      <c r="S176" s="2527"/>
      <c r="T176" s="2527"/>
      <c r="U176" s="2527"/>
      <c r="V176" s="2527"/>
    </row>
    <row r="177" spans="2:22" ht="12.95" hidden="1" customHeight="1">
      <c r="B177" s="2472" t="s">
        <v>612</v>
      </c>
      <c r="C177" s="128" t="s">
        <v>2135</v>
      </c>
      <c r="D177" s="128" t="s">
        <v>756</v>
      </c>
      <c r="E177" s="128"/>
      <c r="F177" s="129">
        <v>8</v>
      </c>
      <c r="G177" s="129">
        <v>10</v>
      </c>
      <c r="H177" s="130">
        <v>20</v>
      </c>
      <c r="I177" s="2113" t="s">
        <v>1304</v>
      </c>
      <c r="J177" s="2113" t="s">
        <v>1304</v>
      </c>
      <c r="K177" s="2113" t="s">
        <v>1304</v>
      </c>
      <c r="L177" s="2113" t="s">
        <v>1304</v>
      </c>
      <c r="M177" s="2113" t="s">
        <v>1304</v>
      </c>
      <c r="N177" s="2113" t="s">
        <v>1304</v>
      </c>
      <c r="O177" s="2113" t="s">
        <v>1304</v>
      </c>
      <c r="P177" s="1272" t="s">
        <v>7998</v>
      </c>
      <c r="Q177" s="2527"/>
      <c r="R177" s="2522"/>
      <c r="S177" s="2527"/>
      <c r="T177" s="2527"/>
      <c r="U177" s="2527"/>
      <c r="V177" s="2527"/>
    </row>
    <row r="178" spans="2:22" ht="12.95" hidden="1" customHeight="1">
      <c r="B178" s="2470" t="s">
        <v>1947</v>
      </c>
      <c r="C178" s="1269" t="s">
        <v>2158</v>
      </c>
      <c r="D178" s="1269" t="s">
        <v>2136</v>
      </c>
      <c r="E178" s="1269"/>
      <c r="F178" s="1270">
        <v>11</v>
      </c>
      <c r="G178" s="1270">
        <v>11</v>
      </c>
      <c r="H178" s="1270">
        <v>35</v>
      </c>
      <c r="I178" s="2113" t="s">
        <v>1304</v>
      </c>
      <c r="J178" s="2113" t="s">
        <v>1304</v>
      </c>
      <c r="K178" s="2113" t="s">
        <v>1304</v>
      </c>
      <c r="L178" s="2113" t="s">
        <v>1304</v>
      </c>
      <c r="M178" s="2113" t="s">
        <v>1304</v>
      </c>
      <c r="N178" s="2113" t="s">
        <v>1304</v>
      </c>
      <c r="O178" s="2113" t="s">
        <v>1304</v>
      </c>
      <c r="P178" s="1286" t="s">
        <v>7999</v>
      </c>
      <c r="Q178" s="2527"/>
      <c r="R178" s="2522"/>
      <c r="S178" s="2527"/>
      <c r="T178" s="2527"/>
      <c r="U178" s="2527"/>
      <c r="V178" s="2527"/>
    </row>
    <row r="179" spans="2:22" ht="12.95" hidden="1" customHeight="1">
      <c r="B179" s="2472" t="s">
        <v>2545</v>
      </c>
      <c r="C179" s="128" t="s">
        <v>2158</v>
      </c>
      <c r="D179" s="128" t="s">
        <v>2136</v>
      </c>
      <c r="E179" s="128"/>
      <c r="F179" s="129">
        <v>12</v>
      </c>
      <c r="G179" s="129">
        <v>12</v>
      </c>
      <c r="H179" s="129">
        <v>40</v>
      </c>
      <c r="I179" s="2113" t="s">
        <v>1304</v>
      </c>
      <c r="J179" s="2113" t="s">
        <v>1304</v>
      </c>
      <c r="K179" s="2113" t="s">
        <v>1304</v>
      </c>
      <c r="L179" s="2113" t="s">
        <v>1304</v>
      </c>
      <c r="M179" s="2113" t="s">
        <v>1304</v>
      </c>
      <c r="N179" s="2113" t="s">
        <v>1304</v>
      </c>
      <c r="O179" s="2113" t="s">
        <v>1304</v>
      </c>
      <c r="P179" s="153" t="s">
        <v>8000</v>
      </c>
      <c r="Q179" s="2527"/>
      <c r="R179" s="2522"/>
      <c r="S179" s="2527"/>
      <c r="T179" s="2527"/>
      <c r="U179" s="2527"/>
      <c r="V179" s="2527"/>
    </row>
    <row r="180" spans="2:22" ht="12.95" hidden="1" customHeight="1">
      <c r="B180" s="2470" t="s">
        <v>641</v>
      </c>
      <c r="C180" s="1269" t="s">
        <v>1458</v>
      </c>
      <c r="D180" s="1269" t="s">
        <v>1640</v>
      </c>
      <c r="E180" s="1269"/>
      <c r="F180" s="1270">
        <v>10</v>
      </c>
      <c r="G180" s="1270">
        <v>14</v>
      </c>
      <c r="H180" s="1270">
        <v>70</v>
      </c>
      <c r="I180" s="2113" t="s">
        <v>1304</v>
      </c>
      <c r="J180" s="2113" t="s">
        <v>1304</v>
      </c>
      <c r="K180" s="2113" t="s">
        <v>1304</v>
      </c>
      <c r="L180" s="2113" t="s">
        <v>1304</v>
      </c>
      <c r="M180" s="2113" t="s">
        <v>1304</v>
      </c>
      <c r="N180" s="2113" t="s">
        <v>1304</v>
      </c>
      <c r="O180" s="2113" t="s">
        <v>1304</v>
      </c>
      <c r="P180" s="1272" t="s">
        <v>7666</v>
      </c>
      <c r="Q180" s="2527"/>
      <c r="R180" s="2522"/>
      <c r="S180" s="2527"/>
      <c r="T180" s="2527"/>
      <c r="U180" s="2527"/>
      <c r="V180" s="2527"/>
    </row>
    <row r="181" spans="2:22" ht="12.95" hidden="1" customHeight="1">
      <c r="B181" s="2472" t="s">
        <v>613</v>
      </c>
      <c r="C181" s="128" t="s">
        <v>1458</v>
      </c>
      <c r="D181" s="128" t="s">
        <v>1640</v>
      </c>
      <c r="E181" s="128"/>
      <c r="F181" s="129">
        <v>11</v>
      </c>
      <c r="G181" s="129">
        <v>16</v>
      </c>
      <c r="H181" s="130">
        <v>70</v>
      </c>
      <c r="I181" s="2113" t="s">
        <v>1304</v>
      </c>
      <c r="J181" s="2113" t="s">
        <v>1304</v>
      </c>
      <c r="K181" s="2113" t="s">
        <v>1304</v>
      </c>
      <c r="L181" s="2113" t="s">
        <v>1304</v>
      </c>
      <c r="M181" s="2113" t="s">
        <v>1304</v>
      </c>
      <c r="N181" s="2113" t="s">
        <v>1304</v>
      </c>
      <c r="O181" s="2113" t="s">
        <v>1304</v>
      </c>
      <c r="P181" s="151" t="s">
        <v>8001</v>
      </c>
      <c r="Q181" s="2527"/>
      <c r="R181" s="2522"/>
      <c r="S181" s="2527"/>
      <c r="T181" s="2527"/>
      <c r="U181" s="2527"/>
      <c r="V181" s="2527"/>
    </row>
    <row r="182" spans="2:22" ht="12.95" hidden="1" customHeight="1">
      <c r="B182" s="2470" t="s">
        <v>614</v>
      </c>
      <c r="C182" s="1269" t="s">
        <v>1665</v>
      </c>
      <c r="D182" s="1269" t="s">
        <v>1905</v>
      </c>
      <c r="E182" s="1269"/>
      <c r="F182" s="1270">
        <v>14</v>
      </c>
      <c r="G182" s="1270">
        <v>14</v>
      </c>
      <c r="H182" s="1270">
        <v>70</v>
      </c>
      <c r="I182" s="2113" t="s">
        <v>1304</v>
      </c>
      <c r="J182" s="2113" t="s">
        <v>1304</v>
      </c>
      <c r="K182" s="2113" t="s">
        <v>1304</v>
      </c>
      <c r="L182" s="2113" t="s">
        <v>1304</v>
      </c>
      <c r="M182" s="2113" t="s">
        <v>1304</v>
      </c>
      <c r="N182" s="2113" t="s">
        <v>1304</v>
      </c>
      <c r="O182" s="2113" t="s">
        <v>1304</v>
      </c>
      <c r="P182" s="1272" t="s">
        <v>7666</v>
      </c>
      <c r="Q182" s="2527"/>
      <c r="R182" s="2522"/>
      <c r="S182" s="2527"/>
      <c r="T182" s="2527"/>
      <c r="U182" s="2527"/>
      <c r="V182" s="2527"/>
    </row>
    <row r="183" spans="2:22" ht="12.95" hidden="1" customHeight="1">
      <c r="B183" s="2472" t="s">
        <v>3466</v>
      </c>
      <c r="C183" s="135" t="s">
        <v>1905</v>
      </c>
      <c r="D183" s="135" t="s">
        <v>3162</v>
      </c>
      <c r="E183" s="135"/>
      <c r="F183" s="130">
        <v>14</v>
      </c>
      <c r="G183" s="130">
        <v>14</v>
      </c>
      <c r="H183" s="130">
        <v>70</v>
      </c>
      <c r="I183" s="2113" t="s">
        <v>1304</v>
      </c>
      <c r="J183" s="2113" t="s">
        <v>1304</v>
      </c>
      <c r="K183" s="2113" t="s">
        <v>1304</v>
      </c>
      <c r="L183" s="2113" t="s">
        <v>1304</v>
      </c>
      <c r="M183" s="2113" t="s">
        <v>1304</v>
      </c>
      <c r="N183" s="2113" t="s">
        <v>1304</v>
      </c>
      <c r="O183" s="2113" t="s">
        <v>1304</v>
      </c>
      <c r="P183" s="151" t="s">
        <v>8741</v>
      </c>
      <c r="Q183" s="2527"/>
      <c r="R183" s="2522"/>
      <c r="S183" s="2527"/>
      <c r="T183" s="2527"/>
      <c r="U183" s="2527"/>
      <c r="V183" s="2527"/>
    </row>
    <row r="184" spans="2:22" ht="12.95" hidden="1" customHeight="1">
      <c r="B184" s="2470" t="s">
        <v>651</v>
      </c>
      <c r="C184" s="1269" t="s">
        <v>2350</v>
      </c>
      <c r="D184" s="1269" t="s">
        <v>3182</v>
      </c>
      <c r="E184" s="1269"/>
      <c r="F184" s="1270">
        <v>16</v>
      </c>
      <c r="G184" s="1270">
        <v>18</v>
      </c>
      <c r="H184" s="1270">
        <v>175</v>
      </c>
      <c r="I184" s="2113" t="s">
        <v>7344</v>
      </c>
      <c r="J184" s="2113" t="s">
        <v>1304</v>
      </c>
      <c r="K184" s="2113" t="s">
        <v>1304</v>
      </c>
      <c r="L184" s="2113" t="s">
        <v>1304</v>
      </c>
      <c r="M184" s="2113" t="s">
        <v>1304</v>
      </c>
      <c r="N184" s="2113" t="s">
        <v>1304</v>
      </c>
      <c r="O184" s="2113" t="s">
        <v>1304</v>
      </c>
      <c r="P184" s="1272" t="s">
        <v>8002</v>
      </c>
      <c r="Q184" s="2527"/>
      <c r="R184" s="2522"/>
      <c r="S184" s="2527"/>
      <c r="T184" s="2527"/>
      <c r="U184" s="2527"/>
      <c r="V184" s="2527"/>
    </row>
    <row r="185" spans="2:22" ht="12.95" hidden="1" customHeight="1" thickBot="1">
      <c r="B185" s="2472" t="s">
        <v>2611</v>
      </c>
      <c r="C185" s="128" t="s">
        <v>2350</v>
      </c>
      <c r="D185" s="128" t="s">
        <v>3182</v>
      </c>
      <c r="E185" s="128"/>
      <c r="F185" s="129">
        <v>18</v>
      </c>
      <c r="G185" s="129">
        <v>20</v>
      </c>
      <c r="H185" s="129">
        <v>250</v>
      </c>
      <c r="I185" s="2113" t="s">
        <v>7344</v>
      </c>
      <c r="J185" s="2113" t="s">
        <v>1304</v>
      </c>
      <c r="K185" s="2113" t="s">
        <v>1304</v>
      </c>
      <c r="L185" s="2113" t="s">
        <v>1304</v>
      </c>
      <c r="M185" s="2113" t="s">
        <v>1304</v>
      </c>
      <c r="N185" s="2113" t="s">
        <v>1304</v>
      </c>
      <c r="O185" s="2113" t="s">
        <v>1304</v>
      </c>
      <c r="P185" s="1272" t="s">
        <v>8003</v>
      </c>
      <c r="Q185" s="2527"/>
      <c r="R185" s="2522"/>
      <c r="S185" s="2527"/>
      <c r="T185" s="2527"/>
      <c r="U185" s="2527"/>
      <c r="V185" s="2527"/>
    </row>
    <row r="186" spans="2:22" ht="12.95" hidden="1" customHeight="1">
      <c r="B186" s="2470" t="s">
        <v>1538</v>
      </c>
      <c r="C186" s="1269" t="s">
        <v>729</v>
      </c>
      <c r="D186" s="1269" t="s">
        <v>2135</v>
      </c>
      <c r="E186" s="1269"/>
      <c r="F186" s="1270">
        <v>4</v>
      </c>
      <c r="G186" s="1270">
        <v>2</v>
      </c>
      <c r="H186" s="1270">
        <v>5</v>
      </c>
      <c r="I186" s="2113" t="s">
        <v>1304</v>
      </c>
      <c r="J186" s="2113" t="s">
        <v>1304</v>
      </c>
      <c r="K186" s="2113" t="s">
        <v>1304</v>
      </c>
      <c r="L186" s="2113" t="s">
        <v>1304</v>
      </c>
      <c r="M186" s="2113" t="s">
        <v>1304</v>
      </c>
      <c r="N186" s="2113" t="s">
        <v>1304</v>
      </c>
      <c r="O186" s="2113" t="s">
        <v>1304</v>
      </c>
      <c r="P186" s="1285" t="s">
        <v>7666</v>
      </c>
      <c r="Q186" s="2527"/>
      <c r="R186" s="2522"/>
      <c r="S186" s="2527"/>
      <c r="T186" s="2527"/>
      <c r="U186" s="2527"/>
      <c r="V186" s="2527"/>
    </row>
    <row r="187" spans="2:22" ht="12.95" hidden="1" customHeight="1">
      <c r="B187" s="2472" t="s">
        <v>1539</v>
      </c>
      <c r="C187" s="128" t="s">
        <v>729</v>
      </c>
      <c r="D187" s="128" t="s">
        <v>2135</v>
      </c>
      <c r="E187" s="128"/>
      <c r="F187" s="129">
        <v>5</v>
      </c>
      <c r="G187" s="129">
        <v>3</v>
      </c>
      <c r="H187" s="130">
        <v>5</v>
      </c>
      <c r="I187" s="2113" t="s">
        <v>1304</v>
      </c>
      <c r="J187" s="2113" t="s">
        <v>1304</v>
      </c>
      <c r="K187" s="2113" t="s">
        <v>1304</v>
      </c>
      <c r="L187" s="2113" t="s">
        <v>1304</v>
      </c>
      <c r="M187" s="2113" t="s">
        <v>1304</v>
      </c>
      <c r="N187" s="2113" t="s">
        <v>1304</v>
      </c>
      <c r="O187" s="2113" t="s">
        <v>1304</v>
      </c>
      <c r="P187" s="151" t="s">
        <v>7666</v>
      </c>
      <c r="Q187" s="2527"/>
      <c r="R187" s="2522"/>
      <c r="S187" s="2527"/>
      <c r="T187" s="2527"/>
      <c r="U187" s="2527"/>
      <c r="V187" s="2527"/>
    </row>
    <row r="188" spans="2:22" ht="12.95" hidden="1" customHeight="1">
      <c r="B188" s="2470" t="s">
        <v>3467</v>
      </c>
      <c r="C188" s="1269" t="s">
        <v>2135</v>
      </c>
      <c r="D188" s="1269" t="s">
        <v>755</v>
      </c>
      <c r="E188" s="1269"/>
      <c r="F188" s="1270">
        <v>7</v>
      </c>
      <c r="G188" s="1270">
        <v>5</v>
      </c>
      <c r="H188" s="1270">
        <v>10</v>
      </c>
      <c r="I188" s="2113" t="s">
        <v>1304</v>
      </c>
      <c r="J188" s="2113" t="s">
        <v>1304</v>
      </c>
      <c r="K188" s="2113" t="s">
        <v>1304</v>
      </c>
      <c r="L188" s="2113" t="s">
        <v>1304</v>
      </c>
      <c r="M188" s="2113" t="s">
        <v>1304</v>
      </c>
      <c r="N188" s="2113" t="s">
        <v>1304</v>
      </c>
      <c r="O188" s="2113" t="s">
        <v>1304</v>
      </c>
      <c r="P188" s="1272" t="s">
        <v>7666</v>
      </c>
      <c r="Q188" s="2527"/>
      <c r="R188" s="2522"/>
      <c r="S188" s="2527"/>
      <c r="T188" s="2527"/>
      <c r="U188" s="2527"/>
      <c r="V188" s="2527"/>
    </row>
    <row r="189" spans="2:22" ht="12.95" hidden="1" customHeight="1">
      <c r="B189" s="2472" t="s">
        <v>3468</v>
      </c>
      <c r="C189" s="135" t="s">
        <v>844</v>
      </c>
      <c r="D189" s="128" t="s">
        <v>755</v>
      </c>
      <c r="E189" s="128"/>
      <c r="F189" s="129">
        <v>8</v>
      </c>
      <c r="G189" s="130">
        <v>5</v>
      </c>
      <c r="H189" s="130">
        <v>10</v>
      </c>
      <c r="I189" s="2113" t="s">
        <v>1304</v>
      </c>
      <c r="J189" s="2113" t="s">
        <v>1304</v>
      </c>
      <c r="K189" s="2113" t="s">
        <v>1304</v>
      </c>
      <c r="L189" s="2113" t="s">
        <v>1304</v>
      </c>
      <c r="M189" s="2113" t="s">
        <v>1304</v>
      </c>
      <c r="N189" s="2113" t="s">
        <v>7344</v>
      </c>
      <c r="O189" s="2113" t="s">
        <v>1304</v>
      </c>
      <c r="P189" s="151" t="s">
        <v>8004</v>
      </c>
      <c r="Q189" s="2527"/>
      <c r="R189" s="2522"/>
      <c r="S189" s="2527"/>
      <c r="T189" s="2527"/>
      <c r="U189" s="2527"/>
      <c r="V189" s="2527"/>
    </row>
    <row r="190" spans="2:22" ht="12.95" hidden="1" customHeight="1">
      <c r="B190" s="2470" t="s">
        <v>372</v>
      </c>
      <c r="C190" s="1269" t="s">
        <v>2135</v>
      </c>
      <c r="D190" s="1269" t="s">
        <v>756</v>
      </c>
      <c r="E190" s="1269"/>
      <c r="F190" s="1270">
        <v>8</v>
      </c>
      <c r="G190" s="1270">
        <v>4</v>
      </c>
      <c r="H190" s="1270">
        <v>15</v>
      </c>
      <c r="I190" s="2113" t="s">
        <v>1304</v>
      </c>
      <c r="J190" s="2113" t="s">
        <v>1304</v>
      </c>
      <c r="K190" s="2113" t="s">
        <v>1304</v>
      </c>
      <c r="L190" s="2113" t="s">
        <v>1304</v>
      </c>
      <c r="M190" s="2113" t="s">
        <v>1304</v>
      </c>
      <c r="N190" s="2113" t="s">
        <v>1304</v>
      </c>
      <c r="O190" s="2113" t="s">
        <v>7344</v>
      </c>
      <c r="P190" s="1272" t="s">
        <v>7666</v>
      </c>
      <c r="Q190" s="2527"/>
      <c r="R190" s="2522"/>
      <c r="S190" s="2527"/>
      <c r="T190" s="2527"/>
      <c r="U190" s="2527"/>
      <c r="V190" s="2527"/>
    </row>
    <row r="191" spans="2:22" ht="12.95" hidden="1" customHeight="1">
      <c r="B191" s="2472" t="s">
        <v>3469</v>
      </c>
      <c r="C191" s="128" t="s">
        <v>2135</v>
      </c>
      <c r="D191" s="128" t="s">
        <v>756</v>
      </c>
      <c r="E191" s="128"/>
      <c r="F191" s="130">
        <v>8</v>
      </c>
      <c r="G191" s="130">
        <v>4</v>
      </c>
      <c r="H191" s="129">
        <v>20</v>
      </c>
      <c r="I191" s="2113" t="s">
        <v>1304</v>
      </c>
      <c r="J191" s="2113" t="s">
        <v>1304</v>
      </c>
      <c r="K191" s="2113" t="s">
        <v>1304</v>
      </c>
      <c r="L191" s="2113" t="s">
        <v>1304</v>
      </c>
      <c r="M191" s="2113" t="s">
        <v>1304</v>
      </c>
      <c r="N191" s="2113" t="s">
        <v>1304</v>
      </c>
      <c r="O191" s="2113" t="s">
        <v>7344</v>
      </c>
      <c r="P191" s="151" t="s">
        <v>7666</v>
      </c>
      <c r="Q191" s="2527"/>
      <c r="R191" s="2522"/>
      <c r="S191" s="2527"/>
      <c r="T191" s="2527"/>
      <c r="U191" s="2527"/>
      <c r="V191" s="2527"/>
    </row>
    <row r="192" spans="2:22" ht="12.95" hidden="1" customHeight="1">
      <c r="B192" s="2470" t="s">
        <v>2322</v>
      </c>
      <c r="C192" s="1269" t="s">
        <v>2158</v>
      </c>
      <c r="D192" s="1269" t="s">
        <v>1458</v>
      </c>
      <c r="E192" s="1269"/>
      <c r="F192" s="1270">
        <v>13</v>
      </c>
      <c r="G192" s="1270">
        <v>7</v>
      </c>
      <c r="H192" s="1270">
        <v>40</v>
      </c>
      <c r="I192" s="2113" t="s">
        <v>1304</v>
      </c>
      <c r="J192" s="2113" t="s">
        <v>1304</v>
      </c>
      <c r="K192" s="2113" t="s">
        <v>1304</v>
      </c>
      <c r="L192" s="2113" t="s">
        <v>1304</v>
      </c>
      <c r="M192" s="2113" t="s">
        <v>1304</v>
      </c>
      <c r="N192" s="2113" t="s">
        <v>1304</v>
      </c>
      <c r="O192" s="2113" t="s">
        <v>1304</v>
      </c>
      <c r="P192" s="1272" t="s">
        <v>7666</v>
      </c>
      <c r="Q192" s="2527"/>
      <c r="R192" s="2522"/>
      <c r="S192" s="2527"/>
      <c r="T192" s="2527"/>
      <c r="U192" s="2527"/>
      <c r="V192" s="2527"/>
    </row>
    <row r="193" spans="2:22" ht="12.95" hidden="1" customHeight="1">
      <c r="B193" s="2472" t="s">
        <v>3470</v>
      </c>
      <c r="C193" s="128" t="s">
        <v>2158</v>
      </c>
      <c r="D193" s="128" t="s">
        <v>1458</v>
      </c>
      <c r="E193" s="128"/>
      <c r="F193" s="130">
        <v>13</v>
      </c>
      <c r="G193" s="130">
        <v>7</v>
      </c>
      <c r="H193" s="129">
        <v>60</v>
      </c>
      <c r="I193" s="2113" t="s">
        <v>1304</v>
      </c>
      <c r="J193" s="2113" t="s">
        <v>1304</v>
      </c>
      <c r="K193" s="2113" t="s">
        <v>1304</v>
      </c>
      <c r="L193" s="2113" t="s">
        <v>1304</v>
      </c>
      <c r="M193" s="2113" t="s">
        <v>1304</v>
      </c>
      <c r="N193" s="2113" t="s">
        <v>1304</v>
      </c>
      <c r="O193" s="2113" t="s">
        <v>1304</v>
      </c>
      <c r="P193" s="151" t="s">
        <v>7666</v>
      </c>
      <c r="Q193" s="2527"/>
      <c r="R193" s="2522"/>
      <c r="S193" s="2527"/>
      <c r="T193" s="2527"/>
      <c r="U193" s="2527"/>
      <c r="V193" s="2527"/>
    </row>
    <row r="194" spans="2:22" ht="12.95" hidden="1" customHeight="1">
      <c r="B194" s="2470" t="s">
        <v>1309</v>
      </c>
      <c r="C194" s="1269" t="s">
        <v>3158</v>
      </c>
      <c r="D194" s="1269" t="s">
        <v>678</v>
      </c>
      <c r="E194" s="1269"/>
      <c r="F194" s="1270">
        <v>13</v>
      </c>
      <c r="G194" s="1270">
        <v>11</v>
      </c>
      <c r="H194" s="1270">
        <v>60</v>
      </c>
      <c r="I194" s="2113" t="s">
        <v>1304</v>
      </c>
      <c r="J194" s="2113" t="s">
        <v>1304</v>
      </c>
      <c r="K194" s="2113" t="s">
        <v>1304</v>
      </c>
      <c r="L194" s="2113" t="s">
        <v>1304</v>
      </c>
      <c r="M194" s="2113" t="s">
        <v>1304</v>
      </c>
      <c r="N194" s="2113" t="s">
        <v>1304</v>
      </c>
      <c r="O194" s="2113" t="s">
        <v>1304</v>
      </c>
      <c r="P194" s="1272" t="s">
        <v>7666</v>
      </c>
      <c r="Q194" s="2527"/>
      <c r="R194" s="2522"/>
      <c r="S194" s="2527"/>
      <c r="T194" s="2527"/>
      <c r="U194" s="2527"/>
      <c r="V194" s="2527"/>
    </row>
    <row r="195" spans="2:22" ht="12.95" hidden="1" customHeight="1">
      <c r="B195" s="2472" t="s">
        <v>149</v>
      </c>
      <c r="C195" s="128" t="s">
        <v>3158</v>
      </c>
      <c r="D195" s="128" t="s">
        <v>678</v>
      </c>
      <c r="E195" s="128"/>
      <c r="F195" s="130">
        <v>13</v>
      </c>
      <c r="G195" s="130">
        <v>11</v>
      </c>
      <c r="H195" s="130">
        <v>60</v>
      </c>
      <c r="I195" s="2113" t="s">
        <v>1304</v>
      </c>
      <c r="J195" s="2113" t="s">
        <v>1304</v>
      </c>
      <c r="K195" s="2113" t="s">
        <v>1304</v>
      </c>
      <c r="L195" s="2113" t="s">
        <v>1304</v>
      </c>
      <c r="M195" s="2113" t="s">
        <v>1304</v>
      </c>
      <c r="N195" s="2113" t="s">
        <v>1304</v>
      </c>
      <c r="O195" s="2113" t="s">
        <v>1304</v>
      </c>
      <c r="P195" s="151" t="s">
        <v>9829</v>
      </c>
      <c r="Q195" s="2527"/>
      <c r="R195" s="2522"/>
      <c r="S195" s="2527"/>
      <c r="T195" s="2527"/>
      <c r="U195" s="2527"/>
      <c r="V195" s="2527"/>
    </row>
    <row r="196" spans="2:22" ht="12.95" hidden="1" customHeight="1">
      <c r="B196" s="2470" t="s">
        <v>1062</v>
      </c>
      <c r="C196" s="1269" t="s">
        <v>1640</v>
      </c>
      <c r="D196" s="1269" t="s">
        <v>1393</v>
      </c>
      <c r="E196" s="1269"/>
      <c r="F196" s="1270">
        <v>15</v>
      </c>
      <c r="G196" s="1270">
        <v>12</v>
      </c>
      <c r="H196" s="1270">
        <v>70</v>
      </c>
      <c r="I196" s="2113" t="s">
        <v>1304</v>
      </c>
      <c r="J196" s="2113" t="s">
        <v>1304</v>
      </c>
      <c r="K196" s="2113" t="s">
        <v>1304</v>
      </c>
      <c r="L196" s="2113" t="s">
        <v>1304</v>
      </c>
      <c r="M196" s="2113" t="s">
        <v>1304</v>
      </c>
      <c r="N196" s="2113" t="s">
        <v>1304</v>
      </c>
      <c r="O196" s="2113" t="s">
        <v>7344</v>
      </c>
      <c r="P196" s="1272" t="s">
        <v>7666</v>
      </c>
      <c r="Q196" s="2527"/>
      <c r="R196" s="2522"/>
      <c r="S196" s="2527"/>
      <c r="T196" s="2527"/>
      <c r="U196" s="2527"/>
      <c r="V196" s="2527"/>
    </row>
    <row r="197" spans="2:22" ht="12.95" hidden="1" customHeight="1">
      <c r="B197" s="2472" t="s">
        <v>150</v>
      </c>
      <c r="C197" s="128" t="s">
        <v>1640</v>
      </c>
      <c r="D197" s="128" t="s">
        <v>1393</v>
      </c>
      <c r="E197" s="128"/>
      <c r="F197" s="129">
        <v>17</v>
      </c>
      <c r="G197" s="129">
        <v>13</v>
      </c>
      <c r="H197" s="130">
        <v>70</v>
      </c>
      <c r="I197" s="2113" t="s">
        <v>1304</v>
      </c>
      <c r="J197" s="2113" t="s">
        <v>1304</v>
      </c>
      <c r="K197" s="2113" t="s">
        <v>1304</v>
      </c>
      <c r="L197" s="2113" t="s">
        <v>1304</v>
      </c>
      <c r="M197" s="2113" t="s">
        <v>1304</v>
      </c>
      <c r="N197" s="2113" t="s">
        <v>1304</v>
      </c>
      <c r="O197" s="2113" t="s">
        <v>7344</v>
      </c>
      <c r="P197" s="151" t="s">
        <v>7666</v>
      </c>
      <c r="Q197" s="2527"/>
      <c r="R197" s="2522"/>
      <c r="S197" s="2527"/>
      <c r="T197" s="2527"/>
      <c r="U197" s="2527"/>
      <c r="V197" s="2527"/>
    </row>
    <row r="198" spans="2:22" ht="12.95" hidden="1" customHeight="1">
      <c r="B198" s="2470" t="s">
        <v>653</v>
      </c>
      <c r="C198" s="1269" t="s">
        <v>561</v>
      </c>
      <c r="D198" s="1269" t="s">
        <v>1666</v>
      </c>
      <c r="E198" s="1269"/>
      <c r="F198" s="1270">
        <v>17</v>
      </c>
      <c r="G198" s="1270">
        <v>17</v>
      </c>
      <c r="H198" s="1270">
        <v>160</v>
      </c>
      <c r="I198" s="2113" t="s">
        <v>1304</v>
      </c>
      <c r="J198" s="2113" t="s">
        <v>1304</v>
      </c>
      <c r="K198" s="2113" t="s">
        <v>1304</v>
      </c>
      <c r="L198" s="2113" t="s">
        <v>1304</v>
      </c>
      <c r="M198" s="2113" t="s">
        <v>1304</v>
      </c>
      <c r="N198" s="2113" t="s">
        <v>1304</v>
      </c>
      <c r="O198" s="2113" t="s">
        <v>1304</v>
      </c>
      <c r="P198" s="1272" t="s">
        <v>8006</v>
      </c>
      <c r="Q198" s="2527"/>
      <c r="R198" s="2522"/>
      <c r="S198" s="2527"/>
      <c r="T198" s="2527"/>
      <c r="U198" s="2527"/>
      <c r="V198" s="2527"/>
    </row>
    <row r="199" spans="2:22" ht="12.95" hidden="1" customHeight="1" thickBot="1">
      <c r="B199" s="2472" t="s">
        <v>151</v>
      </c>
      <c r="C199" s="128" t="s">
        <v>561</v>
      </c>
      <c r="D199" s="128" t="s">
        <v>1666</v>
      </c>
      <c r="E199" s="128"/>
      <c r="F199" s="129">
        <v>19</v>
      </c>
      <c r="G199" s="129">
        <v>19</v>
      </c>
      <c r="H199" s="129">
        <v>300</v>
      </c>
      <c r="I199" s="2113" t="s">
        <v>1304</v>
      </c>
      <c r="J199" s="2113" t="s">
        <v>1304</v>
      </c>
      <c r="K199" s="2113" t="s">
        <v>1304</v>
      </c>
      <c r="L199" s="2113" t="s">
        <v>1304</v>
      </c>
      <c r="M199" s="2113" t="s">
        <v>1304</v>
      </c>
      <c r="N199" s="2113" t="s">
        <v>1304</v>
      </c>
      <c r="O199" s="2113" t="s">
        <v>1304</v>
      </c>
      <c r="P199" s="1272" t="s">
        <v>8007</v>
      </c>
      <c r="Q199" s="2527"/>
      <c r="R199" s="2522"/>
      <c r="S199" s="2527"/>
      <c r="T199" s="2527"/>
      <c r="U199" s="2527"/>
      <c r="V199" s="2527"/>
    </row>
    <row r="200" spans="2:22" ht="12.95" hidden="1" customHeight="1">
      <c r="B200" s="2470" t="s">
        <v>2663</v>
      </c>
      <c r="C200" s="1269" t="s">
        <v>729</v>
      </c>
      <c r="D200" s="1269" t="s">
        <v>2135</v>
      </c>
      <c r="E200" s="1269"/>
      <c r="F200" s="1270">
        <v>2</v>
      </c>
      <c r="G200" s="1270">
        <v>2</v>
      </c>
      <c r="H200" s="1270">
        <v>3</v>
      </c>
      <c r="I200" s="2113" t="s">
        <v>1304</v>
      </c>
      <c r="J200" s="2113" t="s">
        <v>1304</v>
      </c>
      <c r="K200" s="2113" t="s">
        <v>1304</v>
      </c>
      <c r="L200" s="2113" t="s">
        <v>1304</v>
      </c>
      <c r="M200" s="2113" t="s">
        <v>1304</v>
      </c>
      <c r="N200" s="2113" t="s">
        <v>1304</v>
      </c>
      <c r="O200" s="2113" t="s">
        <v>1304</v>
      </c>
      <c r="P200" s="1285" t="s">
        <v>7666</v>
      </c>
      <c r="Q200" s="2527"/>
      <c r="R200" s="2522"/>
      <c r="S200" s="2527"/>
      <c r="T200" s="2527"/>
      <c r="U200" s="2527"/>
      <c r="V200" s="2527"/>
    </row>
    <row r="201" spans="2:22" ht="12.95" hidden="1" customHeight="1">
      <c r="B201" s="2472" t="s">
        <v>1531</v>
      </c>
      <c r="C201" s="128" t="s">
        <v>729</v>
      </c>
      <c r="D201" s="135" t="s">
        <v>844</v>
      </c>
      <c r="E201" s="135"/>
      <c r="F201" s="130">
        <v>2</v>
      </c>
      <c r="G201" s="130">
        <v>2</v>
      </c>
      <c r="H201" s="130">
        <v>3</v>
      </c>
      <c r="I201" s="2113" t="s">
        <v>7344</v>
      </c>
      <c r="J201" s="2113" t="s">
        <v>1304</v>
      </c>
      <c r="K201" s="2113" t="s">
        <v>1304</v>
      </c>
      <c r="L201" s="2113" t="s">
        <v>1304</v>
      </c>
      <c r="M201" s="2113" t="s">
        <v>1304</v>
      </c>
      <c r="N201" s="2113" t="s">
        <v>1304</v>
      </c>
      <c r="O201" s="2113" t="s">
        <v>1304</v>
      </c>
      <c r="P201" s="151" t="s">
        <v>8008</v>
      </c>
      <c r="Q201" s="2527"/>
      <c r="R201" s="2522"/>
      <c r="S201" s="2527"/>
      <c r="T201" s="2527"/>
      <c r="U201" s="2527"/>
      <c r="V201" s="2527"/>
    </row>
    <row r="202" spans="2:22" ht="12.95" hidden="1" customHeight="1">
      <c r="B202" s="2470" t="s">
        <v>3372</v>
      </c>
      <c r="C202" s="1269" t="s">
        <v>2135</v>
      </c>
      <c r="D202" s="1269" t="s">
        <v>2137</v>
      </c>
      <c r="E202" s="1269"/>
      <c r="F202" s="1270">
        <v>9</v>
      </c>
      <c r="G202" s="1270">
        <v>9</v>
      </c>
      <c r="H202" s="1270">
        <v>25</v>
      </c>
      <c r="I202" s="2113" t="s">
        <v>1304</v>
      </c>
      <c r="J202" s="2113" t="s">
        <v>1304</v>
      </c>
      <c r="K202" s="2113" t="s">
        <v>7344</v>
      </c>
      <c r="L202" s="2113" t="s">
        <v>1304</v>
      </c>
      <c r="M202" s="2113" t="s">
        <v>1304</v>
      </c>
      <c r="N202" s="2113" t="s">
        <v>1304</v>
      </c>
      <c r="O202" s="2113" t="s">
        <v>1304</v>
      </c>
      <c r="P202" s="1272" t="s">
        <v>8009</v>
      </c>
      <c r="Q202" s="2527"/>
      <c r="R202" s="2522"/>
      <c r="S202" s="2527"/>
      <c r="T202" s="2527"/>
      <c r="U202" s="2527"/>
      <c r="V202" s="2527"/>
    </row>
    <row r="203" spans="2:22" ht="12.95" hidden="1" customHeight="1">
      <c r="B203" s="2472" t="s">
        <v>988</v>
      </c>
      <c r="C203" s="128" t="s">
        <v>2135</v>
      </c>
      <c r="D203" s="128" t="s">
        <v>2137</v>
      </c>
      <c r="E203" s="128"/>
      <c r="F203" s="130">
        <v>9</v>
      </c>
      <c r="G203" s="130">
        <v>9</v>
      </c>
      <c r="H203" s="130">
        <v>25</v>
      </c>
      <c r="I203" s="2113" t="s">
        <v>1304</v>
      </c>
      <c r="J203" s="2113" t="s">
        <v>1304</v>
      </c>
      <c r="K203" s="2113" t="s">
        <v>7344</v>
      </c>
      <c r="L203" s="2113" t="s">
        <v>1304</v>
      </c>
      <c r="M203" s="2113" t="s">
        <v>1304</v>
      </c>
      <c r="N203" s="2113" t="s">
        <v>1304</v>
      </c>
      <c r="O203" s="2113" t="s">
        <v>7344</v>
      </c>
      <c r="P203" s="151" t="s">
        <v>8010</v>
      </c>
      <c r="Q203" s="2527"/>
      <c r="R203" s="2522"/>
      <c r="S203" s="2527"/>
      <c r="T203" s="2527"/>
      <c r="U203" s="2527"/>
      <c r="V203" s="2527"/>
    </row>
    <row r="204" spans="2:22" ht="12.95" hidden="1" customHeight="1">
      <c r="B204" s="2470" t="s">
        <v>2664</v>
      </c>
      <c r="C204" s="1269" t="s">
        <v>844</v>
      </c>
      <c r="D204" s="1269" t="s">
        <v>1888</v>
      </c>
      <c r="E204" s="1269"/>
      <c r="F204" s="1270">
        <v>8</v>
      </c>
      <c r="G204" s="1270">
        <v>10</v>
      </c>
      <c r="H204" s="1270">
        <v>30</v>
      </c>
      <c r="I204" s="2113" t="s">
        <v>1304</v>
      </c>
      <c r="J204" s="2113" t="s">
        <v>1304</v>
      </c>
      <c r="K204" s="2113" t="s">
        <v>7344</v>
      </c>
      <c r="L204" s="2113" t="s">
        <v>1304</v>
      </c>
      <c r="M204" s="2113" t="s">
        <v>1304</v>
      </c>
      <c r="N204" s="2113" t="s">
        <v>1304</v>
      </c>
      <c r="O204" s="2113" t="s">
        <v>1304</v>
      </c>
      <c r="P204" s="1272" t="s">
        <v>8011</v>
      </c>
      <c r="Q204" s="2527"/>
      <c r="R204" s="2522"/>
      <c r="S204" s="2527"/>
      <c r="T204" s="2527"/>
      <c r="U204" s="2527"/>
      <c r="V204" s="2527"/>
    </row>
    <row r="205" spans="2:22" ht="12.95" hidden="1" customHeight="1">
      <c r="B205" s="2472" t="s">
        <v>2665</v>
      </c>
      <c r="C205" s="128" t="s">
        <v>844</v>
      </c>
      <c r="D205" s="128" t="s">
        <v>1888</v>
      </c>
      <c r="E205" s="128"/>
      <c r="F205" s="130">
        <v>8</v>
      </c>
      <c r="G205" s="130">
        <v>10</v>
      </c>
      <c r="H205" s="130">
        <v>30</v>
      </c>
      <c r="I205" s="2113" t="s">
        <v>1304</v>
      </c>
      <c r="J205" s="2113" t="s">
        <v>1304</v>
      </c>
      <c r="K205" s="2113" t="s">
        <v>7344</v>
      </c>
      <c r="L205" s="2113" t="s">
        <v>1304</v>
      </c>
      <c r="M205" s="2113" t="s">
        <v>1304</v>
      </c>
      <c r="N205" s="2113" t="s">
        <v>1304</v>
      </c>
      <c r="O205" s="2113" t="s">
        <v>7344</v>
      </c>
      <c r="P205" s="151" t="s">
        <v>8012</v>
      </c>
      <c r="Q205" s="2527"/>
      <c r="R205" s="2522"/>
      <c r="S205" s="2527"/>
      <c r="T205" s="2527"/>
      <c r="U205" s="2527"/>
      <c r="V205" s="2527"/>
    </row>
    <row r="206" spans="2:22" ht="12.95" hidden="1" customHeight="1">
      <c r="B206" s="2470" t="s">
        <v>100</v>
      </c>
      <c r="C206" s="1269" t="s">
        <v>755</v>
      </c>
      <c r="D206" s="1269" t="s">
        <v>2158</v>
      </c>
      <c r="E206" s="1269"/>
      <c r="F206" s="1270">
        <v>10</v>
      </c>
      <c r="G206" s="1270">
        <v>8</v>
      </c>
      <c r="H206" s="1270">
        <v>35</v>
      </c>
      <c r="I206" s="2113" t="s">
        <v>1304</v>
      </c>
      <c r="J206" s="2113" t="s">
        <v>1304</v>
      </c>
      <c r="K206" s="2113" t="s">
        <v>7344</v>
      </c>
      <c r="L206" s="2113" t="s">
        <v>1304</v>
      </c>
      <c r="M206" s="2113" t="s">
        <v>1304</v>
      </c>
      <c r="N206" s="2113" t="s">
        <v>1304</v>
      </c>
      <c r="O206" s="2113" t="s">
        <v>1304</v>
      </c>
      <c r="P206" s="1272" t="s">
        <v>8013</v>
      </c>
      <c r="Q206" s="2527"/>
      <c r="R206" s="2522"/>
      <c r="S206" s="2527"/>
      <c r="T206" s="2527"/>
      <c r="U206" s="2527"/>
      <c r="V206" s="2527"/>
    </row>
    <row r="207" spans="2:22" ht="12.95" hidden="1" customHeight="1">
      <c r="B207" s="2472" t="s">
        <v>2666</v>
      </c>
      <c r="C207" s="128" t="s">
        <v>755</v>
      </c>
      <c r="D207" s="128" t="s">
        <v>2158</v>
      </c>
      <c r="E207" s="128"/>
      <c r="F207" s="129">
        <v>12</v>
      </c>
      <c r="G207" s="130">
        <v>8</v>
      </c>
      <c r="H207" s="130">
        <v>35</v>
      </c>
      <c r="I207" s="2113" t="s">
        <v>1304</v>
      </c>
      <c r="J207" s="2113" t="s">
        <v>1304</v>
      </c>
      <c r="K207" s="2113" t="s">
        <v>7344</v>
      </c>
      <c r="L207" s="2113" t="s">
        <v>1304</v>
      </c>
      <c r="M207" s="2113" t="s">
        <v>1304</v>
      </c>
      <c r="N207" s="2113" t="s">
        <v>1304</v>
      </c>
      <c r="O207" s="2113" t="s">
        <v>1304</v>
      </c>
      <c r="P207" s="151" t="s">
        <v>8014</v>
      </c>
      <c r="Q207" s="2527"/>
      <c r="R207" s="2522"/>
      <c r="S207" s="2527"/>
      <c r="T207" s="2527"/>
      <c r="U207" s="2527"/>
      <c r="V207" s="2527"/>
    </row>
    <row r="208" spans="2:22" ht="12.95" hidden="1" customHeight="1">
      <c r="B208" s="2470" t="s">
        <v>2667</v>
      </c>
      <c r="C208" s="1269" t="s">
        <v>755</v>
      </c>
      <c r="D208" s="1269" t="s">
        <v>2137</v>
      </c>
      <c r="E208" s="1269"/>
      <c r="F208" s="1270">
        <v>10</v>
      </c>
      <c r="G208" s="1270">
        <v>10</v>
      </c>
      <c r="H208" s="1270">
        <v>40</v>
      </c>
      <c r="I208" s="2113" t="s">
        <v>1304</v>
      </c>
      <c r="J208" s="2113" t="s">
        <v>1304</v>
      </c>
      <c r="K208" s="2113" t="s">
        <v>7344</v>
      </c>
      <c r="L208" s="2113" t="s">
        <v>1304</v>
      </c>
      <c r="M208" s="2113" t="s">
        <v>1304</v>
      </c>
      <c r="N208" s="2113" t="s">
        <v>1304</v>
      </c>
      <c r="O208" s="2113" t="s">
        <v>1304</v>
      </c>
      <c r="P208" s="1272" t="s">
        <v>8015</v>
      </c>
      <c r="Q208" s="2527"/>
      <c r="R208" s="2522"/>
      <c r="S208" s="2527"/>
      <c r="T208" s="2527"/>
      <c r="U208" s="2527"/>
      <c r="V208" s="2527"/>
    </row>
    <row r="209" spans="2:22" ht="12.95" hidden="1" customHeight="1">
      <c r="B209" s="2472" t="s">
        <v>3471</v>
      </c>
      <c r="C209" s="135" t="s">
        <v>2158</v>
      </c>
      <c r="D209" s="135" t="s">
        <v>2136</v>
      </c>
      <c r="E209" s="135"/>
      <c r="F209" s="129">
        <v>11</v>
      </c>
      <c r="G209" s="129">
        <v>11</v>
      </c>
      <c r="H209" s="130">
        <v>40</v>
      </c>
      <c r="I209" s="2113" t="s">
        <v>1304</v>
      </c>
      <c r="J209" s="2113" t="s">
        <v>1304</v>
      </c>
      <c r="K209" s="2113" t="s">
        <v>7344</v>
      </c>
      <c r="L209" s="2113" t="s">
        <v>1304</v>
      </c>
      <c r="M209" s="2113" t="s">
        <v>1304</v>
      </c>
      <c r="N209" s="2113" t="s">
        <v>1304</v>
      </c>
      <c r="O209" s="2113" t="s">
        <v>1304</v>
      </c>
      <c r="P209" s="151" t="s">
        <v>8016</v>
      </c>
      <c r="Q209" s="2527"/>
      <c r="R209" s="2522"/>
      <c r="S209" s="2527"/>
      <c r="T209" s="2527"/>
      <c r="U209" s="2527"/>
      <c r="V209" s="2527"/>
    </row>
    <row r="210" spans="2:22" ht="12.95" hidden="1" customHeight="1">
      <c r="B210" s="2470" t="s">
        <v>2668</v>
      </c>
      <c r="C210" s="1269" t="s">
        <v>2136</v>
      </c>
      <c r="D210" s="1269" t="s">
        <v>1393</v>
      </c>
      <c r="E210" s="1269"/>
      <c r="F210" s="1270">
        <v>15</v>
      </c>
      <c r="G210" s="1270">
        <v>13</v>
      </c>
      <c r="H210" s="1270">
        <v>75</v>
      </c>
      <c r="I210" s="2113" t="s">
        <v>7344</v>
      </c>
      <c r="J210" s="2113" t="s">
        <v>1304</v>
      </c>
      <c r="K210" s="2113" t="s">
        <v>7344</v>
      </c>
      <c r="L210" s="2113" t="s">
        <v>1304</v>
      </c>
      <c r="M210" s="2113" t="s">
        <v>1304</v>
      </c>
      <c r="N210" s="2113" t="s">
        <v>1304</v>
      </c>
      <c r="O210" s="2113" t="s">
        <v>1304</v>
      </c>
      <c r="P210" s="1272" t="s">
        <v>8017</v>
      </c>
      <c r="Q210" s="2527"/>
      <c r="R210" s="2522"/>
      <c r="S210" s="2527"/>
      <c r="T210" s="2527"/>
      <c r="U210" s="2527"/>
      <c r="V210" s="2527"/>
    </row>
    <row r="211" spans="2:22" ht="12.95" hidden="1" customHeight="1">
      <c r="B211" s="2472" t="s">
        <v>2669</v>
      </c>
      <c r="C211" s="135" t="s">
        <v>678</v>
      </c>
      <c r="D211" s="135" t="s">
        <v>2350</v>
      </c>
      <c r="E211" s="135"/>
      <c r="F211" s="130">
        <v>15</v>
      </c>
      <c r="G211" s="130">
        <v>13</v>
      </c>
      <c r="H211" s="129">
        <v>80</v>
      </c>
      <c r="I211" s="2113" t="s">
        <v>7344</v>
      </c>
      <c r="J211" s="2113" t="s">
        <v>1304</v>
      </c>
      <c r="K211" s="2113" t="s">
        <v>7344</v>
      </c>
      <c r="L211" s="2113" t="s">
        <v>1304</v>
      </c>
      <c r="M211" s="2113" t="s">
        <v>1304</v>
      </c>
      <c r="N211" s="2113" t="s">
        <v>1304</v>
      </c>
      <c r="O211" s="2113" t="s">
        <v>1304</v>
      </c>
      <c r="P211" s="151" t="s">
        <v>8018</v>
      </c>
      <c r="Q211" s="2527"/>
      <c r="R211" s="2522"/>
      <c r="S211" s="2527"/>
      <c r="T211" s="2527"/>
      <c r="U211" s="2527"/>
      <c r="V211" s="2527"/>
    </row>
    <row r="212" spans="2:22" ht="12.95" hidden="1" customHeight="1">
      <c r="B212" s="2470" t="s">
        <v>2670</v>
      </c>
      <c r="C212" s="1269" t="s">
        <v>561</v>
      </c>
      <c r="D212" s="1269" t="s">
        <v>3177</v>
      </c>
      <c r="E212" s="1269"/>
      <c r="F212" s="1270">
        <v>18</v>
      </c>
      <c r="G212" s="1270">
        <v>18</v>
      </c>
      <c r="H212" s="1270">
        <v>150</v>
      </c>
      <c r="I212" s="2113" t="s">
        <v>1304</v>
      </c>
      <c r="J212" s="2113" t="s">
        <v>1304</v>
      </c>
      <c r="K212" s="2113" t="s">
        <v>1304</v>
      </c>
      <c r="L212" s="2113" t="s">
        <v>1304</v>
      </c>
      <c r="M212" s="2113" t="s">
        <v>1304</v>
      </c>
      <c r="N212" s="2113" t="s">
        <v>1304</v>
      </c>
      <c r="O212" s="2113" t="s">
        <v>1304</v>
      </c>
      <c r="P212" s="1272" t="s">
        <v>8019</v>
      </c>
      <c r="Q212" s="2527"/>
      <c r="R212" s="2522"/>
      <c r="S212" s="2527"/>
      <c r="T212" s="2527"/>
      <c r="U212" s="2527"/>
      <c r="V212" s="2527"/>
    </row>
    <row r="213" spans="2:22" ht="12.95" hidden="1" customHeight="1" thickBot="1">
      <c r="B213" s="2472" t="s">
        <v>1223</v>
      </c>
      <c r="C213" s="128" t="s">
        <v>561</v>
      </c>
      <c r="D213" s="128" t="s">
        <v>3177</v>
      </c>
      <c r="E213" s="128"/>
      <c r="F213" s="129">
        <v>21</v>
      </c>
      <c r="G213" s="130">
        <v>18</v>
      </c>
      <c r="H213" s="129">
        <v>200</v>
      </c>
      <c r="I213" s="2113" t="s">
        <v>1304</v>
      </c>
      <c r="J213" s="2113" t="s">
        <v>1304</v>
      </c>
      <c r="K213" s="2113" t="s">
        <v>1304</v>
      </c>
      <c r="L213" s="2113" t="s">
        <v>1304</v>
      </c>
      <c r="M213" s="2113" t="s">
        <v>1304</v>
      </c>
      <c r="N213" s="2113" t="s">
        <v>1304</v>
      </c>
      <c r="O213" s="2113" t="s">
        <v>1304</v>
      </c>
      <c r="P213" s="2521" t="s">
        <v>8020</v>
      </c>
      <c r="Q213" s="2527"/>
      <c r="R213" s="2522"/>
      <c r="S213" s="2527"/>
      <c r="T213" s="2527"/>
      <c r="U213" s="2527"/>
      <c r="V213" s="2527"/>
    </row>
    <row r="214" spans="2:22" ht="12.95" hidden="1" customHeight="1">
      <c r="B214" s="2470" t="s">
        <v>2015</v>
      </c>
      <c r="C214" s="1269" t="s">
        <v>729</v>
      </c>
      <c r="D214" s="1269" t="s">
        <v>729</v>
      </c>
      <c r="E214" s="1269"/>
      <c r="F214" s="1270">
        <v>1</v>
      </c>
      <c r="G214" s="1270">
        <v>1</v>
      </c>
      <c r="H214" s="1270">
        <v>1</v>
      </c>
      <c r="I214" s="2113" t="s">
        <v>1304</v>
      </c>
      <c r="J214" s="2113" t="s">
        <v>1304</v>
      </c>
      <c r="K214" s="2113" t="s">
        <v>1304</v>
      </c>
      <c r="L214" s="2113" t="s">
        <v>1304</v>
      </c>
      <c r="M214" s="2113" t="s">
        <v>1304</v>
      </c>
      <c r="N214" s="2113" t="s">
        <v>1304</v>
      </c>
      <c r="O214" s="2113" t="s">
        <v>1304</v>
      </c>
      <c r="P214" s="1285" t="s">
        <v>7666</v>
      </c>
      <c r="Q214" s="2527"/>
      <c r="R214" s="2522"/>
      <c r="S214" s="2527"/>
      <c r="T214" s="2527"/>
      <c r="U214" s="2527"/>
      <c r="V214" s="2527"/>
    </row>
    <row r="215" spans="2:22" ht="12.95" hidden="1" customHeight="1">
      <c r="B215" s="2473" t="s">
        <v>2014</v>
      </c>
      <c r="C215" s="128" t="s">
        <v>729</v>
      </c>
      <c r="D215" s="128" t="s">
        <v>844</v>
      </c>
      <c r="E215" s="128"/>
      <c r="F215" s="130">
        <v>4</v>
      </c>
      <c r="G215" s="130">
        <v>2</v>
      </c>
      <c r="H215" s="130">
        <v>4</v>
      </c>
      <c r="I215" s="2113" t="s">
        <v>1304</v>
      </c>
      <c r="J215" s="2113" t="s">
        <v>1304</v>
      </c>
      <c r="K215" s="2113" t="s">
        <v>1304</v>
      </c>
      <c r="L215" s="2113" t="s">
        <v>1304</v>
      </c>
      <c r="M215" s="2113" t="s">
        <v>1304</v>
      </c>
      <c r="N215" s="2113" t="s">
        <v>1304</v>
      </c>
      <c r="O215" s="2113" t="s">
        <v>7344</v>
      </c>
      <c r="P215" s="151" t="s">
        <v>7666</v>
      </c>
      <c r="Q215" s="2527"/>
      <c r="R215" s="2522"/>
      <c r="S215" s="2527"/>
      <c r="T215" s="2527"/>
      <c r="U215" s="2527"/>
      <c r="V215" s="2527"/>
    </row>
    <row r="216" spans="2:22" ht="12.95" hidden="1" customHeight="1">
      <c r="B216" s="2470" t="s">
        <v>3472</v>
      </c>
      <c r="C216" s="1269" t="s">
        <v>2135</v>
      </c>
      <c r="D216" s="1269" t="s">
        <v>844</v>
      </c>
      <c r="E216" s="1269"/>
      <c r="F216" s="1270">
        <v>6</v>
      </c>
      <c r="G216" s="1270">
        <v>5</v>
      </c>
      <c r="H216" s="1270">
        <v>15</v>
      </c>
      <c r="I216" s="2113" t="s">
        <v>1304</v>
      </c>
      <c r="J216" s="2113" t="s">
        <v>1304</v>
      </c>
      <c r="K216" s="2113" t="s">
        <v>1304</v>
      </c>
      <c r="L216" s="2113" t="s">
        <v>1304</v>
      </c>
      <c r="M216" s="2113" t="s">
        <v>1304</v>
      </c>
      <c r="N216" s="2113" t="s">
        <v>1304</v>
      </c>
      <c r="O216" s="2113" t="s">
        <v>1304</v>
      </c>
      <c r="P216" s="1272" t="s">
        <v>7666</v>
      </c>
      <c r="Q216" s="2527"/>
      <c r="R216" s="2522"/>
      <c r="S216" s="2527"/>
      <c r="T216" s="2527"/>
      <c r="U216" s="2527"/>
      <c r="V216" s="2527"/>
    </row>
    <row r="217" spans="2:22" ht="12.95" hidden="1" customHeight="1">
      <c r="B217" s="2473" t="s">
        <v>379</v>
      </c>
      <c r="C217" s="128" t="s">
        <v>2135</v>
      </c>
      <c r="D217" s="128" t="s">
        <v>755</v>
      </c>
      <c r="E217" s="128"/>
      <c r="F217" s="130">
        <v>8</v>
      </c>
      <c r="G217" s="130">
        <v>3</v>
      </c>
      <c r="H217" s="130">
        <v>10</v>
      </c>
      <c r="I217" s="2113" t="s">
        <v>1304</v>
      </c>
      <c r="J217" s="2113" t="s">
        <v>1304</v>
      </c>
      <c r="K217" s="2113" t="s">
        <v>1304</v>
      </c>
      <c r="L217" s="2113" t="s">
        <v>1304</v>
      </c>
      <c r="M217" s="2113" t="s">
        <v>1304</v>
      </c>
      <c r="N217" s="2113" t="s">
        <v>1304</v>
      </c>
      <c r="O217" s="2113" t="s">
        <v>1304</v>
      </c>
      <c r="P217" s="151" t="s">
        <v>7666</v>
      </c>
      <c r="Q217" s="2527"/>
      <c r="R217" s="2522"/>
      <c r="S217" s="2527"/>
      <c r="T217" s="2527"/>
      <c r="U217" s="2527"/>
      <c r="V217" s="2527"/>
    </row>
    <row r="218" spans="2:22" ht="12.95" hidden="1" customHeight="1">
      <c r="B218" s="2470" t="s">
        <v>901</v>
      </c>
      <c r="C218" s="1269" t="s">
        <v>2135</v>
      </c>
      <c r="D218" s="1269" t="s">
        <v>2158</v>
      </c>
      <c r="E218" s="1269"/>
      <c r="F218" s="1270">
        <v>9</v>
      </c>
      <c r="G218" s="1270">
        <v>8</v>
      </c>
      <c r="H218" s="1270">
        <v>30</v>
      </c>
      <c r="I218" s="2113" t="s">
        <v>1304</v>
      </c>
      <c r="J218" s="2113" t="s">
        <v>1304</v>
      </c>
      <c r="K218" s="2113" t="s">
        <v>1304</v>
      </c>
      <c r="L218" s="2113" t="s">
        <v>1304</v>
      </c>
      <c r="M218" s="2113" t="s">
        <v>1304</v>
      </c>
      <c r="N218" s="2113" t="s">
        <v>1304</v>
      </c>
      <c r="O218" s="2113" t="s">
        <v>1304</v>
      </c>
      <c r="P218" s="1272" t="s">
        <v>7666</v>
      </c>
      <c r="Q218" s="2527"/>
      <c r="R218" s="2522"/>
      <c r="S218" s="2527"/>
      <c r="T218" s="2527"/>
      <c r="U218" s="2527"/>
      <c r="V218" s="2527"/>
    </row>
    <row r="219" spans="2:22" ht="12.95" hidden="1" customHeight="1">
      <c r="B219" s="2473" t="s">
        <v>1596</v>
      </c>
      <c r="C219" s="128" t="s">
        <v>844</v>
      </c>
      <c r="D219" s="128" t="s">
        <v>756</v>
      </c>
      <c r="E219" s="128"/>
      <c r="F219" s="130">
        <v>7</v>
      </c>
      <c r="G219" s="130">
        <v>7</v>
      </c>
      <c r="H219" s="130">
        <v>30</v>
      </c>
      <c r="I219" s="2113" t="s">
        <v>1304</v>
      </c>
      <c r="J219" s="2113" t="s">
        <v>7344</v>
      </c>
      <c r="K219" s="2113" t="s">
        <v>1304</v>
      </c>
      <c r="L219" s="2113" t="s">
        <v>1304</v>
      </c>
      <c r="M219" s="2113" t="s">
        <v>1304</v>
      </c>
      <c r="N219" s="2113" t="s">
        <v>1304</v>
      </c>
      <c r="O219" s="2113" t="s">
        <v>1304</v>
      </c>
      <c r="P219" s="151" t="s">
        <v>8021</v>
      </c>
      <c r="Q219" s="2527"/>
      <c r="R219" s="2522"/>
      <c r="S219" s="2527"/>
      <c r="T219" s="2527"/>
      <c r="U219" s="2527"/>
      <c r="V219" s="2527"/>
    </row>
    <row r="220" spans="2:22" ht="12.95" hidden="1" customHeight="1">
      <c r="B220" s="2470" t="s">
        <v>644</v>
      </c>
      <c r="C220" s="1269" t="s">
        <v>2137</v>
      </c>
      <c r="D220" s="1269" t="s">
        <v>2136</v>
      </c>
      <c r="E220" s="1269"/>
      <c r="F220" s="1270">
        <v>12</v>
      </c>
      <c r="G220" s="1270">
        <v>10</v>
      </c>
      <c r="H220" s="1270">
        <v>15</v>
      </c>
      <c r="I220" s="2113" t="s">
        <v>1304</v>
      </c>
      <c r="J220" s="2113" t="s">
        <v>1304</v>
      </c>
      <c r="K220" s="2113" t="s">
        <v>1304</v>
      </c>
      <c r="L220" s="2113" t="s">
        <v>1304</v>
      </c>
      <c r="M220" s="2113" t="s">
        <v>1304</v>
      </c>
      <c r="N220" s="2113" t="s">
        <v>1304</v>
      </c>
      <c r="O220" s="2113" t="s">
        <v>7344</v>
      </c>
      <c r="P220" s="1272" t="s">
        <v>8022</v>
      </c>
      <c r="Q220" s="2527"/>
      <c r="R220" s="2522"/>
      <c r="S220" s="2527"/>
      <c r="T220" s="2527"/>
      <c r="U220" s="2527"/>
      <c r="V220" s="2527"/>
    </row>
    <row r="221" spans="2:22" ht="12.95" hidden="1" customHeight="1">
      <c r="B221" s="2473" t="s">
        <v>1984</v>
      </c>
      <c r="C221" s="128" t="s">
        <v>2137</v>
      </c>
      <c r="D221" s="128" t="s">
        <v>2136</v>
      </c>
      <c r="E221" s="128"/>
      <c r="F221" s="130">
        <v>11</v>
      </c>
      <c r="G221" s="130">
        <v>12</v>
      </c>
      <c r="H221" s="130">
        <v>50</v>
      </c>
      <c r="I221" s="2113" t="s">
        <v>1304</v>
      </c>
      <c r="J221" s="2113" t="s">
        <v>1304</v>
      </c>
      <c r="K221" s="2113" t="s">
        <v>1304</v>
      </c>
      <c r="L221" s="2113" t="s">
        <v>7344</v>
      </c>
      <c r="M221" s="2113" t="s">
        <v>1304</v>
      </c>
      <c r="N221" s="2113" t="s">
        <v>1304</v>
      </c>
      <c r="O221" s="2113" t="s">
        <v>1304</v>
      </c>
      <c r="P221" s="151" t="s">
        <v>8023</v>
      </c>
      <c r="Q221" s="2527"/>
      <c r="R221" s="2522"/>
      <c r="S221" s="2527"/>
      <c r="T221" s="2527"/>
      <c r="U221" s="2527"/>
      <c r="V221" s="2527"/>
    </row>
    <row r="222" spans="2:22" ht="12.95" hidden="1" customHeight="1">
      <c r="B222" s="2470" t="s">
        <v>640</v>
      </c>
      <c r="C222" s="1269" t="s">
        <v>2136</v>
      </c>
      <c r="D222" s="1269" t="s">
        <v>678</v>
      </c>
      <c r="E222" s="1269"/>
      <c r="F222" s="1270">
        <v>14</v>
      </c>
      <c r="G222" s="1270">
        <v>7</v>
      </c>
      <c r="H222" s="1270">
        <v>40</v>
      </c>
      <c r="I222" s="2113" t="s">
        <v>1304</v>
      </c>
      <c r="J222" s="2113" t="s">
        <v>1304</v>
      </c>
      <c r="K222" s="2113" t="s">
        <v>1304</v>
      </c>
      <c r="L222" s="2113" t="s">
        <v>1304</v>
      </c>
      <c r="M222" s="2113" t="s">
        <v>1304</v>
      </c>
      <c r="N222" s="2113" t="s">
        <v>1304</v>
      </c>
      <c r="O222" s="2113" t="s">
        <v>1304</v>
      </c>
      <c r="P222" s="1272" t="s">
        <v>7666</v>
      </c>
      <c r="Q222" s="2527"/>
      <c r="R222" s="2522"/>
      <c r="S222" s="2527"/>
      <c r="T222" s="2527"/>
      <c r="U222" s="2527"/>
      <c r="V222" s="2527"/>
    </row>
    <row r="223" spans="2:22" ht="12.95" hidden="1" customHeight="1">
      <c r="B223" s="2473" t="s">
        <v>2534</v>
      </c>
      <c r="C223" s="128" t="s">
        <v>2136</v>
      </c>
      <c r="D223" s="128" t="s">
        <v>1665</v>
      </c>
      <c r="E223" s="128"/>
      <c r="F223" s="130">
        <v>13</v>
      </c>
      <c r="G223" s="130">
        <v>12</v>
      </c>
      <c r="H223" s="130">
        <v>60</v>
      </c>
      <c r="I223" s="2113" t="s">
        <v>1304</v>
      </c>
      <c r="J223" s="2113" t="s">
        <v>1304</v>
      </c>
      <c r="K223" s="2113" t="s">
        <v>1304</v>
      </c>
      <c r="L223" s="2113" t="s">
        <v>7344</v>
      </c>
      <c r="M223" s="2113" t="s">
        <v>1304</v>
      </c>
      <c r="N223" s="2113" t="s">
        <v>1304</v>
      </c>
      <c r="O223" s="2113" t="s">
        <v>1304</v>
      </c>
      <c r="P223" s="151" t="s">
        <v>8024</v>
      </c>
      <c r="Q223" s="2527"/>
      <c r="R223" s="2522"/>
      <c r="S223" s="2527"/>
      <c r="T223" s="2527"/>
      <c r="U223" s="2527"/>
      <c r="V223" s="2527"/>
    </row>
    <row r="224" spans="2:22" ht="12.95" hidden="1" customHeight="1">
      <c r="B224" s="2470" t="s">
        <v>1063</v>
      </c>
      <c r="C224" s="1269" t="s">
        <v>1665</v>
      </c>
      <c r="D224" s="1269" t="s">
        <v>1665</v>
      </c>
      <c r="E224" s="1269"/>
      <c r="F224" s="1270">
        <v>17</v>
      </c>
      <c r="G224" s="1270">
        <v>12</v>
      </c>
      <c r="H224" s="1270">
        <v>30</v>
      </c>
      <c r="I224" s="2113" t="s">
        <v>1304</v>
      </c>
      <c r="J224" s="2113" t="s">
        <v>1304</v>
      </c>
      <c r="K224" s="2113" t="s">
        <v>1304</v>
      </c>
      <c r="L224" s="2113" t="s">
        <v>1304</v>
      </c>
      <c r="M224" s="2113" t="s">
        <v>1304</v>
      </c>
      <c r="N224" s="2113" t="s">
        <v>1304</v>
      </c>
      <c r="O224" s="2113" t="s">
        <v>7344</v>
      </c>
      <c r="P224" s="1272" t="s">
        <v>8025</v>
      </c>
      <c r="Q224" s="2527"/>
      <c r="R224" s="2522"/>
      <c r="S224" s="2527"/>
      <c r="T224" s="2527"/>
      <c r="U224" s="2527"/>
      <c r="V224" s="2527"/>
    </row>
    <row r="225" spans="2:22" ht="12.95" hidden="1" customHeight="1">
      <c r="B225" s="2473" t="s">
        <v>1985</v>
      </c>
      <c r="C225" s="128" t="s">
        <v>1393</v>
      </c>
      <c r="D225" s="128" t="s">
        <v>561</v>
      </c>
      <c r="E225" s="128"/>
      <c r="F225" s="130">
        <v>20</v>
      </c>
      <c r="G225" s="130">
        <v>20</v>
      </c>
      <c r="H225" s="130">
        <v>500</v>
      </c>
      <c r="I225" s="2113" t="s">
        <v>1304</v>
      </c>
      <c r="J225" s="2113" t="s">
        <v>1304</v>
      </c>
      <c r="K225" s="2113" t="s">
        <v>1304</v>
      </c>
      <c r="L225" s="2113" t="s">
        <v>1304</v>
      </c>
      <c r="M225" s="2113" t="s">
        <v>1304</v>
      </c>
      <c r="N225" s="2113" t="s">
        <v>1304</v>
      </c>
      <c r="O225" s="2113" t="s">
        <v>1304</v>
      </c>
      <c r="P225" s="151" t="s">
        <v>7666</v>
      </c>
      <c r="Q225" s="2527"/>
      <c r="R225" s="2522"/>
      <c r="S225" s="2527"/>
      <c r="T225" s="2527"/>
      <c r="U225" s="2527"/>
      <c r="V225" s="2527"/>
    </row>
    <row r="226" spans="2:22" ht="12.95" hidden="1" customHeight="1">
      <c r="B226" s="2470" t="s">
        <v>726</v>
      </c>
      <c r="C226" s="1269" t="s">
        <v>1666</v>
      </c>
      <c r="D226" s="1269" t="s">
        <v>1666</v>
      </c>
      <c r="E226" s="1269"/>
      <c r="F226" s="1270">
        <v>30</v>
      </c>
      <c r="G226" s="1270">
        <v>30</v>
      </c>
      <c r="H226" s="1270">
        <v>750</v>
      </c>
      <c r="I226" s="2113" t="s">
        <v>1304</v>
      </c>
      <c r="J226" s="2113" t="s">
        <v>1304</v>
      </c>
      <c r="K226" s="2113" t="s">
        <v>1304</v>
      </c>
      <c r="L226" s="2113" t="s">
        <v>1304</v>
      </c>
      <c r="M226" s="2113" t="s">
        <v>1304</v>
      </c>
      <c r="N226" s="2113" t="s">
        <v>1304</v>
      </c>
      <c r="O226" s="2113" t="s">
        <v>1304</v>
      </c>
      <c r="P226" s="1272" t="s">
        <v>8026</v>
      </c>
      <c r="Q226" s="2527"/>
      <c r="R226" s="2522"/>
      <c r="S226" s="2527"/>
      <c r="T226" s="2527"/>
      <c r="U226" s="2527"/>
      <c r="V226" s="2527"/>
    </row>
    <row r="227" spans="2:22" ht="12.95" hidden="1" customHeight="1">
      <c r="B227" s="2473" t="s">
        <v>3473</v>
      </c>
      <c r="C227" s="128" t="s">
        <v>3196</v>
      </c>
      <c r="D227" s="128" t="s">
        <v>3478</v>
      </c>
      <c r="E227" s="128"/>
      <c r="F227" s="130">
        <v>40</v>
      </c>
      <c r="G227" s="130">
        <v>40</v>
      </c>
      <c r="H227" s="130">
        <v>800</v>
      </c>
      <c r="I227" s="2113" t="s">
        <v>1304</v>
      </c>
      <c r="J227" s="2113" t="s">
        <v>1304</v>
      </c>
      <c r="K227" s="2113" t="s">
        <v>1304</v>
      </c>
      <c r="L227" s="2113" t="s">
        <v>1304</v>
      </c>
      <c r="M227" s="2113" t="s">
        <v>1304</v>
      </c>
      <c r="N227" s="2113" t="s">
        <v>1304</v>
      </c>
      <c r="O227" s="2113" t="s">
        <v>1304</v>
      </c>
      <c r="P227" s="151" t="s">
        <v>7666</v>
      </c>
      <c r="Q227" s="2527"/>
      <c r="R227" s="2522"/>
      <c r="S227" s="2527"/>
      <c r="T227" s="2527"/>
      <c r="U227" s="2527"/>
      <c r="V227" s="2527"/>
    </row>
    <row r="228" spans="2:22" ht="12.95" hidden="1" customHeight="1" thickBot="1">
      <c r="B228" s="2470" t="s">
        <v>727</v>
      </c>
      <c r="C228" s="1269" t="s">
        <v>3206</v>
      </c>
      <c r="D228" s="1269" t="s">
        <v>3479</v>
      </c>
      <c r="E228" s="1269"/>
      <c r="F228" s="1270">
        <v>50</v>
      </c>
      <c r="G228" s="1270">
        <v>50</v>
      </c>
      <c r="H228" s="1270">
        <v>1000</v>
      </c>
      <c r="I228" s="2113" t="s">
        <v>1304</v>
      </c>
      <c r="J228" s="2113" t="s">
        <v>1304</v>
      </c>
      <c r="K228" s="2113" t="s">
        <v>1304</v>
      </c>
      <c r="L228" s="2113" t="s">
        <v>1304</v>
      </c>
      <c r="M228" s="2113" t="s">
        <v>1304</v>
      </c>
      <c r="N228" s="2113" t="s">
        <v>1304</v>
      </c>
      <c r="O228" s="2113" t="s">
        <v>1304</v>
      </c>
      <c r="P228" s="1290" t="s">
        <v>8027</v>
      </c>
      <c r="Q228" s="2527"/>
      <c r="R228" s="2522"/>
      <c r="S228" s="2527"/>
      <c r="T228" s="2527"/>
      <c r="U228" s="2527"/>
      <c r="V228" s="2527"/>
    </row>
  </sheetData>
  <sheetProtection autoFilter="0"/>
  <mergeCells count="53">
    <mergeCell ref="B13:G13"/>
    <mergeCell ref="B15:C16"/>
    <mergeCell ref="F15:G16"/>
    <mergeCell ref="B19:C20"/>
    <mergeCell ref="B17:C18"/>
    <mergeCell ref="F17:G18"/>
    <mergeCell ref="F19:G20"/>
    <mergeCell ref="B21:C22"/>
    <mergeCell ref="F21:G22"/>
    <mergeCell ref="B23:C24"/>
    <mergeCell ref="F23:G24"/>
    <mergeCell ref="F28:G28"/>
    <mergeCell ref="B26:G26"/>
    <mergeCell ref="C1:G1"/>
    <mergeCell ref="B3:G3"/>
    <mergeCell ref="B4:G4"/>
    <mergeCell ref="B5:G5"/>
    <mergeCell ref="B9:C9"/>
    <mergeCell ref="F9:G9"/>
    <mergeCell ref="B6:G6"/>
    <mergeCell ref="B7:G7"/>
    <mergeCell ref="J9:J28"/>
    <mergeCell ref="B61:B62"/>
    <mergeCell ref="F61:F62"/>
    <mergeCell ref="B38:C38"/>
    <mergeCell ref="F38:G38"/>
    <mergeCell ref="F49:F50"/>
    <mergeCell ref="F56:F57"/>
    <mergeCell ref="B55:B56"/>
    <mergeCell ref="B49:B50"/>
    <mergeCell ref="I38:Q38"/>
    <mergeCell ref="I39:Q39"/>
    <mergeCell ref="K9:K28"/>
    <mergeCell ref="L9:L28"/>
    <mergeCell ref="I40:Q40"/>
    <mergeCell ref="I41:Q41"/>
    <mergeCell ref="B28:C28"/>
    <mergeCell ref="F71:F72"/>
    <mergeCell ref="B73:B74"/>
    <mergeCell ref="B82:B83"/>
    <mergeCell ref="B77:B78"/>
    <mergeCell ref="B79:B80"/>
    <mergeCell ref="B75:B76"/>
    <mergeCell ref="B71:B72"/>
    <mergeCell ref="J86:J87"/>
    <mergeCell ref="I42:Q42"/>
    <mergeCell ref="P86:P87"/>
    <mergeCell ref="K86:K87"/>
    <mergeCell ref="L86:L87"/>
    <mergeCell ref="M86:M87"/>
    <mergeCell ref="N86:N87"/>
    <mergeCell ref="O86:O87"/>
    <mergeCell ref="I86:I87"/>
  </mergeCells>
  <dataValidations count="18">
    <dataValidation operator="greaterThan" allowBlank="1" showInputMessage="1" showErrorMessage="1" sqref="C69"/>
    <dataValidation type="list" allowBlank="1" showInputMessage="1" showErrorMessage="1" sqref="G56 C52:C53 C55 C31 G52:G54 G33:G34 C35">
      <formula1>$I$31:$I$32</formula1>
    </dataValidation>
    <dataValidation type="whole" allowBlank="1" showInputMessage="1" showErrorMessage="1" sqref="G57 C56">
      <formula1>1</formula1>
      <formula2>10</formula2>
    </dataValidation>
    <dataValidation type="list" allowBlank="1" showInputMessage="1" showErrorMessage="1" sqref="G55 C54">
      <formula1>$M$31:$M$36</formula1>
    </dataValidation>
    <dataValidation type="list" allowBlank="1" showInputMessage="1" showErrorMessage="1" sqref="G49 C45 C49 G32 C33">
      <formula1>$K$31:$K$34</formula1>
    </dataValidation>
    <dataValidation type="list" allowBlank="1" showInputMessage="1" showErrorMessage="1" sqref="C47 C51 G41:G43 G47 C41:C42">
      <formula1>$K$31:$K$35</formula1>
    </dataValidation>
    <dataValidation type="list" allowBlank="1" showInputMessage="1" showErrorMessage="1" sqref="C43 C48 G44 G48 G51">
      <formula1>$K$31:$K$36</formula1>
    </dataValidation>
    <dataValidation type="list" allowBlank="1" showInputMessage="1" showErrorMessage="1" sqref="C44 G45">
      <formula1>$O$31:$O$36</formula1>
    </dataValidation>
    <dataValidation type="list" allowBlank="1" showInputMessage="1" showErrorMessage="1" sqref="C46 G46">
      <formula1>$P$31:$P$36</formula1>
    </dataValidation>
    <dataValidation type="whole" allowBlank="1" showInputMessage="1" showErrorMessage="1" sqref="C50 G50">
      <formula1>1</formula1>
      <formula2>20</formula2>
    </dataValidation>
    <dataValidation type="list" allowBlank="1" showInputMessage="1" showErrorMessage="1" sqref="C40 G40">
      <formula1>$N$31:$N$37</formula1>
    </dataValidation>
    <dataValidation type="list" allowBlank="1" showInputMessage="1" showErrorMessage="1" sqref="C39 G39">
      <formula1>$K$31:$K$37</formula1>
    </dataValidation>
    <dataValidation type="whole" allowBlank="1" showInputMessage="1" showErrorMessage="1" sqref="C36">
      <formula1>0</formula1>
      <formula2>20</formula2>
    </dataValidation>
    <dataValidation type="list" allowBlank="1" showInputMessage="1" showErrorMessage="1" sqref="C32 G31">
      <formula1>$J$31:$J$34</formula1>
    </dataValidation>
    <dataValidation type="list" allowBlank="1" showInputMessage="1" showErrorMessage="1" sqref="C34">
      <formula1>$L$31:$L$34</formula1>
    </dataValidation>
    <dataValidation type="whole" allowBlank="1" showInputMessage="1" showErrorMessage="1" sqref="C29:C30 G29:G30">
      <formula1>0</formula1>
      <formula2>99</formula2>
    </dataValidation>
    <dataValidation type="list" allowBlank="1" showInputMessage="1" showErrorMessage="1" sqref="C11 G11">
      <formula1>$B$88:$B$228</formula1>
    </dataValidation>
    <dataValidation type="whole" operator="greaterThan" allowBlank="1" showInputMessage="1" showErrorMessage="1" sqref="C10 G10">
      <formula1>0</formula1>
    </dataValidation>
  </dataValidation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7" orientation="landscape" r:id="rId1"/>
  <headerFooter alignWithMargins="0"/>
  <rowBreaks count="2" manualBreakCount="2">
    <brk id="24" max="16383" man="1"/>
    <brk id="65" max="16383" man="1"/>
  </rowBreaks>
  <ignoredErrors>
    <ignoredError sqref="H53" formula="1"/>
  </ignoredErrors>
</worksheet>
</file>

<file path=xl/worksheets/sheet98.xml><?xml version="1.0" encoding="utf-8"?>
<worksheet xmlns="http://schemas.openxmlformats.org/spreadsheetml/2006/main" xmlns:r="http://schemas.openxmlformats.org/officeDocument/2006/relationships">
  <dimension ref="B1:H38"/>
  <sheetViews>
    <sheetView zoomScaleNormal="100" workbookViewId="0">
      <pane ySplit="4" topLeftCell="A5" activePane="bottomLeft" state="frozen"/>
      <selection pane="bottomLeft"/>
    </sheetView>
  </sheetViews>
  <sheetFormatPr defaultRowHeight="12.95" customHeight="1"/>
  <cols>
    <col min="1" max="1" width="3.7109375" style="377" customWidth="1"/>
    <col min="2" max="8" width="17.7109375" style="377" customWidth="1"/>
    <col min="9" max="16384" width="9.140625" style="377"/>
  </cols>
  <sheetData>
    <row r="1" spans="2:8" s="293" customFormat="1" ht="12.95" customHeight="1">
      <c r="B1" s="298" t="s">
        <v>2706</v>
      </c>
      <c r="C1" s="3195" t="s">
        <v>8269</v>
      </c>
      <c r="D1" s="3195"/>
      <c r="E1" s="3195"/>
      <c r="F1" s="3195"/>
      <c r="G1" s="3195"/>
      <c r="H1" s="3195"/>
    </row>
    <row r="2" spans="2:8" s="292" customFormat="1" ht="5.0999999999999996" customHeight="1"/>
    <row r="3" spans="2:8" s="292" customFormat="1" ht="12.95" customHeight="1">
      <c r="B3" s="3075" t="s">
        <v>8193</v>
      </c>
      <c r="C3" s="3075"/>
      <c r="D3" s="3075"/>
      <c r="E3" s="3075"/>
      <c r="F3" s="3075"/>
      <c r="G3" s="3075"/>
      <c r="H3" s="3075"/>
    </row>
    <row r="4" spans="2:8" ht="5.0999999999999996" customHeight="1"/>
    <row r="5" spans="2:8" ht="26.1" customHeight="1">
      <c r="B5" s="4178" t="s">
        <v>9560</v>
      </c>
      <c r="C5" s="4178"/>
      <c r="D5" s="4178"/>
      <c r="E5" s="4178"/>
      <c r="F5" s="4178"/>
      <c r="G5" s="4178"/>
      <c r="H5" s="4178"/>
    </row>
    <row r="6" spans="2:8" ht="5.0999999999999996" customHeight="1"/>
    <row r="7" spans="2:8" ht="39" customHeight="1">
      <c r="B7" s="2985" t="s">
        <v>9561</v>
      </c>
      <c r="C7" s="2984"/>
      <c r="D7" s="2984"/>
      <c r="E7" s="2984"/>
      <c r="F7" s="2984"/>
      <c r="G7" s="2984"/>
      <c r="H7" s="2984"/>
    </row>
    <row r="8" spans="2:8" ht="5.0999999999999996" customHeight="1"/>
    <row r="9" spans="2:8" ht="104.1" customHeight="1">
      <c r="B9" s="2985" t="s">
        <v>9562</v>
      </c>
      <c r="C9" s="3253"/>
      <c r="D9" s="3253"/>
      <c r="E9" s="3253"/>
      <c r="F9" s="3253"/>
      <c r="G9" s="3253"/>
      <c r="H9" s="3253"/>
    </row>
    <row r="10" spans="2:8" ht="51.95" customHeight="1">
      <c r="B10" s="2984" t="s">
        <v>9563</v>
      </c>
      <c r="C10" s="3253"/>
      <c r="D10" s="3253"/>
      <c r="E10" s="3253"/>
      <c r="F10" s="3253"/>
      <c r="G10" s="3253"/>
      <c r="H10" s="3253"/>
    </row>
    <row r="11" spans="2:8" ht="5.0999999999999996" customHeight="1"/>
    <row r="12" spans="2:8" ht="65.099999999999994" customHeight="1">
      <c r="B12" s="2985" t="s">
        <v>9564</v>
      </c>
      <c r="C12" s="3253"/>
      <c r="D12" s="3253"/>
      <c r="E12" s="3253"/>
      <c r="F12" s="3253"/>
      <c r="G12" s="3253"/>
      <c r="H12" s="3253"/>
    </row>
    <row r="13" spans="2:8" ht="5.0999999999999996" customHeight="1"/>
    <row r="14" spans="2:8" ht="26.1" customHeight="1">
      <c r="B14" s="2984" t="s">
        <v>9565</v>
      </c>
      <c r="C14" s="3253"/>
      <c r="D14" s="3253"/>
      <c r="E14" s="3253"/>
      <c r="F14" s="3253"/>
      <c r="G14" s="3253"/>
      <c r="H14" s="3253"/>
    </row>
    <row r="15" spans="2:8" ht="5.0999999999999996" customHeight="1"/>
    <row r="16" spans="2:8" ht="78" customHeight="1">
      <c r="B16" s="2984" t="s">
        <v>9566</v>
      </c>
      <c r="C16" s="3253"/>
      <c r="D16" s="3253"/>
      <c r="E16" s="3253"/>
      <c r="F16" s="3253"/>
      <c r="G16" s="3253"/>
      <c r="H16" s="3253"/>
    </row>
    <row r="17" spans="2:8" ht="5.0999999999999996" customHeight="1"/>
    <row r="18" spans="2:8" ht="90.95" customHeight="1">
      <c r="B18" s="2984" t="s">
        <v>9567</v>
      </c>
      <c r="C18" s="3253"/>
      <c r="D18" s="3253"/>
      <c r="E18" s="3253"/>
      <c r="F18" s="3253"/>
      <c r="G18" s="3253"/>
      <c r="H18" s="3253"/>
    </row>
    <row r="19" spans="2:8" ht="5.0999999999999996" customHeight="1"/>
    <row r="20" spans="2:8" ht="78" customHeight="1">
      <c r="B20" s="2984" t="s">
        <v>9568</v>
      </c>
      <c r="C20" s="3253"/>
      <c r="D20" s="3253"/>
      <c r="E20" s="3253"/>
      <c r="F20" s="3253"/>
      <c r="G20" s="3253"/>
      <c r="H20" s="3253"/>
    </row>
    <row r="21" spans="2:8" ht="5.0999999999999996" customHeight="1"/>
    <row r="22" spans="2:8" ht="39" customHeight="1">
      <c r="B22" s="2984" t="s">
        <v>9569</v>
      </c>
      <c r="C22" s="3253"/>
      <c r="D22" s="3253"/>
      <c r="E22" s="3253"/>
      <c r="F22" s="3253"/>
      <c r="G22" s="3253"/>
      <c r="H22" s="3253"/>
    </row>
    <row r="23" spans="2:8" ht="5.0999999999999996" customHeight="1"/>
    <row r="24" spans="2:8" ht="26.1" customHeight="1">
      <c r="B24" s="2984" t="s">
        <v>9570</v>
      </c>
      <c r="C24" s="3253"/>
      <c r="D24" s="3253"/>
      <c r="E24" s="3253"/>
      <c r="F24" s="3253"/>
      <c r="G24" s="3253"/>
      <c r="H24" s="3253"/>
    </row>
    <row r="25" spans="2:8" ht="5.0999999999999996" customHeight="1"/>
    <row r="26" spans="2:8" ht="117" customHeight="1">
      <c r="B26" s="2984" t="s">
        <v>10147</v>
      </c>
      <c r="C26" s="3253"/>
      <c r="D26" s="3253"/>
      <c r="E26" s="3253"/>
      <c r="F26" s="3253"/>
      <c r="G26" s="3253"/>
      <c r="H26" s="3253"/>
    </row>
    <row r="27" spans="2:8" ht="5.0999999999999996" customHeight="1"/>
    <row r="28" spans="2:8" ht="90.95" customHeight="1">
      <c r="B28" s="2984" t="s">
        <v>9571</v>
      </c>
      <c r="C28" s="3253"/>
      <c r="D28" s="3253"/>
      <c r="E28" s="3253"/>
      <c r="F28" s="3253"/>
      <c r="G28" s="3253"/>
      <c r="H28" s="3253"/>
    </row>
    <row r="29" spans="2:8" ht="5.0999999999999996" customHeight="1"/>
    <row r="30" spans="2:8" ht="39" customHeight="1">
      <c r="B30" s="2984" t="s">
        <v>9572</v>
      </c>
      <c r="C30" s="3253"/>
      <c r="D30" s="3253"/>
      <c r="E30" s="3253"/>
      <c r="F30" s="3253"/>
      <c r="G30" s="3253"/>
      <c r="H30" s="3253"/>
    </row>
    <row r="31" spans="2:8" ht="5.0999999999999996" customHeight="1"/>
    <row r="32" spans="2:8" ht="39" customHeight="1">
      <c r="B32" s="2984" t="s">
        <v>9573</v>
      </c>
      <c r="C32" s="3253"/>
      <c r="D32" s="3253"/>
      <c r="E32" s="3253"/>
      <c r="F32" s="3253"/>
      <c r="G32" s="3253"/>
      <c r="H32" s="3253"/>
    </row>
    <row r="33" spans="2:8" ht="5.0999999999999996" customHeight="1"/>
    <row r="34" spans="2:8" ht="51.95" customHeight="1">
      <c r="B34" s="2984" t="s">
        <v>9574</v>
      </c>
      <c r="C34" s="3253"/>
      <c r="D34" s="3253"/>
      <c r="E34" s="3253"/>
      <c r="F34" s="3253"/>
      <c r="G34" s="3253"/>
      <c r="H34" s="3253"/>
    </row>
    <row r="35" spans="2:8" ht="5.0999999999999996" customHeight="1"/>
    <row r="36" spans="2:8" ht="39" customHeight="1">
      <c r="B36" s="2984" t="s">
        <v>9575</v>
      </c>
      <c r="C36" s="3253"/>
      <c r="D36" s="3253"/>
      <c r="E36" s="3253"/>
      <c r="F36" s="3253"/>
      <c r="G36" s="3253"/>
      <c r="H36" s="3253"/>
    </row>
    <row r="37" spans="2:8" ht="5.0999999999999996" customHeight="1"/>
    <row r="38" spans="2:8" ht="51.95" customHeight="1">
      <c r="B38" s="2984" t="s">
        <v>9576</v>
      </c>
      <c r="C38" s="3253"/>
      <c r="D38" s="3253"/>
      <c r="E38" s="3253"/>
      <c r="F38" s="3253"/>
      <c r="G38" s="3253"/>
      <c r="H38" s="3253"/>
    </row>
  </sheetData>
  <sheetProtection autoFilter="0"/>
  <mergeCells count="20">
    <mergeCell ref="B3:H3"/>
    <mergeCell ref="B5:H5"/>
    <mergeCell ref="B7:H7"/>
    <mergeCell ref="B9:H9"/>
    <mergeCell ref="C1:H1"/>
    <mergeCell ref="B38:H38"/>
    <mergeCell ref="B36:H36"/>
    <mergeCell ref="B34:H34"/>
    <mergeCell ref="B32:H32"/>
    <mergeCell ref="B10:H10"/>
    <mergeCell ref="B12:H12"/>
    <mergeCell ref="B22:H22"/>
    <mergeCell ref="B20:H20"/>
    <mergeCell ref="B14:H14"/>
    <mergeCell ref="B30:H30"/>
    <mergeCell ref="B26:H26"/>
    <mergeCell ref="B16:H16"/>
    <mergeCell ref="B18:H18"/>
    <mergeCell ref="B24:H24"/>
    <mergeCell ref="B28:H28"/>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3" manualBreakCount="3">
    <brk id="16" max="7" man="1"/>
    <brk id="27" max="7" man="1"/>
    <brk id="36" max="7" man="1"/>
  </rowBreaks>
</worksheet>
</file>

<file path=xl/worksheets/sheet99.xml><?xml version="1.0" encoding="utf-8"?>
<worksheet xmlns="http://schemas.openxmlformats.org/spreadsheetml/2006/main" xmlns:r="http://schemas.openxmlformats.org/officeDocument/2006/relationships">
  <dimension ref="B1:H33"/>
  <sheetViews>
    <sheetView zoomScaleNormal="100" workbookViewId="0">
      <pane ySplit="5" topLeftCell="A6" activePane="bottomLeft" state="frozen"/>
      <selection pane="bottomLeft"/>
    </sheetView>
  </sheetViews>
  <sheetFormatPr defaultRowHeight="12.95" customHeight="1"/>
  <cols>
    <col min="1" max="1" width="3.7109375" style="377" customWidth="1"/>
    <col min="2" max="8" width="17.7109375" style="377" customWidth="1"/>
    <col min="9" max="16384" width="9.140625" style="377"/>
  </cols>
  <sheetData>
    <row r="1" spans="2:8" s="2553" customFormat="1" ht="12.95" customHeight="1">
      <c r="B1" s="2556" t="s">
        <v>2706</v>
      </c>
      <c r="C1" s="3195" t="s">
        <v>8269</v>
      </c>
      <c r="D1" s="3195"/>
      <c r="E1" s="3195"/>
      <c r="F1" s="3195"/>
      <c r="G1" s="3195"/>
      <c r="H1" s="3195"/>
    </row>
    <row r="2" spans="2:8" s="292" customFormat="1" ht="5.0999999999999996" customHeight="1"/>
    <row r="3" spans="2:8" s="292" customFormat="1" ht="12.95" customHeight="1">
      <c r="B3" s="3075" t="s">
        <v>8194</v>
      </c>
      <c r="C3" s="3075"/>
      <c r="D3" s="3075"/>
      <c r="E3" s="3075"/>
      <c r="F3" s="3075"/>
      <c r="G3" s="3075"/>
      <c r="H3" s="3075"/>
    </row>
    <row r="4" spans="2:8" s="387" customFormat="1" ht="12.95" customHeight="1">
      <c r="B4" s="3130" t="s">
        <v>8192</v>
      </c>
      <c r="C4" s="3130"/>
      <c r="D4" s="3130"/>
      <c r="E4" s="3130"/>
      <c r="F4" s="3130"/>
      <c r="G4" s="3130"/>
      <c r="H4" s="3130"/>
    </row>
    <row r="5" spans="2:8" ht="5.0999999999999996" customHeight="1"/>
    <row r="6" spans="2:8" ht="26.1" customHeight="1">
      <c r="B6" s="2984" t="s">
        <v>9830</v>
      </c>
      <c r="C6" s="3254"/>
      <c r="D6" s="3254"/>
      <c r="E6" s="3254"/>
      <c r="F6" s="3254"/>
      <c r="G6" s="3254"/>
      <c r="H6" s="3254"/>
    </row>
    <row r="7" spans="2:8" ht="5.0999999999999996" customHeight="1"/>
    <row r="8" spans="2:8" ht="12.95" customHeight="1">
      <c r="B8" s="3264" t="s">
        <v>8177</v>
      </c>
      <c r="C8" s="3264"/>
      <c r="D8" s="3264"/>
      <c r="E8" s="3264"/>
      <c r="F8" s="3264"/>
      <c r="G8" s="3264"/>
      <c r="H8" s="3264"/>
    </row>
    <row r="9" spans="2:8" ht="12.95" customHeight="1">
      <c r="B9" s="3264" t="s">
        <v>8178</v>
      </c>
      <c r="C9" s="3264"/>
      <c r="D9" s="3264"/>
      <c r="E9" s="3264"/>
      <c r="F9" s="3264"/>
      <c r="G9" s="3264"/>
      <c r="H9" s="3264"/>
    </row>
    <row r="10" spans="2:8" ht="39" customHeight="1">
      <c r="B10" s="2984" t="s">
        <v>8179</v>
      </c>
      <c r="C10" s="2984"/>
      <c r="D10" s="2984"/>
      <c r="E10" s="2984"/>
      <c r="F10" s="2984"/>
      <c r="G10" s="2984"/>
      <c r="H10" s="2984"/>
    </row>
    <row r="11" spans="2:8" ht="39" customHeight="1">
      <c r="B11" s="2984" t="s">
        <v>8180</v>
      </c>
      <c r="C11" s="2984"/>
      <c r="D11" s="2984"/>
      <c r="E11" s="2984"/>
      <c r="F11" s="2984"/>
      <c r="G11" s="2984"/>
      <c r="H11" s="2984"/>
    </row>
    <row r="12" spans="2:8" ht="39" customHeight="1">
      <c r="B12" s="2984" t="s">
        <v>8181</v>
      </c>
      <c r="C12" s="2984"/>
      <c r="D12" s="2984"/>
      <c r="E12" s="2984"/>
      <c r="F12" s="2984"/>
      <c r="G12" s="2984"/>
      <c r="H12" s="2984"/>
    </row>
    <row r="13" spans="2:8" ht="39" customHeight="1">
      <c r="B13" s="2984" t="s">
        <v>8182</v>
      </c>
      <c r="C13" s="2984"/>
      <c r="D13" s="2984"/>
      <c r="E13" s="2984"/>
      <c r="F13" s="2984"/>
      <c r="G13" s="2984"/>
      <c r="H13" s="2984"/>
    </row>
    <row r="14" spans="2:8" ht="39" customHeight="1">
      <c r="B14" s="2984" t="s">
        <v>8190</v>
      </c>
      <c r="C14" s="2984"/>
      <c r="D14" s="2984"/>
      <c r="E14" s="2984"/>
      <c r="F14" s="2984"/>
      <c r="G14" s="2984"/>
      <c r="H14" s="2984"/>
    </row>
    <row r="15" spans="2:8" ht="5.0999999999999996" customHeight="1">
      <c r="B15" s="2984"/>
      <c r="C15" s="2984"/>
      <c r="D15" s="2984"/>
      <c r="E15" s="2984"/>
      <c r="F15" s="2984"/>
      <c r="G15" s="2984"/>
      <c r="H15" s="2984"/>
    </row>
    <row r="16" spans="2:8" ht="12.95" customHeight="1">
      <c r="B16" s="3264" t="s">
        <v>8183</v>
      </c>
      <c r="C16" s="3264"/>
      <c r="D16" s="3264"/>
      <c r="E16" s="3264"/>
      <c r="F16" s="3264"/>
      <c r="G16" s="3264"/>
      <c r="H16" s="3264"/>
    </row>
    <row r="17" spans="2:8" ht="26.1" customHeight="1">
      <c r="B17" s="2984" t="s">
        <v>8184</v>
      </c>
      <c r="C17" s="2984"/>
      <c r="D17" s="2984"/>
      <c r="E17" s="2984"/>
      <c r="F17" s="2984"/>
      <c r="G17" s="2984"/>
      <c r="H17" s="2984"/>
    </row>
    <row r="18" spans="2:8" ht="51.95" customHeight="1">
      <c r="B18" s="2984" t="s">
        <v>8185</v>
      </c>
      <c r="C18" s="2984"/>
      <c r="D18" s="2984"/>
      <c r="E18" s="2984"/>
      <c r="F18" s="2984"/>
      <c r="G18" s="2984"/>
      <c r="H18" s="2984"/>
    </row>
    <row r="19" spans="2:8" ht="78" customHeight="1">
      <c r="B19" s="2984" t="s">
        <v>8186</v>
      </c>
      <c r="C19" s="2984"/>
      <c r="D19" s="2984"/>
      <c r="E19" s="2984"/>
      <c r="F19" s="2984"/>
      <c r="G19" s="2984"/>
      <c r="H19" s="2984"/>
    </row>
    <row r="20" spans="2:8" ht="26.1" customHeight="1">
      <c r="B20" s="2984" t="s">
        <v>8187</v>
      </c>
      <c r="C20" s="2984"/>
      <c r="D20" s="2984"/>
      <c r="E20" s="2984"/>
      <c r="F20" s="2984"/>
      <c r="G20" s="2984"/>
      <c r="H20" s="2984"/>
    </row>
    <row r="21" spans="2:8" ht="78" customHeight="1">
      <c r="B21" s="2984" t="s">
        <v>9831</v>
      </c>
      <c r="C21" s="2984"/>
      <c r="D21" s="2984"/>
      <c r="E21" s="2984"/>
      <c r="F21" s="2984"/>
      <c r="G21" s="2984"/>
      <c r="H21" s="2984"/>
    </row>
    <row r="22" spans="2:8" ht="26.1" customHeight="1">
      <c r="B22" s="2984" t="s">
        <v>9832</v>
      </c>
      <c r="C22" s="2984"/>
      <c r="D22" s="2984"/>
      <c r="E22" s="2984"/>
      <c r="F22" s="2984"/>
      <c r="G22" s="2984"/>
      <c r="H22" s="2984"/>
    </row>
    <row r="23" spans="2:8" ht="51.95" customHeight="1">
      <c r="B23" s="3594" t="s">
        <v>8188</v>
      </c>
      <c r="C23" s="3594"/>
      <c r="D23" s="3594"/>
      <c r="E23" s="3594"/>
      <c r="F23" s="3594"/>
      <c r="G23" s="3594"/>
      <c r="H23" s="3594"/>
    </row>
    <row r="24" spans="2:8" ht="26.1" customHeight="1">
      <c r="B24" s="3594" t="s">
        <v>8189</v>
      </c>
      <c r="C24" s="3594"/>
      <c r="D24" s="3594"/>
      <c r="E24" s="3594"/>
      <c r="F24" s="3594"/>
      <c r="G24" s="3594"/>
      <c r="H24" s="3594"/>
    </row>
    <row r="25" spans="2:8" ht="5.0999999999999996" customHeight="1">
      <c r="B25" s="2559"/>
      <c r="C25" s="2559"/>
      <c r="D25" s="2559"/>
      <c r="E25" s="2559"/>
      <c r="F25" s="2559"/>
      <c r="G25" s="2559"/>
      <c r="H25" s="2559"/>
    </row>
    <row r="26" spans="2:8" ht="39" customHeight="1">
      <c r="B26" s="4179" t="s">
        <v>8191</v>
      </c>
      <c r="C26" s="4179"/>
      <c r="D26" s="4179"/>
      <c r="E26" s="4179"/>
      <c r="F26" s="4179"/>
      <c r="G26" s="4179"/>
      <c r="H26" s="4179"/>
    </row>
    <row r="27" spans="2:8" ht="78" customHeight="1">
      <c r="B27" s="3594" t="s">
        <v>8037</v>
      </c>
      <c r="C27" s="3594"/>
      <c r="D27" s="3594"/>
      <c r="E27" s="3594"/>
      <c r="F27" s="3594"/>
      <c r="G27" s="3594"/>
      <c r="H27" s="3594"/>
    </row>
    <row r="28" spans="2:8" ht="156" customHeight="1">
      <c r="B28" s="3594" t="s">
        <v>10148</v>
      </c>
      <c r="C28" s="3594"/>
      <c r="D28" s="3594"/>
      <c r="E28" s="3594"/>
      <c r="F28" s="3594"/>
      <c r="G28" s="3594"/>
      <c r="H28" s="3594"/>
    </row>
    <row r="29" spans="2:8" ht="78" customHeight="1">
      <c r="B29" s="3594" t="s">
        <v>8034</v>
      </c>
      <c r="C29" s="3594"/>
      <c r="D29" s="3594"/>
      <c r="E29" s="3594"/>
      <c r="F29" s="3594"/>
      <c r="G29" s="3594"/>
      <c r="H29" s="3594"/>
    </row>
    <row r="30" spans="2:8" ht="39" customHeight="1">
      <c r="B30" s="3594" t="s">
        <v>8035</v>
      </c>
      <c r="C30" s="3594"/>
      <c r="D30" s="3594"/>
      <c r="E30" s="3594"/>
      <c r="F30" s="3594"/>
      <c r="G30" s="3594"/>
      <c r="H30" s="3594"/>
    </row>
    <row r="31" spans="2:8" ht="78" customHeight="1">
      <c r="B31" s="3594" t="s">
        <v>10149</v>
      </c>
      <c r="C31" s="3594"/>
      <c r="D31" s="3594"/>
      <c r="E31" s="3594"/>
      <c r="F31" s="3594"/>
      <c r="G31" s="3594"/>
      <c r="H31" s="3594"/>
    </row>
    <row r="32" spans="2:8" ht="78" customHeight="1">
      <c r="B32" s="3594" t="s">
        <v>8036</v>
      </c>
      <c r="C32" s="3594"/>
      <c r="D32" s="3594"/>
      <c r="E32" s="3594"/>
      <c r="F32" s="3594"/>
      <c r="G32" s="3594"/>
      <c r="H32" s="3594"/>
    </row>
    <row r="33" spans="2:8" ht="26.1" customHeight="1">
      <c r="B33" s="3594" t="s">
        <v>8038</v>
      </c>
      <c r="C33" s="3594"/>
      <c r="D33" s="3594"/>
      <c r="E33" s="3594"/>
      <c r="F33" s="3594"/>
      <c r="G33" s="3594"/>
      <c r="H33" s="3594"/>
    </row>
  </sheetData>
  <sheetProtection autoFilter="0"/>
  <mergeCells count="29">
    <mergeCell ref="B4:H4"/>
    <mergeCell ref="B23:H23"/>
    <mergeCell ref="C1:H1"/>
    <mergeCell ref="B3:H3"/>
    <mergeCell ref="B6:H6"/>
    <mergeCell ref="B8:H8"/>
    <mergeCell ref="B9:H9"/>
    <mergeCell ref="B10:H10"/>
    <mergeCell ref="B11:H11"/>
    <mergeCell ref="B12:H12"/>
    <mergeCell ref="B13:H13"/>
    <mergeCell ref="B15:H15"/>
    <mergeCell ref="B16:H16"/>
    <mergeCell ref="B17:H17"/>
    <mergeCell ref="B18:H18"/>
    <mergeCell ref="B19:H19"/>
    <mergeCell ref="B14:H14"/>
    <mergeCell ref="B20:H20"/>
    <mergeCell ref="B21:H21"/>
    <mergeCell ref="B22:H22"/>
    <mergeCell ref="B33:H33"/>
    <mergeCell ref="B28:H28"/>
    <mergeCell ref="B29:H29"/>
    <mergeCell ref="B30:H30"/>
    <mergeCell ref="B31:H31"/>
    <mergeCell ref="B32:H32"/>
    <mergeCell ref="B24:H24"/>
    <mergeCell ref="B26:H26"/>
    <mergeCell ref="B27:H27"/>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3" manualBreakCount="3">
    <brk id="14" max="7" man="1"/>
    <brk id="24" max="7" man="1"/>
    <brk id="29" max="7" man="1"/>
  </rowBreaks>
</worksheet>
</file>

<file path=xl/worksheets/sheet100.xml><?xml version="1.0" encoding="utf-8"?>
<worksheet xmlns="http://schemas.openxmlformats.org/spreadsheetml/2006/main" xmlns:r="http://schemas.openxmlformats.org/officeDocument/2006/relationships">
  <dimension ref="B1:H127"/>
  <sheetViews>
    <sheetView zoomScaleNormal="100" workbookViewId="0">
      <pane ySplit="5" topLeftCell="A6" activePane="bottomLeft" state="frozen"/>
      <selection pane="bottomLeft"/>
    </sheetView>
  </sheetViews>
  <sheetFormatPr defaultRowHeight="12.95" customHeight="1"/>
  <cols>
    <col min="1" max="1" width="3.7109375" style="292" customWidth="1"/>
    <col min="2" max="2" width="10.85546875" style="292" customWidth="1"/>
    <col min="3" max="8" width="19.7109375" style="292" customWidth="1"/>
    <col min="9" max="16384" width="9.140625" style="292"/>
  </cols>
  <sheetData>
    <row r="1" spans="2:8" s="293" customFormat="1" ht="12.95" customHeight="1">
      <c r="B1" s="298" t="s">
        <v>2706</v>
      </c>
      <c r="C1" s="3195" t="s">
        <v>8269</v>
      </c>
      <c r="D1" s="3195"/>
      <c r="E1" s="3195"/>
      <c r="F1" s="3195"/>
      <c r="G1" s="3195"/>
      <c r="H1" s="3195"/>
    </row>
    <row r="2" spans="2:8" ht="5.0999999999999996" customHeight="1"/>
    <row r="3" spans="2:8" ht="12.95" customHeight="1">
      <c r="B3" s="3075" t="s">
        <v>5067</v>
      </c>
      <c r="C3" s="3075"/>
      <c r="D3" s="3075"/>
      <c r="E3" s="3075"/>
      <c r="F3" s="3075"/>
      <c r="G3" s="3075"/>
      <c r="H3" s="3075"/>
    </row>
    <row r="4" spans="2:8" s="387" customFormat="1" ht="11.25">
      <c r="B4" s="3130" t="s">
        <v>5669</v>
      </c>
      <c r="C4" s="3130"/>
      <c r="D4" s="3130"/>
      <c r="E4" s="3130"/>
      <c r="F4" s="3130"/>
      <c r="G4" s="3130"/>
      <c r="H4" s="3130"/>
    </row>
    <row r="5" spans="2:8" ht="5.0999999999999996" customHeight="1">
      <c r="B5" s="397"/>
      <c r="C5" s="397"/>
      <c r="D5" s="397"/>
      <c r="E5" s="397"/>
      <c r="F5" s="397"/>
      <c r="G5" s="397"/>
      <c r="H5" s="397"/>
    </row>
    <row r="6" spans="2:8" ht="39" customHeight="1">
      <c r="B6" s="2960" t="s">
        <v>9577</v>
      </c>
      <c r="C6" s="2960"/>
      <c r="D6" s="2960"/>
      <c r="E6" s="2960"/>
      <c r="F6" s="2960"/>
      <c r="G6" s="2960"/>
      <c r="H6" s="2960"/>
    </row>
    <row r="7" spans="2:8" ht="5.0999999999999996" customHeight="1"/>
    <row r="8" spans="2:8" ht="12.95" customHeight="1">
      <c r="B8" s="4180" t="s">
        <v>2629</v>
      </c>
      <c r="C8" s="4180"/>
      <c r="D8" s="4180"/>
      <c r="E8" s="4180"/>
      <c r="F8" s="4180"/>
      <c r="G8" s="4180"/>
      <c r="H8" s="4180"/>
    </row>
    <row r="9" spans="2:8" ht="26.1" customHeight="1">
      <c r="B9" s="2960" t="s">
        <v>9578</v>
      </c>
      <c r="C9" s="2960"/>
      <c r="D9" s="2960"/>
      <c r="E9" s="2960"/>
      <c r="F9" s="2960"/>
      <c r="G9" s="2960"/>
      <c r="H9" s="2960"/>
    </row>
    <row r="10" spans="2:8" ht="26.1" customHeight="1">
      <c r="B10" s="2960" t="s">
        <v>9579</v>
      </c>
      <c r="C10" s="2960"/>
      <c r="D10" s="2960"/>
      <c r="E10" s="2960"/>
      <c r="F10" s="2960"/>
      <c r="G10" s="2960"/>
      <c r="H10" s="2960"/>
    </row>
    <row r="11" spans="2:8" ht="5.0999999999999996" customHeight="1"/>
    <row r="12" spans="2:8" ht="12.95" customHeight="1">
      <c r="B12" s="4180" t="s">
        <v>5068</v>
      </c>
      <c r="C12" s="4180"/>
      <c r="D12" s="4180"/>
      <c r="E12" s="4180"/>
      <c r="F12" s="4180"/>
      <c r="G12" s="4180"/>
      <c r="H12" s="4180"/>
    </row>
    <row r="13" spans="2:8" ht="26.1" customHeight="1">
      <c r="B13" s="2960" t="s">
        <v>9580</v>
      </c>
      <c r="C13" s="2960"/>
      <c r="D13" s="2960"/>
      <c r="E13" s="2960"/>
      <c r="F13" s="2960"/>
      <c r="G13" s="2960"/>
      <c r="H13" s="2960"/>
    </row>
    <row r="14" spans="2:8" ht="5.0999999999999996" customHeight="1"/>
    <row r="15" spans="2:8" ht="12.95" customHeight="1">
      <c r="B15" s="3102" t="s">
        <v>5069</v>
      </c>
      <c r="C15" s="3102"/>
      <c r="D15" s="3102"/>
      <c r="E15" s="3102"/>
      <c r="F15" s="3102"/>
      <c r="G15" s="3102"/>
      <c r="H15" s="3102"/>
    </row>
    <row r="16" spans="2:8" ht="12.95" customHeight="1">
      <c r="B16" s="2960" t="s">
        <v>9581</v>
      </c>
      <c r="C16" s="2960"/>
      <c r="D16" s="2960"/>
      <c r="E16" s="2960"/>
      <c r="F16" s="2960"/>
      <c r="G16" s="2960"/>
      <c r="H16" s="2960"/>
    </row>
    <row r="17" spans="2:8" ht="12.95" customHeight="1">
      <c r="B17" s="3102" t="s">
        <v>5070</v>
      </c>
      <c r="C17" s="3102"/>
      <c r="D17" s="3102"/>
      <c r="E17" s="3102"/>
      <c r="F17" s="3102"/>
      <c r="G17" s="3102"/>
      <c r="H17" s="3102"/>
    </row>
    <row r="18" spans="2:8" ht="26.1" customHeight="1">
      <c r="B18" s="2960" t="s">
        <v>9582</v>
      </c>
      <c r="C18" s="2960"/>
      <c r="D18" s="2960"/>
      <c r="E18" s="2960"/>
      <c r="F18" s="2960"/>
      <c r="G18" s="2960"/>
      <c r="H18" s="2960"/>
    </row>
    <row r="19" spans="2:8" ht="12.95" customHeight="1">
      <c r="B19" s="3102" t="s">
        <v>5076</v>
      </c>
      <c r="C19" s="3102"/>
      <c r="D19" s="3102"/>
      <c r="E19" s="3102"/>
      <c r="F19" s="3102"/>
      <c r="G19" s="3102"/>
      <c r="H19" s="3102"/>
    </row>
    <row r="20" spans="2:8" ht="12.95" customHeight="1">
      <c r="B20" s="3000" t="s">
        <v>9583</v>
      </c>
      <c r="C20" s="3000"/>
      <c r="D20" s="3000"/>
      <c r="E20" s="3000"/>
      <c r="F20" s="3000"/>
      <c r="G20" s="3000"/>
      <c r="H20" s="3000"/>
    </row>
    <row r="21" spans="2:8" ht="12.95" customHeight="1">
      <c r="B21" s="3000" t="s">
        <v>9585</v>
      </c>
      <c r="C21" s="3000"/>
      <c r="D21" s="3000"/>
      <c r="E21" s="3000"/>
      <c r="F21" s="3000"/>
      <c r="G21" s="3000"/>
      <c r="H21" s="3000"/>
    </row>
    <row r="22" spans="2:8" ht="12.95" customHeight="1">
      <c r="B22" s="3000" t="s">
        <v>5073</v>
      </c>
      <c r="C22" s="3000"/>
      <c r="D22" s="3000"/>
      <c r="E22" s="3000"/>
      <c r="F22" s="3000"/>
      <c r="G22" s="3000"/>
      <c r="H22" s="3000"/>
    </row>
    <row r="23" spans="2:8" ht="12.95" customHeight="1">
      <c r="B23" s="3000" t="s">
        <v>5074</v>
      </c>
      <c r="C23" s="3000"/>
      <c r="D23" s="3000"/>
      <c r="E23" s="3000"/>
      <c r="F23" s="3000"/>
      <c r="G23" s="3000"/>
      <c r="H23" s="3000"/>
    </row>
    <row r="24" spans="2:8" ht="12.95" customHeight="1">
      <c r="B24" s="3000" t="s">
        <v>5075</v>
      </c>
      <c r="C24" s="3000"/>
      <c r="D24" s="3000"/>
      <c r="E24" s="3000"/>
      <c r="F24" s="3000"/>
      <c r="G24" s="3000"/>
      <c r="H24" s="3000"/>
    </row>
    <row r="25" spans="2:8" ht="12.95" customHeight="1">
      <c r="B25" s="3000" t="s">
        <v>6107</v>
      </c>
      <c r="C25" s="3000"/>
      <c r="D25" s="3000"/>
      <c r="E25" s="3000"/>
      <c r="F25" s="3000"/>
      <c r="G25" s="3000"/>
      <c r="H25" s="3000"/>
    </row>
    <row r="26" spans="2:8" ht="12.95" customHeight="1">
      <c r="B26" s="3000" t="s">
        <v>9584</v>
      </c>
      <c r="C26" s="3000"/>
      <c r="D26" s="3000"/>
      <c r="E26" s="3000"/>
      <c r="F26" s="3000"/>
      <c r="G26" s="3000"/>
      <c r="H26" s="3000"/>
    </row>
    <row r="27" spans="2:8" ht="12.95" customHeight="1">
      <c r="B27" s="3102" t="s">
        <v>5077</v>
      </c>
      <c r="C27" s="3102"/>
      <c r="D27" s="3102"/>
      <c r="E27" s="3102"/>
      <c r="F27" s="3102"/>
      <c r="G27" s="3102"/>
      <c r="H27" s="3102"/>
    </row>
    <row r="28" spans="2:8" ht="12.95" customHeight="1">
      <c r="B28" s="3000" t="s">
        <v>9586</v>
      </c>
      <c r="C28" s="3000"/>
      <c r="D28" s="3000"/>
      <c r="E28" s="3000"/>
      <c r="F28" s="3000"/>
      <c r="G28" s="3000"/>
      <c r="H28" s="3000"/>
    </row>
    <row r="29" spans="2:8" ht="12.95" customHeight="1">
      <c r="B29" s="3000" t="s">
        <v>5670</v>
      </c>
      <c r="C29" s="3000"/>
      <c r="D29" s="3000"/>
      <c r="E29" s="3000"/>
      <c r="F29" s="3000"/>
      <c r="G29" s="3000"/>
      <c r="H29" s="3000"/>
    </row>
    <row r="30" spans="2:8" ht="12.95" customHeight="1">
      <c r="B30" s="3102" t="s">
        <v>5078</v>
      </c>
      <c r="C30" s="3102"/>
      <c r="D30" s="3102"/>
      <c r="E30" s="3102"/>
      <c r="F30" s="3102"/>
      <c r="G30" s="3102"/>
      <c r="H30" s="3102"/>
    </row>
    <row r="31" spans="2:8" ht="12.95" customHeight="1">
      <c r="B31" s="3000" t="s">
        <v>9586</v>
      </c>
      <c r="C31" s="3000"/>
      <c r="D31" s="3000"/>
      <c r="E31" s="3000"/>
      <c r="F31" s="3000"/>
      <c r="G31" s="3000"/>
      <c r="H31" s="3000"/>
    </row>
    <row r="32" spans="2:8" ht="12.95" customHeight="1">
      <c r="B32" s="3000" t="s">
        <v>5671</v>
      </c>
      <c r="C32" s="3000"/>
      <c r="D32" s="3000"/>
      <c r="E32" s="3000"/>
      <c r="F32" s="3000"/>
      <c r="G32" s="3000"/>
      <c r="H32" s="3000"/>
    </row>
    <row r="33" spans="2:8" ht="12.95" customHeight="1">
      <c r="B33" s="3000" t="s">
        <v>5672</v>
      </c>
      <c r="C33" s="3000"/>
      <c r="D33" s="3000"/>
      <c r="E33" s="3000"/>
      <c r="F33" s="3000"/>
      <c r="G33" s="3000"/>
      <c r="H33" s="3000"/>
    </row>
    <row r="34" spans="2:8" ht="51.95" customHeight="1">
      <c r="B34" s="2960" t="s">
        <v>5680</v>
      </c>
      <c r="C34" s="2960"/>
      <c r="D34" s="2960"/>
      <c r="E34" s="2960"/>
      <c r="F34" s="2960"/>
      <c r="G34" s="2960"/>
      <c r="H34" s="2960"/>
    </row>
    <row r="35" spans="2:8" ht="26.1" customHeight="1">
      <c r="B35" s="2960" t="s">
        <v>5673</v>
      </c>
      <c r="C35" s="2960"/>
      <c r="D35" s="2960"/>
      <c r="E35" s="2960"/>
      <c r="F35" s="2960"/>
      <c r="G35" s="2960"/>
      <c r="H35" s="2960"/>
    </row>
    <row r="36" spans="2:8" ht="12.95" customHeight="1">
      <c r="B36" s="2960" t="s">
        <v>5674</v>
      </c>
      <c r="C36" s="2960"/>
      <c r="D36" s="2960"/>
      <c r="E36" s="2960"/>
      <c r="F36" s="2960"/>
      <c r="G36" s="2960"/>
      <c r="H36" s="2960"/>
    </row>
    <row r="37" spans="2:8" ht="12.95" customHeight="1">
      <c r="B37" s="3000" t="s">
        <v>5675</v>
      </c>
      <c r="C37" s="3000"/>
      <c r="D37" s="3000"/>
      <c r="E37" s="3000"/>
      <c r="F37" s="3000"/>
      <c r="G37" s="3000"/>
      <c r="H37" s="3000"/>
    </row>
    <row r="38" spans="2:8" ht="12.95" customHeight="1">
      <c r="B38" s="3000" t="s">
        <v>5676</v>
      </c>
      <c r="C38" s="3000"/>
      <c r="D38" s="3000"/>
      <c r="E38" s="3000"/>
      <c r="F38" s="3000"/>
      <c r="G38" s="3000"/>
      <c r="H38" s="3000"/>
    </row>
    <row r="39" spans="2:8" ht="12.95" customHeight="1">
      <c r="B39" s="3000" t="s">
        <v>5079</v>
      </c>
      <c r="C39" s="3000"/>
      <c r="D39" s="3000"/>
      <c r="E39" s="3000"/>
      <c r="F39" s="3000"/>
      <c r="G39" s="3000"/>
      <c r="H39" s="3000"/>
    </row>
    <row r="40" spans="2:8" ht="12.95" customHeight="1">
      <c r="B40" s="3000" t="s">
        <v>5677</v>
      </c>
      <c r="C40" s="3000"/>
      <c r="D40" s="3000"/>
      <c r="E40" s="3000"/>
      <c r="F40" s="3000"/>
      <c r="G40" s="3000"/>
      <c r="H40" s="3000"/>
    </row>
    <row r="41" spans="2:8" ht="12.95" customHeight="1">
      <c r="B41" s="3102" t="s">
        <v>5678</v>
      </c>
      <c r="C41" s="3102"/>
      <c r="D41" s="3102"/>
      <c r="E41" s="3102"/>
      <c r="F41" s="3102"/>
      <c r="G41" s="3102"/>
      <c r="H41" s="3102"/>
    </row>
    <row r="42" spans="2:8" ht="12.95" customHeight="1">
      <c r="B42" s="3000" t="s">
        <v>9586</v>
      </c>
      <c r="C42" s="3000"/>
      <c r="D42" s="3000"/>
      <c r="E42" s="3000"/>
      <c r="F42" s="3000"/>
      <c r="G42" s="3000"/>
      <c r="H42" s="3000"/>
    </row>
    <row r="43" spans="2:8" ht="12.95" customHeight="1">
      <c r="B43" s="2960" t="s">
        <v>5698</v>
      </c>
      <c r="C43" s="2960"/>
      <c r="D43" s="2960"/>
      <c r="E43" s="2960"/>
      <c r="F43" s="2960"/>
      <c r="G43" s="2960"/>
      <c r="H43" s="2960"/>
    </row>
    <row r="44" spans="2:8" ht="39" customHeight="1">
      <c r="B44" s="2960" t="s">
        <v>5681</v>
      </c>
      <c r="C44" s="2960"/>
      <c r="D44" s="2960"/>
      <c r="E44" s="2960"/>
      <c r="F44" s="2960"/>
      <c r="G44" s="2960"/>
      <c r="H44" s="2960"/>
    </row>
    <row r="45" spans="2:8" ht="12.95" customHeight="1">
      <c r="B45" s="2960" t="s">
        <v>5679</v>
      </c>
      <c r="C45" s="2960"/>
      <c r="D45" s="2960"/>
      <c r="E45" s="2960"/>
      <c r="F45" s="2960"/>
      <c r="G45" s="2960"/>
      <c r="H45" s="2960"/>
    </row>
    <row r="46" spans="2:8" ht="12.95" customHeight="1">
      <c r="B46" s="3000" t="s">
        <v>5080</v>
      </c>
      <c r="C46" s="3000"/>
      <c r="D46" s="3000"/>
      <c r="E46" s="3000"/>
      <c r="F46" s="3000"/>
      <c r="G46" s="3000"/>
      <c r="H46" s="3000"/>
    </row>
    <row r="47" spans="2:8" ht="12.95" customHeight="1">
      <c r="B47" s="3102" t="s">
        <v>5081</v>
      </c>
      <c r="C47" s="3102"/>
      <c r="D47" s="3102"/>
      <c r="E47" s="3102"/>
      <c r="F47" s="3102"/>
      <c r="G47" s="3102"/>
      <c r="H47" s="3102"/>
    </row>
    <row r="48" spans="2:8" ht="12.95" customHeight="1">
      <c r="B48" s="3000" t="s">
        <v>9587</v>
      </c>
      <c r="C48" s="3000"/>
      <c r="D48" s="3000"/>
      <c r="E48" s="3000"/>
      <c r="F48" s="3000"/>
      <c r="G48" s="3000"/>
      <c r="H48" s="3000"/>
    </row>
    <row r="49" spans="2:8" ht="12.95" customHeight="1">
      <c r="B49" s="3000" t="s">
        <v>5082</v>
      </c>
      <c r="C49" s="3000"/>
      <c r="D49" s="3000"/>
      <c r="E49" s="3000"/>
      <c r="F49" s="3000"/>
      <c r="G49" s="3000"/>
      <c r="H49" s="3000"/>
    </row>
    <row r="50" spans="2:8" ht="12.95" customHeight="1">
      <c r="B50" s="3000" t="s">
        <v>5083</v>
      </c>
      <c r="C50" s="3000"/>
      <c r="D50" s="3000"/>
      <c r="E50" s="3000"/>
      <c r="F50" s="3000"/>
      <c r="G50" s="3000"/>
      <c r="H50" s="3000"/>
    </row>
    <row r="51" spans="2:8" ht="12.95" customHeight="1">
      <c r="B51" s="3000" t="s">
        <v>9586</v>
      </c>
      <c r="C51" s="3000"/>
      <c r="D51" s="3000"/>
      <c r="E51" s="3000"/>
      <c r="F51" s="3000"/>
      <c r="G51" s="3000"/>
      <c r="H51" s="3000"/>
    </row>
    <row r="52" spans="2:8" ht="12.95" customHeight="1">
      <c r="B52" s="3000" t="s">
        <v>5084</v>
      </c>
      <c r="C52" s="3000"/>
      <c r="D52" s="3000"/>
      <c r="E52" s="3000"/>
      <c r="F52" s="3000"/>
      <c r="G52" s="3000"/>
      <c r="H52" s="3000"/>
    </row>
    <row r="53" spans="2:8" ht="12.95" customHeight="1">
      <c r="B53" s="3000" t="s">
        <v>5085</v>
      </c>
      <c r="C53" s="3000"/>
      <c r="D53" s="3000"/>
      <c r="E53" s="3000"/>
      <c r="F53" s="3000"/>
      <c r="G53" s="3000"/>
      <c r="H53" s="3000"/>
    </row>
    <row r="54" spans="2:8" ht="12.95" customHeight="1">
      <c r="B54" s="3102" t="s">
        <v>5086</v>
      </c>
      <c r="C54" s="3102"/>
      <c r="D54" s="3102"/>
      <c r="E54" s="3102"/>
      <c r="F54" s="3102"/>
      <c r="G54" s="3102"/>
      <c r="H54" s="3102"/>
    </row>
    <row r="55" spans="2:8" ht="12.95" customHeight="1">
      <c r="B55" s="3000" t="s">
        <v>9587</v>
      </c>
      <c r="C55" s="3000"/>
      <c r="D55" s="3000"/>
      <c r="E55" s="3000"/>
      <c r="F55" s="3000"/>
      <c r="G55" s="3000"/>
      <c r="H55" s="3000"/>
    </row>
    <row r="56" spans="2:8" ht="12.95" customHeight="1">
      <c r="B56" s="3000" t="s">
        <v>5684</v>
      </c>
      <c r="C56" s="3000"/>
      <c r="D56" s="3000"/>
      <c r="E56" s="3000"/>
      <c r="F56" s="3000"/>
      <c r="G56" s="3000"/>
      <c r="H56" s="3000"/>
    </row>
    <row r="57" spans="2:8" ht="12.95" customHeight="1">
      <c r="B57" s="3000" t="s">
        <v>9586</v>
      </c>
      <c r="C57" s="3000"/>
      <c r="D57" s="3000"/>
      <c r="E57" s="3000"/>
      <c r="F57" s="3000"/>
      <c r="G57" s="3000"/>
      <c r="H57" s="3000"/>
    </row>
    <row r="58" spans="2:8" ht="12.95" customHeight="1">
      <c r="B58" s="3000" t="s">
        <v>5682</v>
      </c>
      <c r="C58" s="3000"/>
      <c r="D58" s="3000"/>
      <c r="E58" s="3000"/>
      <c r="F58" s="3000"/>
      <c r="G58" s="3000"/>
      <c r="H58" s="3000"/>
    </row>
    <row r="59" spans="2:8" ht="12.95" customHeight="1">
      <c r="B59" s="3000" t="s">
        <v>5087</v>
      </c>
      <c r="C59" s="3000"/>
      <c r="D59" s="3000"/>
      <c r="E59" s="3000"/>
      <c r="F59" s="3000"/>
      <c r="G59" s="3000"/>
      <c r="H59" s="3000"/>
    </row>
    <row r="60" spans="2:8" ht="12.95" customHeight="1">
      <c r="B60" s="3000" t="s">
        <v>5683</v>
      </c>
      <c r="C60" s="3000"/>
      <c r="D60" s="3000"/>
      <c r="E60" s="3000"/>
      <c r="F60" s="3000"/>
      <c r="G60" s="3000"/>
      <c r="H60" s="3000"/>
    </row>
    <row r="61" spans="2:8" ht="12.95" customHeight="1">
      <c r="B61" s="3000" t="s">
        <v>5699</v>
      </c>
      <c r="C61" s="3000"/>
      <c r="D61" s="3000"/>
      <c r="E61" s="3000"/>
      <c r="F61" s="3000"/>
      <c r="G61" s="3000"/>
      <c r="H61" s="3000"/>
    </row>
    <row r="62" spans="2:8" ht="5.0999999999999996" customHeight="1">
      <c r="B62" s="3566"/>
      <c r="C62" s="3566"/>
      <c r="D62" s="3566"/>
      <c r="E62" s="3566"/>
      <c r="F62" s="3566"/>
      <c r="G62" s="3566"/>
      <c r="H62" s="3566"/>
    </row>
    <row r="63" spans="2:8" ht="12.95" customHeight="1">
      <c r="B63" s="4180" t="s">
        <v>5088</v>
      </c>
      <c r="C63" s="4180"/>
      <c r="D63" s="4180"/>
      <c r="E63" s="4180"/>
      <c r="F63" s="4180"/>
      <c r="G63" s="4180"/>
      <c r="H63" s="4180"/>
    </row>
    <row r="64" spans="2:8" ht="12.95" customHeight="1">
      <c r="B64" s="3102" t="s">
        <v>5089</v>
      </c>
      <c r="C64" s="3102"/>
      <c r="D64" s="3102"/>
      <c r="E64" s="3102"/>
      <c r="F64" s="3102"/>
      <c r="G64" s="3102"/>
      <c r="H64" s="3102"/>
    </row>
    <row r="65" spans="2:8" ht="26.1" customHeight="1">
      <c r="B65" s="2960" t="s">
        <v>9588</v>
      </c>
      <c r="C65" s="2960"/>
      <c r="D65" s="2960"/>
      <c r="E65" s="2960"/>
      <c r="F65" s="2960"/>
      <c r="G65" s="2960"/>
      <c r="H65" s="2960"/>
    </row>
    <row r="66" spans="2:8" ht="12.95" customHeight="1">
      <c r="B66" s="3000" t="s">
        <v>9587</v>
      </c>
      <c r="C66" s="3000"/>
      <c r="D66" s="3000"/>
      <c r="E66" s="3000"/>
      <c r="F66" s="3000"/>
      <c r="G66" s="3000"/>
      <c r="H66" s="3000"/>
    </row>
    <row r="67" spans="2:8" ht="12.95" customHeight="1">
      <c r="B67" s="3000" t="s">
        <v>5685</v>
      </c>
      <c r="C67" s="3000"/>
      <c r="D67" s="3000"/>
      <c r="E67" s="3000"/>
      <c r="F67" s="3000"/>
      <c r="G67" s="3000"/>
      <c r="H67" s="3000"/>
    </row>
    <row r="68" spans="2:8" ht="12.95" customHeight="1">
      <c r="B68" s="3000" t="s">
        <v>5686</v>
      </c>
      <c r="C68" s="3000"/>
      <c r="D68" s="3000"/>
      <c r="E68" s="3000"/>
      <c r="F68" s="3000"/>
      <c r="G68" s="3000"/>
      <c r="H68" s="3000"/>
    </row>
    <row r="69" spans="2:8" ht="12.95" customHeight="1">
      <c r="B69" s="3000" t="s">
        <v>9586</v>
      </c>
      <c r="C69" s="3000"/>
      <c r="D69" s="3000"/>
      <c r="E69" s="3000"/>
      <c r="F69" s="3000"/>
      <c r="G69" s="3000"/>
      <c r="H69" s="3000"/>
    </row>
    <row r="70" spans="2:8" ht="12.95" customHeight="1">
      <c r="B70" s="3000" t="s">
        <v>5687</v>
      </c>
      <c r="C70" s="3000"/>
      <c r="D70" s="3000"/>
      <c r="E70" s="3000"/>
      <c r="F70" s="3000"/>
      <c r="G70" s="3000"/>
      <c r="H70" s="3000"/>
    </row>
    <row r="71" spans="2:8" ht="12.95" customHeight="1">
      <c r="B71" s="3000" t="s">
        <v>6427</v>
      </c>
      <c r="C71" s="3000"/>
      <c r="D71" s="3000"/>
      <c r="E71" s="3000"/>
      <c r="F71" s="3000"/>
      <c r="G71" s="3000"/>
      <c r="H71" s="3000"/>
    </row>
    <row r="72" spans="2:8" ht="12.95" customHeight="1">
      <c r="B72" s="3000" t="s">
        <v>6428</v>
      </c>
      <c r="C72" s="3000"/>
      <c r="D72" s="3000"/>
      <c r="E72" s="3000"/>
      <c r="F72" s="3000"/>
      <c r="G72" s="3000"/>
      <c r="H72" s="3000"/>
    </row>
    <row r="73" spans="2:8" ht="12.95" customHeight="1">
      <c r="B73" s="3102" t="s">
        <v>5090</v>
      </c>
      <c r="C73" s="3102"/>
      <c r="D73" s="3102"/>
      <c r="E73" s="3102"/>
      <c r="F73" s="3102"/>
      <c r="G73" s="3102"/>
      <c r="H73" s="3102"/>
    </row>
    <row r="74" spans="2:8" ht="12.95" customHeight="1">
      <c r="B74" s="3000" t="s">
        <v>9587</v>
      </c>
      <c r="C74" s="3000"/>
      <c r="D74" s="3000"/>
      <c r="E74" s="3000"/>
      <c r="F74" s="3000"/>
      <c r="G74" s="3000"/>
      <c r="H74" s="3000"/>
    </row>
    <row r="75" spans="2:8" ht="12.95" customHeight="1">
      <c r="B75" s="3000" t="s">
        <v>5688</v>
      </c>
      <c r="C75" s="3000"/>
      <c r="D75" s="3000"/>
      <c r="E75" s="3000"/>
      <c r="F75" s="3000"/>
      <c r="G75" s="3000"/>
      <c r="H75" s="3000"/>
    </row>
    <row r="76" spans="2:8" ht="12.95" customHeight="1">
      <c r="B76" s="3000" t="s">
        <v>5689</v>
      </c>
      <c r="C76" s="3000"/>
      <c r="D76" s="3000"/>
      <c r="E76" s="3000"/>
      <c r="F76" s="3000"/>
      <c r="G76" s="3000"/>
      <c r="H76" s="3000"/>
    </row>
    <row r="77" spans="2:8" ht="12.95" customHeight="1">
      <c r="B77" s="3000" t="s">
        <v>5690</v>
      </c>
      <c r="C77" s="3000"/>
      <c r="D77" s="3000"/>
      <c r="E77" s="3000"/>
      <c r="F77" s="3000"/>
      <c r="G77" s="3000"/>
      <c r="H77" s="3000"/>
    </row>
    <row r="78" spans="2:8" ht="12.95" customHeight="1">
      <c r="B78" s="3000" t="s">
        <v>9586</v>
      </c>
      <c r="C78" s="3000"/>
      <c r="D78" s="3000"/>
      <c r="E78" s="3000"/>
      <c r="F78" s="3000"/>
      <c r="G78" s="3000"/>
      <c r="H78" s="3000"/>
    </row>
    <row r="79" spans="2:8" ht="12.95" customHeight="1">
      <c r="B79" s="3000" t="s">
        <v>5691</v>
      </c>
      <c r="C79" s="3000"/>
      <c r="D79" s="3000"/>
      <c r="E79" s="3000"/>
      <c r="F79" s="3000"/>
      <c r="G79" s="3000"/>
      <c r="H79" s="3000"/>
    </row>
    <row r="80" spans="2:8" ht="12.95" customHeight="1">
      <c r="B80" s="3102" t="s">
        <v>5091</v>
      </c>
      <c r="C80" s="3102"/>
      <c r="D80" s="3102"/>
      <c r="E80" s="3102"/>
      <c r="F80" s="3102"/>
      <c r="G80" s="3102"/>
      <c r="H80" s="3102"/>
    </row>
    <row r="81" spans="2:8" ht="12.95" customHeight="1">
      <c r="B81" s="3000" t="s">
        <v>9586</v>
      </c>
      <c r="C81" s="3000"/>
      <c r="D81" s="3000"/>
      <c r="E81" s="3000"/>
      <c r="F81" s="3000"/>
      <c r="G81" s="3000"/>
      <c r="H81" s="3000"/>
    </row>
    <row r="82" spans="2:8" ht="12.95" customHeight="1">
      <c r="B82" s="3000" t="s">
        <v>5692</v>
      </c>
      <c r="C82" s="3000"/>
      <c r="D82" s="3000"/>
      <c r="E82" s="3000"/>
      <c r="F82" s="3000"/>
      <c r="G82" s="3000"/>
      <c r="H82" s="3000"/>
    </row>
    <row r="83" spans="2:8" ht="12.95" customHeight="1">
      <c r="B83" s="3000" t="s">
        <v>5693</v>
      </c>
      <c r="C83" s="3000"/>
      <c r="D83" s="3000"/>
      <c r="E83" s="3000"/>
      <c r="F83" s="3000"/>
      <c r="G83" s="3000"/>
      <c r="H83" s="3000"/>
    </row>
    <row r="84" spans="2:8" ht="12.95" customHeight="1">
      <c r="B84" s="3000" t="s">
        <v>5694</v>
      </c>
      <c r="C84" s="3000"/>
      <c r="D84" s="3000"/>
      <c r="E84" s="3000"/>
      <c r="F84" s="3000"/>
      <c r="G84" s="3000"/>
      <c r="H84" s="3000"/>
    </row>
    <row r="85" spans="2:8" ht="12.95" customHeight="1">
      <c r="B85" s="3102" t="s">
        <v>5695</v>
      </c>
      <c r="C85" s="3102"/>
      <c r="D85" s="3102"/>
      <c r="E85" s="3102"/>
      <c r="F85" s="3102"/>
      <c r="G85" s="3102"/>
      <c r="H85" s="3102"/>
    </row>
    <row r="86" spans="2:8" ht="12.95" customHeight="1">
      <c r="B86" s="3000" t="s">
        <v>9589</v>
      </c>
      <c r="C86" s="3000"/>
      <c r="D86" s="3000"/>
      <c r="E86" s="3000"/>
      <c r="F86" s="3000"/>
      <c r="G86" s="3000"/>
      <c r="H86" s="3000"/>
    </row>
    <row r="87" spans="2:8" ht="12.95" customHeight="1">
      <c r="B87" s="3102" t="s">
        <v>5092</v>
      </c>
      <c r="C87" s="3102"/>
      <c r="D87" s="3102"/>
      <c r="E87" s="3102"/>
      <c r="F87" s="3102"/>
      <c r="G87" s="3102"/>
      <c r="H87" s="3102"/>
    </row>
    <row r="88" spans="2:8" ht="12.95" customHeight="1">
      <c r="B88" s="3000" t="s">
        <v>9590</v>
      </c>
      <c r="C88" s="3000"/>
      <c r="D88" s="3000"/>
      <c r="E88" s="3000"/>
      <c r="F88" s="3000"/>
      <c r="G88" s="3000"/>
      <c r="H88" s="3000"/>
    </row>
    <row r="89" spans="2:8" ht="12.95" customHeight="1">
      <c r="B89" s="3000" t="s">
        <v>5093</v>
      </c>
      <c r="C89" s="3000"/>
      <c r="D89" s="3000"/>
      <c r="E89" s="3000"/>
      <c r="F89" s="3000"/>
      <c r="G89" s="3000"/>
      <c r="H89" s="3000"/>
    </row>
    <row r="90" spans="2:8" ht="12.95" customHeight="1">
      <c r="B90" s="3000" t="s">
        <v>5094</v>
      </c>
      <c r="C90" s="3000"/>
      <c r="D90" s="3000"/>
      <c r="E90" s="3000"/>
      <c r="F90" s="3000"/>
      <c r="G90" s="3000"/>
      <c r="H90" s="3000"/>
    </row>
    <row r="91" spans="2:8" ht="39" customHeight="1">
      <c r="B91" s="2960" t="s">
        <v>9591</v>
      </c>
      <c r="C91" s="2960"/>
      <c r="D91" s="2960"/>
      <c r="E91" s="2960"/>
      <c r="F91" s="2960"/>
      <c r="G91" s="2960"/>
      <c r="H91" s="2960"/>
    </row>
    <row r="92" spans="2:8" ht="12.95" customHeight="1">
      <c r="B92" s="3102" t="s">
        <v>5095</v>
      </c>
      <c r="C92" s="3102"/>
      <c r="D92" s="3102"/>
      <c r="E92" s="3102"/>
      <c r="F92" s="3102"/>
      <c r="G92" s="3102"/>
      <c r="H92" s="3102"/>
    </row>
    <row r="93" spans="2:8" ht="12.95" customHeight="1">
      <c r="B93" s="3000" t="s">
        <v>9592</v>
      </c>
      <c r="C93" s="3000"/>
      <c r="D93" s="3000"/>
      <c r="E93" s="3000"/>
      <c r="F93" s="3000"/>
      <c r="G93" s="3000"/>
      <c r="H93" s="3000"/>
    </row>
    <row r="94" spans="2:8" ht="12.95" customHeight="1">
      <c r="B94" s="3102" t="s">
        <v>5096</v>
      </c>
      <c r="C94" s="3102"/>
      <c r="D94" s="3102"/>
      <c r="E94" s="3102"/>
      <c r="F94" s="3102"/>
      <c r="G94" s="3102"/>
      <c r="H94" s="3102"/>
    </row>
    <row r="95" spans="2:8" ht="26.1" customHeight="1">
      <c r="B95" s="2960" t="s">
        <v>9593</v>
      </c>
      <c r="C95" s="2960"/>
      <c r="D95" s="2960"/>
      <c r="E95" s="2960"/>
      <c r="F95" s="2960"/>
      <c r="G95" s="2960"/>
      <c r="H95" s="2960"/>
    </row>
    <row r="96" spans="2:8" ht="12.95" customHeight="1">
      <c r="B96" s="3102" t="s">
        <v>5097</v>
      </c>
      <c r="C96" s="3102"/>
      <c r="D96" s="3102"/>
      <c r="E96" s="3102"/>
      <c r="F96" s="3102"/>
      <c r="G96" s="3102"/>
      <c r="H96" s="3102"/>
    </row>
    <row r="97" spans="2:8" ht="12.95" customHeight="1">
      <c r="B97" s="3000" t="s">
        <v>9594</v>
      </c>
      <c r="C97" s="3000"/>
      <c r="D97" s="3000"/>
      <c r="E97" s="3000"/>
      <c r="F97" s="3000"/>
      <c r="G97" s="3000"/>
      <c r="H97" s="3000"/>
    </row>
    <row r="98" spans="2:8" ht="12.95" customHeight="1">
      <c r="B98" s="3000" t="s">
        <v>5098</v>
      </c>
      <c r="C98" s="3000"/>
      <c r="D98" s="3000"/>
      <c r="E98" s="3000"/>
      <c r="F98" s="3000"/>
      <c r="G98" s="3000"/>
      <c r="H98" s="3000"/>
    </row>
    <row r="99" spans="2:8" ht="12.95" customHeight="1">
      <c r="B99" s="3000" t="s">
        <v>5099</v>
      </c>
      <c r="C99" s="3000"/>
      <c r="D99" s="3000"/>
      <c r="E99" s="3000"/>
      <c r="F99" s="3000"/>
      <c r="G99" s="3000"/>
      <c r="H99" s="3000"/>
    </row>
    <row r="100" spans="2:8" ht="12.95" customHeight="1">
      <c r="B100" s="3000" t="s">
        <v>5100</v>
      </c>
      <c r="C100" s="3000"/>
      <c r="D100" s="3000"/>
      <c r="E100" s="3000"/>
      <c r="F100" s="3000"/>
      <c r="G100" s="3000"/>
      <c r="H100" s="3000"/>
    </row>
    <row r="101" spans="2:8" ht="12.95" customHeight="1">
      <c r="B101" s="3000" t="s">
        <v>5101</v>
      </c>
      <c r="C101" s="3000"/>
      <c r="D101" s="3000"/>
      <c r="E101" s="3000"/>
      <c r="F101" s="3000"/>
      <c r="G101" s="3000"/>
      <c r="H101" s="3000"/>
    </row>
    <row r="102" spans="2:8" ht="12.95" customHeight="1">
      <c r="B102" s="3000" t="s">
        <v>5102</v>
      </c>
      <c r="C102" s="3000"/>
      <c r="D102" s="3000"/>
      <c r="E102" s="3000"/>
      <c r="F102" s="3000"/>
      <c r="G102" s="3000"/>
      <c r="H102" s="3000"/>
    </row>
    <row r="103" spans="2:8" ht="12.95" customHeight="1">
      <c r="B103" s="3000" t="s">
        <v>5103</v>
      </c>
      <c r="C103" s="3000"/>
      <c r="D103" s="3000"/>
      <c r="E103" s="3000"/>
      <c r="F103" s="3000"/>
      <c r="G103" s="3000"/>
      <c r="H103" s="3000"/>
    </row>
    <row r="104" spans="2:8" ht="12.95" customHeight="1">
      <c r="B104" s="3000" t="s">
        <v>9595</v>
      </c>
      <c r="C104" s="3000"/>
      <c r="D104" s="3000"/>
      <c r="E104" s="3000"/>
      <c r="F104" s="3000"/>
      <c r="G104" s="3000"/>
      <c r="H104" s="3000"/>
    </row>
    <row r="105" spans="2:8" ht="12.95" customHeight="1">
      <c r="B105" s="3000" t="s">
        <v>5104</v>
      </c>
      <c r="C105" s="3000"/>
      <c r="D105" s="3000"/>
      <c r="E105" s="3000"/>
      <c r="F105" s="3000"/>
      <c r="G105" s="3000"/>
      <c r="H105" s="3000"/>
    </row>
    <row r="106" spans="2:8" ht="12.95" customHeight="1">
      <c r="B106" s="3000" t="s">
        <v>5105</v>
      </c>
      <c r="C106" s="3000"/>
      <c r="D106" s="3000"/>
      <c r="E106" s="3000"/>
      <c r="F106" s="3000"/>
      <c r="G106" s="3000"/>
      <c r="H106" s="3000"/>
    </row>
    <row r="107" spans="2:8" ht="12.95" customHeight="1">
      <c r="B107" s="3000" t="s">
        <v>6429</v>
      </c>
      <c r="C107" s="3000"/>
      <c r="D107" s="3000"/>
      <c r="E107" s="3000"/>
      <c r="F107" s="3000"/>
      <c r="G107" s="3000"/>
      <c r="H107" s="3000"/>
    </row>
    <row r="108" spans="2:8" ht="12.95" customHeight="1">
      <c r="B108" s="3102" t="s">
        <v>6106</v>
      </c>
      <c r="C108" s="3102"/>
      <c r="D108" s="3102"/>
      <c r="E108" s="3102"/>
      <c r="F108" s="3102"/>
      <c r="G108" s="3102"/>
      <c r="H108" s="3102"/>
    </row>
    <row r="109" spans="2:8" ht="12.95" customHeight="1">
      <c r="B109" s="3000" t="s">
        <v>9596</v>
      </c>
      <c r="C109" s="3000"/>
      <c r="D109" s="3000"/>
      <c r="E109" s="3000"/>
      <c r="F109" s="3000"/>
      <c r="G109" s="3000"/>
      <c r="H109" s="3000"/>
    </row>
    <row r="110" spans="2:8" ht="12.95" customHeight="1">
      <c r="B110" s="3102" t="s">
        <v>6104</v>
      </c>
      <c r="C110" s="3102"/>
      <c r="D110" s="3102"/>
      <c r="E110" s="3102"/>
      <c r="F110" s="3102"/>
      <c r="G110" s="3102"/>
      <c r="H110" s="3102"/>
    </row>
    <row r="111" spans="2:8" ht="39" customHeight="1">
      <c r="B111" s="2960" t="s">
        <v>10150</v>
      </c>
      <c r="C111" s="2960"/>
      <c r="D111" s="2960"/>
      <c r="E111" s="2960"/>
      <c r="F111" s="2960"/>
      <c r="G111" s="2960"/>
      <c r="H111" s="2960"/>
    </row>
    <row r="112" spans="2:8" ht="12.95" customHeight="1">
      <c r="B112" s="2972" t="s">
        <v>10151</v>
      </c>
      <c r="C112" s="2972"/>
      <c r="D112" s="2972"/>
      <c r="E112" s="2972"/>
      <c r="F112" s="2972"/>
      <c r="G112" s="2972"/>
      <c r="H112" s="2972"/>
    </row>
    <row r="113" spans="2:8" ht="12.95" customHeight="1">
      <c r="B113" s="3102" t="s">
        <v>6105</v>
      </c>
      <c r="C113" s="3102"/>
      <c r="D113" s="3102"/>
      <c r="E113" s="3102"/>
      <c r="F113" s="3102"/>
      <c r="G113" s="3102"/>
      <c r="H113" s="3102"/>
    </row>
    <row r="114" spans="2:8" ht="12.95" customHeight="1">
      <c r="B114" s="3000" t="s">
        <v>5696</v>
      </c>
      <c r="C114" s="3000"/>
      <c r="D114" s="3000"/>
      <c r="E114" s="3000"/>
      <c r="F114" s="3000"/>
      <c r="G114" s="3000"/>
      <c r="H114" s="3000"/>
    </row>
    <row r="115" spans="2:8" ht="12.95" customHeight="1">
      <c r="B115" s="3000" t="s">
        <v>9597</v>
      </c>
      <c r="C115" s="3000"/>
      <c r="D115" s="3000"/>
      <c r="E115" s="3000"/>
      <c r="F115" s="3000"/>
      <c r="G115" s="3000"/>
      <c r="H115" s="3000"/>
    </row>
    <row r="116" spans="2:8" ht="12.95" customHeight="1">
      <c r="B116" s="3000" t="s">
        <v>5697</v>
      </c>
      <c r="C116" s="3102"/>
      <c r="D116" s="3102"/>
      <c r="E116" s="3102"/>
      <c r="F116" s="3102"/>
      <c r="G116" s="3102"/>
      <c r="H116" s="3102"/>
    </row>
    <row r="117" spans="2:8" ht="12.95" customHeight="1">
      <c r="B117" s="3000" t="s">
        <v>9598</v>
      </c>
      <c r="C117" s="3000"/>
      <c r="D117" s="3000"/>
      <c r="E117" s="3000"/>
      <c r="F117" s="3000"/>
      <c r="G117" s="3000"/>
      <c r="H117" s="3000"/>
    </row>
    <row r="118" spans="2:8" ht="39" customHeight="1">
      <c r="B118" s="2980" t="s">
        <v>9599</v>
      </c>
      <c r="C118" s="2960"/>
      <c r="D118" s="2960"/>
      <c r="E118" s="2960"/>
      <c r="F118" s="2960"/>
      <c r="G118" s="2960"/>
      <c r="H118" s="2960"/>
    </row>
    <row r="119" spans="2:8" ht="5.0999999999999996" customHeight="1"/>
    <row r="120" spans="2:8" ht="12.95" customHeight="1">
      <c r="B120" s="3075" t="s">
        <v>2749</v>
      </c>
      <c r="C120" s="3075"/>
      <c r="D120" s="3075"/>
      <c r="E120" s="3075"/>
      <c r="F120" s="3075"/>
      <c r="G120" s="3075"/>
      <c r="H120" s="3075"/>
    </row>
    <row r="121" spans="2:8" s="387" customFormat="1" ht="11.25">
      <c r="B121" s="2979" t="s">
        <v>8795</v>
      </c>
      <c r="C121" s="2979"/>
      <c r="D121" s="2979"/>
      <c r="E121" s="2979"/>
      <c r="F121" s="2979"/>
      <c r="G121" s="2979"/>
      <c r="H121" s="2979"/>
    </row>
    <row r="122" spans="2:8" ht="5.0999999999999996" customHeight="1"/>
    <row r="123" spans="2:8" ht="26.1" customHeight="1">
      <c r="B123" s="2960" t="s">
        <v>9600</v>
      </c>
      <c r="C123" s="2960"/>
      <c r="D123" s="2960"/>
      <c r="E123" s="2960"/>
      <c r="F123" s="2960"/>
      <c r="G123" s="2960"/>
      <c r="H123" s="2960"/>
    </row>
    <row r="124" spans="2:8" ht="12.95" customHeight="1">
      <c r="B124" s="3000" t="s">
        <v>9601</v>
      </c>
      <c r="C124" s="3000"/>
      <c r="D124" s="3000"/>
      <c r="E124" s="3000"/>
      <c r="F124" s="3000"/>
      <c r="G124" s="3000"/>
      <c r="H124" s="3000"/>
    </row>
    <row r="125" spans="2:8" ht="26.1" customHeight="1">
      <c r="B125" s="2960" t="s">
        <v>9602</v>
      </c>
      <c r="C125" s="2960"/>
      <c r="D125" s="2960"/>
      <c r="E125" s="2960"/>
      <c r="F125" s="2960"/>
      <c r="G125" s="2960"/>
      <c r="H125" s="2960"/>
    </row>
    <row r="126" spans="2:8" ht="39" customHeight="1">
      <c r="B126" s="2960" t="s">
        <v>9603</v>
      </c>
      <c r="C126" s="2960"/>
      <c r="D126" s="2960"/>
      <c r="E126" s="2960"/>
      <c r="F126" s="2960"/>
      <c r="G126" s="2960"/>
      <c r="H126" s="2960"/>
    </row>
    <row r="127" spans="2:8" ht="51.95" customHeight="1">
      <c r="B127" s="2960" t="s">
        <v>10152</v>
      </c>
      <c r="C127" s="2960"/>
      <c r="D127" s="2960"/>
      <c r="E127" s="2960"/>
      <c r="F127" s="2960"/>
      <c r="G127" s="2960"/>
      <c r="H127" s="2960"/>
    </row>
  </sheetData>
  <sheetProtection autoFilter="0"/>
  <mergeCells count="120">
    <mergeCell ref="B108:H108"/>
    <mergeCell ref="B109:H109"/>
    <mergeCell ref="B25:H25"/>
    <mergeCell ref="B121:H121"/>
    <mergeCell ref="B124:H124"/>
    <mergeCell ref="B113:H113"/>
    <mergeCell ref="B114:H114"/>
    <mergeCell ref="B115:H115"/>
    <mergeCell ref="B116:H116"/>
    <mergeCell ref="B117:H117"/>
    <mergeCell ref="B104:H104"/>
    <mergeCell ref="B105:H105"/>
    <mergeCell ref="B106:H106"/>
    <mergeCell ref="B107:H107"/>
    <mergeCell ref="B110:H110"/>
    <mergeCell ref="B118:H118"/>
    <mergeCell ref="B100:H100"/>
    <mergeCell ref="B101:H101"/>
    <mergeCell ref="B102:H102"/>
    <mergeCell ref="B103:H103"/>
    <mergeCell ref="B94:H94"/>
    <mergeCell ref="B95:H95"/>
    <mergeCell ref="B96:H96"/>
    <mergeCell ref="B97:H97"/>
    <mergeCell ref="B67:H67"/>
    <mergeCell ref="B68:H68"/>
    <mergeCell ref="B69:H69"/>
    <mergeCell ref="B59:H59"/>
    <mergeCell ref="B60:H60"/>
    <mergeCell ref="B61:H61"/>
    <mergeCell ref="B62:H62"/>
    <mergeCell ref="B63:H63"/>
    <mergeCell ref="B79:H79"/>
    <mergeCell ref="B74:H74"/>
    <mergeCell ref="B75:H75"/>
    <mergeCell ref="B76:H76"/>
    <mergeCell ref="B77:H77"/>
    <mergeCell ref="B78:H78"/>
    <mergeCell ref="B38:H38"/>
    <mergeCell ref="B39:H39"/>
    <mergeCell ref="B27:H27"/>
    <mergeCell ref="B28:H28"/>
    <mergeCell ref="B29:H29"/>
    <mergeCell ref="B30:H30"/>
    <mergeCell ref="B31:H31"/>
    <mergeCell ref="B34:H34"/>
    <mergeCell ref="B35:H35"/>
    <mergeCell ref="B36:H36"/>
    <mergeCell ref="B98:H98"/>
    <mergeCell ref="B21:H21"/>
    <mergeCell ref="B22:H22"/>
    <mergeCell ref="B23:H23"/>
    <mergeCell ref="B24:H24"/>
    <mergeCell ref="B26:H26"/>
    <mergeCell ref="C1:H1"/>
    <mergeCell ref="B3:H3"/>
    <mergeCell ref="B4:H4"/>
    <mergeCell ref="B9:H9"/>
    <mergeCell ref="B6:H6"/>
    <mergeCell ref="B10:H10"/>
    <mergeCell ref="B13:H13"/>
    <mergeCell ref="B16:H16"/>
    <mergeCell ref="B18:H18"/>
    <mergeCell ref="B8:H8"/>
    <mergeCell ref="B12:H12"/>
    <mergeCell ref="B15:H15"/>
    <mergeCell ref="B17:H17"/>
    <mergeCell ref="B19:H19"/>
    <mergeCell ref="B20:H20"/>
    <mergeCell ref="B32:H32"/>
    <mergeCell ref="B33:H33"/>
    <mergeCell ref="B37:H37"/>
    <mergeCell ref="B91:H91"/>
    <mergeCell ref="B43:H43"/>
    <mergeCell ref="B44:H44"/>
    <mergeCell ref="B45:H45"/>
    <mergeCell ref="B40:H40"/>
    <mergeCell ref="B41:H41"/>
    <mergeCell ref="B42:H42"/>
    <mergeCell ref="B65:H65"/>
    <mergeCell ref="B111:H111"/>
    <mergeCell ref="B54:H54"/>
    <mergeCell ref="B55:H55"/>
    <mergeCell ref="B56:H56"/>
    <mergeCell ref="B57:H57"/>
    <mergeCell ref="B58:H58"/>
    <mergeCell ref="B46:H46"/>
    <mergeCell ref="B53:H53"/>
    <mergeCell ref="B52:H52"/>
    <mergeCell ref="B51:H51"/>
    <mergeCell ref="B50:H50"/>
    <mergeCell ref="B49:H49"/>
    <mergeCell ref="B48:H48"/>
    <mergeCell ref="B47:H47"/>
    <mergeCell ref="B64:H64"/>
    <mergeCell ref="B66:H66"/>
    <mergeCell ref="B112:H112"/>
    <mergeCell ref="B127:H127"/>
    <mergeCell ref="B120:H120"/>
    <mergeCell ref="B123:H123"/>
    <mergeCell ref="B125:H125"/>
    <mergeCell ref="B126:H126"/>
    <mergeCell ref="B70:H70"/>
    <mergeCell ref="B71:H71"/>
    <mergeCell ref="B72:H72"/>
    <mergeCell ref="B73:H73"/>
    <mergeCell ref="B80:H80"/>
    <mergeCell ref="B81:H81"/>
    <mergeCell ref="B82:H82"/>
    <mergeCell ref="B83:H83"/>
    <mergeCell ref="B89:H89"/>
    <mergeCell ref="B90:H90"/>
    <mergeCell ref="B92:H92"/>
    <mergeCell ref="B93:H93"/>
    <mergeCell ref="B84:H84"/>
    <mergeCell ref="B85:H85"/>
    <mergeCell ref="B86:H86"/>
    <mergeCell ref="B87:H87"/>
    <mergeCell ref="B88:H88"/>
    <mergeCell ref="B99:H99"/>
  </mergeCells>
  <phoneticPr fontId="9" type="noConversion"/>
  <hyperlinks>
    <hyperlink ref="B1" location="Index!A1" display="Назад"/>
    <hyperlink ref="B112:H112" location="'7.4.3'!A1" display="&gt;&gt;Подробнее про слияние армий."/>
  </hyperlinks>
  <printOptions horizontalCentered="1"/>
  <pageMargins left="0.74803149606299213" right="0.74803149606299213" top="0.98425196850393704" bottom="0.98425196850393704" header="0.51181102362204722" footer="0.51181102362204722"/>
  <pageSetup paperSize="9" scale="95" orientation="landscape" r:id="rId1"/>
  <headerFooter alignWithMargins="0"/>
  <rowBreaks count="4" manualBreakCount="4">
    <brk id="29" max="16383" man="1"/>
    <brk id="61" max="16383" man="1"/>
    <brk id="91" max="16383" man="1"/>
    <brk id="118" max="16383" man="1"/>
  </rowBreaks>
</worksheet>
</file>

<file path=xl/worksheets/sheet101.xml><?xml version="1.0" encoding="utf-8"?>
<worksheet xmlns="http://schemas.openxmlformats.org/spreadsheetml/2006/main" xmlns:r="http://schemas.openxmlformats.org/officeDocument/2006/relationships">
  <dimension ref="B1:N86"/>
  <sheetViews>
    <sheetView zoomScaleNormal="100" workbookViewId="0">
      <pane ySplit="4" topLeftCell="A5" activePane="bottomLeft" state="frozen"/>
      <selection pane="bottomLeft"/>
    </sheetView>
  </sheetViews>
  <sheetFormatPr defaultRowHeight="12.95" customHeight="1"/>
  <cols>
    <col min="1" max="1" width="3.7109375" style="61" customWidth="1"/>
    <col min="2" max="11" width="12.7109375" style="61" customWidth="1"/>
    <col min="12" max="16384" width="9.140625" style="61"/>
  </cols>
  <sheetData>
    <row r="1" spans="2:11" s="293" customFormat="1" ht="12.75">
      <c r="B1" s="298" t="s">
        <v>2706</v>
      </c>
      <c r="C1" s="3265" t="s">
        <v>8269</v>
      </c>
      <c r="D1" s="3265"/>
      <c r="E1" s="3265"/>
      <c r="F1" s="3265"/>
      <c r="G1" s="3265"/>
      <c r="H1" s="3265"/>
      <c r="I1" s="3265"/>
      <c r="J1" s="3265"/>
      <c r="K1" s="3265"/>
    </row>
    <row r="2" spans="2:11" s="288" customFormat="1" ht="5.0999999999999996" customHeight="1"/>
    <row r="3" spans="2:11" ht="12.95" customHeight="1">
      <c r="B3" s="2982" t="s">
        <v>7363</v>
      </c>
      <c r="C3" s="2982"/>
      <c r="D3" s="2982"/>
      <c r="E3" s="2982"/>
      <c r="F3" s="2982"/>
      <c r="G3" s="2982"/>
      <c r="H3" s="2982"/>
      <c r="I3" s="2982"/>
      <c r="J3" s="2982"/>
      <c r="K3" s="2982"/>
    </row>
    <row r="4" spans="2:11" ht="5.0999999999999996" customHeight="1"/>
    <row r="5" spans="2:11" ht="12.95" customHeight="1">
      <c r="B5" s="2984" t="s">
        <v>9604</v>
      </c>
      <c r="C5" s="2984"/>
      <c r="D5" s="2984"/>
      <c r="E5" s="2984"/>
      <c r="F5" s="2984"/>
      <c r="G5" s="2984"/>
      <c r="H5" s="2984"/>
      <c r="I5" s="2984"/>
      <c r="J5" s="2984"/>
      <c r="K5" s="2984"/>
    </row>
    <row r="6" spans="2:11" ht="12.95" customHeight="1">
      <c r="B6" s="2984" t="s">
        <v>5352</v>
      </c>
      <c r="C6" s="2984"/>
      <c r="D6" s="2984"/>
      <c r="E6" s="2984"/>
      <c r="F6" s="2984"/>
      <c r="G6" s="2984"/>
      <c r="H6" s="2984"/>
      <c r="I6" s="2984"/>
      <c r="J6" s="2984"/>
      <c r="K6" s="2984"/>
    </row>
    <row r="7" spans="2:11" ht="12.95" customHeight="1">
      <c r="B7" s="2984" t="s">
        <v>5353</v>
      </c>
      <c r="C7" s="2984"/>
      <c r="D7" s="2984"/>
      <c r="E7" s="2984"/>
      <c r="F7" s="2984"/>
      <c r="G7" s="2984"/>
      <c r="H7" s="2984"/>
      <c r="I7" s="2984"/>
      <c r="J7" s="2984"/>
      <c r="K7" s="2984"/>
    </row>
    <row r="8" spans="2:11" ht="12.95" customHeight="1">
      <c r="B8" s="2984" t="s">
        <v>5354</v>
      </c>
      <c r="C8" s="2984"/>
      <c r="D8" s="2984"/>
      <c r="E8" s="2984"/>
      <c r="F8" s="2984"/>
      <c r="G8" s="2984"/>
      <c r="H8" s="2984"/>
      <c r="I8" s="2984"/>
      <c r="J8" s="2984"/>
      <c r="K8" s="2984"/>
    </row>
    <row r="9" spans="2:11" ht="12.95" customHeight="1">
      <c r="B9" s="2984" t="s">
        <v>5355</v>
      </c>
      <c r="C9" s="2984"/>
      <c r="D9" s="2984"/>
      <c r="E9" s="2984"/>
      <c r="F9" s="2984"/>
      <c r="G9" s="2984"/>
      <c r="H9" s="2984"/>
      <c r="I9" s="2984"/>
      <c r="J9" s="2984"/>
      <c r="K9" s="2984"/>
    </row>
    <row r="10" spans="2:11" ht="12.95" customHeight="1">
      <c r="B10" s="2984" t="s">
        <v>5667</v>
      </c>
      <c r="C10" s="2984"/>
      <c r="D10" s="2984"/>
      <c r="E10" s="2984"/>
      <c r="F10" s="2984"/>
      <c r="G10" s="2984"/>
      <c r="H10" s="2984"/>
      <c r="I10" s="2984"/>
      <c r="J10" s="2984"/>
      <c r="K10" s="2984"/>
    </row>
    <row r="11" spans="2:11" ht="5.0999999999999996" customHeight="1"/>
    <row r="12" spans="2:11" ht="12.95" customHeight="1">
      <c r="B12" s="2984" t="s">
        <v>9605</v>
      </c>
      <c r="C12" s="2984"/>
      <c r="D12" s="2984"/>
      <c r="E12" s="2984"/>
      <c r="F12" s="2984"/>
      <c r="G12" s="2984"/>
      <c r="H12" s="2984"/>
      <c r="I12" s="2984"/>
      <c r="J12" s="2984"/>
      <c r="K12" s="2984"/>
    </row>
    <row r="13" spans="2:11" ht="26.1" customHeight="1">
      <c r="B13" s="2984" t="s">
        <v>9606</v>
      </c>
      <c r="C13" s="2984"/>
      <c r="D13" s="2984"/>
      <c r="E13" s="2984"/>
      <c r="F13" s="2984"/>
      <c r="G13" s="2984"/>
      <c r="H13" s="2984"/>
      <c r="I13" s="2984"/>
      <c r="J13" s="2984"/>
      <c r="K13" s="2984"/>
    </row>
    <row r="14" spans="2:11" ht="5.0999999999999996" customHeight="1" thickBot="1">
      <c r="B14" s="393"/>
      <c r="C14" s="393"/>
      <c r="D14" s="393"/>
      <c r="E14" s="393"/>
      <c r="F14" s="393"/>
      <c r="G14" s="393"/>
      <c r="H14" s="393"/>
      <c r="I14" s="393"/>
      <c r="J14" s="393"/>
      <c r="K14" s="393"/>
    </row>
    <row r="15" spans="2:11" ht="12.95" customHeight="1" thickBot="1">
      <c r="B15" s="3002" t="s">
        <v>5365</v>
      </c>
      <c r="C15" s="4183"/>
      <c r="D15" s="254" t="s">
        <v>5366</v>
      </c>
      <c r="E15" s="3280" t="s">
        <v>5367</v>
      </c>
      <c r="F15" s="3278"/>
      <c r="G15" s="3278"/>
      <c r="H15" s="3278"/>
      <c r="I15" s="3278" t="s">
        <v>5368</v>
      </c>
      <c r="J15" s="3278"/>
      <c r="K15" s="3003"/>
    </row>
    <row r="16" spans="2:11" ht="12.95" customHeight="1">
      <c r="B16" s="3275" t="s">
        <v>5356</v>
      </c>
      <c r="C16" s="4181"/>
      <c r="D16" s="389" t="s">
        <v>5358</v>
      </c>
      <c r="E16" s="4190">
        <v>6</v>
      </c>
      <c r="F16" s="4100"/>
      <c r="G16" s="4100"/>
      <c r="H16" s="4191"/>
      <c r="I16" s="3299"/>
      <c r="J16" s="3787"/>
      <c r="K16" s="3033"/>
    </row>
    <row r="17" spans="2:11" ht="12.95" customHeight="1">
      <c r="B17" s="3028"/>
      <c r="C17" s="3487"/>
      <c r="D17" s="36" t="s">
        <v>5359</v>
      </c>
      <c r="E17" s="4187" t="s">
        <v>5369</v>
      </c>
      <c r="F17" s="4188"/>
      <c r="G17" s="4188"/>
      <c r="H17" s="4189"/>
      <c r="I17" s="3284"/>
      <c r="J17" s="3273"/>
      <c r="K17" s="3029"/>
    </row>
    <row r="18" spans="2:11" ht="12.95" customHeight="1">
      <c r="B18" s="3028"/>
      <c r="C18" s="3487"/>
      <c r="D18" s="65" t="s">
        <v>5360</v>
      </c>
      <c r="E18" s="4184" t="s">
        <v>5370</v>
      </c>
      <c r="F18" s="4185"/>
      <c r="G18" s="4185"/>
      <c r="H18" s="4186"/>
      <c r="I18" s="3284"/>
      <c r="J18" s="3273"/>
      <c r="K18" s="3029"/>
    </row>
    <row r="19" spans="2:11" ht="12.95" customHeight="1">
      <c r="B19" s="3028"/>
      <c r="C19" s="3487"/>
      <c r="D19" s="36" t="s">
        <v>5361</v>
      </c>
      <c r="E19" s="4187" t="s">
        <v>5371</v>
      </c>
      <c r="F19" s="4188"/>
      <c r="G19" s="4188"/>
      <c r="H19" s="4189"/>
      <c r="I19" s="3284"/>
      <c r="J19" s="3273"/>
      <c r="K19" s="3029"/>
    </row>
    <row r="20" spans="2:11" ht="12.95" customHeight="1">
      <c r="B20" s="3028"/>
      <c r="C20" s="3487"/>
      <c r="D20" s="65" t="s">
        <v>5362</v>
      </c>
      <c r="E20" s="4184" t="s">
        <v>5372</v>
      </c>
      <c r="F20" s="4185"/>
      <c r="G20" s="4185"/>
      <c r="H20" s="4186"/>
      <c r="I20" s="3284"/>
      <c r="J20" s="3273"/>
      <c r="K20" s="3029"/>
    </row>
    <row r="21" spans="2:11" ht="12.95" customHeight="1">
      <c r="B21" s="3028"/>
      <c r="C21" s="3487"/>
      <c r="D21" s="36" t="s">
        <v>5363</v>
      </c>
      <c r="E21" s="4187" t="s">
        <v>5373</v>
      </c>
      <c r="F21" s="4188"/>
      <c r="G21" s="4188"/>
      <c r="H21" s="4189"/>
      <c r="I21" s="3284"/>
      <c r="J21" s="3273"/>
      <c r="K21" s="3029"/>
    </row>
    <row r="22" spans="2:11" ht="12.95" customHeight="1" thickBot="1">
      <c r="B22" s="3296"/>
      <c r="C22" s="4182"/>
      <c r="D22" s="390" t="s">
        <v>5364</v>
      </c>
      <c r="E22" s="4193" t="s">
        <v>5374</v>
      </c>
      <c r="F22" s="4194"/>
      <c r="G22" s="4194"/>
      <c r="H22" s="4195"/>
      <c r="I22" s="3284"/>
      <c r="J22" s="3273"/>
      <c r="K22" s="3029"/>
    </row>
    <row r="23" spans="2:11" ht="12.95" customHeight="1">
      <c r="B23" s="3275" t="s">
        <v>5357</v>
      </c>
      <c r="C23" s="4181"/>
      <c r="D23" s="394" t="s">
        <v>5358</v>
      </c>
      <c r="E23" s="4196" t="s">
        <v>2158</v>
      </c>
      <c r="F23" s="4197"/>
      <c r="G23" s="4197"/>
      <c r="H23" s="4198"/>
      <c r="I23" s="3284"/>
      <c r="J23" s="3273"/>
      <c r="K23" s="3029"/>
    </row>
    <row r="24" spans="2:11" ht="12.95" customHeight="1">
      <c r="B24" s="3028"/>
      <c r="C24" s="3487"/>
      <c r="D24" s="65" t="s">
        <v>5359</v>
      </c>
      <c r="E24" s="4184" t="s">
        <v>5375</v>
      </c>
      <c r="F24" s="4185"/>
      <c r="G24" s="4185"/>
      <c r="H24" s="4186"/>
      <c r="I24" s="3284"/>
      <c r="J24" s="3273"/>
      <c r="K24" s="3029"/>
    </row>
    <row r="25" spans="2:11" ht="12.95" customHeight="1">
      <c r="B25" s="3028"/>
      <c r="C25" s="3487"/>
      <c r="D25" s="36" t="s">
        <v>5360</v>
      </c>
      <c r="E25" s="4187" t="s">
        <v>5376</v>
      </c>
      <c r="F25" s="4188"/>
      <c r="G25" s="4188"/>
      <c r="H25" s="4189"/>
      <c r="I25" s="3284"/>
      <c r="J25" s="3273"/>
      <c r="K25" s="3029"/>
    </row>
    <row r="26" spans="2:11" ht="12.95" customHeight="1">
      <c r="B26" s="3028"/>
      <c r="C26" s="3487"/>
      <c r="D26" s="65" t="s">
        <v>5361</v>
      </c>
      <c r="E26" s="4184" t="s">
        <v>5377</v>
      </c>
      <c r="F26" s="4185"/>
      <c r="G26" s="4185"/>
      <c r="H26" s="4186"/>
      <c r="I26" s="3284"/>
      <c r="J26" s="3273"/>
      <c r="K26" s="3029"/>
    </row>
    <row r="27" spans="2:11" ht="12.95" customHeight="1">
      <c r="B27" s="3028"/>
      <c r="C27" s="3487"/>
      <c r="D27" s="36" t="s">
        <v>5362</v>
      </c>
      <c r="E27" s="4187" t="s">
        <v>5378</v>
      </c>
      <c r="F27" s="4188"/>
      <c r="G27" s="4188"/>
      <c r="H27" s="4189"/>
      <c r="I27" s="3284"/>
      <c r="J27" s="3273"/>
      <c r="K27" s="3029"/>
    </row>
    <row r="28" spans="2:11" ht="12.95" customHeight="1">
      <c r="B28" s="3028"/>
      <c r="C28" s="3487"/>
      <c r="D28" s="65" t="s">
        <v>5363</v>
      </c>
      <c r="E28" s="4184" t="s">
        <v>5373</v>
      </c>
      <c r="F28" s="4185"/>
      <c r="G28" s="4185"/>
      <c r="H28" s="4186"/>
      <c r="I28" s="3284"/>
      <c r="J28" s="3273"/>
      <c r="K28" s="3029"/>
    </row>
    <row r="29" spans="2:11" ht="12.95" customHeight="1" thickBot="1">
      <c r="B29" s="3296"/>
      <c r="C29" s="4182"/>
      <c r="D29" s="58" t="s">
        <v>5364</v>
      </c>
      <c r="E29" s="4201" t="s">
        <v>5374</v>
      </c>
      <c r="F29" s="4202"/>
      <c r="G29" s="4202"/>
      <c r="H29" s="4203"/>
      <c r="I29" s="4192"/>
      <c r="J29" s="3285"/>
      <c r="K29" s="3297"/>
    </row>
    <row r="30" spans="2:11" ht="12.95" customHeight="1">
      <c r="B30" s="4204" t="s">
        <v>9607</v>
      </c>
      <c r="C30" s="4204"/>
      <c r="D30" s="4204"/>
      <c r="E30" s="4204"/>
      <c r="F30" s="4204"/>
      <c r="G30" s="4204"/>
      <c r="H30" s="4204"/>
      <c r="I30" s="4204"/>
      <c r="J30" s="4204"/>
      <c r="K30" s="4204"/>
    </row>
    <row r="31" spans="2:11" ht="3.95" customHeight="1">
      <c r="B31" s="391"/>
      <c r="C31" s="391"/>
      <c r="D31" s="391"/>
      <c r="E31" s="391"/>
      <c r="F31" s="391"/>
      <c r="G31" s="391"/>
      <c r="H31" s="391"/>
      <c r="I31" s="391"/>
      <c r="J31" s="391"/>
      <c r="K31" s="391"/>
    </row>
    <row r="32" spans="2:11" ht="12.95" customHeight="1">
      <c r="B32" s="2987" t="s">
        <v>8967</v>
      </c>
      <c r="C32" s="2987"/>
      <c r="D32" s="2987"/>
      <c r="E32" s="2987"/>
      <c r="F32" s="2987"/>
      <c r="G32" s="2987"/>
      <c r="H32" s="2987"/>
      <c r="I32" s="2987"/>
      <c r="J32" s="2987"/>
      <c r="K32" s="2987"/>
    </row>
    <row r="33" spans="2:14" ht="12.95" customHeight="1">
      <c r="B33" s="2987" t="s">
        <v>8968</v>
      </c>
      <c r="C33" s="2987"/>
      <c r="D33" s="2987"/>
      <c r="E33" s="2987"/>
      <c r="F33" s="2987"/>
      <c r="G33" s="2987"/>
      <c r="H33" s="2987"/>
      <c r="I33" s="2987"/>
      <c r="J33" s="2987"/>
      <c r="K33" s="2987"/>
    </row>
    <row r="34" spans="2:14" ht="12.95" customHeight="1">
      <c r="B34" s="2987" t="s">
        <v>8969</v>
      </c>
      <c r="C34" s="2987"/>
      <c r="D34" s="2987"/>
      <c r="E34" s="2987"/>
      <c r="F34" s="2987"/>
      <c r="G34" s="2987"/>
      <c r="H34" s="2987"/>
      <c r="I34" s="2987"/>
      <c r="J34" s="2987"/>
      <c r="K34" s="2987"/>
    </row>
    <row r="35" spans="2:14" ht="5.0999999999999996" customHeight="1" thickBot="1">
      <c r="B35" s="391"/>
      <c r="C35" s="391"/>
      <c r="D35" s="391"/>
      <c r="E35" s="391"/>
      <c r="F35" s="391"/>
      <c r="G35" s="391"/>
      <c r="H35" s="391"/>
      <c r="I35" s="391"/>
      <c r="J35" s="391"/>
      <c r="K35" s="391"/>
    </row>
    <row r="36" spans="2:14" ht="12.95" customHeight="1" thickBot="1">
      <c r="B36" s="3002" t="s">
        <v>5379</v>
      </c>
      <c r="C36" s="3278"/>
      <c r="D36" s="3278" t="s">
        <v>5380</v>
      </c>
      <c r="E36" s="3003"/>
      <c r="F36" s="3596" t="s">
        <v>9608</v>
      </c>
      <c r="G36" s="2987"/>
      <c r="H36" s="2987"/>
      <c r="I36" s="2987"/>
      <c r="J36" s="2987"/>
      <c r="K36" s="2987"/>
    </row>
    <row r="37" spans="2:14" ht="12.95" customHeight="1">
      <c r="B37" s="3032" t="s">
        <v>3625</v>
      </c>
      <c r="C37" s="3787"/>
      <c r="D37" s="3787" t="s">
        <v>5364</v>
      </c>
      <c r="E37" s="3033"/>
      <c r="F37" s="3596"/>
      <c r="G37" s="2987"/>
      <c r="H37" s="2987"/>
      <c r="I37" s="2987"/>
      <c r="J37" s="2987"/>
      <c r="K37" s="2987"/>
    </row>
    <row r="38" spans="2:14" ht="12.95" customHeight="1">
      <c r="B38" s="3028" t="s">
        <v>5381</v>
      </c>
      <c r="C38" s="3273"/>
      <c r="D38" s="3273" t="s">
        <v>5363</v>
      </c>
      <c r="E38" s="3029"/>
      <c r="F38" s="3596"/>
      <c r="G38" s="2987"/>
      <c r="H38" s="2987"/>
      <c r="I38" s="2987"/>
      <c r="J38" s="2987"/>
      <c r="K38" s="2987"/>
    </row>
    <row r="39" spans="2:14" ht="12.95" customHeight="1">
      <c r="B39" s="3028" t="s">
        <v>5382</v>
      </c>
      <c r="C39" s="3273"/>
      <c r="D39" s="3273" t="s">
        <v>5362</v>
      </c>
      <c r="E39" s="3029"/>
      <c r="F39" s="3596" t="s">
        <v>8753</v>
      </c>
      <c r="G39" s="2987"/>
      <c r="H39" s="2987"/>
      <c r="I39" s="2987"/>
      <c r="J39" s="2987"/>
      <c r="K39" s="2987"/>
    </row>
    <row r="40" spans="2:14" ht="12.95" customHeight="1">
      <c r="B40" s="3028" t="s">
        <v>5383</v>
      </c>
      <c r="C40" s="3273"/>
      <c r="D40" s="3273" t="s">
        <v>5361</v>
      </c>
      <c r="E40" s="3029"/>
      <c r="F40" s="3596"/>
      <c r="G40" s="2987"/>
      <c r="H40" s="2987"/>
      <c r="I40" s="2987"/>
      <c r="J40" s="2987"/>
      <c r="K40" s="2987"/>
    </row>
    <row r="41" spans="2:14" ht="12.95" customHeight="1">
      <c r="B41" s="3028" t="s">
        <v>5384</v>
      </c>
      <c r="C41" s="3273"/>
      <c r="D41" s="3273" t="s">
        <v>5360</v>
      </c>
      <c r="E41" s="3029"/>
      <c r="F41" s="3596" t="s">
        <v>8754</v>
      </c>
      <c r="G41" s="2987"/>
      <c r="H41" s="2987"/>
      <c r="I41" s="2987"/>
      <c r="J41" s="2987"/>
      <c r="K41" s="2987"/>
    </row>
    <row r="42" spans="2:14" ht="12.95" customHeight="1">
      <c r="B42" s="3028" t="s">
        <v>5385</v>
      </c>
      <c r="C42" s="3273"/>
      <c r="D42" s="3273" t="s">
        <v>5359</v>
      </c>
      <c r="E42" s="3029"/>
      <c r="F42" s="3596"/>
      <c r="G42" s="2987"/>
      <c r="H42" s="2987"/>
      <c r="I42" s="2987"/>
      <c r="J42" s="2987"/>
      <c r="K42" s="2987"/>
    </row>
    <row r="43" spans="2:14" ht="12.95" customHeight="1" thickBot="1">
      <c r="B43" s="3296" t="s">
        <v>5386</v>
      </c>
      <c r="C43" s="3285"/>
      <c r="D43" s="3285" t="s">
        <v>5358</v>
      </c>
      <c r="E43" s="3297"/>
      <c r="F43" s="4199"/>
      <c r="G43" s="4200"/>
      <c r="H43" s="4200"/>
      <c r="I43" s="4200"/>
      <c r="J43" s="4200"/>
      <c r="K43" s="4200"/>
    </row>
    <row r="44" spans="2:14" ht="5.0999999999999996" customHeight="1"/>
    <row r="45" spans="2:14" ht="12.95" customHeight="1">
      <c r="B45" s="2982" t="s">
        <v>5668</v>
      </c>
      <c r="C45" s="2982"/>
      <c r="D45" s="2982"/>
      <c r="E45" s="2982"/>
      <c r="F45" s="2982"/>
      <c r="G45" s="2982"/>
      <c r="H45" s="2982"/>
      <c r="I45" s="2982"/>
      <c r="J45" s="2982"/>
      <c r="K45" s="2982"/>
    </row>
    <row r="46" spans="2:14" ht="51.95" customHeight="1">
      <c r="B46" s="2984" t="s">
        <v>9609</v>
      </c>
      <c r="C46" s="2984"/>
      <c r="D46" s="2984"/>
      <c r="E46" s="2984"/>
      <c r="F46" s="2984"/>
      <c r="G46" s="2984"/>
      <c r="H46" s="2984"/>
      <c r="N46" s="292"/>
    </row>
    <row r="47" spans="2:14" ht="12.95" customHeight="1">
      <c r="B47" s="2985" t="s">
        <v>9610</v>
      </c>
      <c r="C47" s="2985"/>
      <c r="D47" s="2985"/>
      <c r="E47" s="2985"/>
      <c r="F47" s="2985"/>
      <c r="G47" s="2985"/>
      <c r="H47" s="2985"/>
      <c r="N47" s="292"/>
    </row>
    <row r="48" spans="2:14" ht="39" customHeight="1">
      <c r="B48" s="2985" t="s">
        <v>9611</v>
      </c>
      <c r="C48" s="2985"/>
      <c r="D48" s="2985"/>
      <c r="E48" s="2985"/>
      <c r="F48" s="2985"/>
      <c r="G48" s="2985"/>
      <c r="H48" s="2985"/>
      <c r="N48" s="292"/>
    </row>
    <row r="49" spans="2:14" ht="12.95" customHeight="1">
      <c r="B49" s="2984" t="s">
        <v>9612</v>
      </c>
      <c r="C49" s="2984"/>
      <c r="D49" s="2984"/>
      <c r="E49" s="2984"/>
      <c r="F49" s="2984"/>
      <c r="G49" s="2984"/>
      <c r="H49" s="2984"/>
      <c r="N49" s="292"/>
    </row>
    <row r="50" spans="2:14" ht="12.95" customHeight="1">
      <c r="B50" s="2984"/>
      <c r="C50" s="2984"/>
      <c r="D50" s="2984"/>
      <c r="E50" s="2984"/>
      <c r="F50" s="2984"/>
      <c r="G50" s="2984"/>
      <c r="H50" s="2984"/>
      <c r="N50" s="292"/>
    </row>
    <row r="51" spans="2:14" ht="12.95" customHeight="1">
      <c r="B51" s="2984"/>
      <c r="C51" s="2984"/>
      <c r="D51" s="2984"/>
      <c r="E51" s="2984"/>
      <c r="F51" s="2984"/>
      <c r="G51" s="2984"/>
      <c r="H51" s="2984"/>
      <c r="N51" s="292"/>
    </row>
    <row r="52" spans="2:14" ht="39" customHeight="1">
      <c r="B52" s="2984" t="s">
        <v>9613</v>
      </c>
      <c r="C52" s="2984"/>
      <c r="D52" s="2984"/>
      <c r="E52" s="2984"/>
      <c r="F52" s="2984"/>
      <c r="G52" s="2984"/>
      <c r="H52" s="2984"/>
      <c r="N52" s="292"/>
    </row>
    <row r="53" spans="2:14" ht="65.099999999999994" customHeight="1">
      <c r="B53" s="2984" t="s">
        <v>9614</v>
      </c>
      <c r="C53" s="2984"/>
      <c r="D53" s="2984"/>
      <c r="E53" s="2984"/>
      <c r="F53" s="2984"/>
      <c r="G53" s="2984"/>
      <c r="H53" s="2984"/>
      <c r="I53" s="3035"/>
      <c r="J53" s="3035"/>
      <c r="K53" s="3035"/>
      <c r="N53" s="292"/>
    </row>
    <row r="54" spans="2:14" ht="5.0999999999999996" customHeight="1">
      <c r="N54" s="292"/>
    </row>
    <row r="55" spans="2:14" ht="12.95" customHeight="1">
      <c r="B55" s="2982" t="s">
        <v>5422</v>
      </c>
      <c r="C55" s="2982"/>
      <c r="D55" s="2982"/>
      <c r="E55" s="2982"/>
      <c r="F55" s="2982"/>
      <c r="G55" s="2982"/>
      <c r="H55" s="2982"/>
      <c r="I55" s="2982"/>
      <c r="J55" s="2982"/>
      <c r="K55" s="2982"/>
    </row>
    <row r="56" spans="2:14" ht="26.1" customHeight="1">
      <c r="B56" s="2984" t="s">
        <v>9615</v>
      </c>
      <c r="C56" s="2984"/>
      <c r="D56" s="2984"/>
      <c r="E56" s="2984"/>
      <c r="F56" s="2984"/>
      <c r="G56" s="2984"/>
      <c r="H56" s="2984"/>
    </row>
    <row r="57" spans="2:14" ht="26.1" customHeight="1">
      <c r="B57" s="2985" t="s">
        <v>9616</v>
      </c>
      <c r="C57" s="2985"/>
      <c r="D57" s="2985"/>
      <c r="E57" s="2985"/>
      <c r="F57" s="2985"/>
      <c r="G57" s="2985"/>
      <c r="H57" s="2985"/>
    </row>
    <row r="58" spans="2:14" ht="78" customHeight="1">
      <c r="B58" s="2984" t="s">
        <v>9617</v>
      </c>
      <c r="C58" s="2984"/>
      <c r="D58" s="2984"/>
      <c r="E58" s="2984"/>
      <c r="F58" s="2984"/>
      <c r="G58" s="2984"/>
      <c r="H58" s="2984"/>
    </row>
    <row r="60" spans="2:14" ht="12.95" customHeight="1">
      <c r="B60" s="2982" t="s">
        <v>5406</v>
      </c>
      <c r="C60" s="2982"/>
      <c r="D60" s="2982"/>
      <c r="E60" s="2982"/>
      <c r="F60" s="2982"/>
      <c r="G60" s="2982"/>
      <c r="H60" s="2982"/>
      <c r="I60" s="2982"/>
      <c r="J60" s="2982"/>
      <c r="K60" s="2982"/>
    </row>
    <row r="61" spans="2:14" ht="26.1" customHeight="1">
      <c r="B61" s="2984" t="s">
        <v>9618</v>
      </c>
      <c r="C61" s="3254"/>
      <c r="D61" s="3254"/>
      <c r="E61" s="3254"/>
      <c r="F61" s="3254"/>
      <c r="G61" s="3254"/>
      <c r="H61" s="3254"/>
      <c r="I61" s="3254"/>
      <c r="J61" s="3254"/>
      <c r="K61" s="3254"/>
    </row>
    <row r="62" spans="2:14" ht="26.1" customHeight="1">
      <c r="B62" s="2984" t="s">
        <v>9619</v>
      </c>
      <c r="C62" s="3254"/>
      <c r="D62" s="3254"/>
      <c r="E62" s="3254"/>
      <c r="F62" s="3254"/>
      <c r="G62" s="3254"/>
      <c r="H62" s="3254"/>
      <c r="I62" s="3254"/>
      <c r="J62" s="3254"/>
      <c r="K62" s="3254"/>
    </row>
    <row r="63" spans="2:14" ht="12.95" customHeight="1">
      <c r="B63" s="2984" t="s">
        <v>9620</v>
      </c>
      <c r="C63" s="3254"/>
      <c r="D63" s="3254"/>
      <c r="E63" s="3254"/>
      <c r="F63" s="3254"/>
      <c r="G63" s="3254"/>
      <c r="H63" s="3254"/>
      <c r="I63" s="3254"/>
      <c r="J63" s="3254"/>
      <c r="K63" s="3254"/>
    </row>
    <row r="64" spans="2:14" ht="12.95" customHeight="1">
      <c r="B64" s="2984" t="s">
        <v>9621</v>
      </c>
      <c r="C64" s="3254"/>
      <c r="D64" s="3254"/>
      <c r="E64" s="3254"/>
      <c r="F64" s="3254"/>
      <c r="G64" s="3254"/>
      <c r="H64" s="3254"/>
      <c r="I64" s="3254"/>
      <c r="J64" s="3254"/>
      <c r="K64" s="3254"/>
    </row>
    <row r="65" spans="2:11" ht="12.95" customHeight="1">
      <c r="B65" s="2984" t="s">
        <v>9622</v>
      </c>
      <c r="C65" s="3254"/>
      <c r="D65" s="3254"/>
      <c r="E65" s="3254"/>
      <c r="F65" s="3254"/>
      <c r="G65" s="3254"/>
      <c r="H65" s="3254"/>
      <c r="I65" s="3254"/>
      <c r="J65" s="3254"/>
      <c r="K65" s="3254"/>
    </row>
    <row r="66" spans="2:11" ht="12.95" customHeight="1">
      <c r="B66" s="2984" t="s">
        <v>9623</v>
      </c>
      <c r="C66" s="3254"/>
      <c r="D66" s="3254"/>
      <c r="E66" s="3254"/>
      <c r="F66" s="3254"/>
      <c r="G66" s="3254"/>
      <c r="H66" s="3254"/>
      <c r="I66" s="3254"/>
      <c r="J66" s="3254"/>
      <c r="K66" s="3254"/>
    </row>
    <row r="67" spans="2:11" ht="12.95" customHeight="1">
      <c r="B67" s="2984" t="s">
        <v>9624</v>
      </c>
      <c r="C67" s="3254"/>
      <c r="D67" s="3254"/>
      <c r="E67" s="3254"/>
      <c r="F67" s="3254"/>
      <c r="G67" s="3254"/>
      <c r="H67" s="3254"/>
      <c r="I67" s="3254"/>
      <c r="J67" s="3254"/>
      <c r="K67" s="3254"/>
    </row>
    <row r="68" spans="2:11" ht="12.95" customHeight="1">
      <c r="B68" s="2984" t="s">
        <v>9625</v>
      </c>
      <c r="C68" s="3254"/>
      <c r="D68" s="3254"/>
      <c r="E68" s="3254"/>
      <c r="F68" s="3254"/>
      <c r="G68" s="3254"/>
      <c r="H68" s="3254"/>
      <c r="I68" s="3254"/>
      <c r="J68" s="3254"/>
      <c r="K68" s="3254"/>
    </row>
    <row r="69" spans="2:11" ht="39" customHeight="1">
      <c r="B69" s="2984" t="s">
        <v>10153</v>
      </c>
      <c r="C69" s="3254"/>
      <c r="D69" s="3254"/>
      <c r="E69" s="3254"/>
      <c r="F69" s="3254"/>
      <c r="G69" s="3254"/>
      <c r="H69" s="3254"/>
      <c r="I69" s="3254"/>
      <c r="J69" s="3254"/>
      <c r="K69" s="3254"/>
    </row>
    <row r="70" spans="2:11" ht="12.75">
      <c r="B70" s="2984" t="s">
        <v>9626</v>
      </c>
      <c r="C70" s="3254"/>
      <c r="D70" s="3254"/>
      <c r="E70" s="3254"/>
      <c r="F70" s="3254"/>
      <c r="G70" s="3254"/>
      <c r="H70" s="3254"/>
      <c r="I70" s="3254"/>
      <c r="J70" s="3254"/>
      <c r="K70" s="3254"/>
    </row>
    <row r="71" spans="2:11" ht="12.95" customHeight="1">
      <c r="B71" s="2984" t="s">
        <v>9627</v>
      </c>
      <c r="C71" s="3254"/>
      <c r="D71" s="3254"/>
      <c r="E71" s="3254"/>
      <c r="F71" s="3254"/>
      <c r="G71" s="3254"/>
      <c r="H71" s="3254"/>
      <c r="I71" s="3254"/>
      <c r="J71" s="3254"/>
      <c r="K71" s="3254"/>
    </row>
    <row r="72" spans="2:11" ht="12.95" customHeight="1">
      <c r="B72" s="2984" t="s">
        <v>9628</v>
      </c>
      <c r="C72" s="3254"/>
      <c r="D72" s="3254"/>
      <c r="E72" s="3254"/>
      <c r="F72" s="3254"/>
      <c r="G72" s="3254"/>
      <c r="H72" s="3254"/>
      <c r="I72" s="3254"/>
      <c r="J72" s="3254"/>
      <c r="K72" s="3254"/>
    </row>
    <row r="73" spans="2:11" ht="12.95" customHeight="1">
      <c r="B73" s="2984" t="s">
        <v>9629</v>
      </c>
      <c r="C73" s="3254"/>
      <c r="D73" s="3254"/>
      <c r="E73" s="3254"/>
      <c r="F73" s="3254"/>
      <c r="G73" s="3254"/>
      <c r="H73" s="3254"/>
      <c r="I73" s="3254"/>
      <c r="J73" s="3254"/>
      <c r="K73" s="3254"/>
    </row>
    <row r="74" spans="2:11" ht="12.95" customHeight="1">
      <c r="B74" s="2984" t="s">
        <v>9630</v>
      </c>
      <c r="C74" s="3254"/>
      <c r="D74" s="3254"/>
      <c r="E74" s="3254"/>
      <c r="F74" s="3254"/>
      <c r="G74" s="3254"/>
      <c r="H74" s="3254"/>
      <c r="I74" s="3254"/>
      <c r="J74" s="3254"/>
      <c r="K74" s="3254"/>
    </row>
    <row r="75" spans="2:11" ht="12.95" customHeight="1">
      <c r="B75" s="2984" t="s">
        <v>9631</v>
      </c>
      <c r="C75" s="3254"/>
      <c r="D75" s="3254"/>
      <c r="E75" s="3254"/>
      <c r="F75" s="3254"/>
      <c r="G75" s="3254"/>
      <c r="H75" s="3254"/>
      <c r="I75" s="3254"/>
      <c r="J75" s="3254"/>
      <c r="K75" s="3254"/>
    </row>
    <row r="76" spans="2:11" ht="12.95" customHeight="1">
      <c r="B76" s="2984" t="s">
        <v>9632</v>
      </c>
      <c r="C76" s="3254"/>
      <c r="D76" s="3254"/>
      <c r="E76" s="3254"/>
      <c r="F76" s="3254"/>
      <c r="G76" s="3254"/>
      <c r="H76" s="3254"/>
      <c r="I76" s="3254"/>
      <c r="J76" s="3254"/>
      <c r="K76" s="3254"/>
    </row>
    <row r="77" spans="2:11" ht="12.95" customHeight="1">
      <c r="B77" s="2984" t="s">
        <v>9633</v>
      </c>
      <c r="C77" s="3254"/>
      <c r="D77" s="3254"/>
      <c r="E77" s="3254"/>
      <c r="F77" s="3254"/>
      <c r="G77" s="3254"/>
      <c r="H77" s="3254"/>
      <c r="I77" s="3254"/>
      <c r="J77" s="3254"/>
      <c r="K77" s="3254"/>
    </row>
    <row r="78" spans="2:11" ht="12.95" customHeight="1">
      <c r="B78" s="2984" t="s">
        <v>9634</v>
      </c>
      <c r="C78" s="3254"/>
      <c r="D78" s="3254"/>
      <c r="E78" s="3254"/>
      <c r="F78" s="3254"/>
      <c r="G78" s="3254"/>
      <c r="H78" s="3254"/>
      <c r="I78" s="3254"/>
      <c r="J78" s="3254"/>
      <c r="K78" s="3254"/>
    </row>
    <row r="79" spans="2:11" ht="12.95" customHeight="1">
      <c r="B79" s="2984" t="s">
        <v>9635</v>
      </c>
      <c r="C79" s="3254"/>
      <c r="D79" s="3254"/>
      <c r="E79" s="3254"/>
      <c r="F79" s="3254"/>
      <c r="G79" s="3254"/>
      <c r="H79" s="3254"/>
      <c r="I79" s="3254"/>
      <c r="J79" s="3254"/>
      <c r="K79" s="3254"/>
    </row>
    <row r="80" spans="2:11" ht="26.1" customHeight="1">
      <c r="B80" s="2984" t="s">
        <v>10154</v>
      </c>
      <c r="C80" s="3254"/>
      <c r="D80" s="3254"/>
      <c r="E80" s="3254"/>
      <c r="F80" s="3254"/>
      <c r="G80" s="3254"/>
      <c r="H80" s="3254"/>
      <c r="I80" s="3254"/>
      <c r="J80" s="3254"/>
      <c r="K80" s="3254"/>
    </row>
    <row r="81" spans="2:12" ht="5.0999999999999996" customHeight="1">
      <c r="L81" s="392"/>
    </row>
    <row r="82" spans="2:12" ht="12.95" customHeight="1">
      <c r="B82" s="2985" t="s">
        <v>9636</v>
      </c>
      <c r="C82" s="2985"/>
      <c r="D82" s="2985"/>
      <c r="E82" s="2985"/>
      <c r="F82" s="2985"/>
      <c r="G82" s="2985"/>
      <c r="H82" s="2985"/>
      <c r="I82" s="2985"/>
      <c r="J82" s="2985"/>
      <c r="K82" s="2985"/>
      <c r="L82" s="392"/>
    </row>
    <row r="83" spans="2:12" ht="12.95" customHeight="1">
      <c r="B83" s="2984" t="s">
        <v>6101</v>
      </c>
      <c r="C83" s="2984"/>
      <c r="D83" s="2984"/>
      <c r="E83" s="2984"/>
      <c r="F83" s="2984"/>
      <c r="G83" s="2984"/>
      <c r="H83" s="2984"/>
      <c r="I83" s="2984"/>
      <c r="J83" s="2984"/>
      <c r="K83" s="2984"/>
      <c r="L83" s="392"/>
    </row>
    <row r="84" spans="2:12" ht="39" customHeight="1">
      <c r="B84" s="2984" t="s">
        <v>10155</v>
      </c>
      <c r="C84" s="2984"/>
      <c r="D84" s="2984"/>
      <c r="E84" s="2984"/>
      <c r="F84" s="2984"/>
      <c r="G84" s="2984"/>
      <c r="H84" s="2984"/>
      <c r="I84" s="2984"/>
      <c r="J84" s="2984"/>
      <c r="K84" s="2984"/>
      <c r="L84" s="392"/>
    </row>
    <row r="85" spans="2:12" ht="26.1" customHeight="1">
      <c r="B85" s="2984" t="s">
        <v>6102</v>
      </c>
      <c r="C85" s="2984"/>
      <c r="D85" s="2984"/>
      <c r="E85" s="2984"/>
      <c r="F85" s="2984"/>
      <c r="G85" s="2984"/>
      <c r="H85" s="2984"/>
      <c r="I85" s="2984"/>
      <c r="J85" s="2984"/>
      <c r="K85" s="2984"/>
      <c r="L85" s="392"/>
    </row>
    <row r="86" spans="2:12" ht="26.1" customHeight="1">
      <c r="B86" s="2984" t="s">
        <v>6103</v>
      </c>
      <c r="C86" s="2984"/>
      <c r="D86" s="2984"/>
      <c r="E86" s="2984"/>
      <c r="F86" s="2984"/>
      <c r="G86" s="2984"/>
      <c r="H86" s="2984"/>
      <c r="I86" s="2984"/>
      <c r="J86" s="2984"/>
      <c r="K86" s="2984"/>
      <c r="L86" s="392"/>
    </row>
  </sheetData>
  <sheetProtection autoFilter="0"/>
  <mergeCells count="92">
    <mergeCell ref="B76:K76"/>
    <mergeCell ref="B77:K77"/>
    <mergeCell ref="B78:K78"/>
    <mergeCell ref="C1:K1"/>
    <mergeCell ref="B53:H53"/>
    <mergeCell ref="I53:K53"/>
    <mergeCell ref="B55:K55"/>
    <mergeCell ref="E26:H26"/>
    <mergeCell ref="B23:C29"/>
    <mergeCell ref="E27:H27"/>
    <mergeCell ref="E28:H28"/>
    <mergeCell ref="E29:H29"/>
    <mergeCell ref="B30:K30"/>
    <mergeCell ref="B32:K32"/>
    <mergeCell ref="B34:K34"/>
    <mergeCell ref="B36:C36"/>
    <mergeCell ref="D36:E36"/>
    <mergeCell ref="B38:C38"/>
    <mergeCell ref="B43:C43"/>
    <mergeCell ref="D43:E43"/>
    <mergeCell ref="F39:K40"/>
    <mergeCell ref="F41:K42"/>
    <mergeCell ref="D39:E39"/>
    <mergeCell ref="D38:E38"/>
    <mergeCell ref="F36:K38"/>
    <mergeCell ref="F43:K43"/>
    <mergeCell ref="B40:C40"/>
    <mergeCell ref="D40:E40"/>
    <mergeCell ref="B41:C41"/>
    <mergeCell ref="D41:E41"/>
    <mergeCell ref="B42:C42"/>
    <mergeCell ref="D42:E42"/>
    <mergeCell ref="B39:C39"/>
    <mergeCell ref="B10:K10"/>
    <mergeCell ref="E24:H24"/>
    <mergeCell ref="E25:H25"/>
    <mergeCell ref="B37:C37"/>
    <mergeCell ref="B33:K33"/>
    <mergeCell ref="D37:E37"/>
    <mergeCell ref="E16:H16"/>
    <mergeCell ref="E17:H17"/>
    <mergeCell ref="I16:K29"/>
    <mergeCell ref="E18:H18"/>
    <mergeCell ref="E19:H19"/>
    <mergeCell ref="E20:H20"/>
    <mergeCell ref="E21:H21"/>
    <mergeCell ref="E22:H22"/>
    <mergeCell ref="E23:H23"/>
    <mergeCell ref="B9:K9"/>
    <mergeCell ref="B12:K12"/>
    <mergeCell ref="B13:K13"/>
    <mergeCell ref="B16:C22"/>
    <mergeCell ref="B15:C15"/>
    <mergeCell ref="I15:K15"/>
    <mergeCell ref="E15:H15"/>
    <mergeCell ref="B3:K3"/>
    <mergeCell ref="B5:K5"/>
    <mergeCell ref="B6:K6"/>
    <mergeCell ref="B7:K7"/>
    <mergeCell ref="B8:K8"/>
    <mergeCell ref="B84:K84"/>
    <mergeCell ref="B85:K85"/>
    <mergeCell ref="B45:K45"/>
    <mergeCell ref="B60:K60"/>
    <mergeCell ref="B61:K61"/>
    <mergeCell ref="B62:K62"/>
    <mergeCell ref="B63:K63"/>
    <mergeCell ref="B46:H46"/>
    <mergeCell ref="B47:H47"/>
    <mergeCell ref="B48:H48"/>
    <mergeCell ref="B49:H51"/>
    <mergeCell ref="B56:H56"/>
    <mergeCell ref="B57:H57"/>
    <mergeCell ref="B58:H58"/>
    <mergeCell ref="B52:H52"/>
    <mergeCell ref="B75:K75"/>
    <mergeCell ref="B64:K64"/>
    <mergeCell ref="B65:K65"/>
    <mergeCell ref="B66:K66"/>
    <mergeCell ref="B67:K67"/>
    <mergeCell ref="B86:K86"/>
    <mergeCell ref="B68:K68"/>
    <mergeCell ref="B69:K69"/>
    <mergeCell ref="B73:K73"/>
    <mergeCell ref="B74:K74"/>
    <mergeCell ref="B80:K80"/>
    <mergeCell ref="B70:K70"/>
    <mergeCell ref="B71:K71"/>
    <mergeCell ref="B72:K72"/>
    <mergeCell ref="B79:K79"/>
    <mergeCell ref="B82:K82"/>
    <mergeCell ref="B83:K83"/>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3" orientation="landscape" r:id="rId1"/>
  <headerFooter alignWithMargins="0"/>
  <rowBreaks count="3" manualBreakCount="3">
    <brk id="34" max="10" man="1"/>
    <brk id="53" max="10" man="1"/>
    <brk id="80" max="10" man="1"/>
  </rowBreaks>
  <ignoredErrors>
    <ignoredError sqref="E23" numberStoredAsText="1"/>
  </ignoredErrors>
  <drawing r:id="rId2"/>
</worksheet>
</file>

<file path=xl/worksheets/sheet102.xml><?xml version="1.0" encoding="utf-8"?>
<worksheet xmlns="http://schemas.openxmlformats.org/spreadsheetml/2006/main" xmlns:r="http://schemas.openxmlformats.org/officeDocument/2006/relationships">
  <dimension ref="B1:L83"/>
  <sheetViews>
    <sheetView zoomScaleNormal="100" workbookViewId="0">
      <pane ySplit="4" topLeftCell="A5" activePane="bottomLeft" state="frozen"/>
      <selection pane="bottomLeft"/>
    </sheetView>
  </sheetViews>
  <sheetFormatPr defaultRowHeight="12.95" customHeight="1"/>
  <cols>
    <col min="1" max="1" width="3.7109375" style="857" customWidth="1"/>
    <col min="2" max="2" width="4.140625" style="857" customWidth="1"/>
    <col min="3" max="3" width="12.7109375" style="857" customWidth="1"/>
    <col min="4" max="4" width="13.7109375" style="857" customWidth="1"/>
    <col min="5" max="7" width="10.7109375" style="857" customWidth="1"/>
    <col min="8" max="8" width="13.7109375" style="857" customWidth="1"/>
    <col min="9" max="11" width="10.7109375" style="857" customWidth="1"/>
    <col min="12" max="12" width="12.42578125" style="917" customWidth="1"/>
    <col min="13" max="16384" width="9.140625" style="857"/>
  </cols>
  <sheetData>
    <row r="1" spans="2:12" s="62" customFormat="1" ht="12.95" customHeight="1">
      <c r="B1" s="4222" t="s">
        <v>2706</v>
      </c>
      <c r="C1" s="4222"/>
      <c r="D1" s="2990" t="s">
        <v>8269</v>
      </c>
      <c r="E1" s="2990"/>
      <c r="F1" s="2990"/>
      <c r="G1" s="2990"/>
      <c r="H1" s="2990"/>
      <c r="I1" s="2990"/>
      <c r="J1" s="2990"/>
      <c r="K1" s="2990"/>
      <c r="L1" s="2990"/>
    </row>
    <row r="2" spans="2:12" s="62" customFormat="1" ht="5.0999999999999996" customHeight="1">
      <c r="L2" s="1019"/>
    </row>
    <row r="3" spans="2:12" s="1340" customFormat="1" ht="12.95" customHeight="1">
      <c r="B3" s="2982" t="s">
        <v>8666</v>
      </c>
      <c r="C3" s="2982"/>
      <c r="D3" s="2982"/>
      <c r="E3" s="2982"/>
      <c r="F3" s="2982"/>
      <c r="G3" s="2982"/>
      <c r="H3" s="2982"/>
      <c r="I3" s="2982"/>
      <c r="J3" s="2982"/>
      <c r="K3" s="2982"/>
      <c r="L3" s="2982"/>
    </row>
    <row r="4" spans="2:12" s="1340" customFormat="1" ht="5.0999999999999996" customHeight="1">
      <c r="B4" s="395"/>
      <c r="C4" s="395"/>
      <c r="D4" s="395"/>
      <c r="E4" s="395"/>
      <c r="F4" s="395"/>
      <c r="G4" s="395"/>
      <c r="H4" s="395"/>
      <c r="I4" s="395"/>
      <c r="J4" s="395"/>
      <c r="K4" s="395"/>
      <c r="L4" s="395"/>
    </row>
    <row r="5" spans="2:12" s="2633" customFormat="1" ht="12.95" customHeight="1">
      <c r="B5" s="2984" t="s">
        <v>9833</v>
      </c>
      <c r="C5" s="3254"/>
      <c r="D5" s="3254"/>
      <c r="E5" s="3254"/>
      <c r="F5" s="3254"/>
      <c r="G5" s="3254"/>
      <c r="H5" s="3254"/>
      <c r="I5" s="3254"/>
      <c r="J5" s="3254"/>
      <c r="K5" s="3254"/>
      <c r="L5" s="3254"/>
    </row>
    <row r="6" spans="2:12" s="1340" customFormat="1" ht="65.099999999999994" customHeight="1">
      <c r="B6" s="2984" t="s">
        <v>9637</v>
      </c>
      <c r="C6" s="3254"/>
      <c r="D6" s="3254"/>
      <c r="E6" s="3254"/>
      <c r="F6" s="3254"/>
      <c r="G6" s="3254"/>
      <c r="H6" s="3254"/>
      <c r="I6" s="3254"/>
      <c r="J6" s="3254"/>
      <c r="K6" s="3254"/>
      <c r="L6" s="3254"/>
    </row>
    <row r="7" spans="2:12" s="1340" customFormat="1" ht="5.0999999999999996" customHeight="1">
      <c r="B7" s="395"/>
      <c r="C7" s="395"/>
      <c r="D7" s="395"/>
      <c r="E7" s="395"/>
      <c r="F7" s="395"/>
      <c r="G7" s="395"/>
      <c r="H7" s="395"/>
      <c r="I7" s="395"/>
      <c r="J7" s="395"/>
      <c r="K7" s="395"/>
      <c r="L7" s="395"/>
    </row>
    <row r="8" spans="2:12" s="1340" customFormat="1" ht="26.1" customHeight="1">
      <c r="B8" s="2984" t="s">
        <v>9638</v>
      </c>
      <c r="C8" s="2985"/>
      <c r="D8" s="2985"/>
      <c r="E8" s="2985"/>
      <c r="F8" s="2985"/>
      <c r="G8" s="2985"/>
      <c r="H8" s="2985"/>
      <c r="I8" s="2985"/>
      <c r="J8" s="2985"/>
      <c r="K8" s="2985"/>
      <c r="L8" s="2985"/>
    </row>
    <row r="9" spans="2:12" s="1340" customFormat="1" ht="12.95" customHeight="1">
      <c r="B9"/>
      <c r="C9" s="4225" t="s">
        <v>8667</v>
      </c>
      <c r="D9" s="4225"/>
      <c r="E9" s="4225"/>
      <c r="F9" s="4225"/>
      <c r="G9" s="4225"/>
      <c r="H9" s="4225"/>
      <c r="I9" s="4225"/>
      <c r="J9" s="4225"/>
      <c r="K9" s="4225"/>
      <c r="L9" s="4225"/>
    </row>
    <row r="10" spans="2:12" s="1340" customFormat="1" ht="12.95" customHeight="1">
      <c r="B10" s="2634"/>
      <c r="C10" s="3036" t="s">
        <v>8672</v>
      </c>
      <c r="D10" s="4206"/>
      <c r="E10" s="4206"/>
      <c r="F10" s="4206"/>
      <c r="G10" s="4206"/>
      <c r="H10" s="4206"/>
      <c r="I10" s="4206"/>
      <c r="J10" s="4206"/>
      <c r="K10" s="4206"/>
      <c r="L10" s="4206"/>
    </row>
    <row r="11" spans="2:12" s="1340" customFormat="1" ht="12.95" customHeight="1">
      <c r="B11" s="2634"/>
      <c r="C11" s="3036" t="s">
        <v>8673</v>
      </c>
      <c r="D11" s="4206"/>
      <c r="E11" s="4206"/>
      <c r="F11" s="4206"/>
      <c r="G11" s="4206"/>
      <c r="H11" s="4206"/>
      <c r="I11" s="4206"/>
      <c r="J11" s="4206"/>
      <c r="K11" s="4206"/>
      <c r="L11" s="4206"/>
    </row>
    <row r="12" spans="2:12" s="1340" customFormat="1" ht="12.95" customHeight="1">
      <c r="B12" s="2634"/>
      <c r="C12" s="3036" t="s">
        <v>8668</v>
      </c>
      <c r="D12" s="4206"/>
      <c r="E12" s="4206"/>
      <c r="F12" s="4206"/>
      <c r="G12" s="4206"/>
      <c r="H12" s="4206"/>
      <c r="I12" s="4206"/>
      <c r="J12" s="4206"/>
      <c r="K12" s="4206"/>
      <c r="L12" s="4206"/>
    </row>
    <row r="13" spans="2:12" s="1340" customFormat="1" ht="12.95" customHeight="1">
      <c r="B13" s="2634"/>
      <c r="C13" s="3036" t="s">
        <v>8669</v>
      </c>
      <c r="D13" s="4206"/>
      <c r="E13" s="4206"/>
      <c r="F13" s="4206"/>
      <c r="G13" s="4206"/>
      <c r="H13" s="4206"/>
      <c r="I13" s="4206"/>
      <c r="J13" s="4206"/>
      <c r="K13" s="4206"/>
      <c r="L13" s="4206"/>
    </row>
    <row r="14" spans="2:12" s="1340" customFormat="1" ht="12.95" customHeight="1">
      <c r="B14" s="2634"/>
      <c r="C14" s="3036" t="s">
        <v>8670</v>
      </c>
      <c r="D14" s="4206"/>
      <c r="E14" s="4206"/>
      <c r="F14" s="4206"/>
      <c r="G14" s="4206"/>
      <c r="H14" s="4206"/>
      <c r="I14" s="4206"/>
      <c r="J14" s="4206"/>
      <c r="K14" s="4206"/>
      <c r="L14" s="4206"/>
    </row>
    <row r="15" spans="2:12" s="1340" customFormat="1" ht="12.95" customHeight="1">
      <c r="B15" s="2634"/>
      <c r="C15" s="3036" t="s">
        <v>8671</v>
      </c>
      <c r="D15" s="4206"/>
      <c r="E15" s="4206"/>
      <c r="F15" s="4206"/>
      <c r="G15" s="4206"/>
      <c r="H15" s="4206"/>
      <c r="I15" s="4206"/>
      <c r="J15" s="4206"/>
      <c r="K15" s="4206"/>
      <c r="L15" s="4206"/>
    </row>
    <row r="16" spans="2:12" s="1340" customFormat="1" ht="12.95" customHeight="1">
      <c r="B16" s="2634"/>
      <c r="C16" s="3036" t="s">
        <v>8674</v>
      </c>
      <c r="D16" s="4206"/>
      <c r="E16" s="4206"/>
      <c r="F16" s="4206"/>
      <c r="G16" s="4206"/>
      <c r="H16" s="4206"/>
      <c r="I16" s="4206"/>
      <c r="J16" s="4206"/>
      <c r="K16" s="4206"/>
      <c r="L16" s="4206"/>
    </row>
    <row r="17" spans="2:12" s="1340" customFormat="1" ht="12.95" customHeight="1">
      <c r="B17" s="2634"/>
      <c r="C17" s="3036" t="s">
        <v>8675</v>
      </c>
      <c r="D17" s="4206"/>
      <c r="E17" s="4206"/>
      <c r="F17" s="4206"/>
      <c r="G17" s="4206"/>
      <c r="H17" s="4206"/>
      <c r="I17" s="4206"/>
      <c r="J17" s="4206"/>
      <c r="K17" s="4206"/>
      <c r="L17" s="4206"/>
    </row>
    <row r="18" spans="2:12" s="1340" customFormat="1" ht="12.95" customHeight="1">
      <c r="B18" s="2634"/>
      <c r="C18" s="3036" t="s">
        <v>10156</v>
      </c>
      <c r="D18" s="4206"/>
      <c r="E18" s="4206"/>
      <c r="F18" s="4206"/>
      <c r="G18" s="4206"/>
      <c r="H18" s="4206"/>
      <c r="I18" s="4206"/>
      <c r="J18" s="4206"/>
      <c r="K18" s="4206"/>
      <c r="L18" s="4206"/>
    </row>
    <row r="19" spans="2:12" s="1340" customFormat="1" ht="12.95" customHeight="1">
      <c r="B19" s="2634"/>
      <c r="C19" s="3036" t="s">
        <v>8682</v>
      </c>
      <c r="D19" s="4206"/>
      <c r="E19" s="4206"/>
      <c r="F19" s="4206"/>
      <c r="G19" s="4206"/>
      <c r="H19" s="4206"/>
      <c r="I19" s="4206"/>
      <c r="J19" s="4206"/>
      <c r="K19" s="4206"/>
      <c r="L19" s="4206"/>
    </row>
    <row r="20" spans="2:12" s="1340" customFormat="1" ht="12.95" customHeight="1">
      <c r="B20" s="2634"/>
      <c r="C20" s="3036" t="s">
        <v>8683</v>
      </c>
      <c r="D20" s="4206"/>
      <c r="E20" s="4206"/>
      <c r="F20" s="4206"/>
      <c r="G20" s="4206"/>
      <c r="H20" s="4206"/>
      <c r="I20" s="4206"/>
      <c r="J20" s="4206"/>
      <c r="K20" s="4206"/>
      <c r="L20" s="4206"/>
    </row>
    <row r="21" spans="2:12" s="1340" customFormat="1" ht="5.0999999999999996" customHeight="1">
      <c r="B21" s="2634"/>
      <c r="C21" s="3036"/>
      <c r="D21" s="4206"/>
      <c r="E21" s="4206"/>
      <c r="F21" s="4206"/>
      <c r="G21" s="4206"/>
      <c r="H21" s="4206"/>
      <c r="I21" s="4206"/>
      <c r="J21" s="4206"/>
      <c r="K21" s="4206"/>
      <c r="L21" s="4206"/>
    </row>
    <row r="22" spans="2:12" s="1340" customFormat="1" ht="12.95" customHeight="1">
      <c r="B22"/>
      <c r="C22" s="4205" t="s">
        <v>8676</v>
      </c>
      <c r="D22" s="4205"/>
      <c r="E22" s="4205"/>
      <c r="F22" s="4205"/>
      <c r="G22" s="4205"/>
      <c r="H22" s="4205"/>
      <c r="I22" s="4205"/>
      <c r="J22" s="4205"/>
      <c r="K22" s="4205"/>
      <c r="L22" s="4205"/>
    </row>
    <row r="23" spans="2:12" s="1340" customFormat="1" ht="12.95" customHeight="1">
      <c r="B23" s="2634"/>
      <c r="C23" s="3036" t="s">
        <v>8673</v>
      </c>
      <c r="D23" s="4206"/>
      <c r="E23" s="4206"/>
      <c r="F23" s="4206"/>
      <c r="G23" s="4206"/>
      <c r="H23" s="4206"/>
      <c r="I23" s="4206"/>
      <c r="J23" s="4206"/>
      <c r="K23" s="4206"/>
      <c r="L23" s="4206"/>
    </row>
    <row r="24" spans="2:12" s="1340" customFormat="1" ht="12.95" customHeight="1">
      <c r="B24" s="2634"/>
      <c r="C24" s="3036" t="s">
        <v>8677</v>
      </c>
      <c r="D24" s="4206"/>
      <c r="E24" s="4206"/>
      <c r="F24" s="4206"/>
      <c r="G24" s="4206"/>
      <c r="H24" s="4206"/>
      <c r="I24" s="4206"/>
      <c r="J24" s="4206"/>
      <c r="K24" s="4206"/>
      <c r="L24" s="4206"/>
    </row>
    <row r="25" spans="2:12" s="1340" customFormat="1" ht="12.95" customHeight="1">
      <c r="B25" s="2634"/>
      <c r="C25" s="3036" t="s">
        <v>8668</v>
      </c>
      <c r="D25" s="4206"/>
      <c r="E25" s="4206"/>
      <c r="F25" s="4206"/>
      <c r="G25" s="4206"/>
      <c r="H25" s="4206"/>
      <c r="I25" s="4206"/>
      <c r="J25" s="4206"/>
      <c r="K25" s="4206"/>
      <c r="L25" s="4206"/>
    </row>
    <row r="26" spans="2:12" s="1340" customFormat="1" ht="12.95" customHeight="1">
      <c r="B26" s="2634"/>
      <c r="C26" s="3036" t="s">
        <v>8678</v>
      </c>
      <c r="D26" s="4206"/>
      <c r="E26" s="4206"/>
      <c r="F26" s="4206"/>
      <c r="G26" s="4206"/>
      <c r="H26" s="4206"/>
      <c r="I26" s="4206"/>
      <c r="J26" s="4206"/>
      <c r="K26" s="4206"/>
      <c r="L26" s="4206"/>
    </row>
    <row r="27" spans="2:12" s="1340" customFormat="1" ht="12.95" customHeight="1">
      <c r="B27" s="2634"/>
      <c r="C27" s="3036" t="s">
        <v>8679</v>
      </c>
      <c r="D27" s="4206"/>
      <c r="E27" s="4206"/>
      <c r="F27" s="4206"/>
      <c r="G27" s="4206"/>
      <c r="H27" s="4206"/>
      <c r="I27" s="4206"/>
      <c r="J27" s="4206"/>
      <c r="K27" s="4206"/>
      <c r="L27" s="4206"/>
    </row>
    <row r="28" spans="2:12" s="1340" customFormat="1" ht="12.95" customHeight="1">
      <c r="B28" s="2634"/>
      <c r="C28" s="3036" t="s">
        <v>8680</v>
      </c>
      <c r="D28" s="4206"/>
      <c r="E28" s="4206"/>
      <c r="F28" s="4206"/>
      <c r="G28" s="4206"/>
      <c r="H28" s="4206"/>
      <c r="I28" s="4206"/>
      <c r="J28" s="4206"/>
      <c r="K28" s="4206"/>
      <c r="L28" s="4206"/>
    </row>
    <row r="29" spans="2:12" s="1340" customFormat="1" ht="12.95" customHeight="1">
      <c r="B29" s="2634"/>
      <c r="C29" s="3036" t="s">
        <v>8681</v>
      </c>
      <c r="D29" s="4206"/>
      <c r="E29" s="4206"/>
      <c r="F29" s="4206"/>
      <c r="G29" s="4206"/>
      <c r="H29" s="4206"/>
      <c r="I29" s="4206"/>
      <c r="J29" s="4206"/>
      <c r="K29" s="4206"/>
      <c r="L29" s="4206"/>
    </row>
    <row r="30" spans="2:12" s="1340" customFormat="1" ht="12.95" customHeight="1">
      <c r="B30" s="2634"/>
      <c r="C30" s="3036" t="s">
        <v>8697</v>
      </c>
      <c r="D30" s="4206"/>
      <c r="E30" s="4206"/>
      <c r="F30" s="4206"/>
      <c r="G30" s="4206"/>
      <c r="H30" s="4206"/>
      <c r="I30" s="4206"/>
      <c r="J30" s="4206"/>
      <c r="K30" s="4206"/>
      <c r="L30" s="4206"/>
    </row>
    <row r="31" spans="2:12" s="1340" customFormat="1" ht="12.95" customHeight="1">
      <c r="B31" s="2634"/>
      <c r="C31" s="3036" t="s">
        <v>8684</v>
      </c>
      <c r="D31" s="4206"/>
      <c r="E31" s="4206"/>
      <c r="F31" s="4206"/>
      <c r="G31" s="4206"/>
      <c r="H31" s="4206"/>
      <c r="I31" s="4206"/>
      <c r="J31" s="4206"/>
      <c r="K31" s="4206"/>
      <c r="L31" s="4206"/>
    </row>
    <row r="32" spans="2:12" s="1340" customFormat="1" ht="5.0999999999999996" customHeight="1">
      <c r="B32" s="2634"/>
      <c r="C32" s="2630"/>
      <c r="D32" s="2635"/>
      <c r="E32" s="2635"/>
      <c r="F32" s="2635"/>
      <c r="G32" s="2635"/>
      <c r="H32" s="2635"/>
      <c r="I32" s="2635"/>
      <c r="J32" s="2635"/>
      <c r="K32" s="2635"/>
      <c r="L32" s="2635"/>
    </row>
    <row r="33" spans="2:12" s="1340" customFormat="1" ht="12.95" customHeight="1">
      <c r="B33"/>
      <c r="C33" s="4205" t="s">
        <v>8685</v>
      </c>
      <c r="D33" s="4205"/>
      <c r="E33" s="4205"/>
      <c r="F33" s="4205"/>
      <c r="G33" s="4205"/>
      <c r="H33" s="4205"/>
      <c r="I33" s="4205"/>
      <c r="J33" s="4205"/>
      <c r="K33" s="4205"/>
      <c r="L33" s="4205"/>
    </row>
    <row r="34" spans="2:12" s="1340" customFormat="1" ht="12.95" customHeight="1">
      <c r="B34" s="2634"/>
      <c r="C34" s="3036" t="s">
        <v>8686</v>
      </c>
      <c r="D34" s="3036"/>
      <c r="E34" s="3036"/>
      <c r="F34" s="3036"/>
      <c r="G34" s="3036"/>
      <c r="H34" s="3036"/>
      <c r="I34" s="3036"/>
      <c r="J34" s="3036"/>
      <c r="K34" s="3036"/>
      <c r="L34" s="3036"/>
    </row>
    <row r="35" spans="2:12" s="1340" customFormat="1" ht="12.95" customHeight="1">
      <c r="B35" s="2634"/>
      <c r="C35" s="3036" t="s">
        <v>8681</v>
      </c>
      <c r="D35" s="4206"/>
      <c r="E35" s="4206"/>
      <c r="F35" s="4206"/>
      <c r="G35" s="4206"/>
      <c r="H35" s="4206"/>
      <c r="I35" s="4206"/>
      <c r="J35" s="4206"/>
      <c r="K35" s="4206"/>
      <c r="L35" s="4206"/>
    </row>
    <row r="36" spans="2:12" s="1340" customFormat="1" ht="12.95" customHeight="1">
      <c r="B36" s="2634"/>
      <c r="C36" s="3036" t="s">
        <v>8687</v>
      </c>
      <c r="D36" s="3036"/>
      <c r="E36" s="3036"/>
      <c r="F36" s="3036"/>
      <c r="G36" s="3036"/>
      <c r="H36" s="3036"/>
      <c r="I36" s="3036"/>
      <c r="J36" s="3036"/>
      <c r="K36" s="3036"/>
      <c r="L36" s="3036"/>
    </row>
    <row r="37" spans="2:12" s="1340" customFormat="1" ht="12.95" customHeight="1">
      <c r="B37" s="2634"/>
      <c r="C37" s="3036" t="s">
        <v>8688</v>
      </c>
      <c r="D37" s="4206"/>
      <c r="E37" s="4206"/>
      <c r="F37" s="4206"/>
      <c r="G37" s="4206"/>
      <c r="H37" s="4206"/>
      <c r="I37" s="4206"/>
      <c r="J37" s="4206"/>
      <c r="K37" s="4206"/>
      <c r="L37" s="4206"/>
    </row>
    <row r="38" spans="2:12" s="1340" customFormat="1" ht="12.95" customHeight="1">
      <c r="B38" s="2634"/>
      <c r="C38" s="3036" t="s">
        <v>8689</v>
      </c>
      <c r="D38" s="4206"/>
      <c r="E38" s="4206"/>
      <c r="F38" s="4206"/>
      <c r="G38" s="4206"/>
      <c r="H38" s="4206"/>
      <c r="I38" s="4206"/>
      <c r="J38" s="4206"/>
      <c r="K38" s="4206"/>
      <c r="L38" s="4206"/>
    </row>
    <row r="39" spans="2:12" s="1340" customFormat="1" ht="12.95" customHeight="1">
      <c r="B39" s="2634"/>
      <c r="C39" s="3036" t="s">
        <v>8698</v>
      </c>
      <c r="D39" s="4206"/>
      <c r="E39" s="4206"/>
      <c r="F39" s="4206"/>
      <c r="G39" s="4206"/>
      <c r="H39" s="4206"/>
      <c r="I39" s="4206"/>
      <c r="J39" s="4206"/>
      <c r="K39" s="4206"/>
      <c r="L39" s="4206"/>
    </row>
    <row r="40" spans="2:12" s="1340" customFormat="1" ht="26.1" customHeight="1">
      <c r="B40" s="2634"/>
      <c r="C40" s="3036" t="s">
        <v>8690</v>
      </c>
      <c r="D40" s="4206"/>
      <c r="E40" s="4206"/>
      <c r="F40" s="4206"/>
      <c r="G40" s="4206"/>
      <c r="H40" s="4206"/>
      <c r="I40" s="4206"/>
      <c r="J40" s="4206"/>
      <c r="K40" s="4206"/>
      <c r="L40" s="4206"/>
    </row>
    <row r="41" spans="2:12" s="1340" customFormat="1" ht="12.95" customHeight="1">
      <c r="B41" s="2634"/>
      <c r="C41" s="3036" t="s">
        <v>8691</v>
      </c>
      <c r="D41" s="4206"/>
      <c r="E41" s="4206"/>
      <c r="F41" s="4206"/>
      <c r="G41" s="4206"/>
      <c r="H41" s="4206"/>
      <c r="I41" s="4206"/>
      <c r="J41" s="4206"/>
      <c r="K41" s="4206"/>
      <c r="L41" s="4206"/>
    </row>
    <row r="42" spans="2:12" s="1340" customFormat="1" ht="5.0999999999999996" customHeight="1">
      <c r="B42" s="2634"/>
      <c r="C42" s="3036"/>
      <c r="D42" s="3036"/>
      <c r="E42" s="3036"/>
      <c r="F42" s="3036"/>
      <c r="G42" s="3036"/>
      <c r="H42" s="3036"/>
      <c r="I42" s="3036"/>
      <c r="J42" s="3036"/>
      <c r="K42" s="3036"/>
      <c r="L42" s="3036"/>
    </row>
    <row r="43" spans="2:12" s="1340" customFormat="1" ht="12.95" customHeight="1">
      <c r="B43"/>
      <c r="C43" s="4205" t="s">
        <v>8692</v>
      </c>
      <c r="D43" s="4205"/>
      <c r="E43" s="4205"/>
      <c r="F43" s="4205"/>
      <c r="G43" s="4205"/>
      <c r="H43" s="4205"/>
      <c r="I43" s="4205"/>
      <c r="J43" s="4205"/>
      <c r="K43" s="4205"/>
      <c r="L43" s="4205"/>
    </row>
    <row r="44" spans="2:12" s="1340" customFormat="1" ht="12.95" customHeight="1">
      <c r="B44" s="2634"/>
      <c r="C44" s="3036" t="s">
        <v>8693</v>
      </c>
      <c r="D44" s="4206"/>
      <c r="E44" s="4206"/>
      <c r="F44" s="4206"/>
      <c r="G44" s="4206"/>
      <c r="H44" s="4206"/>
      <c r="I44" s="4206"/>
      <c r="J44" s="4206"/>
      <c r="K44" s="4206"/>
      <c r="L44" s="4206"/>
    </row>
    <row r="45" spans="2:12" s="1340" customFormat="1" ht="12.95" customHeight="1">
      <c r="B45" s="2634"/>
      <c r="C45" s="3036" t="s">
        <v>8694</v>
      </c>
      <c r="D45" s="4206"/>
      <c r="E45" s="4206"/>
      <c r="F45" s="4206"/>
      <c r="G45" s="4206"/>
      <c r="H45" s="4206"/>
      <c r="I45" s="4206"/>
      <c r="J45" s="4206"/>
      <c r="K45" s="4206"/>
      <c r="L45" s="4206"/>
    </row>
    <row r="46" spans="2:12" s="1340" customFormat="1" ht="12.95" customHeight="1">
      <c r="B46" s="2634"/>
      <c r="C46" s="3036" t="s">
        <v>8699</v>
      </c>
      <c r="D46" s="4206"/>
      <c r="E46" s="4206"/>
      <c r="F46" s="4206"/>
      <c r="G46" s="4206"/>
      <c r="H46" s="4206"/>
      <c r="I46" s="4206"/>
      <c r="J46" s="4206"/>
      <c r="K46" s="4206"/>
      <c r="L46" s="4206"/>
    </row>
    <row r="47" spans="2:12" s="1340" customFormat="1" ht="12.95" customHeight="1">
      <c r="B47" s="2634"/>
      <c r="C47" s="3036" t="s">
        <v>8695</v>
      </c>
      <c r="D47" s="4206"/>
      <c r="E47" s="4206"/>
      <c r="F47" s="4206"/>
      <c r="G47" s="4206"/>
      <c r="H47" s="4206"/>
      <c r="I47" s="4206"/>
      <c r="J47" s="4206"/>
      <c r="K47" s="4206"/>
      <c r="L47" s="4206"/>
    </row>
    <row r="48" spans="2:12" s="1340" customFormat="1" ht="5.0999999999999996" customHeight="1">
      <c r="B48" s="2634"/>
      <c r="C48" s="3036"/>
      <c r="D48" s="3036"/>
      <c r="E48" s="3036"/>
      <c r="F48" s="3036"/>
      <c r="G48" s="3036"/>
      <c r="H48" s="3036"/>
      <c r="I48" s="3036"/>
      <c r="J48" s="3036"/>
      <c r="K48" s="3036"/>
      <c r="L48" s="3036"/>
    </row>
    <row r="49" spans="2:12" s="1340" customFormat="1" ht="12.95" customHeight="1">
      <c r="B49"/>
      <c r="C49" s="4205" t="s">
        <v>8696</v>
      </c>
      <c r="D49" s="4205"/>
      <c r="E49" s="4205"/>
      <c r="F49" s="4205"/>
      <c r="G49" s="4205"/>
      <c r="H49" s="4205"/>
      <c r="I49" s="4205"/>
      <c r="J49" s="4205"/>
      <c r="K49" s="4205"/>
      <c r="L49" s="4205"/>
    </row>
    <row r="50" spans="2:12" s="1340" customFormat="1" ht="12.95" customHeight="1">
      <c r="B50" s="2634"/>
      <c r="C50" s="3036" t="s">
        <v>8700</v>
      </c>
      <c r="D50" s="4206"/>
      <c r="E50" s="4206"/>
      <c r="F50" s="4206"/>
      <c r="G50" s="4206"/>
      <c r="H50" s="4206"/>
      <c r="I50" s="4206"/>
      <c r="J50" s="4206"/>
      <c r="K50" s="4206"/>
      <c r="L50" s="4206"/>
    </row>
    <row r="51" spans="2:12" s="1340" customFormat="1" ht="12.95" customHeight="1">
      <c r="B51" s="2634"/>
      <c r="C51" s="3036" t="s">
        <v>8701</v>
      </c>
      <c r="D51" s="4206"/>
      <c r="E51" s="4206"/>
      <c r="F51" s="4206"/>
      <c r="G51" s="4206"/>
      <c r="H51" s="4206"/>
      <c r="I51" s="4206"/>
      <c r="J51" s="4206"/>
      <c r="K51" s="4206"/>
      <c r="L51" s="4206"/>
    </row>
    <row r="52" spans="2:12" s="1340" customFormat="1" ht="5.0999999999999996" customHeight="1">
      <c r="B52" s="2634"/>
      <c r="C52" s="3036"/>
      <c r="D52" s="3036"/>
      <c r="E52" s="3036"/>
      <c r="F52" s="3036"/>
      <c r="G52" s="3036"/>
      <c r="H52" s="3036"/>
      <c r="I52" s="3036"/>
      <c r="J52" s="3036"/>
      <c r="K52" s="3036"/>
      <c r="L52" s="3036"/>
    </row>
    <row r="53" spans="2:12" ht="26.1" customHeight="1">
      <c r="B53" s="2984" t="s">
        <v>9639</v>
      </c>
      <c r="C53" s="2984"/>
      <c r="D53" s="2984"/>
      <c r="E53" s="2984"/>
      <c r="F53" s="2984"/>
      <c r="G53" s="2984"/>
      <c r="H53" s="2984"/>
      <c r="I53" s="2984"/>
      <c r="J53" s="2984"/>
      <c r="K53" s="2984"/>
      <c r="L53" s="2984"/>
    </row>
    <row r="54" spans="2:12" ht="5.0999999999999996" customHeight="1" thickBot="1"/>
    <row r="55" spans="2:12" ht="12.95" customHeight="1">
      <c r="B55" s="3355" t="s">
        <v>3425</v>
      </c>
      <c r="C55" s="3356"/>
      <c r="D55" s="3313" t="s">
        <v>3435</v>
      </c>
      <c r="E55" s="3314"/>
      <c r="F55" s="3314"/>
      <c r="G55" s="3315"/>
      <c r="H55" s="3313" t="s">
        <v>3436</v>
      </c>
      <c r="I55" s="3314"/>
      <c r="J55" s="3314"/>
      <c r="K55" s="3315"/>
      <c r="L55" s="4223" t="s">
        <v>3442</v>
      </c>
    </row>
    <row r="56" spans="2:12" s="379" customFormat="1" ht="39" customHeight="1" thickBot="1">
      <c r="B56" s="3359"/>
      <c r="C56" s="3360"/>
      <c r="D56" s="1365" t="s">
        <v>3426</v>
      </c>
      <c r="E56" s="1366" t="s">
        <v>3427</v>
      </c>
      <c r="F56" s="893" t="s">
        <v>2568</v>
      </c>
      <c r="G56" s="1367" t="s">
        <v>3439</v>
      </c>
      <c r="H56" s="1365" t="s">
        <v>3426</v>
      </c>
      <c r="I56" s="1366" t="s">
        <v>3427</v>
      </c>
      <c r="J56" s="893" t="s">
        <v>2568</v>
      </c>
      <c r="K56" s="1367" t="s">
        <v>3439</v>
      </c>
      <c r="L56" s="4224"/>
    </row>
    <row r="57" spans="2:12" ht="12.95" customHeight="1">
      <c r="B57" s="1341">
        <v>1</v>
      </c>
      <c r="C57" s="1342">
        <v>0.8</v>
      </c>
      <c r="D57" s="1341" t="s">
        <v>3430</v>
      </c>
      <c r="E57" s="1343" t="s">
        <v>3428</v>
      </c>
      <c r="F57" s="1343">
        <v>30000</v>
      </c>
      <c r="G57" s="1344">
        <v>500</v>
      </c>
      <c r="H57" s="1341" t="s">
        <v>3438</v>
      </c>
      <c r="I57" s="1343" t="s">
        <v>3437</v>
      </c>
      <c r="J57" s="1343">
        <v>5000</v>
      </c>
      <c r="K57" s="1344">
        <v>375</v>
      </c>
      <c r="L57" s="1345" t="s">
        <v>3440</v>
      </c>
    </row>
    <row r="58" spans="2:12" ht="12.95" customHeight="1">
      <c r="B58" s="121">
        <v>2</v>
      </c>
      <c r="C58" s="949">
        <v>1</v>
      </c>
      <c r="D58" s="121" t="s">
        <v>3431</v>
      </c>
      <c r="E58" s="1015" t="s">
        <v>3429</v>
      </c>
      <c r="F58" s="1015">
        <v>20000</v>
      </c>
      <c r="G58" s="1017">
        <v>500</v>
      </c>
      <c r="H58" s="121" t="s">
        <v>3434</v>
      </c>
      <c r="I58" s="1015" t="s">
        <v>3431</v>
      </c>
      <c r="J58" s="1015">
        <v>7500</v>
      </c>
      <c r="K58" s="1017">
        <v>500</v>
      </c>
      <c r="L58" s="122" t="s">
        <v>3441</v>
      </c>
    </row>
    <row r="59" spans="2:12" ht="12.95" customHeight="1">
      <c r="B59" s="1346">
        <v>3</v>
      </c>
      <c r="C59" s="1347">
        <v>1.3</v>
      </c>
      <c r="D59" s="1346" t="s">
        <v>3433</v>
      </c>
      <c r="E59" s="1348" t="s">
        <v>3430</v>
      </c>
      <c r="F59" s="1350">
        <v>15000</v>
      </c>
      <c r="G59" s="1349">
        <v>500</v>
      </c>
      <c r="H59" s="1346" t="s">
        <v>3433</v>
      </c>
      <c r="I59" s="1348" t="s">
        <v>3430</v>
      </c>
      <c r="J59" s="1348">
        <v>10000</v>
      </c>
      <c r="K59" s="1349">
        <v>500</v>
      </c>
      <c r="L59" s="1351">
        <v>1</v>
      </c>
    </row>
    <row r="60" spans="2:12" ht="12.95" customHeight="1">
      <c r="B60" s="121">
        <v>4</v>
      </c>
      <c r="C60" s="949">
        <v>1.6</v>
      </c>
      <c r="D60" s="121" t="s">
        <v>3434</v>
      </c>
      <c r="E60" s="1015" t="s">
        <v>3431</v>
      </c>
      <c r="F60" s="123">
        <v>10000</v>
      </c>
      <c r="G60" s="1017">
        <v>500</v>
      </c>
      <c r="H60" s="121" t="s">
        <v>3433</v>
      </c>
      <c r="I60" s="1015" t="s">
        <v>3430</v>
      </c>
      <c r="J60" s="1015">
        <v>10000</v>
      </c>
      <c r="K60" s="1017">
        <v>625</v>
      </c>
      <c r="L60" s="124">
        <v>1</v>
      </c>
    </row>
    <row r="61" spans="2:12" ht="12.95" customHeight="1" thickBot="1">
      <c r="B61" s="1352">
        <v>5</v>
      </c>
      <c r="C61" s="1353">
        <v>2</v>
      </c>
      <c r="D61" s="1352" t="s">
        <v>3432</v>
      </c>
      <c r="E61" s="1354" t="s">
        <v>3432</v>
      </c>
      <c r="F61" s="1354">
        <v>0</v>
      </c>
      <c r="G61" s="1355">
        <v>500</v>
      </c>
      <c r="H61" s="1352" t="s">
        <v>3433</v>
      </c>
      <c r="I61" s="1354" t="s">
        <v>3430</v>
      </c>
      <c r="J61" s="1354">
        <v>10000</v>
      </c>
      <c r="K61" s="1355">
        <v>750</v>
      </c>
      <c r="L61" s="1356">
        <v>1</v>
      </c>
    </row>
    <row r="62" spans="2:12" ht="26.1" customHeight="1">
      <c r="B62" s="4211" t="s">
        <v>9640</v>
      </c>
      <c r="C62" s="4211"/>
      <c r="D62" s="4211"/>
      <c r="E62" s="4211"/>
      <c r="F62" s="4211"/>
      <c r="G62" s="4211"/>
      <c r="H62" s="4211"/>
      <c r="I62" s="4211"/>
      <c r="J62" s="4211"/>
      <c r="K62" s="4211"/>
      <c r="L62" s="4211"/>
    </row>
    <row r="63" spans="2:12" ht="5.0999999999999996" customHeight="1">
      <c r="B63" s="1357"/>
      <c r="C63" s="1357"/>
      <c r="D63" s="1357"/>
      <c r="E63" s="1357"/>
      <c r="F63" s="1357"/>
      <c r="G63" s="1357"/>
      <c r="H63" s="1357"/>
      <c r="I63" s="1357"/>
      <c r="J63" s="1357"/>
      <c r="K63" s="1357"/>
      <c r="L63" s="1357"/>
    </row>
    <row r="64" spans="2:12" ht="26.1" customHeight="1" thickBot="1">
      <c r="B64" s="4211" t="s">
        <v>9641</v>
      </c>
      <c r="C64" s="4211"/>
      <c r="D64" s="4211"/>
      <c r="E64" s="4211"/>
      <c r="F64" s="4211"/>
      <c r="G64" s="4211"/>
      <c r="H64" s="4211"/>
      <c r="I64" s="4211"/>
      <c r="J64" s="4211"/>
      <c r="K64" s="4211"/>
      <c r="L64" s="4211"/>
    </row>
    <row r="65" spans="2:12" s="917" customFormat="1" ht="12.95" customHeight="1" thickBot="1">
      <c r="B65" s="4209" t="s">
        <v>3425</v>
      </c>
      <c r="C65" s="4210"/>
      <c r="D65" s="1368" t="s">
        <v>2568</v>
      </c>
      <c r="E65" s="4210" t="s">
        <v>3427</v>
      </c>
      <c r="F65" s="4210"/>
      <c r="G65" s="4210" t="s">
        <v>3426</v>
      </c>
      <c r="H65" s="4210"/>
      <c r="I65" s="4217"/>
      <c r="J65" s="1358"/>
    </row>
    <row r="66" spans="2:12" s="917" customFormat="1" ht="12.95" customHeight="1">
      <c r="B66" s="1341">
        <v>1</v>
      </c>
      <c r="C66" s="1359">
        <v>0.8</v>
      </c>
      <c r="D66" s="1360">
        <v>-0.25</v>
      </c>
      <c r="E66" s="4213" t="s">
        <v>137</v>
      </c>
      <c r="F66" s="4213"/>
      <c r="G66" s="4213" t="s">
        <v>137</v>
      </c>
      <c r="H66" s="4213"/>
      <c r="I66" s="4218"/>
      <c r="J66" s="1358"/>
    </row>
    <row r="67" spans="2:12" s="917" customFormat="1" ht="12.95" customHeight="1">
      <c r="B67" s="121">
        <v>2</v>
      </c>
      <c r="C67" s="950">
        <v>1</v>
      </c>
      <c r="D67" s="1015" t="s">
        <v>137</v>
      </c>
      <c r="E67" s="4214" t="s">
        <v>137</v>
      </c>
      <c r="F67" s="4214"/>
      <c r="G67" s="4214" t="s">
        <v>137</v>
      </c>
      <c r="H67" s="4214"/>
      <c r="I67" s="4219"/>
      <c r="J67" s="1358"/>
    </row>
    <row r="68" spans="2:12" s="917" customFormat="1" ht="12.95" customHeight="1">
      <c r="B68" s="1346">
        <v>3</v>
      </c>
      <c r="C68" s="1361">
        <v>1.3</v>
      </c>
      <c r="D68" s="1348" t="s">
        <v>137</v>
      </c>
      <c r="E68" s="4215" t="s">
        <v>137</v>
      </c>
      <c r="F68" s="4215"/>
      <c r="G68" s="4215" t="s">
        <v>137</v>
      </c>
      <c r="H68" s="4215"/>
      <c r="I68" s="4221"/>
      <c r="J68" s="1358"/>
    </row>
    <row r="69" spans="2:12" s="917" customFormat="1" ht="12.95" customHeight="1">
      <c r="B69" s="121">
        <v>4</v>
      </c>
      <c r="C69" s="950">
        <v>1.6</v>
      </c>
      <c r="D69" s="1016" t="s">
        <v>731</v>
      </c>
      <c r="E69" s="4216" t="s">
        <v>733</v>
      </c>
      <c r="F69" s="4216"/>
      <c r="G69" s="4216" t="s">
        <v>734</v>
      </c>
      <c r="H69" s="4216"/>
      <c r="I69" s="4220"/>
      <c r="J69" s="1362"/>
    </row>
    <row r="70" spans="2:12" s="917" customFormat="1" ht="12.95" customHeight="1" thickBot="1">
      <c r="B70" s="1352">
        <v>5</v>
      </c>
      <c r="C70" s="1363">
        <v>2</v>
      </c>
      <c r="D70" s="1364" t="s">
        <v>732</v>
      </c>
      <c r="E70" s="4207" t="s">
        <v>735</v>
      </c>
      <c r="F70" s="4207"/>
      <c r="G70" s="4207" t="s">
        <v>736</v>
      </c>
      <c r="H70" s="4207"/>
      <c r="I70" s="4208"/>
      <c r="J70" s="1362"/>
    </row>
    <row r="71" spans="2:12" s="917" customFormat="1" ht="5.0999999999999996" customHeight="1"/>
    <row r="72" spans="2:12" s="917" customFormat="1" ht="39" customHeight="1">
      <c r="B72" s="4211" t="s">
        <v>9642</v>
      </c>
      <c r="C72" s="4211"/>
      <c r="D72" s="4211"/>
      <c r="E72" s="4211"/>
      <c r="F72" s="4211"/>
      <c r="G72" s="4211"/>
      <c r="H72" s="4211"/>
      <c r="I72" s="4211"/>
      <c r="J72" s="4211"/>
      <c r="K72" s="4211"/>
      <c r="L72" s="4211"/>
    </row>
    <row r="73" spans="2:12" s="917" customFormat="1" ht="26.1" customHeight="1">
      <c r="B73" s="4212" t="s">
        <v>9643</v>
      </c>
      <c r="C73" s="4211"/>
      <c r="D73" s="4211"/>
      <c r="E73" s="4211"/>
      <c r="F73" s="4211"/>
      <c r="G73" s="4211"/>
      <c r="H73" s="4211"/>
      <c r="I73" s="4211"/>
      <c r="J73" s="4211"/>
      <c r="K73" s="4211"/>
      <c r="L73" s="4211"/>
    </row>
    <row r="74" spans="2:12" ht="5.0999999999999996" customHeight="1"/>
    <row r="75" spans="2:12" ht="39" customHeight="1">
      <c r="B75" s="4211" t="s">
        <v>9644</v>
      </c>
      <c r="C75" s="4211"/>
      <c r="D75" s="4211"/>
      <c r="E75" s="4211"/>
      <c r="F75" s="4211"/>
      <c r="G75" s="4211"/>
      <c r="H75" s="4211"/>
      <c r="I75" s="4227"/>
      <c r="J75" s="4227"/>
      <c r="K75" s="4227"/>
      <c r="L75" s="4227"/>
    </row>
    <row r="76" spans="2:12" ht="12.95" customHeight="1">
      <c r="B76" s="4226" t="s">
        <v>9645</v>
      </c>
      <c r="C76" s="4226"/>
      <c r="D76" s="4226"/>
      <c r="E76" s="4226"/>
      <c r="F76" s="4226"/>
      <c r="G76" s="4226"/>
      <c r="H76" s="4226"/>
      <c r="I76" s="4227"/>
      <c r="J76" s="4227"/>
      <c r="K76" s="4227"/>
      <c r="L76" s="4227"/>
    </row>
    <row r="77" spans="2:12" ht="12.95" customHeight="1">
      <c r="B77" s="4211" t="s">
        <v>9646</v>
      </c>
      <c r="C77" s="4211"/>
      <c r="D77" s="4211"/>
      <c r="E77" s="4211"/>
      <c r="F77" s="4211"/>
      <c r="G77" s="4211"/>
      <c r="H77" s="4211"/>
      <c r="I77" s="4227"/>
      <c r="J77" s="4227"/>
      <c r="K77" s="4227"/>
      <c r="L77" s="4227"/>
    </row>
    <row r="78" spans="2:12" ht="12.95" customHeight="1">
      <c r="B78" s="4211"/>
      <c r="C78" s="4211"/>
      <c r="D78" s="4211"/>
      <c r="E78" s="4211"/>
      <c r="F78" s="4211"/>
      <c r="G78" s="4211"/>
      <c r="H78" s="4211"/>
      <c r="I78" s="4227"/>
      <c r="J78" s="4227"/>
      <c r="K78" s="4227"/>
      <c r="L78" s="4227"/>
    </row>
    <row r="79" spans="2:12" ht="12.95" customHeight="1">
      <c r="B79" s="4211"/>
      <c r="C79" s="4211"/>
      <c r="D79" s="4211"/>
      <c r="E79" s="4211"/>
      <c r="F79" s="4211"/>
      <c r="G79" s="4211"/>
      <c r="H79" s="4211"/>
      <c r="I79" s="4227"/>
      <c r="J79" s="4227"/>
      <c r="K79" s="4227"/>
      <c r="L79" s="4227"/>
    </row>
    <row r="80" spans="2:12" ht="12.95" customHeight="1">
      <c r="B80" s="4212" t="s">
        <v>9647</v>
      </c>
      <c r="C80" s="4212"/>
      <c r="D80" s="4212"/>
      <c r="E80" s="4212"/>
      <c r="F80" s="4212"/>
      <c r="G80" s="4212"/>
      <c r="H80" s="4212"/>
      <c r="I80" s="4212"/>
      <c r="J80" s="4212"/>
      <c r="K80" s="4212"/>
      <c r="L80" s="4212"/>
    </row>
    <row r="81" spans="2:12" ht="12.95" customHeight="1">
      <c r="B81" s="4212"/>
      <c r="C81" s="4212"/>
      <c r="D81" s="4212"/>
      <c r="E81" s="4212"/>
      <c r="F81" s="4212"/>
      <c r="G81" s="4212"/>
      <c r="H81" s="4212"/>
      <c r="I81" s="4212"/>
      <c r="J81" s="4212"/>
      <c r="K81" s="4212"/>
      <c r="L81" s="4212"/>
    </row>
    <row r="82" spans="2:12" ht="12.95" customHeight="1">
      <c r="B82" s="4226" t="s">
        <v>9648</v>
      </c>
      <c r="C82" s="4226"/>
      <c r="D82" s="4226"/>
      <c r="E82" s="4226"/>
      <c r="F82" s="4226"/>
      <c r="G82" s="4226"/>
      <c r="H82" s="4226"/>
      <c r="I82" s="4226"/>
      <c r="J82" s="4226"/>
      <c r="K82" s="4226"/>
      <c r="L82" s="4226"/>
    </row>
    <row r="83" spans="2:12" ht="12.95" customHeight="1">
      <c r="B83" s="4211" t="s">
        <v>10157</v>
      </c>
      <c r="C83" s="4211"/>
      <c r="D83" s="4211"/>
      <c r="E83" s="4211"/>
      <c r="F83" s="4211"/>
      <c r="G83" s="4211"/>
      <c r="H83" s="4211"/>
      <c r="I83" s="4211"/>
      <c r="J83" s="4211"/>
      <c r="K83" s="4211"/>
      <c r="L83" s="4211"/>
    </row>
  </sheetData>
  <sheetProtection autoFilter="0"/>
  <mergeCells count="78">
    <mergeCell ref="B80:L81"/>
    <mergeCell ref="B82:L82"/>
    <mergeCell ref="B83:L83"/>
    <mergeCell ref="B75:H75"/>
    <mergeCell ref="B76:H76"/>
    <mergeCell ref="B77:H79"/>
    <mergeCell ref="I75:L79"/>
    <mergeCell ref="G68:I68"/>
    <mergeCell ref="B1:C1"/>
    <mergeCell ref="B53:L53"/>
    <mergeCell ref="B3:L3"/>
    <mergeCell ref="D55:G55"/>
    <mergeCell ref="B55:C56"/>
    <mergeCell ref="H55:K55"/>
    <mergeCell ref="L55:L56"/>
    <mergeCell ref="D1:L1"/>
    <mergeCell ref="B5:L5"/>
    <mergeCell ref="B6:L6"/>
    <mergeCell ref="B8:L8"/>
    <mergeCell ref="C9:L9"/>
    <mergeCell ref="C10:L10"/>
    <mergeCell ref="C11:L11"/>
    <mergeCell ref="C12:L12"/>
    <mergeCell ref="G70:I70"/>
    <mergeCell ref="B65:C65"/>
    <mergeCell ref="B72:L72"/>
    <mergeCell ref="B73:L73"/>
    <mergeCell ref="B62:L62"/>
    <mergeCell ref="B64:L64"/>
    <mergeCell ref="E65:F65"/>
    <mergeCell ref="E66:F66"/>
    <mergeCell ref="E67:F67"/>
    <mergeCell ref="E68:F68"/>
    <mergeCell ref="E69:F69"/>
    <mergeCell ref="E70:F70"/>
    <mergeCell ref="G65:I65"/>
    <mergeCell ref="G66:I66"/>
    <mergeCell ref="G67:I67"/>
    <mergeCell ref="G69:I69"/>
    <mergeCell ref="C13:L13"/>
    <mergeCell ref="C14:L14"/>
    <mergeCell ref="C15:L15"/>
    <mergeCell ref="C16:L16"/>
    <mergeCell ref="C17:L17"/>
    <mergeCell ref="C18:L18"/>
    <mergeCell ref="C20:L20"/>
    <mergeCell ref="C21:L21"/>
    <mergeCell ref="C22:L22"/>
    <mergeCell ref="C23:L23"/>
    <mergeCell ref="C19:L19"/>
    <mergeCell ref="C52:L52"/>
    <mergeCell ref="C24:L24"/>
    <mergeCell ref="C25:L25"/>
    <mergeCell ref="C26:L26"/>
    <mergeCell ref="C27:L27"/>
    <mergeCell ref="C28:L28"/>
    <mergeCell ref="C47:L47"/>
    <mergeCell ref="C48:L48"/>
    <mergeCell ref="C49:L49"/>
    <mergeCell ref="C50:L50"/>
    <mergeCell ref="C51:L51"/>
    <mergeCell ref="C42:L42"/>
    <mergeCell ref="C43:L43"/>
    <mergeCell ref="C44:L44"/>
    <mergeCell ref="C45:L45"/>
    <mergeCell ref="C46:L46"/>
    <mergeCell ref="C37:L37"/>
    <mergeCell ref="C38:L38"/>
    <mergeCell ref="C39:L39"/>
    <mergeCell ref="C40:L40"/>
    <mergeCell ref="C41:L41"/>
    <mergeCell ref="C33:L33"/>
    <mergeCell ref="C34:L34"/>
    <mergeCell ref="C35:L35"/>
    <mergeCell ref="C36:L36"/>
    <mergeCell ref="C29:L29"/>
    <mergeCell ref="C30:L30"/>
    <mergeCell ref="C31:L31"/>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2" manualBreakCount="2">
    <brk id="31" max="11" man="1"/>
    <brk id="62" max="11" man="1"/>
  </rowBreaks>
  <ignoredErrors>
    <ignoredError sqref="D69:I70" numberStoredAsText="1"/>
  </ignoredErrors>
  <drawing r:id="rId2"/>
  <legacyDrawing r:id="rId3"/>
</worksheet>
</file>

<file path=xl/worksheets/sheet103.xml><?xml version="1.0" encoding="utf-8"?>
<worksheet xmlns="http://schemas.openxmlformats.org/spreadsheetml/2006/main" xmlns:r="http://schemas.openxmlformats.org/officeDocument/2006/relationships">
  <dimension ref="B1:D26"/>
  <sheetViews>
    <sheetView zoomScaleNormal="100" workbookViewId="0">
      <pane ySplit="5" topLeftCell="A6" activePane="bottomLeft" state="frozen"/>
      <selection pane="bottomLeft" activeCell="B22" sqref="B22:D22"/>
    </sheetView>
  </sheetViews>
  <sheetFormatPr defaultRowHeight="12.95" customHeight="1"/>
  <cols>
    <col min="1" max="1" width="3.7109375" style="292" customWidth="1"/>
    <col min="2" max="2" width="9.140625" style="292"/>
    <col min="3" max="4" width="55.7109375" style="292" customWidth="1"/>
    <col min="5" max="16384" width="9.140625" style="292"/>
  </cols>
  <sheetData>
    <row r="1" spans="2:4" ht="12.95" customHeight="1">
      <c r="B1" s="1840" t="s">
        <v>2706</v>
      </c>
      <c r="C1" s="2973" t="s">
        <v>8269</v>
      </c>
      <c r="D1" s="2973"/>
    </row>
    <row r="2" spans="2:4" ht="5.0999999999999996" customHeight="1"/>
    <row r="3" spans="2:4" ht="12.95" customHeight="1">
      <c r="B3" s="2978" t="s">
        <v>6411</v>
      </c>
      <c r="C3" s="2978"/>
      <c r="D3" s="2978"/>
    </row>
    <row r="4" spans="2:4" s="387" customFormat="1" ht="11.25">
      <c r="B4" s="3130" t="s">
        <v>8755</v>
      </c>
      <c r="C4" s="3130"/>
      <c r="D4" s="3130"/>
    </row>
    <row r="5" spans="2:4" ht="5.0999999999999996" customHeight="1"/>
    <row r="6" spans="2:4" ht="12.95" customHeight="1">
      <c r="B6" s="2960" t="s">
        <v>9649</v>
      </c>
      <c r="C6" s="2960"/>
      <c r="D6" s="2960"/>
    </row>
    <row r="7" spans="2:4" ht="5.0999999999999996" customHeight="1"/>
    <row r="8" spans="2:4" ht="12.95" customHeight="1">
      <c r="B8" s="2960" t="s">
        <v>9650</v>
      </c>
      <c r="C8" s="2960"/>
      <c r="D8" s="2960"/>
    </row>
    <row r="9" spans="2:4" ht="12.95" customHeight="1">
      <c r="C9" s="2960" t="s">
        <v>6412</v>
      </c>
      <c r="D9" s="2960"/>
    </row>
    <row r="10" spans="2:4" ht="12.95" customHeight="1">
      <c r="C10" s="2960" t="s">
        <v>6413</v>
      </c>
      <c r="D10" s="2960"/>
    </row>
    <row r="11" spans="2:4" ht="26.1" customHeight="1">
      <c r="B11" s="2960" t="s">
        <v>9651</v>
      </c>
      <c r="C11" s="2960"/>
      <c r="D11" s="2960"/>
    </row>
    <row r="12" spans="2:4" ht="26.1" customHeight="1">
      <c r="B12" s="2960" t="s">
        <v>9652</v>
      </c>
      <c r="C12" s="2960"/>
      <c r="D12" s="2960"/>
    </row>
    <row r="13" spans="2:4" ht="39" customHeight="1">
      <c r="C13" s="3120" t="s">
        <v>6414</v>
      </c>
      <c r="D13" s="3120"/>
    </row>
    <row r="14" spans="2:4" ht="12.95" customHeight="1">
      <c r="B14" s="2960" t="s">
        <v>9653</v>
      </c>
      <c r="C14" s="2960"/>
      <c r="D14" s="2960"/>
    </row>
    <row r="15" spans="2:4" ht="26.1" customHeight="1">
      <c r="C15" s="2960" t="s">
        <v>6415</v>
      </c>
      <c r="D15" s="2960"/>
    </row>
    <row r="16" spans="2:4" ht="26.1" customHeight="1">
      <c r="C16" s="2960" t="s">
        <v>6416</v>
      </c>
      <c r="D16" s="2960"/>
    </row>
    <row r="17" spans="2:4" ht="26.1" customHeight="1">
      <c r="C17" s="2960" t="s">
        <v>6417</v>
      </c>
      <c r="D17" s="2960"/>
    </row>
    <row r="18" spans="2:4" ht="12.95" customHeight="1">
      <c r="B18" s="2960" t="s">
        <v>9654</v>
      </c>
      <c r="C18" s="2960"/>
      <c r="D18" s="2960"/>
    </row>
    <row r="19" spans="2:4" ht="51.95" customHeight="1">
      <c r="B19" s="2960" t="s">
        <v>9655</v>
      </c>
      <c r="C19" s="2960"/>
      <c r="D19" s="2960"/>
    </row>
    <row r="20" spans="2:4" ht="26.1" customHeight="1">
      <c r="B20" s="2960" t="s">
        <v>9656</v>
      </c>
      <c r="C20" s="2960"/>
      <c r="D20" s="2960"/>
    </row>
    <row r="21" spans="2:4" ht="26.1" customHeight="1">
      <c r="B21" s="2960" t="s">
        <v>9657</v>
      </c>
      <c r="C21" s="2960"/>
      <c r="D21" s="2960"/>
    </row>
    <row r="22" spans="2:4" ht="78" customHeight="1">
      <c r="B22" s="2960" t="s">
        <v>10158</v>
      </c>
      <c r="C22" s="2960"/>
      <c r="D22" s="2960"/>
    </row>
    <row r="23" spans="2:4" ht="39" customHeight="1">
      <c r="B23" s="2960" t="s">
        <v>9658</v>
      </c>
      <c r="C23" s="2960"/>
      <c r="D23" s="2960"/>
    </row>
    <row r="24" spans="2:4" ht="5.0999999999999996" customHeight="1"/>
    <row r="25" spans="2:4" ht="12.95" customHeight="1">
      <c r="B25" s="3000" t="s">
        <v>8195</v>
      </c>
      <c r="C25" s="3000"/>
      <c r="D25" s="3000"/>
    </row>
    <row r="26" spans="2:4" ht="207.95" customHeight="1">
      <c r="B26" s="2960" t="s">
        <v>9834</v>
      </c>
      <c r="C26" s="2960"/>
      <c r="D26" s="2960"/>
    </row>
  </sheetData>
  <sheetProtection autoFilter="0"/>
  <mergeCells count="22">
    <mergeCell ref="B25:D25"/>
    <mergeCell ref="B26:D26"/>
    <mergeCell ref="C9:D9"/>
    <mergeCell ref="C16:D16"/>
    <mergeCell ref="C17:D17"/>
    <mergeCell ref="B18:D18"/>
    <mergeCell ref="B19:D19"/>
    <mergeCell ref="C10:D10"/>
    <mergeCell ref="B11:D11"/>
    <mergeCell ref="B12:D12"/>
    <mergeCell ref="C13:D13"/>
    <mergeCell ref="B20:D20"/>
    <mergeCell ref="B21:D21"/>
    <mergeCell ref="B22:D22"/>
    <mergeCell ref="B23:D23"/>
    <mergeCell ref="B14:D14"/>
    <mergeCell ref="C15:D15"/>
    <mergeCell ref="C1:D1"/>
    <mergeCell ref="B3:D3"/>
    <mergeCell ref="B4:D4"/>
    <mergeCell ref="B6:D6"/>
    <mergeCell ref="B8:D8"/>
  </mergeCells>
  <hyperlinks>
    <hyperlink ref="B1" location="Index!A1" display="Назад"/>
  </hyperlinks>
  <pageMargins left="0.74803149606299213" right="0.74803149606299213" top="0.98425196850393704" bottom="0.98425196850393704" header="0.51181102362204722" footer="0.51181102362204722"/>
  <pageSetup paperSize="9" orientation="landscape" r:id="rId1"/>
  <headerFooter alignWithMargins="0"/>
  <drawing r:id="rId2"/>
</worksheet>
</file>

<file path=xl/worksheets/sheet104.xml><?xml version="1.0" encoding="utf-8"?>
<worksheet xmlns="http://schemas.openxmlformats.org/spreadsheetml/2006/main" xmlns:r="http://schemas.openxmlformats.org/officeDocument/2006/relationships">
  <sheetPr>
    <outlinePr summaryBelow="0"/>
  </sheetPr>
  <dimension ref="B1:D390"/>
  <sheetViews>
    <sheetView zoomScaleNormal="100" workbookViewId="0">
      <pane ySplit="5" topLeftCell="A6" activePane="bottomLeft" state="frozen"/>
      <selection pane="bottomLeft" activeCell="B1" sqref="B1"/>
    </sheetView>
  </sheetViews>
  <sheetFormatPr defaultRowHeight="12.95" customHeight="1"/>
  <cols>
    <col min="1" max="1" width="3.7109375" style="292" customWidth="1"/>
    <col min="2" max="2" width="11.7109375" style="292" customWidth="1"/>
    <col min="3" max="4" width="58.7109375" style="431" customWidth="1"/>
    <col min="5" max="16384" width="9.140625" style="292"/>
  </cols>
  <sheetData>
    <row r="1" spans="2:4" ht="12.95" customHeight="1">
      <c r="B1" s="2366" t="s">
        <v>2706</v>
      </c>
      <c r="C1" s="3331" t="s">
        <v>8269</v>
      </c>
      <c r="D1" s="3331"/>
    </row>
    <row r="2" spans="2:4" ht="5.0999999999999996" customHeight="1"/>
    <row r="3" spans="2:4" ht="12.95" customHeight="1">
      <c r="B3" s="2978" t="s">
        <v>7519</v>
      </c>
      <c r="C3" s="2978"/>
      <c r="D3" s="2978"/>
    </row>
    <row r="4" spans="2:4" s="387" customFormat="1" ht="12.75" customHeight="1">
      <c r="B4" s="3130" t="s">
        <v>7520</v>
      </c>
      <c r="C4" s="3130"/>
      <c r="D4" s="3130"/>
    </row>
    <row r="5" spans="2:4" ht="5.0999999999999996" customHeight="1"/>
    <row r="6" spans="2:4" ht="45.75" customHeight="1">
      <c r="C6" s="3250" t="s">
        <v>9659</v>
      </c>
      <c r="D6" s="3250"/>
    </row>
    <row r="7" spans="2:4" ht="5.0999999999999996" customHeight="1"/>
    <row r="8" spans="2:4" ht="26.1" customHeight="1">
      <c r="B8" s="2960" t="s">
        <v>9660</v>
      </c>
      <c r="C8" s="2960"/>
      <c r="D8" s="2960"/>
    </row>
    <row r="9" spans="2:4" ht="5.0999999999999996" customHeight="1">
      <c r="B9" s="2960"/>
      <c r="C9" s="2960"/>
    </row>
    <row r="10" spans="2:4" ht="12.95" customHeight="1">
      <c r="B10" s="288"/>
      <c r="C10" s="4229" t="s">
        <v>7467</v>
      </c>
      <c r="D10" s="4229"/>
    </row>
    <row r="11" spans="2:4" ht="12.95" customHeight="1">
      <c r="B11" s="288"/>
      <c r="C11" s="1030" t="s">
        <v>7465</v>
      </c>
      <c r="D11" s="2368" t="s">
        <v>7469</v>
      </c>
    </row>
    <row r="12" spans="2:4" ht="12.95" customHeight="1">
      <c r="B12" s="288"/>
      <c r="C12" s="1030" t="s">
        <v>7464</v>
      </c>
      <c r="D12" s="2368"/>
    </row>
    <row r="13" spans="2:4" ht="12.95" customHeight="1">
      <c r="B13" s="288"/>
      <c r="C13" s="1030" t="s">
        <v>7466</v>
      </c>
      <c r="D13" s="1030"/>
    </row>
    <row r="14" spans="2:4" ht="12.95" customHeight="1">
      <c r="B14" s="288"/>
      <c r="C14" s="2369" t="s">
        <v>7468</v>
      </c>
      <c r="D14" s="2369"/>
    </row>
    <row r="15" spans="2:4" ht="12.95" customHeight="1">
      <c r="B15" s="288"/>
      <c r="C15" s="431" t="s">
        <v>7473</v>
      </c>
    </row>
    <row r="16" spans="2:4" ht="12.95" customHeight="1">
      <c r="B16" s="288"/>
      <c r="C16" s="2370" t="s">
        <v>7470</v>
      </c>
    </row>
    <row r="17" spans="2:4" ht="12.95" customHeight="1">
      <c r="B17" s="288"/>
      <c r="C17" s="1030"/>
      <c r="D17" s="3250" t="s">
        <v>9661</v>
      </c>
    </row>
    <row r="18" spans="2:4" ht="12.95" customHeight="1">
      <c r="B18" s="288"/>
      <c r="C18" s="1030"/>
      <c r="D18" s="3250"/>
    </row>
    <row r="19" spans="2:4" ht="12.95" customHeight="1">
      <c r="B19" s="288"/>
      <c r="C19" s="1030"/>
      <c r="D19" s="3250"/>
    </row>
    <row r="20" spans="2:4" ht="12.95" customHeight="1">
      <c r="B20" s="288"/>
      <c r="C20" s="1030"/>
      <c r="D20" s="3250"/>
    </row>
    <row r="21" spans="2:4" ht="12.95" customHeight="1">
      <c r="B21" s="288"/>
      <c r="C21" s="1030"/>
      <c r="D21" s="3250"/>
    </row>
    <row r="22" spans="2:4" ht="12.95" customHeight="1">
      <c r="B22" s="288"/>
      <c r="C22" s="1030"/>
      <c r="D22" s="3250"/>
    </row>
    <row r="23" spans="2:4" ht="12.95" customHeight="1">
      <c r="B23" s="288"/>
      <c r="C23" s="1030"/>
      <c r="D23" s="3250"/>
    </row>
    <row r="24" spans="2:4" ht="12.95" customHeight="1">
      <c r="B24" s="288"/>
      <c r="C24" s="1030"/>
      <c r="D24" s="3250"/>
    </row>
    <row r="25" spans="2:4" ht="12.95" customHeight="1">
      <c r="B25" s="288"/>
      <c r="C25" s="1030"/>
      <c r="D25" s="2367" t="s">
        <v>7471</v>
      </c>
    </row>
    <row r="26" spans="2:4" ht="12.95" customHeight="1">
      <c r="B26" s="288"/>
      <c r="C26" s="1030"/>
      <c r="D26" s="1030"/>
    </row>
    <row r="27" spans="2:4" ht="12.95" customHeight="1">
      <c r="B27" s="288"/>
      <c r="C27" s="1030"/>
      <c r="D27" s="1030"/>
    </row>
    <row r="28" spans="2:4" ht="12.95" customHeight="1">
      <c r="B28" s="288"/>
      <c r="C28" s="1030"/>
      <c r="D28" s="1030"/>
    </row>
    <row r="29" spans="2:4" ht="12.95" customHeight="1">
      <c r="D29" s="1030"/>
    </row>
    <row r="30" spans="2:4" ht="12.95" customHeight="1">
      <c r="D30" s="1030"/>
    </row>
    <row r="31" spans="2:4" ht="12.95" customHeight="1">
      <c r="D31" s="1030"/>
    </row>
    <row r="32" spans="2:4" ht="12.95" customHeight="1">
      <c r="D32" s="1030"/>
    </row>
    <row r="33" spans="3:4" ht="12.95" customHeight="1">
      <c r="D33" s="1030"/>
    </row>
    <row r="34" spans="3:4" ht="12.95" customHeight="1">
      <c r="C34" s="4228" t="s">
        <v>7516</v>
      </c>
    </row>
    <row r="35" spans="3:4" ht="12.95" customHeight="1">
      <c r="C35" s="4228"/>
      <c r="D35" s="1030"/>
    </row>
    <row r="36" spans="3:4" ht="12.95" customHeight="1">
      <c r="C36" s="4228"/>
      <c r="D36" s="1030"/>
    </row>
    <row r="37" spans="3:4" ht="12.95" customHeight="1">
      <c r="C37" s="4228"/>
      <c r="D37" s="1030"/>
    </row>
    <row r="38" spans="3:4" ht="12.95" customHeight="1">
      <c r="C38" s="4228"/>
      <c r="D38" s="1030"/>
    </row>
    <row r="39" spans="3:4" ht="12.95" customHeight="1">
      <c r="C39" s="4228"/>
      <c r="D39" s="1030"/>
    </row>
    <row r="40" spans="3:4" ht="12.95" customHeight="1">
      <c r="C40" s="4228"/>
      <c r="D40" s="1030"/>
    </row>
    <row r="41" spans="3:4" ht="12.95" customHeight="1">
      <c r="C41" s="4228"/>
      <c r="D41" s="1030"/>
    </row>
    <row r="42" spans="3:4" ht="12.95" customHeight="1">
      <c r="C42" s="2367" t="s">
        <v>7472</v>
      </c>
      <c r="D42" s="1030"/>
    </row>
    <row r="43" spans="3:4" ht="12.95" customHeight="1">
      <c r="D43" s="3250" t="s">
        <v>9662</v>
      </c>
    </row>
    <row r="44" spans="3:4" ht="12.95" customHeight="1">
      <c r="D44" s="3250"/>
    </row>
    <row r="45" spans="3:4" ht="12.95" customHeight="1">
      <c r="D45" s="3250"/>
    </row>
    <row r="46" spans="3:4" ht="12.95" customHeight="1">
      <c r="D46" s="3250"/>
    </row>
    <row r="47" spans="3:4" ht="12.95" customHeight="1">
      <c r="D47" s="3250"/>
    </row>
    <row r="48" spans="3:4" ht="12.95" customHeight="1">
      <c r="D48" s="2367" t="s">
        <v>7485</v>
      </c>
    </row>
    <row r="49" spans="3:4" ht="12.95" customHeight="1">
      <c r="D49" s="1030"/>
    </row>
    <row r="50" spans="3:4" ht="12.95" customHeight="1">
      <c r="D50" s="1030"/>
    </row>
    <row r="51" spans="3:4" ht="12.95" customHeight="1">
      <c r="D51" s="1030"/>
    </row>
    <row r="52" spans="3:4" ht="12.95" customHeight="1">
      <c r="D52" s="1030"/>
    </row>
    <row r="53" spans="3:4" ht="12.95" customHeight="1">
      <c r="D53" s="1030"/>
    </row>
    <row r="54" spans="3:4" ht="12.95" customHeight="1">
      <c r="D54" s="1030"/>
    </row>
    <row r="55" spans="3:4" ht="12.95" customHeight="1">
      <c r="D55" s="1030"/>
    </row>
    <row r="56" spans="3:4" ht="12.95" customHeight="1">
      <c r="D56" s="1030"/>
    </row>
    <row r="57" spans="3:4" ht="12.95" customHeight="1">
      <c r="D57" s="1030"/>
    </row>
    <row r="58" spans="3:4" ht="12.95" customHeight="1">
      <c r="D58" s="1030"/>
    </row>
    <row r="59" spans="3:4" ht="12.95" customHeight="1">
      <c r="D59" s="1030"/>
    </row>
    <row r="60" spans="3:4" ht="12.95" customHeight="1">
      <c r="C60" s="4228" t="s">
        <v>7517</v>
      </c>
    </row>
    <row r="61" spans="3:4" ht="12.95" customHeight="1">
      <c r="C61" s="4228"/>
    </row>
    <row r="62" spans="3:4" ht="12.95" customHeight="1">
      <c r="C62" s="4228"/>
    </row>
    <row r="63" spans="3:4" ht="12.95" customHeight="1">
      <c r="C63" s="4228"/>
    </row>
    <row r="64" spans="3:4" ht="12.95" customHeight="1">
      <c r="C64" s="4228"/>
    </row>
    <row r="65" spans="2:4" ht="12.95" customHeight="1">
      <c r="C65" s="4228"/>
    </row>
    <row r="66" spans="2:4" ht="39" customHeight="1">
      <c r="C66" s="3250" t="s">
        <v>9663</v>
      </c>
      <c r="D66" s="3250"/>
    </row>
    <row r="67" spans="2:4" ht="5.0999999999999996" customHeight="1">
      <c r="C67" s="1030"/>
    </row>
    <row r="68" spans="2:4" ht="26.1" customHeight="1">
      <c r="C68" s="3250" t="s">
        <v>9664</v>
      </c>
      <c r="D68" s="3250"/>
    </row>
    <row r="69" spans="2:4" ht="12.95" customHeight="1">
      <c r="C69" s="2369" t="s">
        <v>9835</v>
      </c>
    </row>
    <row r="70" spans="2:4" ht="5.0999999999999996" customHeight="1">
      <c r="C70" s="1030"/>
    </row>
    <row r="71" spans="2:4" ht="12.95" customHeight="1">
      <c r="B71" s="288"/>
      <c r="C71" s="4229" t="s">
        <v>7474</v>
      </c>
      <c r="D71" s="4229"/>
    </row>
    <row r="72" spans="2:4" ht="12.95" customHeight="1">
      <c r="B72" s="288"/>
      <c r="C72" s="1030" t="s">
        <v>7475</v>
      </c>
      <c r="D72" s="2368" t="s">
        <v>7478</v>
      </c>
    </row>
    <row r="73" spans="2:4" ht="12.95" customHeight="1">
      <c r="B73" s="288"/>
      <c r="C73" s="1030" t="s">
        <v>7476</v>
      </c>
      <c r="D73" s="2368"/>
    </row>
    <row r="74" spans="2:4" ht="12.95" customHeight="1">
      <c r="B74" s="288"/>
      <c r="C74" s="1030" t="s">
        <v>7477</v>
      </c>
      <c r="D74" s="1030"/>
    </row>
    <row r="75" spans="2:4" ht="12.95" customHeight="1">
      <c r="B75" s="288"/>
      <c r="C75" s="2369" t="s">
        <v>7468</v>
      </c>
      <c r="D75" s="2369"/>
    </row>
    <row r="76" spans="2:4" ht="12.95" customHeight="1">
      <c r="B76" s="288"/>
      <c r="C76" s="431" t="s">
        <v>7473</v>
      </c>
    </row>
    <row r="77" spans="2:4" ht="12.95" customHeight="1">
      <c r="B77" s="288"/>
      <c r="C77" s="2370" t="s">
        <v>7470</v>
      </c>
    </row>
    <row r="78" spans="2:4" ht="12.95" customHeight="1">
      <c r="D78" s="3250" t="s">
        <v>9665</v>
      </c>
    </row>
    <row r="79" spans="2:4" ht="12.95" customHeight="1">
      <c r="D79" s="3250"/>
    </row>
    <row r="80" spans="2:4" ht="12.95" customHeight="1">
      <c r="D80" s="3250"/>
    </row>
    <row r="81" spans="3:4" ht="12.95" customHeight="1">
      <c r="D81" s="3250"/>
    </row>
    <row r="82" spans="3:4" ht="12.95" customHeight="1">
      <c r="D82" s="3250"/>
    </row>
    <row r="83" spans="3:4" ht="12.95" customHeight="1">
      <c r="D83" s="3250"/>
    </row>
    <row r="84" spans="3:4" ht="12.95" customHeight="1">
      <c r="D84" s="3250"/>
    </row>
    <row r="85" spans="3:4" ht="12.95" customHeight="1">
      <c r="D85" s="3250"/>
    </row>
    <row r="86" spans="3:4" ht="12.95" customHeight="1">
      <c r="D86" s="3250"/>
    </row>
    <row r="87" spans="3:4" ht="12.95" customHeight="1">
      <c r="D87" s="3250"/>
    </row>
    <row r="88" spans="3:4" ht="12.95" customHeight="1">
      <c r="D88" s="2367" t="s">
        <v>7471</v>
      </c>
    </row>
    <row r="95" spans="3:4" ht="12.95" customHeight="1">
      <c r="C95" s="4228" t="s">
        <v>7518</v>
      </c>
    </row>
    <row r="96" spans="3:4" ht="12.95" customHeight="1">
      <c r="C96" s="4228"/>
    </row>
    <row r="97" spans="3:4" ht="12.95" customHeight="1">
      <c r="C97" s="4228"/>
    </row>
    <row r="98" spans="3:4" ht="12.95" customHeight="1">
      <c r="C98" s="4228"/>
    </row>
    <row r="99" spans="3:4" ht="12.95" customHeight="1">
      <c r="C99" s="4228"/>
    </row>
    <row r="100" spans="3:4" ht="12.95" customHeight="1">
      <c r="C100" s="4228"/>
    </row>
    <row r="101" spans="3:4" ht="12.95" customHeight="1">
      <c r="C101" s="4228"/>
    </row>
    <row r="102" spans="3:4" ht="12.95" customHeight="1">
      <c r="C102" s="4228"/>
    </row>
    <row r="103" spans="3:4" ht="12.95" customHeight="1">
      <c r="C103" s="4228"/>
    </row>
    <row r="104" spans="3:4" ht="12.95" customHeight="1">
      <c r="C104" s="4228"/>
    </row>
    <row r="105" spans="3:4" ht="12.95" customHeight="1">
      <c r="C105" s="4228"/>
    </row>
    <row r="106" spans="3:4" ht="12.95" customHeight="1">
      <c r="C106" s="4228"/>
    </row>
    <row r="107" spans="3:4" ht="12.95" customHeight="1">
      <c r="C107" s="2367" t="s">
        <v>7472</v>
      </c>
      <c r="D107" s="1030"/>
    </row>
    <row r="108" spans="3:4" ht="12.95" customHeight="1">
      <c r="D108" s="3250" t="s">
        <v>9666</v>
      </c>
    </row>
    <row r="109" spans="3:4" ht="12.95" customHeight="1">
      <c r="D109" s="3250"/>
    </row>
    <row r="110" spans="3:4" ht="12.95" customHeight="1">
      <c r="D110" s="3250"/>
    </row>
    <row r="111" spans="3:4" ht="12.95" customHeight="1">
      <c r="D111" s="3250"/>
    </row>
    <row r="112" spans="3:4" ht="12.95" customHeight="1">
      <c r="D112" s="3250"/>
    </row>
    <row r="113" spans="3:4" ht="12.95" customHeight="1">
      <c r="D113" s="3250"/>
    </row>
    <row r="114" spans="3:4" ht="12.95" customHeight="1">
      <c r="D114" s="2367" t="s">
        <v>7485</v>
      </c>
    </row>
    <row r="125" spans="3:4" ht="12.95" customHeight="1">
      <c r="C125" s="4228" t="s">
        <v>7479</v>
      </c>
    </row>
    <row r="126" spans="3:4" ht="12.95" customHeight="1">
      <c r="C126" s="4228"/>
    </row>
    <row r="127" spans="3:4" ht="12.95" customHeight="1">
      <c r="C127" s="4228"/>
    </row>
    <row r="128" spans="3:4" ht="12.95" customHeight="1">
      <c r="C128" s="4228"/>
    </row>
    <row r="129" spans="2:4" ht="12.95" customHeight="1">
      <c r="C129" s="4228"/>
    </row>
    <row r="130" spans="2:4" ht="12.95" customHeight="1">
      <c r="C130" s="4228"/>
    </row>
    <row r="131" spans="2:4" ht="12.95" customHeight="1">
      <c r="C131" s="4228"/>
    </row>
    <row r="132" spans="2:4" ht="39" customHeight="1">
      <c r="C132" s="3250" t="s">
        <v>9667</v>
      </c>
      <c r="D132" s="3250"/>
    </row>
    <row r="133" spans="2:4" ht="5.0999999999999996" customHeight="1">
      <c r="C133" s="1030"/>
    </row>
    <row r="134" spans="2:4" ht="12.95" customHeight="1">
      <c r="B134" s="288"/>
      <c r="C134" s="4229" t="s">
        <v>7480</v>
      </c>
      <c r="D134" s="4229"/>
    </row>
    <row r="135" spans="2:4" ht="12.95" customHeight="1">
      <c r="C135" s="1030" t="s">
        <v>7481</v>
      </c>
      <c r="D135" s="2368" t="s">
        <v>7484</v>
      </c>
    </row>
    <row r="136" spans="2:4" ht="12.95" customHeight="1">
      <c r="C136" s="1030" t="s">
        <v>7482</v>
      </c>
      <c r="D136" s="2368"/>
    </row>
    <row r="137" spans="2:4" ht="12.95" customHeight="1">
      <c r="C137" s="1030" t="s">
        <v>7483</v>
      </c>
      <c r="D137" s="1030"/>
    </row>
    <row r="138" spans="2:4" ht="12.95" customHeight="1">
      <c r="C138" s="2369" t="s">
        <v>7468</v>
      </c>
      <c r="D138" s="2369"/>
    </row>
    <row r="139" spans="2:4" ht="12.95" customHeight="1">
      <c r="C139" s="431" t="s">
        <v>7473</v>
      </c>
    </row>
    <row r="140" spans="2:4" ht="12.95" customHeight="1">
      <c r="C140" s="2370" t="s">
        <v>7470</v>
      </c>
    </row>
    <row r="141" spans="2:4" ht="12.95" customHeight="1">
      <c r="D141" s="3250" t="s">
        <v>9668</v>
      </c>
    </row>
    <row r="142" spans="2:4" ht="12.95" customHeight="1">
      <c r="D142" s="3250"/>
    </row>
    <row r="143" spans="2:4" ht="12.95" customHeight="1">
      <c r="D143" s="3250"/>
    </row>
    <row r="144" spans="2:4" ht="12.95" customHeight="1">
      <c r="D144" s="3250"/>
    </row>
    <row r="145" spans="3:4" ht="12.95" customHeight="1">
      <c r="D145" s="3250"/>
    </row>
    <row r="146" spans="3:4" ht="12.95" customHeight="1">
      <c r="D146" s="3250"/>
    </row>
    <row r="147" spans="3:4" ht="12.95" customHeight="1">
      <c r="D147" s="3250"/>
    </row>
    <row r="148" spans="3:4" ht="12.95" customHeight="1">
      <c r="D148" s="2367" t="s">
        <v>7471</v>
      </c>
    </row>
    <row r="158" spans="3:4" ht="12.95" customHeight="1">
      <c r="C158" s="4228" t="s">
        <v>9836</v>
      </c>
    </row>
    <row r="159" spans="3:4" ht="12.95" customHeight="1">
      <c r="C159" s="4228"/>
    </row>
    <row r="160" spans="3:4" ht="12.95" customHeight="1">
      <c r="C160" s="4228"/>
    </row>
    <row r="161" spans="3:4" ht="12.95" customHeight="1">
      <c r="C161" s="4228"/>
    </row>
    <row r="162" spans="3:4" ht="12.95" customHeight="1">
      <c r="C162" s="4228"/>
    </row>
    <row r="163" spans="3:4" ht="12.95" customHeight="1">
      <c r="C163" s="2367" t="s">
        <v>7472</v>
      </c>
    </row>
    <row r="166" spans="3:4" ht="12.95" customHeight="1">
      <c r="D166" s="3250" t="s">
        <v>9669</v>
      </c>
    </row>
    <row r="167" spans="3:4" ht="12.95" customHeight="1">
      <c r="D167" s="3250"/>
    </row>
    <row r="168" spans="3:4" ht="12.95" customHeight="1">
      <c r="D168" s="3250"/>
    </row>
    <row r="169" spans="3:4" ht="12.95" customHeight="1">
      <c r="D169" s="3250"/>
    </row>
    <row r="170" spans="3:4" ht="12.95" customHeight="1">
      <c r="D170" s="3250"/>
    </row>
    <row r="171" spans="3:4" ht="12.95" customHeight="1">
      <c r="D171" s="2367" t="s">
        <v>7485</v>
      </c>
    </row>
    <row r="181" spans="2:4" ht="12.95" customHeight="1">
      <c r="C181" s="4228" t="s">
        <v>7486</v>
      </c>
    </row>
    <row r="182" spans="2:4" ht="12.95" customHeight="1">
      <c r="C182" s="4228"/>
    </row>
    <row r="183" spans="2:4" ht="12.95" customHeight="1">
      <c r="C183" s="4228"/>
    </row>
    <row r="184" spans="2:4" ht="12.95" customHeight="1">
      <c r="C184" s="4228"/>
    </row>
    <row r="185" spans="2:4" ht="12.95" customHeight="1">
      <c r="C185" s="4228"/>
    </row>
    <row r="186" spans="2:4" ht="12.95" customHeight="1">
      <c r="C186" s="4228"/>
    </row>
    <row r="187" spans="2:4" ht="12.95" customHeight="1">
      <c r="C187" s="4228"/>
    </row>
    <row r="188" spans="2:4" ht="12.95" customHeight="1">
      <c r="C188" s="4228"/>
    </row>
    <row r="189" spans="2:4" ht="39" customHeight="1">
      <c r="C189" s="3250" t="s">
        <v>9670</v>
      </c>
      <c r="D189" s="3250"/>
    </row>
    <row r="190" spans="2:4" ht="5.0999999999999996" customHeight="1">
      <c r="C190" s="1030"/>
    </row>
    <row r="191" spans="2:4" ht="12.95" customHeight="1">
      <c r="B191" s="288"/>
      <c r="C191" s="4229" t="s">
        <v>7487</v>
      </c>
      <c r="D191" s="4229"/>
    </row>
    <row r="192" spans="2:4" ht="12.95" customHeight="1">
      <c r="C192" s="1030" t="s">
        <v>7488</v>
      </c>
      <c r="D192" s="2368" t="s">
        <v>7502</v>
      </c>
    </row>
    <row r="193" spans="3:4" ht="12.95" customHeight="1">
      <c r="C193" s="1030" t="s">
        <v>7489</v>
      </c>
      <c r="D193" s="2368"/>
    </row>
    <row r="194" spans="3:4" ht="12.95" customHeight="1">
      <c r="C194" s="1030" t="s">
        <v>7491</v>
      </c>
      <c r="D194" s="1030"/>
    </row>
    <row r="195" spans="3:4" ht="12.95" customHeight="1">
      <c r="C195" s="2369" t="s">
        <v>7490</v>
      </c>
      <c r="D195" s="2369"/>
    </row>
    <row r="196" spans="3:4" ht="12.95" customHeight="1">
      <c r="C196" s="431" t="s">
        <v>7473</v>
      </c>
    </row>
    <row r="197" spans="3:4" ht="12.95" customHeight="1">
      <c r="C197" s="2370" t="s">
        <v>7470</v>
      </c>
    </row>
    <row r="198" spans="3:4" ht="12.95" customHeight="1">
      <c r="D198" s="3250" t="s">
        <v>9671</v>
      </c>
    </row>
    <row r="199" spans="3:4" ht="12.95" customHeight="1">
      <c r="D199" s="3250"/>
    </row>
    <row r="200" spans="3:4" ht="12.95" customHeight="1">
      <c r="D200" s="3250"/>
    </row>
    <row r="201" spans="3:4" ht="12.95" customHeight="1">
      <c r="D201" s="3250"/>
    </row>
    <row r="202" spans="3:4" ht="12.95" customHeight="1">
      <c r="D202" s="3250"/>
    </row>
    <row r="203" spans="3:4" ht="12.95" customHeight="1">
      <c r="D203" s="3250"/>
    </row>
    <row r="204" spans="3:4" ht="12.95" customHeight="1">
      <c r="D204" s="3250"/>
    </row>
    <row r="205" spans="3:4" ht="12.95" customHeight="1">
      <c r="D205" s="3250"/>
    </row>
    <row r="206" spans="3:4" ht="12.95" customHeight="1">
      <c r="D206" s="2370" t="s">
        <v>7471</v>
      </c>
    </row>
    <row r="215" spans="3:4" ht="12.95" customHeight="1">
      <c r="C215" s="4228" t="s">
        <v>9837</v>
      </c>
    </row>
    <row r="216" spans="3:4" ht="12.95" customHeight="1">
      <c r="C216" s="4228"/>
    </row>
    <row r="217" spans="3:4" ht="12.95" customHeight="1">
      <c r="C217" s="4228"/>
    </row>
    <row r="218" spans="3:4" ht="12.95" customHeight="1">
      <c r="C218" s="4228"/>
    </row>
    <row r="219" spans="3:4" ht="12.95" customHeight="1">
      <c r="C219" s="4228"/>
    </row>
    <row r="220" spans="3:4" ht="12.95" customHeight="1">
      <c r="C220" s="4228"/>
    </row>
    <row r="221" spans="3:4" ht="12.95" customHeight="1">
      <c r="C221" s="4228"/>
    </row>
    <row r="222" spans="3:4" ht="12.95" customHeight="1">
      <c r="C222" s="2370" t="s">
        <v>7472</v>
      </c>
    </row>
    <row r="224" spans="3:4" ht="12.95" customHeight="1">
      <c r="D224" s="3250" t="s">
        <v>9672</v>
      </c>
    </row>
    <row r="225" spans="3:4" ht="12.95" customHeight="1">
      <c r="D225" s="3250"/>
    </row>
    <row r="226" spans="3:4" ht="12.95" customHeight="1">
      <c r="D226" s="3250"/>
    </row>
    <row r="227" spans="3:4" ht="12.95" customHeight="1">
      <c r="D227" s="3250"/>
    </row>
    <row r="228" spans="3:4" ht="12.95" customHeight="1">
      <c r="D228" s="3250"/>
    </row>
    <row r="229" spans="3:4" ht="12.95" customHeight="1">
      <c r="D229" s="3250"/>
    </row>
    <row r="230" spans="3:4" ht="12.95" customHeight="1">
      <c r="D230" s="3250"/>
    </row>
    <row r="231" spans="3:4" ht="12.95" customHeight="1">
      <c r="D231" s="3250"/>
    </row>
    <row r="232" spans="3:4" ht="12.95" customHeight="1">
      <c r="D232" s="3250"/>
    </row>
    <row r="233" spans="3:4" ht="12.95" customHeight="1">
      <c r="D233" s="3250"/>
    </row>
    <row r="234" spans="3:4" ht="12.95" customHeight="1">
      <c r="D234" s="3250"/>
    </row>
    <row r="235" spans="3:4" ht="12.95" customHeight="1">
      <c r="D235" s="3250"/>
    </row>
    <row r="236" spans="3:4" ht="12.95" customHeight="1">
      <c r="D236" s="3250"/>
    </row>
    <row r="237" spans="3:4" ht="12.95" customHeight="1">
      <c r="D237" s="3250"/>
    </row>
    <row r="238" spans="3:4" ht="12.95" customHeight="1">
      <c r="D238" s="3250"/>
    </row>
    <row r="239" spans="3:4" ht="12.95" customHeight="1">
      <c r="D239" s="3250"/>
    </row>
    <row r="240" spans="3:4" ht="26.1" customHeight="1">
      <c r="C240" s="3250" t="s">
        <v>9673</v>
      </c>
      <c r="D240" s="3250"/>
    </row>
    <row r="241" spans="2:4" ht="5.0999999999999996" customHeight="1">
      <c r="C241" s="1030"/>
    </row>
    <row r="242" spans="2:4" ht="12.95" customHeight="1">
      <c r="B242" s="288"/>
      <c r="C242" s="4229" t="s">
        <v>7492</v>
      </c>
      <c r="D242" s="4229"/>
    </row>
    <row r="243" spans="2:4" ht="12.95" customHeight="1">
      <c r="C243" s="1030" t="s">
        <v>7493</v>
      </c>
      <c r="D243" s="2368" t="s">
        <v>7501</v>
      </c>
    </row>
    <row r="244" spans="2:4" ht="12.95" customHeight="1">
      <c r="C244" s="1030" t="s">
        <v>7494</v>
      </c>
      <c r="D244" s="2368"/>
    </row>
    <row r="245" spans="2:4" ht="12.95" customHeight="1">
      <c r="C245" s="1030" t="s">
        <v>7495</v>
      </c>
      <c r="D245" s="1030"/>
    </row>
    <row r="246" spans="2:4" ht="12.95" customHeight="1">
      <c r="C246" s="2369" t="s">
        <v>7490</v>
      </c>
      <c r="D246" s="2369"/>
    </row>
    <row r="247" spans="2:4" ht="12.95" customHeight="1">
      <c r="C247" s="431" t="s">
        <v>7473</v>
      </c>
    </row>
    <row r="248" spans="2:4" ht="26.1" customHeight="1">
      <c r="C248" s="3250" t="s">
        <v>9674</v>
      </c>
      <c r="D248" s="3250"/>
    </row>
    <row r="249" spans="2:4" ht="5.0999999999999996" customHeight="1">
      <c r="C249" s="1030"/>
    </row>
    <row r="250" spans="2:4" ht="12.95" customHeight="1">
      <c r="B250" s="288"/>
      <c r="C250" s="4229" t="s">
        <v>7496</v>
      </c>
      <c r="D250" s="4229"/>
    </row>
    <row r="251" spans="2:4" ht="12.95" customHeight="1">
      <c r="C251" s="1030" t="s">
        <v>7497</v>
      </c>
      <c r="D251" s="2368" t="s">
        <v>7500</v>
      </c>
    </row>
    <row r="252" spans="2:4" ht="12.95" customHeight="1">
      <c r="C252" s="1030" t="s">
        <v>7498</v>
      </c>
      <c r="D252" s="2368"/>
    </row>
    <row r="253" spans="2:4" ht="12.95" customHeight="1">
      <c r="C253" s="1030" t="s">
        <v>7499</v>
      </c>
      <c r="D253" s="1030"/>
    </row>
    <row r="254" spans="2:4" ht="12.95" customHeight="1">
      <c r="C254" s="2369" t="s">
        <v>7490</v>
      </c>
      <c r="D254" s="2369"/>
    </row>
    <row r="255" spans="2:4" ht="12.95" customHeight="1">
      <c r="C255" s="431" t="s">
        <v>7473</v>
      </c>
    </row>
    <row r="256" spans="2:4" ht="12.95" customHeight="1">
      <c r="C256" s="2370" t="s">
        <v>7470</v>
      </c>
    </row>
    <row r="257" spans="4:4" ht="12.95" customHeight="1">
      <c r="D257" s="3250" t="s">
        <v>9675</v>
      </c>
    </row>
    <row r="258" spans="4:4" ht="12.95" customHeight="1">
      <c r="D258" s="3250"/>
    </row>
    <row r="259" spans="4:4" ht="12.95" customHeight="1">
      <c r="D259" s="3250"/>
    </row>
    <row r="260" spans="4:4" ht="12.95" customHeight="1">
      <c r="D260" s="3250"/>
    </row>
    <row r="261" spans="4:4" ht="12.95" customHeight="1">
      <c r="D261" s="3250"/>
    </row>
    <row r="262" spans="4:4" ht="12.95" customHeight="1">
      <c r="D262" s="3250"/>
    </row>
    <row r="263" spans="4:4" ht="12.95" customHeight="1">
      <c r="D263" s="3250"/>
    </row>
    <row r="264" spans="4:4" ht="12.95" customHeight="1">
      <c r="D264" s="2370" t="s">
        <v>7471</v>
      </c>
    </row>
    <row r="274" spans="3:4" ht="12.95" customHeight="1">
      <c r="C274" s="4228" t="s">
        <v>7503</v>
      </c>
    </row>
    <row r="275" spans="3:4" ht="12.95" customHeight="1">
      <c r="C275" s="4228"/>
    </row>
    <row r="276" spans="3:4" ht="12.95" customHeight="1">
      <c r="C276" s="4228"/>
    </row>
    <row r="277" spans="3:4" ht="12.95" customHeight="1">
      <c r="C277" s="4228"/>
    </row>
    <row r="278" spans="3:4" ht="12.95" customHeight="1">
      <c r="C278" s="4228"/>
    </row>
    <row r="279" spans="3:4" ht="12.95" customHeight="1">
      <c r="C279" s="4228"/>
    </row>
    <row r="280" spans="3:4" ht="12.95" customHeight="1">
      <c r="C280" s="4228"/>
    </row>
    <row r="281" spans="3:4" ht="12.95" customHeight="1">
      <c r="C281" s="4228"/>
    </row>
    <row r="282" spans="3:4" ht="65.099999999999994" customHeight="1">
      <c r="C282" s="3250" t="s">
        <v>9838</v>
      </c>
      <c r="D282" s="3250"/>
    </row>
    <row r="283" spans="3:4" ht="12.95" customHeight="1">
      <c r="C283" s="2370" t="s">
        <v>7504</v>
      </c>
    </row>
    <row r="284" spans="3:4" ht="12.95" customHeight="1">
      <c r="D284" s="3250" t="s">
        <v>9676</v>
      </c>
    </row>
    <row r="285" spans="3:4" ht="12.95" customHeight="1">
      <c r="D285" s="3250"/>
    </row>
    <row r="286" spans="3:4" ht="12.95" customHeight="1">
      <c r="D286" s="3250"/>
    </row>
    <row r="287" spans="3:4" ht="12.95" customHeight="1">
      <c r="D287" s="3250"/>
    </row>
    <row r="288" spans="3:4" ht="12.95" customHeight="1">
      <c r="D288" s="3250"/>
    </row>
    <row r="289" spans="3:4" ht="12.95" customHeight="1">
      <c r="D289" s="3250"/>
    </row>
    <row r="290" spans="3:4" ht="12.95" customHeight="1">
      <c r="D290" s="3250"/>
    </row>
    <row r="291" spans="3:4" ht="12.95" customHeight="1">
      <c r="D291" s="3250"/>
    </row>
    <row r="292" spans="3:4" ht="12.95" customHeight="1">
      <c r="D292" s="2370" t="s">
        <v>7505</v>
      </c>
    </row>
    <row r="301" spans="3:4" ht="12.95" customHeight="1">
      <c r="C301" s="4228" t="s">
        <v>7506</v>
      </c>
    </row>
    <row r="302" spans="3:4" ht="12.95" customHeight="1">
      <c r="C302" s="4228"/>
    </row>
    <row r="303" spans="3:4" ht="12.95" customHeight="1">
      <c r="C303" s="4228"/>
    </row>
    <row r="304" spans="3:4" ht="12.95" customHeight="1">
      <c r="C304" s="4228"/>
    </row>
    <row r="305" spans="3:4" ht="12.95" customHeight="1">
      <c r="C305" s="2370" t="s">
        <v>7507</v>
      </c>
    </row>
    <row r="310" spans="3:4" ht="12.95" customHeight="1">
      <c r="D310" s="3250" t="s">
        <v>9677</v>
      </c>
    </row>
    <row r="311" spans="3:4" ht="12.95" customHeight="1">
      <c r="D311" s="3250"/>
    </row>
    <row r="312" spans="3:4" ht="12.95" customHeight="1">
      <c r="D312" s="3250"/>
    </row>
    <row r="313" spans="3:4" ht="12.95" customHeight="1">
      <c r="D313" s="3250"/>
    </row>
    <row r="314" spans="3:4" ht="12.95" customHeight="1">
      <c r="D314" s="2370" t="s">
        <v>7508</v>
      </c>
    </row>
    <row r="323" spans="2:4" ht="12.95" customHeight="1">
      <c r="C323" s="4228" t="s">
        <v>7509</v>
      </c>
    </row>
    <row r="324" spans="2:4" ht="12.95" customHeight="1">
      <c r="C324" s="4228"/>
    </row>
    <row r="325" spans="2:4" ht="12.95" customHeight="1">
      <c r="C325" s="4228"/>
    </row>
    <row r="326" spans="2:4" ht="12.95" customHeight="1">
      <c r="C326" s="4228"/>
    </row>
    <row r="327" spans="2:4" ht="12.95" customHeight="1">
      <c r="C327" s="4228"/>
    </row>
    <row r="328" spans="2:4" ht="12.95" customHeight="1">
      <c r="C328" s="4228"/>
    </row>
    <row r="329" spans="2:4" ht="12.95" customHeight="1">
      <c r="C329" s="4228"/>
    </row>
    <row r="330" spans="2:4" ht="12.95" customHeight="1">
      <c r="C330" s="4228"/>
    </row>
    <row r="331" spans="2:4" ht="12.95" customHeight="1">
      <c r="C331" s="4228"/>
    </row>
    <row r="332" spans="2:4" ht="26.1" customHeight="1">
      <c r="C332" s="3250" t="s">
        <v>9839</v>
      </c>
      <c r="D332" s="3250"/>
    </row>
    <row r="333" spans="2:4" ht="5.0999999999999996" customHeight="1">
      <c r="C333" s="1030"/>
    </row>
    <row r="334" spans="2:4" ht="12.95" customHeight="1">
      <c r="B334" s="288"/>
      <c r="C334" s="4229" t="s">
        <v>7510</v>
      </c>
      <c r="D334" s="4229"/>
    </row>
    <row r="335" spans="2:4" ht="12.95" customHeight="1">
      <c r="C335" s="1030" t="s">
        <v>7511</v>
      </c>
      <c r="D335" s="2368" t="s">
        <v>7514</v>
      </c>
    </row>
    <row r="336" spans="2:4" ht="12.95" customHeight="1">
      <c r="C336" s="1030" t="s">
        <v>7512</v>
      </c>
      <c r="D336" s="2368"/>
    </row>
    <row r="337" spans="3:4" ht="12.95" customHeight="1">
      <c r="C337" s="1030" t="s">
        <v>7513</v>
      </c>
      <c r="D337" s="1030"/>
    </row>
    <row r="338" spans="3:4" ht="12.95" customHeight="1">
      <c r="C338" s="2369" t="s">
        <v>7490</v>
      </c>
      <c r="D338" s="2369"/>
    </row>
    <row r="339" spans="3:4" ht="12.95" customHeight="1">
      <c r="C339" s="431" t="s">
        <v>7473</v>
      </c>
    </row>
    <row r="340" spans="3:4" ht="12.95" customHeight="1">
      <c r="C340" s="2370" t="s">
        <v>7470</v>
      </c>
    </row>
    <row r="341" spans="3:4" ht="12.95" customHeight="1">
      <c r="D341" s="3250" t="s">
        <v>9678</v>
      </c>
    </row>
    <row r="342" spans="3:4" ht="12.95" customHeight="1">
      <c r="D342" s="3250"/>
    </row>
    <row r="343" spans="3:4" ht="12.95" customHeight="1">
      <c r="D343" s="3250"/>
    </row>
    <row r="344" spans="3:4" ht="12.95" customHeight="1">
      <c r="D344" s="3250"/>
    </row>
    <row r="345" spans="3:4" ht="12.95" customHeight="1">
      <c r="D345" s="3250"/>
    </row>
    <row r="346" spans="3:4" ht="12.95" customHeight="1">
      <c r="D346" s="3250"/>
    </row>
    <row r="347" spans="3:4" ht="12.95" customHeight="1">
      <c r="D347" s="3250"/>
    </row>
    <row r="348" spans="3:4" ht="12.95" customHeight="1">
      <c r="D348" s="3250"/>
    </row>
    <row r="349" spans="3:4" ht="12.95" customHeight="1">
      <c r="D349" s="3250"/>
    </row>
    <row r="350" spans="3:4" ht="12.95" customHeight="1">
      <c r="D350" s="3250"/>
    </row>
    <row r="351" spans="3:4" ht="12.95" customHeight="1">
      <c r="D351" s="3250"/>
    </row>
    <row r="352" spans="3:4" ht="12.95" customHeight="1">
      <c r="D352" s="2370" t="s">
        <v>7471</v>
      </c>
    </row>
    <row r="358" spans="3:3" ht="12.95" customHeight="1">
      <c r="C358" s="4228" t="s">
        <v>7515</v>
      </c>
    </row>
    <row r="359" spans="3:3" ht="12.95" customHeight="1">
      <c r="C359" s="4228"/>
    </row>
    <row r="360" spans="3:3" ht="12.95" customHeight="1">
      <c r="C360" s="4228"/>
    </row>
    <row r="361" spans="3:3" ht="12.95" customHeight="1">
      <c r="C361" s="4228"/>
    </row>
    <row r="362" spans="3:3" ht="12.95" customHeight="1">
      <c r="C362" s="4228"/>
    </row>
    <row r="363" spans="3:3" ht="12.95" customHeight="1">
      <c r="C363" s="2370" t="s">
        <v>7472</v>
      </c>
    </row>
    <row r="370" spans="3:4" ht="12.95" customHeight="1">
      <c r="D370" s="3250" t="s">
        <v>9679</v>
      </c>
    </row>
    <row r="371" spans="3:4" ht="12.95" customHeight="1">
      <c r="D371" s="3250"/>
    </row>
    <row r="372" spans="3:4" ht="12.95" customHeight="1">
      <c r="D372" s="3250"/>
    </row>
    <row r="373" spans="3:4" ht="12.95" customHeight="1">
      <c r="D373" s="3250"/>
    </row>
    <row r="374" spans="3:4" ht="12.95" customHeight="1">
      <c r="D374" s="3250"/>
    </row>
    <row r="375" spans="3:4" ht="12.95" customHeight="1">
      <c r="D375" s="3250"/>
    </row>
    <row r="376" spans="3:4" ht="12.95" customHeight="1">
      <c r="D376" s="3250"/>
    </row>
    <row r="380" spans="3:4" ht="12.95" customHeight="1">
      <c r="D380" s="292"/>
    </row>
    <row r="381" spans="3:4" ht="12.95" customHeight="1">
      <c r="C381" s="3198" t="s">
        <v>9680</v>
      </c>
      <c r="D381" s="3198"/>
    </row>
    <row r="382" spans="3:4" ht="12.95" customHeight="1">
      <c r="C382" s="3198"/>
      <c r="D382" s="3198"/>
    </row>
    <row r="383" spans="3:4" ht="26.1" customHeight="1">
      <c r="C383" s="3250" t="s">
        <v>9681</v>
      </c>
      <c r="D383" s="3250"/>
    </row>
    <row r="384" spans="3:4" ht="5.0999999999999996" customHeight="1"/>
    <row r="385" spans="2:4" ht="12.95" customHeight="1">
      <c r="B385" s="288"/>
      <c r="C385" s="4229" t="s">
        <v>7521</v>
      </c>
      <c r="D385" s="4229"/>
    </row>
    <row r="386" spans="2:4" ht="12.95" customHeight="1">
      <c r="C386" s="3250" t="s">
        <v>9682</v>
      </c>
      <c r="D386" s="3250"/>
    </row>
    <row r="387" spans="2:4" ht="12.95" customHeight="1">
      <c r="C387" s="3250"/>
      <c r="D387" s="3250"/>
    </row>
    <row r="388" spans="2:4" ht="12.95" customHeight="1">
      <c r="C388" s="3250"/>
      <c r="D388" s="3250"/>
    </row>
    <row r="389" spans="2:4" ht="12.95" customHeight="1">
      <c r="C389" s="3250"/>
      <c r="D389" s="3250"/>
    </row>
    <row r="390" spans="2:4" ht="12.95" customHeight="1">
      <c r="C390" s="3250"/>
      <c r="D390" s="3250"/>
    </row>
  </sheetData>
  <sheetProtection autoFilter="0"/>
  <mergeCells count="49">
    <mergeCell ref="C334:D334"/>
    <mergeCell ref="C282:D282"/>
    <mergeCell ref="D284:D291"/>
    <mergeCell ref="C301:C304"/>
    <mergeCell ref="D310:D313"/>
    <mergeCell ref="C242:D242"/>
    <mergeCell ref="C248:D248"/>
    <mergeCell ref="C250:D250"/>
    <mergeCell ref="D257:D263"/>
    <mergeCell ref="C332:D332"/>
    <mergeCell ref="C323:C331"/>
    <mergeCell ref="C240:D240"/>
    <mergeCell ref="C158:C162"/>
    <mergeCell ref="D166:D170"/>
    <mergeCell ref="C189:D189"/>
    <mergeCell ref="C191:D191"/>
    <mergeCell ref="C1:D1"/>
    <mergeCell ref="B3:D3"/>
    <mergeCell ref="B4:D4"/>
    <mergeCell ref="D43:D47"/>
    <mergeCell ref="D17:D24"/>
    <mergeCell ref="C34:C41"/>
    <mergeCell ref="C6:D6"/>
    <mergeCell ref="B8:D8"/>
    <mergeCell ref="B9:C9"/>
    <mergeCell ref="C10:D10"/>
    <mergeCell ref="C385:D385"/>
    <mergeCell ref="C386:D390"/>
    <mergeCell ref="D341:D351"/>
    <mergeCell ref="C358:C362"/>
    <mergeCell ref="D370:D376"/>
    <mergeCell ref="C383:D383"/>
    <mergeCell ref="C381:D382"/>
    <mergeCell ref="C60:C65"/>
    <mergeCell ref="C125:C131"/>
    <mergeCell ref="D224:D239"/>
    <mergeCell ref="C181:C188"/>
    <mergeCell ref="C274:C281"/>
    <mergeCell ref="C68:D68"/>
    <mergeCell ref="C71:D71"/>
    <mergeCell ref="D78:D87"/>
    <mergeCell ref="C66:D66"/>
    <mergeCell ref="C132:D132"/>
    <mergeCell ref="C134:D134"/>
    <mergeCell ref="D141:D147"/>
    <mergeCell ref="C95:C106"/>
    <mergeCell ref="D108:D113"/>
    <mergeCell ref="D198:D205"/>
    <mergeCell ref="C215:C221"/>
  </mergeCells>
  <hyperlinks>
    <hyperlink ref="B1" location="Index!A1" display="Назад"/>
    <hyperlink ref="C14" r:id="rId1"/>
    <hyperlink ref="C69" r:id="rId2" display="Подробенее в видео (YouTube): тут"/>
    <hyperlink ref="C75" r:id="rId3"/>
    <hyperlink ref="C138" r:id="rId4"/>
    <hyperlink ref="C195" r:id="rId5"/>
    <hyperlink ref="C246" r:id="rId6"/>
    <hyperlink ref="C254" r:id="rId7"/>
    <hyperlink ref="C338" r:id="rId8"/>
  </hyperlinks>
  <printOptions horizontalCentered="1"/>
  <pageMargins left="0.74803149606299213" right="0.74803149606299213" top="0.98425196850393704" bottom="0.98425196850393704" header="0.51181102362204722" footer="0.51181102362204722"/>
  <pageSetup paperSize="9" scale="94" orientation="landscape" r:id="rId9"/>
  <headerFooter alignWithMargins="0"/>
  <rowBreaks count="11" manualBreakCount="11">
    <brk id="33" max="16383" man="1"/>
    <brk id="69" max="3" man="1"/>
    <brk id="106" max="3" man="1"/>
    <brk id="139" max="3" man="1"/>
    <brk id="170" max="3" man="1"/>
    <brk id="205" max="3" man="1"/>
    <brk id="240" max="3" man="1"/>
    <brk id="273" max="3" man="1"/>
    <brk id="304" max="3" man="1"/>
    <brk id="339" max="3" man="1"/>
    <brk id="369" max="3" man="1"/>
  </rowBreaks>
  <drawing r:id="rId10"/>
</worksheet>
</file>

<file path=xl/worksheets/sheet105.xml><?xml version="1.0" encoding="utf-8"?>
<worksheet xmlns="http://schemas.openxmlformats.org/spreadsheetml/2006/main" xmlns:r="http://schemas.openxmlformats.org/officeDocument/2006/relationships">
  <dimension ref="B1:I30"/>
  <sheetViews>
    <sheetView zoomScaleNormal="100" workbookViewId="0">
      <pane ySplit="5" topLeftCell="A6" activePane="bottomLeft" state="frozen"/>
      <selection pane="bottomLeft" activeCell="B1" sqref="B1:C1"/>
    </sheetView>
  </sheetViews>
  <sheetFormatPr defaultRowHeight="12.75"/>
  <cols>
    <col min="1" max="1" width="3.7109375" style="1893" customWidth="1"/>
    <col min="2" max="2" width="7.140625" style="292" customWidth="1"/>
    <col min="3" max="3" width="27.28515625" style="292" customWidth="1"/>
    <col min="4" max="4" width="7.140625" style="2334" customWidth="1"/>
    <col min="5" max="5" width="27.28515625" style="1897" customWidth="1"/>
    <col min="6" max="6" width="7.140625" style="2334" customWidth="1"/>
    <col min="7" max="7" width="27.28515625" style="1897" customWidth="1"/>
    <col min="8" max="8" width="7.140625" style="1897" customWidth="1"/>
    <col min="9" max="9" width="27.28515625" style="1897" customWidth="1"/>
    <col min="10" max="10" width="5.7109375" style="1893" bestFit="1" customWidth="1"/>
    <col min="11" max="11" width="9.140625" style="1893"/>
    <col min="12" max="12" width="9.140625" style="1893" customWidth="1"/>
    <col min="13" max="16384" width="9.140625" style="1893"/>
  </cols>
  <sheetData>
    <row r="1" spans="2:9">
      <c r="B1" s="4230" t="s">
        <v>2706</v>
      </c>
      <c r="C1" s="4230"/>
      <c r="D1" s="2983" t="s">
        <v>8269</v>
      </c>
      <c r="E1" s="2983"/>
      <c r="F1" s="2983"/>
      <c r="G1" s="2983"/>
      <c r="H1" s="2983"/>
      <c r="I1" s="2983"/>
    </row>
    <row r="2" spans="2:9" ht="5.0999999999999996" customHeight="1">
      <c r="B2" s="1895"/>
      <c r="C2" s="1895"/>
      <c r="D2" s="419"/>
      <c r="E2" s="377"/>
      <c r="F2" s="419"/>
      <c r="G2" s="377"/>
      <c r="H2" s="377"/>
      <c r="I2" s="377"/>
    </row>
    <row r="3" spans="2:9">
      <c r="B3" s="3266" t="s">
        <v>7453</v>
      </c>
      <c r="C3" s="3266"/>
      <c r="D3" s="3266"/>
      <c r="E3" s="3266"/>
      <c r="F3" s="3266"/>
      <c r="G3" s="3266"/>
      <c r="H3" s="3266"/>
      <c r="I3" s="3266"/>
    </row>
    <row r="4" spans="2:9" s="1896" customFormat="1" ht="11.25">
      <c r="B4" s="4231" t="s">
        <v>7392</v>
      </c>
      <c r="C4" s="4231"/>
      <c r="D4" s="3268"/>
      <c r="E4" s="3268"/>
      <c r="F4" s="3268"/>
      <c r="G4" s="3268"/>
      <c r="H4" s="3268"/>
      <c r="I4" s="3268"/>
    </row>
    <row r="5" spans="2:9" ht="5.0999999999999996" customHeight="1"/>
    <row r="6" spans="2:9" ht="78" customHeight="1">
      <c r="B6" s="2960" t="s">
        <v>7456</v>
      </c>
      <c r="C6" s="2960"/>
      <c r="D6" s="2960"/>
      <c r="E6" s="2960"/>
      <c r="F6" s="2960"/>
      <c r="G6" s="2960"/>
      <c r="H6" s="2960"/>
      <c r="I6" s="2960"/>
    </row>
    <row r="7" spans="2:9" ht="5.0999999999999996" customHeight="1">
      <c r="B7" s="2330"/>
      <c r="C7" s="2330"/>
      <c r="D7" s="2330"/>
      <c r="E7" s="2330"/>
      <c r="F7" s="2330"/>
      <c r="G7" s="2330"/>
      <c r="H7" s="2330"/>
      <c r="I7" s="2330"/>
    </row>
    <row r="8" spans="2:9">
      <c r="B8" s="3102" t="s">
        <v>7455</v>
      </c>
      <c r="C8" s="3102"/>
      <c r="D8" s="3102"/>
      <c r="E8" s="3102"/>
      <c r="F8" s="3102"/>
      <c r="G8" s="3102"/>
      <c r="H8" s="3102"/>
      <c r="I8" s="3102"/>
    </row>
    <row r="9" spans="2:9" ht="39" customHeight="1">
      <c r="B9" s="2960" t="s">
        <v>7454</v>
      </c>
      <c r="C9" s="2960"/>
      <c r="D9" s="2960"/>
      <c r="E9" s="2960"/>
      <c r="F9" s="2960"/>
      <c r="G9" s="2960"/>
      <c r="H9" s="2960"/>
      <c r="I9" s="2960"/>
    </row>
    <row r="10" spans="2:9">
      <c r="B10" s="2960" t="s">
        <v>7457</v>
      </c>
      <c r="C10" s="2960"/>
      <c r="D10" s="2960"/>
      <c r="E10" s="2960"/>
      <c r="F10" s="2960"/>
      <c r="G10" s="2960"/>
      <c r="H10" s="2960"/>
      <c r="I10" s="2960"/>
    </row>
    <row r="11" spans="2:9" ht="39" customHeight="1">
      <c r="B11" s="2960" t="s">
        <v>7458</v>
      </c>
      <c r="C11" s="2960"/>
      <c r="D11" s="2960"/>
      <c r="E11" s="2960"/>
      <c r="F11" s="2960"/>
      <c r="G11" s="2960"/>
      <c r="H11" s="2960"/>
      <c r="I11" s="2960"/>
    </row>
    <row r="12" spans="2:9" ht="39" customHeight="1">
      <c r="B12" s="2960" t="s">
        <v>7459</v>
      </c>
      <c r="C12" s="2960"/>
      <c r="D12" s="2960"/>
      <c r="E12" s="2960"/>
      <c r="F12" s="2960"/>
      <c r="G12" s="2960"/>
      <c r="H12" s="2960"/>
      <c r="I12" s="2960"/>
    </row>
    <row r="13" spans="2:9" ht="51.95" customHeight="1">
      <c r="B13" s="2960" t="s">
        <v>9840</v>
      </c>
      <c r="C13" s="2960"/>
      <c r="D13" s="2960"/>
      <c r="E13" s="2960"/>
      <c r="F13" s="2960"/>
      <c r="G13" s="2960"/>
      <c r="H13" s="2960"/>
      <c r="I13" s="2960"/>
    </row>
    <row r="14" spans="2:9" ht="5.0999999999999996" customHeight="1">
      <c r="B14" s="2960"/>
      <c r="C14" s="2960"/>
      <c r="D14" s="2960"/>
      <c r="E14" s="2960"/>
      <c r="F14" s="2960"/>
      <c r="G14" s="2960"/>
      <c r="H14" s="2960"/>
      <c r="I14" s="2960"/>
    </row>
    <row r="15" spans="2:9">
      <c r="B15" s="3102" t="s">
        <v>7460</v>
      </c>
      <c r="C15" s="3102"/>
      <c r="D15" s="3102"/>
      <c r="E15" s="3102"/>
      <c r="F15" s="3102"/>
      <c r="G15" s="3102"/>
      <c r="H15" s="3102"/>
      <c r="I15" s="3102"/>
    </row>
    <row r="16" spans="2:9">
      <c r="B16" s="2960" t="s">
        <v>7461</v>
      </c>
      <c r="C16" s="2960"/>
      <c r="D16" s="2960"/>
      <c r="E16" s="2960"/>
      <c r="F16" s="2960"/>
      <c r="G16" s="2960"/>
      <c r="H16" s="2960"/>
      <c r="I16" s="2960"/>
    </row>
    <row r="17" spans="2:9">
      <c r="B17" s="2960" t="s">
        <v>9841</v>
      </c>
      <c r="C17" s="2960"/>
      <c r="D17" s="2960"/>
      <c r="E17" s="2960"/>
      <c r="F17" s="2960"/>
      <c r="G17" s="2960"/>
      <c r="H17" s="2960"/>
      <c r="I17" s="2960"/>
    </row>
    <row r="18" spans="2:9">
      <c r="B18" s="2960" t="s">
        <v>9842</v>
      </c>
      <c r="C18" s="2960"/>
      <c r="D18" s="2960"/>
      <c r="E18" s="2960"/>
      <c r="F18" s="2960"/>
      <c r="G18" s="2960"/>
      <c r="H18" s="2960"/>
      <c r="I18" s="2960"/>
    </row>
    <row r="19" spans="2:9">
      <c r="B19" s="2960" t="s">
        <v>9843</v>
      </c>
      <c r="C19" s="2960"/>
      <c r="D19" s="2960"/>
      <c r="E19" s="2960"/>
      <c r="F19" s="2960"/>
      <c r="G19" s="2960"/>
      <c r="H19" s="2960"/>
      <c r="I19" s="2960"/>
    </row>
    <row r="20" spans="2:9">
      <c r="B20" s="2960" t="s">
        <v>7462</v>
      </c>
      <c r="C20" s="2960"/>
      <c r="D20" s="2960"/>
      <c r="E20" s="2960"/>
      <c r="F20" s="2960"/>
      <c r="G20" s="2960"/>
      <c r="H20" s="2960"/>
      <c r="I20" s="2960"/>
    </row>
    <row r="21" spans="2:9" ht="26.1" customHeight="1">
      <c r="B21" s="2960" t="s">
        <v>7463</v>
      </c>
      <c r="C21" s="2960"/>
      <c r="D21" s="2960"/>
      <c r="E21" s="2960"/>
      <c r="F21" s="2960"/>
      <c r="G21" s="2960"/>
      <c r="H21" s="2960"/>
      <c r="I21" s="2960"/>
    </row>
    <row r="22" spans="2:9">
      <c r="B22" s="2960"/>
      <c r="C22" s="2960"/>
      <c r="D22" s="2960"/>
      <c r="E22" s="2960"/>
      <c r="F22" s="2960"/>
      <c r="G22" s="2960"/>
      <c r="H22" s="2960"/>
      <c r="I22" s="2960"/>
    </row>
    <row r="23" spans="2:9">
      <c r="B23" s="2960"/>
      <c r="C23" s="2960"/>
      <c r="D23" s="2960"/>
      <c r="E23" s="2960"/>
      <c r="F23" s="2960"/>
      <c r="G23" s="2960"/>
      <c r="H23" s="2960"/>
      <c r="I23" s="2960"/>
    </row>
    <row r="24" spans="2:9">
      <c r="B24" s="2960"/>
      <c r="C24" s="2960"/>
      <c r="D24" s="2960"/>
      <c r="E24" s="2960"/>
      <c r="F24" s="2960"/>
      <c r="G24" s="2960"/>
      <c r="H24" s="2960"/>
      <c r="I24" s="2960"/>
    </row>
    <row r="25" spans="2:9">
      <c r="B25" s="2960"/>
      <c r="C25" s="2960"/>
      <c r="D25" s="2960"/>
      <c r="E25" s="2960"/>
      <c r="F25" s="2960"/>
      <c r="G25" s="2960"/>
      <c r="H25" s="2960"/>
      <c r="I25" s="2960"/>
    </row>
    <row r="26" spans="2:9">
      <c r="B26" s="2960"/>
      <c r="C26" s="2960"/>
      <c r="D26" s="2960"/>
      <c r="E26" s="2960"/>
      <c r="F26" s="2960"/>
      <c r="G26" s="2960"/>
      <c r="H26" s="2960"/>
      <c r="I26" s="2960"/>
    </row>
    <row r="27" spans="2:9">
      <c r="B27" s="2960"/>
      <c r="C27" s="2960"/>
      <c r="D27" s="2960"/>
      <c r="E27" s="2960"/>
      <c r="F27" s="2960"/>
      <c r="G27" s="2960"/>
      <c r="H27" s="2960"/>
      <c r="I27" s="2960"/>
    </row>
    <row r="28" spans="2:9">
      <c r="B28" s="2960"/>
      <c r="C28" s="2960"/>
      <c r="D28" s="2960"/>
      <c r="E28" s="2960"/>
      <c r="F28" s="2960"/>
      <c r="G28" s="2960"/>
      <c r="H28" s="2960"/>
      <c r="I28" s="2960"/>
    </row>
    <row r="29" spans="2:9">
      <c r="B29" s="2960"/>
      <c r="C29" s="2960"/>
      <c r="D29" s="2960"/>
      <c r="E29" s="2960"/>
      <c r="F29" s="2960"/>
      <c r="G29" s="2960"/>
      <c r="H29" s="2960"/>
      <c r="I29" s="2960"/>
    </row>
    <row r="30" spans="2:9">
      <c r="B30" s="2960"/>
      <c r="C30" s="2960"/>
      <c r="D30" s="2960"/>
      <c r="E30" s="2960"/>
      <c r="F30" s="2960"/>
      <c r="G30" s="2960"/>
      <c r="H30" s="2960"/>
      <c r="I30" s="2960"/>
    </row>
  </sheetData>
  <sheetProtection autoFilter="0"/>
  <mergeCells count="28">
    <mergeCell ref="B1:C1"/>
    <mergeCell ref="D1:I1"/>
    <mergeCell ref="B3:I3"/>
    <mergeCell ref="B4:I4"/>
    <mergeCell ref="B19:I19"/>
    <mergeCell ref="B27:I27"/>
    <mergeCell ref="B28:I28"/>
    <mergeCell ref="B29:I29"/>
    <mergeCell ref="B30:I30"/>
    <mergeCell ref="B21:I21"/>
    <mergeCell ref="B22:I22"/>
    <mergeCell ref="B24:I24"/>
    <mergeCell ref="B20:I20"/>
    <mergeCell ref="B23:I23"/>
    <mergeCell ref="B25:I25"/>
    <mergeCell ref="B26:I26"/>
    <mergeCell ref="B6:I6"/>
    <mergeCell ref="B8:I8"/>
    <mergeCell ref="B16:I16"/>
    <mergeCell ref="B17:I17"/>
    <mergeCell ref="B18:I18"/>
    <mergeCell ref="B15:I15"/>
    <mergeCell ref="B9:I9"/>
    <mergeCell ref="B10:I10"/>
    <mergeCell ref="B11:I11"/>
    <mergeCell ref="B12:I12"/>
    <mergeCell ref="B13:I13"/>
    <mergeCell ref="B14:I14"/>
  </mergeCells>
  <hyperlinks>
    <hyperlink ref="B1" location="Index!A1" display="Назад"/>
  </hyperlinks>
  <printOptions horizontalCentered="1"/>
  <pageMargins left="0.23622047244094491" right="0.23622047244094491" top="0.74803149606299213" bottom="0.74803149606299213" header="0.31496062992125984" footer="0.31496062992125984"/>
  <pageSetup paperSize="9" orientation="landscape" r:id="rId1"/>
  <headerFooter alignWithMargins="0"/>
</worksheet>
</file>

<file path=xl/worksheets/sheet106.xml><?xml version="1.0" encoding="utf-8"?>
<worksheet xmlns="http://schemas.openxmlformats.org/spreadsheetml/2006/main" xmlns:r="http://schemas.openxmlformats.org/officeDocument/2006/relationships">
  <dimension ref="A1:K166"/>
  <sheetViews>
    <sheetView zoomScaleNormal="100" workbookViewId="0">
      <pane ySplit="5" topLeftCell="A6" activePane="bottomLeft" state="frozen"/>
      <selection pane="bottomLeft" activeCell="B1" sqref="B1:C1"/>
    </sheetView>
  </sheetViews>
  <sheetFormatPr defaultRowHeight="12.75"/>
  <cols>
    <col min="1" max="1" width="3.7109375" style="1893" customWidth="1"/>
    <col min="2" max="2" width="7.140625" style="431" customWidth="1"/>
    <col min="3" max="3" width="27.28515625" style="431" customWidth="1"/>
    <col min="4" max="4" width="7.140625" style="2573" customWidth="1"/>
    <col min="5" max="5" width="27.28515625" style="2573" customWidth="1"/>
    <col min="6" max="6" width="7.140625" style="2573" customWidth="1"/>
    <col min="7" max="7" width="27.28515625" style="2573" customWidth="1"/>
    <col min="8" max="8" width="7.140625" style="1897" customWidth="1"/>
    <col min="9" max="9" width="27.28515625" style="1897" customWidth="1"/>
    <col min="10" max="10" width="5.7109375" style="1893" bestFit="1" customWidth="1"/>
    <col min="11" max="11" width="9.140625" style="1893"/>
    <col min="12" max="12" width="9.140625" style="1893" customWidth="1"/>
    <col min="13" max="16384" width="9.140625" style="1893"/>
  </cols>
  <sheetData>
    <row r="1" spans="2:9">
      <c r="B1" s="4245" t="s">
        <v>2706</v>
      </c>
      <c r="C1" s="4245"/>
      <c r="D1" s="2983" t="s">
        <v>8269</v>
      </c>
      <c r="E1" s="2983"/>
      <c r="F1" s="2983"/>
      <c r="G1" s="2983"/>
      <c r="H1" s="2983"/>
      <c r="I1" s="2983"/>
    </row>
    <row r="2" spans="2:9" ht="5.0999999999999996" customHeight="1">
      <c r="B2" s="2567"/>
      <c r="C2" s="2567"/>
      <c r="D2" s="419"/>
      <c r="E2" s="419"/>
      <c r="F2" s="419"/>
      <c r="G2" s="419"/>
      <c r="H2" s="377"/>
      <c r="I2" s="377"/>
    </row>
    <row r="3" spans="2:9">
      <c r="B3" s="3266" t="s">
        <v>7373</v>
      </c>
      <c r="C3" s="3266"/>
      <c r="D3" s="3266"/>
      <c r="E3" s="3266"/>
      <c r="F3" s="3266"/>
      <c r="G3" s="3266"/>
      <c r="H3" s="3266"/>
      <c r="I3" s="3266"/>
    </row>
    <row r="4" spans="2:9" s="1896" customFormat="1" ht="11.25">
      <c r="B4" s="4231" t="s">
        <v>8046</v>
      </c>
      <c r="C4" s="4231"/>
      <c r="D4" s="3268"/>
      <c r="E4" s="3268"/>
      <c r="F4" s="3268"/>
      <c r="G4" s="3268"/>
      <c r="H4" s="3268"/>
      <c r="I4" s="3268"/>
    </row>
    <row r="5" spans="2:9" ht="5.0999999999999996" customHeight="1"/>
    <row r="6" spans="2:9" ht="26.1" customHeight="1">
      <c r="B6" s="4242" t="s">
        <v>9683</v>
      </c>
      <c r="C6" s="4242"/>
      <c r="D6" s="4242"/>
      <c r="E6" s="4242"/>
      <c r="F6" s="4242"/>
      <c r="G6" s="4242"/>
      <c r="H6" s="4242"/>
      <c r="I6" s="4242"/>
    </row>
    <row r="7" spans="2:9" ht="26.1" customHeight="1">
      <c r="B7" s="2960" t="s">
        <v>9684</v>
      </c>
      <c r="C7" s="2960"/>
      <c r="D7" s="2960"/>
      <c r="E7" s="2960"/>
      <c r="F7" s="2960"/>
      <c r="G7" s="2960"/>
      <c r="H7" s="2960"/>
      <c r="I7" s="2960"/>
    </row>
    <row r="8" spans="2:9" ht="5.0999999999999996" customHeight="1"/>
    <row r="9" spans="2:9">
      <c r="B9" s="2960" t="s">
        <v>9685</v>
      </c>
      <c r="C9" s="2960"/>
      <c r="D9" s="2960"/>
      <c r="E9" s="2960"/>
      <c r="F9" s="2960"/>
      <c r="G9" s="2960"/>
      <c r="H9" s="2960"/>
      <c r="I9" s="2960"/>
    </row>
    <row r="10" spans="2:9" ht="26.1" customHeight="1">
      <c r="B10" s="2960" t="s">
        <v>7374</v>
      </c>
      <c r="C10" s="2960"/>
      <c r="D10" s="2960"/>
      <c r="E10" s="2960"/>
      <c r="F10" s="2960"/>
      <c r="G10" s="2960"/>
      <c r="H10" s="2960"/>
      <c r="I10" s="2960"/>
    </row>
    <row r="11" spans="2:9" ht="65.099999999999994" customHeight="1">
      <c r="B11" s="2960" t="s">
        <v>7375</v>
      </c>
      <c r="C11" s="2960"/>
      <c r="D11" s="2960"/>
      <c r="E11" s="2960"/>
      <c r="F11" s="2960"/>
      <c r="G11" s="2960"/>
      <c r="H11" s="2960"/>
      <c r="I11" s="2960"/>
    </row>
    <row r="12" spans="2:9">
      <c r="B12" s="2960" t="s">
        <v>7376</v>
      </c>
      <c r="C12" s="2960"/>
      <c r="D12" s="2960"/>
      <c r="E12" s="2960"/>
      <c r="F12" s="2960"/>
      <c r="G12" s="2960"/>
      <c r="H12" s="2960"/>
      <c r="I12" s="2960"/>
    </row>
    <row r="13" spans="2:9" ht="5.0999999999999996" customHeight="1">
      <c r="B13" s="2960"/>
      <c r="C13" s="2960"/>
      <c r="D13" s="2960"/>
      <c r="E13" s="2960"/>
      <c r="F13" s="2960"/>
      <c r="G13" s="2960"/>
      <c r="H13" s="2960"/>
      <c r="I13" s="2960"/>
    </row>
    <row r="14" spans="2:9">
      <c r="B14" s="4246" t="s">
        <v>7377</v>
      </c>
      <c r="C14" s="4246"/>
      <c r="D14" s="4246"/>
      <c r="E14" s="4246"/>
      <c r="F14" s="4246"/>
      <c r="G14" s="4246"/>
      <c r="H14" s="4246"/>
      <c r="I14" s="4246"/>
    </row>
    <row r="15" spans="2:9" ht="5.0999999999999996" customHeight="1">
      <c r="B15" s="2960"/>
      <c r="C15" s="2960"/>
      <c r="D15" s="2960"/>
      <c r="E15" s="2960"/>
      <c r="F15" s="2960"/>
      <c r="G15" s="2960"/>
      <c r="H15" s="2960"/>
      <c r="I15" s="2960"/>
    </row>
    <row r="16" spans="2:9" ht="12.95" customHeight="1">
      <c r="B16" s="2980" t="s">
        <v>7378</v>
      </c>
      <c r="C16" s="2980"/>
      <c r="D16" s="2980"/>
      <c r="E16" s="2980"/>
      <c r="F16" s="2980"/>
      <c r="G16" s="2980"/>
      <c r="H16" s="2980"/>
      <c r="I16" s="2980"/>
    </row>
    <row r="17" spans="2:9" ht="37.5" customHeight="1">
      <c r="B17" s="2364"/>
      <c r="C17" s="2572" t="s">
        <v>7379</v>
      </c>
      <c r="D17" s="2364"/>
      <c r="E17" s="2571" t="s">
        <v>7381</v>
      </c>
      <c r="F17" s="2364"/>
      <c r="G17" s="2571" t="s">
        <v>7380</v>
      </c>
      <c r="H17" s="2364"/>
      <c r="I17" s="2331" t="s">
        <v>7382</v>
      </c>
    </row>
    <row r="18" spans="2:9" ht="37.5" customHeight="1">
      <c r="B18" s="2364"/>
      <c r="C18" s="2571" t="s">
        <v>7383</v>
      </c>
      <c r="D18" s="2364"/>
      <c r="E18" s="2571" t="s">
        <v>7384</v>
      </c>
      <c r="F18" s="2364"/>
      <c r="G18" s="2571" t="s">
        <v>7385</v>
      </c>
      <c r="H18" s="2364"/>
      <c r="I18" s="2331" t="s">
        <v>7390</v>
      </c>
    </row>
    <row r="19" spans="2:9" ht="26.1" customHeight="1">
      <c r="B19" s="2364"/>
      <c r="C19" s="2571" t="s">
        <v>7389</v>
      </c>
      <c r="D19" s="2364"/>
      <c r="E19" s="2571" t="s">
        <v>7386</v>
      </c>
      <c r="F19" s="2364"/>
      <c r="G19" s="2571" t="s">
        <v>7387</v>
      </c>
      <c r="H19" s="2364"/>
      <c r="I19" s="2331" t="s">
        <v>7388</v>
      </c>
    </row>
    <row r="20" spans="2:9" ht="5.0999999999999996" customHeight="1">
      <c r="B20" s="2571"/>
      <c r="C20" s="2571"/>
      <c r="D20" s="2571"/>
      <c r="E20" s="2571"/>
      <c r="F20" s="2571"/>
      <c r="G20" s="2571"/>
      <c r="H20" s="2330"/>
      <c r="I20" s="2330"/>
    </row>
    <row r="21" spans="2:9" ht="39" customHeight="1">
      <c r="B21" s="2960" t="s">
        <v>9686</v>
      </c>
      <c r="C21" s="2960"/>
      <c r="D21" s="2960"/>
      <c r="E21" s="2960"/>
      <c r="F21" s="2960"/>
      <c r="G21" s="2960"/>
      <c r="H21" s="2960"/>
      <c r="I21" s="2960"/>
    </row>
    <row r="22" spans="2:9" ht="12.95" customHeight="1">
      <c r="B22" s="2960" t="s">
        <v>9687</v>
      </c>
      <c r="C22" s="2960"/>
      <c r="D22" s="2960"/>
      <c r="E22" s="2960"/>
      <c r="F22" s="2960"/>
      <c r="G22" s="2960"/>
      <c r="H22" s="2960"/>
      <c r="I22" s="2960"/>
    </row>
    <row r="23" spans="2:9" ht="5.0999999999999996" customHeight="1">
      <c r="B23" s="2571"/>
      <c r="C23" s="2571"/>
      <c r="D23" s="2571"/>
      <c r="E23" s="2571"/>
      <c r="F23" s="2571"/>
      <c r="G23" s="2571"/>
      <c r="H23" s="2330"/>
      <c r="I23" s="2330"/>
    </row>
    <row r="24" spans="2:9">
      <c r="B24" s="3970" t="s">
        <v>7391</v>
      </c>
      <c r="C24" s="3970"/>
      <c r="D24" s="3970"/>
      <c r="E24" s="3970"/>
      <c r="F24" s="3970"/>
      <c r="G24" s="3970"/>
      <c r="H24" s="3970"/>
      <c r="I24" s="3970"/>
    </row>
    <row r="25" spans="2:9" ht="39" customHeight="1">
      <c r="B25" s="2363"/>
      <c r="C25" s="2363"/>
      <c r="D25" s="2927"/>
      <c r="E25" s="4238" t="s">
        <v>7397</v>
      </c>
      <c r="F25" s="4238"/>
      <c r="G25" s="4238"/>
      <c r="H25" s="4238"/>
      <c r="I25" s="4238"/>
    </row>
    <row r="26" spans="2:9" ht="51.95" customHeight="1">
      <c r="E26" s="4242" t="s">
        <v>7398</v>
      </c>
      <c r="F26" s="4242"/>
      <c r="G26" s="4242"/>
      <c r="H26" s="4242"/>
      <c r="I26" s="4242"/>
    </row>
    <row r="27" spans="2:9">
      <c r="E27" s="4243" t="s">
        <v>7399</v>
      </c>
      <c r="F27" s="4243"/>
      <c r="G27" s="4243"/>
      <c r="H27" s="4243"/>
      <c r="I27" s="4243"/>
    </row>
    <row r="28" spans="2:9">
      <c r="E28" s="4241" t="s">
        <v>7393</v>
      </c>
      <c r="F28" s="4241"/>
      <c r="G28" s="4241"/>
      <c r="H28" s="4241"/>
      <c r="I28" s="4241"/>
    </row>
    <row r="29" spans="2:9">
      <c r="E29" s="4241" t="s">
        <v>7394</v>
      </c>
      <c r="F29" s="4241"/>
      <c r="G29" s="4241"/>
      <c r="H29" s="4241"/>
      <c r="I29" s="4241"/>
    </row>
    <row r="30" spans="2:9">
      <c r="E30" s="4241" t="s">
        <v>7400</v>
      </c>
      <c r="F30" s="4241"/>
      <c r="G30" s="4241"/>
      <c r="H30" s="4241"/>
      <c r="I30" s="4241"/>
    </row>
    <row r="31" spans="2:9">
      <c r="B31" s="2363"/>
      <c r="E31" s="4243" t="s">
        <v>7401</v>
      </c>
      <c r="F31" s="4241"/>
      <c r="G31" s="4241"/>
      <c r="H31" s="4241"/>
      <c r="I31" s="4241"/>
    </row>
    <row r="32" spans="2:9">
      <c r="E32" s="4241" t="s">
        <v>7395</v>
      </c>
      <c r="F32" s="4241"/>
      <c r="G32" s="4241"/>
      <c r="H32" s="4241"/>
      <c r="I32" s="4241"/>
    </row>
    <row r="33" spans="2:9">
      <c r="E33" s="4241" t="s">
        <v>7396</v>
      </c>
      <c r="F33" s="4241"/>
      <c r="G33" s="4241"/>
      <c r="H33" s="4241"/>
      <c r="I33" s="4241"/>
    </row>
    <row r="34" spans="2:9">
      <c r="E34" s="4241" t="s">
        <v>7402</v>
      </c>
      <c r="F34" s="4241"/>
      <c r="G34" s="4241"/>
      <c r="H34" s="4241"/>
      <c r="I34" s="4241"/>
    </row>
    <row r="35" spans="2:9">
      <c r="E35" s="4241" t="s">
        <v>7403</v>
      </c>
      <c r="F35" s="4241"/>
      <c r="G35" s="4241"/>
      <c r="H35" s="4241"/>
      <c r="I35" s="4241"/>
    </row>
    <row r="36" spans="2:9" ht="5.0999999999999996" customHeight="1">
      <c r="B36" s="2571"/>
      <c r="C36" s="2571"/>
      <c r="D36" s="2571"/>
      <c r="E36" s="2571"/>
      <c r="F36" s="2571"/>
      <c r="G36" s="2571"/>
      <c r="H36" s="2330"/>
      <c r="I36" s="2330"/>
    </row>
    <row r="37" spans="2:9">
      <c r="B37" s="3970" t="s">
        <v>7404</v>
      </c>
      <c r="C37" s="3970"/>
      <c r="D37" s="3970"/>
      <c r="E37" s="3970"/>
      <c r="F37" s="3970"/>
      <c r="G37" s="3970"/>
      <c r="H37" s="3970"/>
      <c r="I37" s="3970"/>
    </row>
    <row r="38" spans="2:9" ht="39" customHeight="1">
      <c r="E38" s="4242" t="s">
        <v>9688</v>
      </c>
      <c r="F38" s="4242"/>
      <c r="G38" s="4242"/>
      <c r="H38" s="4242"/>
      <c r="I38" s="4242"/>
    </row>
    <row r="39" spans="2:9">
      <c r="E39" s="4243" t="s">
        <v>7399</v>
      </c>
      <c r="F39" s="4243"/>
      <c r="G39" s="4243"/>
      <c r="H39" s="4243"/>
      <c r="I39" s="4243"/>
    </row>
    <row r="40" spans="2:9">
      <c r="E40" s="4241" t="s">
        <v>7393</v>
      </c>
      <c r="F40" s="4241"/>
      <c r="G40" s="4241"/>
      <c r="H40" s="4241"/>
      <c r="I40" s="4241"/>
    </row>
    <row r="41" spans="2:9">
      <c r="E41" s="4241" t="s">
        <v>7394</v>
      </c>
      <c r="F41" s="4241"/>
      <c r="G41" s="4241"/>
      <c r="H41" s="4241"/>
      <c r="I41" s="4241"/>
    </row>
    <row r="42" spans="2:9">
      <c r="E42" s="4241" t="s">
        <v>7400</v>
      </c>
      <c r="F42" s="4241"/>
      <c r="G42" s="4241"/>
      <c r="H42" s="4241"/>
      <c r="I42" s="4241"/>
    </row>
    <row r="43" spans="2:9">
      <c r="E43" s="4243" t="s">
        <v>7401</v>
      </c>
      <c r="F43" s="4241"/>
      <c r="G43" s="4241"/>
      <c r="H43" s="4241"/>
      <c r="I43" s="4241"/>
    </row>
    <row r="44" spans="2:9">
      <c r="E44" s="4241" t="s">
        <v>7395</v>
      </c>
      <c r="F44" s="4241"/>
      <c r="G44" s="4241"/>
      <c r="H44" s="4241"/>
      <c r="I44" s="4241"/>
    </row>
    <row r="45" spans="2:9">
      <c r="E45" s="4241" t="s">
        <v>7396</v>
      </c>
      <c r="F45" s="4241"/>
      <c r="G45" s="4241"/>
      <c r="H45" s="4241"/>
      <c r="I45" s="4241"/>
    </row>
    <row r="46" spans="2:9">
      <c r="E46" s="4241" t="s">
        <v>7402</v>
      </c>
      <c r="F46" s="4241"/>
      <c r="G46" s="4241"/>
      <c r="H46" s="4241"/>
      <c r="I46" s="4241"/>
    </row>
    <row r="47" spans="2:9">
      <c r="E47" s="4241" t="s">
        <v>7403</v>
      </c>
      <c r="F47" s="4241"/>
      <c r="G47" s="4241"/>
      <c r="H47" s="4241"/>
      <c r="I47" s="4241"/>
    </row>
    <row r="48" spans="2:9" ht="5.0999999999999996" customHeight="1">
      <c r="B48" s="2571"/>
      <c r="C48" s="2571"/>
      <c r="D48" s="2571"/>
      <c r="E48" s="2571"/>
      <c r="F48" s="2571"/>
      <c r="G48" s="2571"/>
      <c r="H48" s="2330"/>
      <c r="I48" s="2330"/>
    </row>
    <row r="49" spans="1:11">
      <c r="B49" s="3970" t="s">
        <v>7405</v>
      </c>
      <c r="C49" s="3970"/>
      <c r="D49" s="3970"/>
      <c r="E49" s="3970"/>
      <c r="F49" s="3970"/>
      <c r="G49" s="3970"/>
      <c r="H49" s="3970"/>
      <c r="I49" s="3970"/>
    </row>
    <row r="50" spans="1:11" ht="51.95" customHeight="1">
      <c r="A50" s="2365"/>
      <c r="B50" s="2363"/>
      <c r="E50" s="4238" t="s">
        <v>9689</v>
      </c>
      <c r="F50" s="4238"/>
      <c r="G50" s="4238"/>
      <c r="H50" s="4238"/>
      <c r="I50" s="4238"/>
    </row>
    <row r="51" spans="1:11">
      <c r="A51" s="2365"/>
      <c r="E51" s="4243" t="s">
        <v>7399</v>
      </c>
      <c r="F51" s="4243"/>
      <c r="G51" s="4243"/>
      <c r="H51" s="4243"/>
      <c r="I51" s="4243"/>
    </row>
    <row r="52" spans="1:11">
      <c r="A52" s="2365"/>
      <c r="E52" s="4241" t="s">
        <v>7406</v>
      </c>
      <c r="F52" s="4241"/>
      <c r="G52" s="4241"/>
      <c r="H52" s="4241"/>
      <c r="I52" s="4241"/>
    </row>
    <row r="53" spans="1:11">
      <c r="A53" s="2365"/>
      <c r="E53" s="4241" t="s">
        <v>7407</v>
      </c>
      <c r="F53" s="4241"/>
      <c r="G53" s="4241"/>
      <c r="H53" s="4241"/>
      <c r="I53" s="4241"/>
    </row>
    <row r="54" spans="1:11">
      <c r="A54" s="2365"/>
      <c r="E54" s="4241" t="s">
        <v>7400</v>
      </c>
      <c r="F54" s="4241"/>
      <c r="G54" s="4241"/>
      <c r="H54" s="4241"/>
      <c r="I54" s="4241"/>
    </row>
    <row r="55" spans="1:11">
      <c r="A55" s="2365"/>
      <c r="E55" s="4243" t="s">
        <v>7401</v>
      </c>
      <c r="F55" s="4241"/>
      <c r="G55" s="4241"/>
      <c r="H55" s="4241"/>
      <c r="I55" s="4241"/>
    </row>
    <row r="56" spans="1:11">
      <c r="A56" s="2365"/>
      <c r="E56" s="4241" t="s">
        <v>7395</v>
      </c>
      <c r="F56" s="4241"/>
      <c r="G56" s="4241"/>
      <c r="H56" s="4241"/>
      <c r="I56" s="4241"/>
    </row>
    <row r="57" spans="1:11">
      <c r="A57" s="2365"/>
      <c r="E57" s="4241" t="s">
        <v>7396</v>
      </c>
      <c r="F57" s="4241"/>
      <c r="G57" s="4241"/>
      <c r="H57" s="4241"/>
      <c r="I57" s="4241"/>
    </row>
    <row r="58" spans="1:11">
      <c r="A58" s="2365"/>
      <c r="E58" s="4241" t="s">
        <v>7402</v>
      </c>
      <c r="F58" s="4241"/>
      <c r="G58" s="4241"/>
      <c r="H58" s="4241"/>
      <c r="I58" s="4241"/>
    </row>
    <row r="59" spans="1:11">
      <c r="A59" s="2365"/>
      <c r="E59" s="4241" t="s">
        <v>7403</v>
      </c>
      <c r="F59" s="4241"/>
      <c r="G59" s="4241"/>
      <c r="H59" s="4241"/>
      <c r="I59" s="4241"/>
    </row>
    <row r="60" spans="1:11" ht="5.0999999999999996" customHeight="1">
      <c r="B60" s="2571"/>
      <c r="C60" s="2571"/>
      <c r="D60" s="2571"/>
      <c r="E60" s="2571"/>
      <c r="F60" s="2571"/>
      <c r="G60" s="2571"/>
      <c r="H60" s="2330"/>
      <c r="I60" s="2330"/>
    </row>
    <row r="61" spans="1:11">
      <c r="B61" s="3970" t="s">
        <v>7408</v>
      </c>
      <c r="C61" s="3970"/>
      <c r="D61" s="3970"/>
      <c r="E61" s="3970"/>
      <c r="F61" s="3970"/>
      <c r="G61" s="3970"/>
      <c r="H61" s="3970"/>
      <c r="I61" s="3970"/>
    </row>
    <row r="62" spans="1:11" ht="39" customHeight="1">
      <c r="A62" s="2365"/>
      <c r="B62" s="2363"/>
      <c r="G62" s="4238" t="s">
        <v>9844</v>
      </c>
      <c r="H62" s="4238"/>
      <c r="I62" s="4238"/>
    </row>
    <row r="63" spans="1:11">
      <c r="A63" s="2365"/>
      <c r="G63" s="4243" t="s">
        <v>7399</v>
      </c>
      <c r="H63" s="4243"/>
      <c r="I63" s="4243"/>
      <c r="J63" s="2181"/>
      <c r="K63" s="2181"/>
    </row>
    <row r="64" spans="1:11" ht="26.1" customHeight="1">
      <c r="A64" s="2365"/>
      <c r="G64" s="4242" t="s">
        <v>7409</v>
      </c>
      <c r="H64" s="4242"/>
      <c r="I64" s="4242"/>
    </row>
    <row r="65" spans="1:9" ht="26.1" customHeight="1">
      <c r="A65" s="2365"/>
      <c r="G65" s="4242" t="s">
        <v>7410</v>
      </c>
      <c r="H65" s="4242"/>
      <c r="I65" s="4242"/>
    </row>
    <row r="66" spans="1:9">
      <c r="A66" s="2365"/>
      <c r="G66" s="4241" t="s">
        <v>7411</v>
      </c>
      <c r="H66" s="4241"/>
      <c r="I66" s="4241"/>
    </row>
    <row r="67" spans="1:9">
      <c r="A67" s="2365"/>
      <c r="G67" s="4243" t="s">
        <v>7401</v>
      </c>
      <c r="H67" s="4243"/>
      <c r="I67" s="4243"/>
    </row>
    <row r="68" spans="1:9">
      <c r="A68" s="2365"/>
      <c r="G68" s="4241" t="s">
        <v>7412</v>
      </c>
      <c r="H68" s="4241"/>
      <c r="I68" s="4241"/>
    </row>
    <row r="69" spans="1:9">
      <c r="A69" s="2365"/>
      <c r="G69" s="4241" t="s">
        <v>7424</v>
      </c>
      <c r="H69" s="4241"/>
      <c r="I69" s="4241"/>
    </row>
    <row r="70" spans="1:9">
      <c r="A70" s="2365"/>
      <c r="G70" s="4241" t="s">
        <v>7402</v>
      </c>
      <c r="H70" s="4241"/>
      <c r="I70" s="4241"/>
    </row>
    <row r="71" spans="1:9">
      <c r="A71" s="2365"/>
      <c r="G71" s="4241" t="s">
        <v>7403</v>
      </c>
      <c r="H71" s="4241"/>
      <c r="I71" s="4241"/>
    </row>
    <row r="72" spans="1:9">
      <c r="A72" s="2365"/>
      <c r="G72" s="4243" t="s">
        <v>7413</v>
      </c>
      <c r="H72" s="4241"/>
      <c r="I72" s="4241"/>
    </row>
    <row r="73" spans="1:9">
      <c r="G73" s="4241" t="s">
        <v>7415</v>
      </c>
      <c r="H73" s="4241"/>
      <c r="I73" s="4241"/>
    </row>
    <row r="74" spans="1:9" ht="90.95" customHeight="1">
      <c r="G74" s="4242" t="s">
        <v>7414</v>
      </c>
      <c r="H74" s="4242"/>
      <c r="I74" s="4242"/>
    </row>
    <row r="75" spans="1:9" ht="65.099999999999994" customHeight="1">
      <c r="G75" s="4242" t="s">
        <v>7416</v>
      </c>
      <c r="H75" s="4242"/>
      <c r="I75" s="4242"/>
    </row>
    <row r="76" spans="1:9" ht="5.0999999999999996" customHeight="1">
      <c r="B76" s="2571"/>
      <c r="C76" s="2571"/>
      <c r="D76" s="2571"/>
      <c r="E76" s="2571"/>
      <c r="F76" s="2571"/>
      <c r="G76" s="2571"/>
      <c r="H76" s="2330"/>
      <c r="I76" s="2330"/>
    </row>
    <row r="77" spans="1:9">
      <c r="B77" s="3970" t="s">
        <v>7417</v>
      </c>
      <c r="C77" s="3970"/>
      <c r="D77" s="3970"/>
      <c r="E77" s="3970"/>
      <c r="F77" s="3970"/>
      <c r="G77" s="3970"/>
      <c r="H77" s="3970"/>
      <c r="I77" s="3970"/>
    </row>
    <row r="78" spans="1:9" ht="90.95" customHeight="1">
      <c r="B78" s="2363"/>
      <c r="G78" s="4244" t="s">
        <v>9845</v>
      </c>
      <c r="H78" s="4242"/>
      <c r="I78" s="4242"/>
    </row>
    <row r="79" spans="1:9">
      <c r="G79" s="4243" t="s">
        <v>7399</v>
      </c>
      <c r="H79" s="4243"/>
      <c r="I79" s="4243"/>
    </row>
    <row r="80" spans="1:9" ht="26.1" customHeight="1">
      <c r="G80" s="4242" t="s">
        <v>7418</v>
      </c>
      <c r="H80" s="4242"/>
      <c r="I80" s="4242"/>
    </row>
    <row r="81" spans="2:9" ht="12.95" customHeight="1">
      <c r="G81" s="4242" t="s">
        <v>7419</v>
      </c>
      <c r="H81" s="4242"/>
      <c r="I81" s="4242"/>
    </row>
    <row r="82" spans="2:9" ht="12.95" customHeight="1">
      <c r="G82" s="4244" t="s">
        <v>7420</v>
      </c>
      <c r="H82" s="4242"/>
      <c r="I82" s="4242"/>
    </row>
    <row r="83" spans="2:9">
      <c r="G83" s="4241" t="s">
        <v>7421</v>
      </c>
      <c r="H83" s="4241"/>
      <c r="I83" s="4241"/>
    </row>
    <row r="84" spans="2:9">
      <c r="G84" s="4243" t="s">
        <v>7401</v>
      </c>
      <c r="H84" s="4243"/>
      <c r="I84" s="4243"/>
    </row>
    <row r="85" spans="2:9">
      <c r="G85" s="4241" t="s">
        <v>7422</v>
      </c>
      <c r="H85" s="4241"/>
      <c r="I85" s="4241"/>
    </row>
    <row r="86" spans="2:9">
      <c r="G86" s="4241" t="s">
        <v>7423</v>
      </c>
      <c r="H86" s="4241"/>
      <c r="I86" s="4241"/>
    </row>
    <row r="87" spans="2:9">
      <c r="G87" s="4241" t="s">
        <v>7402</v>
      </c>
      <c r="H87" s="4241"/>
      <c r="I87" s="4241"/>
    </row>
    <row r="88" spans="2:9">
      <c r="G88" s="4241" t="s">
        <v>7403</v>
      </c>
      <c r="H88" s="4241"/>
      <c r="I88" s="4241"/>
    </row>
    <row r="89" spans="2:9">
      <c r="G89" s="4243" t="s">
        <v>7413</v>
      </c>
      <c r="H89" s="4241"/>
      <c r="I89" s="4241"/>
    </row>
    <row r="90" spans="2:9" ht="65.099999999999994" customHeight="1">
      <c r="G90" s="4242" t="s">
        <v>7425</v>
      </c>
      <c r="H90" s="4242"/>
      <c r="I90" s="4242"/>
    </row>
    <row r="91" spans="2:9" ht="39" customHeight="1">
      <c r="G91" s="4242" t="s">
        <v>7426</v>
      </c>
      <c r="H91" s="4242"/>
      <c r="I91" s="4242"/>
    </row>
    <row r="92" spans="2:9">
      <c r="G92" s="4242"/>
      <c r="H92" s="4242"/>
      <c r="I92" s="4242"/>
    </row>
    <row r="96" spans="2:9" ht="5.0999999999999996" customHeight="1">
      <c r="B96" s="2571"/>
      <c r="C96" s="2571"/>
      <c r="D96" s="2571"/>
      <c r="E96" s="2571"/>
      <c r="F96" s="2571"/>
      <c r="G96" s="2571"/>
      <c r="H96" s="2330"/>
      <c r="I96" s="2330"/>
    </row>
    <row r="97" spans="2:9">
      <c r="B97" s="3970" t="s">
        <v>7427</v>
      </c>
      <c r="C97" s="3970"/>
      <c r="D97" s="3970"/>
      <c r="E97" s="3970"/>
      <c r="F97" s="3970"/>
      <c r="G97" s="3970"/>
      <c r="H97" s="3970"/>
      <c r="I97" s="3970"/>
    </row>
    <row r="98" spans="2:9" ht="39" customHeight="1">
      <c r="B98" s="2363"/>
      <c r="E98" s="4242" t="s">
        <v>9690</v>
      </c>
      <c r="F98" s="4242"/>
      <c r="G98" s="4242"/>
      <c r="H98" s="4242"/>
      <c r="I98" s="4242"/>
    </row>
    <row r="99" spans="2:9">
      <c r="E99" s="4243" t="s">
        <v>7399</v>
      </c>
      <c r="F99" s="4243"/>
      <c r="G99" s="4243"/>
      <c r="H99" s="4243"/>
      <c r="I99" s="4243"/>
    </row>
    <row r="100" spans="2:9">
      <c r="E100" s="4241" t="s">
        <v>7428</v>
      </c>
      <c r="F100" s="4241"/>
      <c r="G100" s="4241"/>
      <c r="H100" s="4241"/>
      <c r="I100" s="4241"/>
    </row>
    <row r="101" spans="2:9">
      <c r="E101" s="4241" t="s">
        <v>7429</v>
      </c>
      <c r="F101" s="4241"/>
      <c r="G101" s="4241"/>
      <c r="H101" s="4241"/>
      <c r="I101" s="4241"/>
    </row>
    <row r="102" spans="2:9">
      <c r="E102" s="4241" t="s">
        <v>7400</v>
      </c>
      <c r="F102" s="4241"/>
      <c r="G102" s="4241"/>
      <c r="H102" s="4241"/>
      <c r="I102" s="4241"/>
    </row>
    <row r="103" spans="2:9">
      <c r="E103" s="4243" t="s">
        <v>7401</v>
      </c>
      <c r="F103" s="4241"/>
      <c r="G103" s="4241"/>
      <c r="H103" s="4241"/>
      <c r="I103" s="4241"/>
    </row>
    <row r="104" spans="2:9">
      <c r="E104" s="4241" t="s">
        <v>7430</v>
      </c>
      <c r="F104" s="4241"/>
      <c r="G104" s="4241"/>
      <c r="H104" s="4241"/>
      <c r="I104" s="4241"/>
    </row>
    <row r="105" spans="2:9">
      <c r="E105" s="4241" t="s">
        <v>7431</v>
      </c>
      <c r="F105" s="4241"/>
      <c r="G105" s="4241"/>
      <c r="H105" s="4241"/>
      <c r="I105" s="4241"/>
    </row>
    <row r="106" spans="2:9">
      <c r="E106" s="4241" t="s">
        <v>7402</v>
      </c>
      <c r="F106" s="4241"/>
      <c r="G106" s="4241"/>
      <c r="H106" s="4241"/>
      <c r="I106" s="4241"/>
    </row>
    <row r="107" spans="2:9">
      <c r="E107" s="4241" t="s">
        <v>7403</v>
      </c>
      <c r="F107" s="4241"/>
      <c r="G107" s="4241"/>
      <c r="H107" s="4241"/>
      <c r="I107" s="4241"/>
    </row>
    <row r="112" spans="2:9" ht="5.0999999999999996" customHeight="1">
      <c r="B112" s="2571"/>
      <c r="C112" s="2571"/>
      <c r="D112" s="2571"/>
      <c r="E112" s="2571"/>
      <c r="F112" s="2571"/>
      <c r="G112" s="2571"/>
      <c r="H112" s="2553"/>
      <c r="I112" s="2553"/>
    </row>
    <row r="113" spans="2:9">
      <c r="B113" s="3970" t="s">
        <v>8031</v>
      </c>
      <c r="C113" s="3970"/>
      <c r="D113" s="3970"/>
      <c r="E113" s="3970"/>
      <c r="F113" s="3970"/>
      <c r="G113" s="3970"/>
      <c r="H113" s="3970"/>
      <c r="I113" s="3970"/>
    </row>
    <row r="114" spans="2:9" ht="65.099999999999994" customHeight="1">
      <c r="B114" s="2363"/>
      <c r="D114" s="4238" t="s">
        <v>9691</v>
      </c>
      <c r="E114" s="4238"/>
      <c r="F114" s="4238"/>
      <c r="G114" s="4238"/>
      <c r="H114" s="4238"/>
      <c r="I114" s="4238"/>
    </row>
    <row r="115" spans="2:9">
      <c r="D115" s="4236" t="s">
        <v>8040</v>
      </c>
      <c r="E115" s="4236"/>
      <c r="F115" s="4236"/>
      <c r="G115" s="4236"/>
      <c r="H115" s="4236"/>
      <c r="I115" s="4236"/>
    </row>
    <row r="116" spans="2:9">
      <c r="H116" s="2573"/>
      <c r="I116" s="2573"/>
    </row>
    <row r="130" spans="2:10" ht="5.0999999999999996" customHeight="1">
      <c r="B130" s="2571"/>
      <c r="C130" s="2571"/>
      <c r="D130" s="2571"/>
      <c r="E130" s="2571"/>
      <c r="F130" s="2571"/>
      <c r="G130" s="2571"/>
      <c r="H130" s="2557"/>
      <c r="I130" s="2557"/>
    </row>
    <row r="131" spans="2:10">
      <c r="B131" s="3970" t="s">
        <v>8039</v>
      </c>
      <c r="C131" s="3970"/>
      <c r="D131" s="3970"/>
      <c r="E131" s="3970"/>
      <c r="F131" s="3970"/>
      <c r="G131" s="3970"/>
      <c r="H131" s="3970"/>
      <c r="I131" s="3970"/>
    </row>
    <row r="132" spans="2:10" ht="90.95" customHeight="1">
      <c r="B132" s="2363"/>
      <c r="E132" s="4238" t="s">
        <v>9692</v>
      </c>
      <c r="F132" s="4238"/>
      <c r="G132" s="4238"/>
      <c r="H132" s="4238"/>
      <c r="I132" s="4238"/>
      <c r="J132" s="2365"/>
    </row>
    <row r="133" spans="2:10">
      <c r="E133" s="4236" t="s">
        <v>8041</v>
      </c>
      <c r="F133" s="4236"/>
      <c r="G133" s="4236"/>
      <c r="H133" s="4236"/>
      <c r="I133" s="4236"/>
      <c r="J133" s="4236"/>
    </row>
    <row r="134" spans="2:10">
      <c r="E134" s="4235" t="s">
        <v>7399</v>
      </c>
      <c r="F134" s="4235"/>
      <c r="G134" s="4235"/>
      <c r="H134" s="4235"/>
      <c r="I134" s="4235"/>
      <c r="J134" s="2365"/>
    </row>
    <row r="135" spans="2:10">
      <c r="E135" s="4236" t="s">
        <v>8042</v>
      </c>
      <c r="F135" s="4236"/>
      <c r="G135" s="4236"/>
      <c r="H135" s="4236"/>
      <c r="I135" s="4236"/>
      <c r="J135" s="2365"/>
    </row>
    <row r="136" spans="2:10">
      <c r="E136" s="4241" t="s">
        <v>8043</v>
      </c>
      <c r="F136" s="4241"/>
      <c r="G136" s="4241"/>
      <c r="H136" s="4241"/>
      <c r="I136" s="4241"/>
    </row>
    <row r="137" spans="2:10">
      <c r="E137" s="4241" t="s">
        <v>8044</v>
      </c>
      <c r="F137" s="4241"/>
      <c r="G137" s="4241"/>
      <c r="H137" s="4241"/>
      <c r="I137" s="4241"/>
    </row>
    <row r="151" spans="2:10" ht="5.0999999999999996" customHeight="1">
      <c r="B151" s="2571"/>
      <c r="C151" s="2571"/>
      <c r="D151" s="2571"/>
      <c r="E151" s="2571"/>
      <c r="F151" s="2571"/>
      <c r="G151" s="2571"/>
      <c r="H151" s="2557"/>
      <c r="I151" s="2557"/>
    </row>
    <row r="152" spans="2:10">
      <c r="B152" s="3970" t="s">
        <v>8045</v>
      </c>
      <c r="C152" s="3970"/>
      <c r="D152" s="3970"/>
      <c r="E152" s="3970"/>
      <c r="F152" s="3970"/>
      <c r="G152" s="3970"/>
      <c r="H152" s="3970"/>
      <c r="I152" s="3970"/>
    </row>
    <row r="153" spans="2:10">
      <c r="B153" s="2363"/>
      <c r="E153" s="4236" t="s">
        <v>8047</v>
      </c>
      <c r="F153" s="4236"/>
      <c r="G153" s="4236"/>
      <c r="H153" s="4236"/>
      <c r="I153" s="4236"/>
      <c r="J153" s="4236"/>
    </row>
    <row r="154" spans="2:10" ht="104.1" customHeight="1">
      <c r="E154" s="4238" t="s">
        <v>8050</v>
      </c>
      <c r="F154" s="4238"/>
      <c r="G154" s="4238"/>
      <c r="H154" s="4238"/>
      <c r="I154" s="4238"/>
    </row>
    <row r="155" spans="2:10">
      <c r="E155" s="4235" t="s">
        <v>7399</v>
      </c>
      <c r="F155" s="4235"/>
      <c r="G155" s="4235"/>
      <c r="H155" s="4235"/>
      <c r="I155" s="4235"/>
    </row>
    <row r="156" spans="2:10">
      <c r="E156" s="4236" t="s">
        <v>8048</v>
      </c>
      <c r="F156" s="4236"/>
      <c r="G156" s="4236"/>
      <c r="H156" s="4236"/>
      <c r="I156" s="4236"/>
    </row>
    <row r="157" spans="2:10">
      <c r="E157" s="4236" t="s">
        <v>8049</v>
      </c>
      <c r="F157" s="4236"/>
      <c r="G157" s="4236"/>
      <c r="H157" s="4236"/>
      <c r="I157" s="4236"/>
    </row>
    <row r="158" spans="2:10">
      <c r="E158" s="4237" t="s">
        <v>8051</v>
      </c>
      <c r="F158" s="4237"/>
      <c r="G158" s="4237"/>
      <c r="H158" s="4237"/>
      <c r="I158" s="4237"/>
    </row>
    <row r="159" spans="2:10" ht="26.1" customHeight="1">
      <c r="E159" s="4238" t="s">
        <v>8052</v>
      </c>
      <c r="F159" s="4238"/>
      <c r="G159" s="4238"/>
      <c r="H159" s="4238"/>
      <c r="I159" s="4238"/>
    </row>
    <row r="160" spans="2:10" ht="26.1" customHeight="1">
      <c r="E160" s="4238" t="s">
        <v>8053</v>
      </c>
      <c r="F160" s="4238"/>
      <c r="G160" s="4238"/>
      <c r="H160" s="4238"/>
      <c r="I160" s="4238"/>
    </row>
    <row r="161" spans="2:9" ht="26.1" customHeight="1">
      <c r="E161" s="4238" t="s">
        <v>8054</v>
      </c>
      <c r="F161" s="4238"/>
      <c r="G161" s="4238"/>
      <c r="H161" s="4238"/>
      <c r="I161" s="4238"/>
    </row>
    <row r="162" spans="2:9" ht="26.1" customHeight="1">
      <c r="E162" s="4238" t="s">
        <v>8055</v>
      </c>
      <c r="F162" s="4238"/>
      <c r="G162" s="4238"/>
      <c r="H162" s="4238"/>
      <c r="I162" s="4238"/>
    </row>
    <row r="163" spans="2:9" ht="26.1" customHeight="1">
      <c r="E163" s="4238" t="s">
        <v>8056</v>
      </c>
      <c r="F163" s="4238"/>
      <c r="G163" s="4238"/>
      <c r="H163" s="4238"/>
      <c r="I163" s="4238"/>
    </row>
    <row r="164" spans="2:9" ht="5.0999999999999996" customHeight="1" thickBot="1">
      <c r="E164" s="4238"/>
      <c r="F164" s="4238"/>
      <c r="G164" s="4238"/>
      <c r="H164" s="4238"/>
      <c r="I164" s="4238"/>
    </row>
    <row r="165" spans="2:9" ht="26.1" customHeight="1">
      <c r="B165" s="4239" t="s">
        <v>9846</v>
      </c>
      <c r="C165" s="3682"/>
      <c r="D165" s="3682"/>
      <c r="E165" s="3682"/>
      <c r="F165" s="3682"/>
      <c r="G165" s="3682"/>
      <c r="H165" s="3682"/>
      <c r="I165" s="4240"/>
    </row>
    <row r="166" spans="2:9" ht="13.5" thickBot="1">
      <c r="B166" s="4232" t="s">
        <v>9847</v>
      </c>
      <c r="C166" s="4233"/>
      <c r="D166" s="4233"/>
      <c r="E166" s="4233"/>
      <c r="F166" s="4233"/>
      <c r="G166" s="4233"/>
      <c r="H166" s="4233"/>
      <c r="I166" s="4234"/>
    </row>
  </sheetData>
  <sheetProtection autoFilter="0"/>
  <mergeCells count="116">
    <mergeCell ref="B113:I113"/>
    <mergeCell ref="D114:I114"/>
    <mergeCell ref="D115:I115"/>
    <mergeCell ref="B4:I4"/>
    <mergeCell ref="B6:I6"/>
    <mergeCell ref="E25:I25"/>
    <mergeCell ref="E26:I26"/>
    <mergeCell ref="B24:I24"/>
    <mergeCell ref="E41:I41"/>
    <mergeCell ref="E29:I29"/>
    <mergeCell ref="E30:I30"/>
    <mergeCell ref="E31:I31"/>
    <mergeCell ref="E32:I32"/>
    <mergeCell ref="E33:I33"/>
    <mergeCell ref="E35:I35"/>
    <mergeCell ref="E34:I34"/>
    <mergeCell ref="B37:I37"/>
    <mergeCell ref="E38:I38"/>
    <mergeCell ref="E27:I27"/>
    <mergeCell ref="E39:I39"/>
    <mergeCell ref="E40:I40"/>
    <mergeCell ref="E28:I28"/>
    <mergeCell ref="E54:I54"/>
    <mergeCell ref="E42:I42"/>
    <mergeCell ref="B1:C1"/>
    <mergeCell ref="B21:I21"/>
    <mergeCell ref="B22:I22"/>
    <mergeCell ref="D1:I1"/>
    <mergeCell ref="B3:I3"/>
    <mergeCell ref="B7:I7"/>
    <mergeCell ref="B9:I9"/>
    <mergeCell ref="B10:I10"/>
    <mergeCell ref="B11:I11"/>
    <mergeCell ref="B12:I12"/>
    <mergeCell ref="B13:I13"/>
    <mergeCell ref="B14:I14"/>
    <mergeCell ref="B15:I15"/>
    <mergeCell ref="B16:I16"/>
    <mergeCell ref="E43:I43"/>
    <mergeCell ref="E44:I44"/>
    <mergeCell ref="E45:I45"/>
    <mergeCell ref="E46:I46"/>
    <mergeCell ref="E47:I47"/>
    <mergeCell ref="B49:I49"/>
    <mergeCell ref="E50:I50"/>
    <mergeCell ref="E51:I51"/>
    <mergeCell ref="E52:I52"/>
    <mergeCell ref="E53:I53"/>
    <mergeCell ref="G68:I68"/>
    <mergeCell ref="G62:I62"/>
    <mergeCell ref="E55:I55"/>
    <mergeCell ref="E56:I56"/>
    <mergeCell ref="E57:I57"/>
    <mergeCell ref="E58:I58"/>
    <mergeCell ref="E59:I59"/>
    <mergeCell ref="B61:I61"/>
    <mergeCell ref="G63:I63"/>
    <mergeCell ref="G64:I64"/>
    <mergeCell ref="G65:I65"/>
    <mergeCell ref="G66:I66"/>
    <mergeCell ref="G67:I67"/>
    <mergeCell ref="G81:I81"/>
    <mergeCell ref="G69:I69"/>
    <mergeCell ref="G70:I70"/>
    <mergeCell ref="G71:I71"/>
    <mergeCell ref="G72:I72"/>
    <mergeCell ref="G73:I73"/>
    <mergeCell ref="G74:I74"/>
    <mergeCell ref="G75:I75"/>
    <mergeCell ref="B77:I77"/>
    <mergeCell ref="G78:I78"/>
    <mergeCell ref="G79:I79"/>
    <mergeCell ref="G80:I80"/>
    <mergeCell ref="G89:I89"/>
    <mergeCell ref="G90:I90"/>
    <mergeCell ref="G82:I82"/>
    <mergeCell ref="G91:I92"/>
    <mergeCell ref="B97:I97"/>
    <mergeCell ref="G83:I83"/>
    <mergeCell ref="G84:I84"/>
    <mergeCell ref="G85:I85"/>
    <mergeCell ref="G86:I86"/>
    <mergeCell ref="G87:I87"/>
    <mergeCell ref="G88:I88"/>
    <mergeCell ref="E104:I104"/>
    <mergeCell ref="E105:I105"/>
    <mergeCell ref="E106:I106"/>
    <mergeCell ref="E107:I107"/>
    <mergeCell ref="E98:I98"/>
    <mergeCell ref="E99:I99"/>
    <mergeCell ref="E100:I100"/>
    <mergeCell ref="E101:I101"/>
    <mergeCell ref="E102:I102"/>
    <mergeCell ref="E103:I103"/>
    <mergeCell ref="E137:I137"/>
    <mergeCell ref="E132:I132"/>
    <mergeCell ref="B152:I152"/>
    <mergeCell ref="E153:J153"/>
    <mergeCell ref="E154:I154"/>
    <mergeCell ref="B131:I131"/>
    <mergeCell ref="E133:J133"/>
    <mergeCell ref="E134:I134"/>
    <mergeCell ref="E135:I135"/>
    <mergeCell ref="E136:I136"/>
    <mergeCell ref="B166:I166"/>
    <mergeCell ref="E155:I155"/>
    <mergeCell ref="E156:I156"/>
    <mergeCell ref="E157:I157"/>
    <mergeCell ref="E158:I158"/>
    <mergeCell ref="E159:I159"/>
    <mergeCell ref="E160:I160"/>
    <mergeCell ref="E161:I161"/>
    <mergeCell ref="E162:I162"/>
    <mergeCell ref="E163:I163"/>
    <mergeCell ref="E164:I164"/>
    <mergeCell ref="B165:I165"/>
  </mergeCells>
  <hyperlinks>
    <hyperlink ref="B1" location="Index!A1" display="Назад"/>
    <hyperlink ref="B166:I166" r:id="rId1" display="     Подробную информацию о шаблонох можно почитать на русском форуме heroesportal.net по этой ссылке."/>
  </hyperlinks>
  <printOptions horizontalCentered="1"/>
  <pageMargins left="0.23622047244094491" right="0.23622047244094491" top="0.74803149606299213" bottom="0.74803149606299213" header="0.31496062992125984" footer="0.31496062992125984"/>
  <pageSetup paperSize="9" scale="89" orientation="landscape" r:id="rId2"/>
  <headerFooter alignWithMargins="0"/>
  <rowBreaks count="6" manualBreakCount="6">
    <brk id="23" max="8" man="1"/>
    <brk id="48" max="8" man="1"/>
    <brk id="75" max="8" man="1"/>
    <brk id="95" max="8" man="1"/>
    <brk id="129" max="8" man="1"/>
    <brk id="150" max="8" man="1"/>
  </rowBreaks>
  <drawing r:id="rId3"/>
</worksheet>
</file>

<file path=xl/worksheets/sheet107.xml><?xml version="1.0" encoding="utf-8"?>
<worksheet xmlns="http://schemas.openxmlformats.org/spreadsheetml/2006/main" xmlns:r="http://schemas.openxmlformats.org/officeDocument/2006/relationships">
  <dimension ref="B1:G46"/>
  <sheetViews>
    <sheetView zoomScaleNormal="100" workbookViewId="0">
      <pane ySplit="5" topLeftCell="A6" activePane="bottomLeft" state="frozen"/>
      <selection pane="bottomLeft"/>
    </sheetView>
  </sheetViews>
  <sheetFormatPr defaultRowHeight="12.75"/>
  <cols>
    <col min="1" max="1" width="3.7109375" style="1893" customWidth="1"/>
    <col min="2" max="2" width="31.7109375" style="292" customWidth="1"/>
    <col min="3" max="3" width="10.140625" style="1897" bestFit="1" customWidth="1"/>
    <col min="4" max="4" width="37.7109375" style="1897" customWidth="1"/>
    <col min="5" max="5" width="10.140625" style="1897" bestFit="1" customWidth="1"/>
    <col min="6" max="6" width="37.7109375" style="1897" customWidth="1"/>
    <col min="7" max="7" width="10.140625" style="1897" bestFit="1" customWidth="1"/>
    <col min="8" max="8" width="5.7109375" style="1893" bestFit="1" customWidth="1"/>
    <col min="9" max="9" width="9.140625" style="1893"/>
    <col min="10" max="10" width="9.140625" style="1893" customWidth="1"/>
    <col min="11" max="16384" width="9.140625" style="1893"/>
  </cols>
  <sheetData>
    <row r="1" spans="2:7">
      <c r="B1" s="1894" t="s">
        <v>2706</v>
      </c>
      <c r="C1" s="2983" t="s">
        <v>8269</v>
      </c>
      <c r="D1" s="2983"/>
      <c r="E1" s="2983"/>
      <c r="F1" s="2983"/>
      <c r="G1" s="2983"/>
    </row>
    <row r="2" spans="2:7" ht="5.0999999999999996" customHeight="1">
      <c r="B2" s="1895"/>
      <c r="C2" s="377"/>
      <c r="D2" s="377"/>
      <c r="E2" s="377"/>
      <c r="F2" s="377"/>
      <c r="G2" s="377"/>
    </row>
    <row r="3" spans="2:7">
      <c r="B3" s="3266" t="s">
        <v>8714</v>
      </c>
      <c r="C3" s="3266"/>
      <c r="D3" s="3266"/>
      <c r="E3" s="3266"/>
      <c r="F3" s="3266"/>
      <c r="G3" s="3266"/>
    </row>
    <row r="4" spans="2:7" s="1896" customFormat="1" ht="11.25">
      <c r="B4" s="3267" t="s">
        <v>7176</v>
      </c>
      <c r="C4" s="3268"/>
      <c r="D4" s="3268"/>
      <c r="E4" s="3268"/>
      <c r="F4" s="3268"/>
      <c r="G4" s="3268"/>
    </row>
    <row r="5" spans="2:7" ht="5.0999999999999996" customHeight="1"/>
    <row r="6" spans="2:7" ht="51.95" customHeight="1">
      <c r="B6" s="4242" t="s">
        <v>9693</v>
      </c>
      <c r="C6" s="4242"/>
      <c r="D6" s="4242"/>
      <c r="E6" s="4242"/>
      <c r="F6" s="4242"/>
      <c r="G6" s="4242"/>
    </row>
    <row r="7" spans="2:7" ht="26.1" customHeight="1">
      <c r="B7" s="4242" t="s">
        <v>10159</v>
      </c>
      <c r="C7" s="4242"/>
      <c r="D7" s="4242"/>
      <c r="E7" s="4242"/>
      <c r="F7" s="4242"/>
      <c r="G7" s="4242"/>
    </row>
    <row r="8" spans="2:7" ht="5.0999999999999996" customHeight="1" thickBot="1"/>
    <row r="9" spans="2:7" ht="13.5" thickBot="1">
      <c r="B9" s="1884" t="s">
        <v>2392</v>
      </c>
      <c r="C9" s="1898" t="s">
        <v>7177</v>
      </c>
      <c r="D9" s="1884" t="s">
        <v>2392</v>
      </c>
      <c r="E9" s="1899" t="s">
        <v>7177</v>
      </c>
      <c r="F9" s="1885" t="s">
        <v>2392</v>
      </c>
      <c r="G9" s="1899" t="s">
        <v>7177</v>
      </c>
    </row>
    <row r="10" spans="2:7">
      <c r="B10" s="1900" t="s">
        <v>5140</v>
      </c>
      <c r="C10" s="4249" t="s">
        <v>7436</v>
      </c>
      <c r="D10" s="1900" t="s">
        <v>6579</v>
      </c>
      <c r="E10" s="4250" t="s">
        <v>7438</v>
      </c>
      <c r="F10" s="1901" t="s">
        <v>1982</v>
      </c>
      <c r="G10" s="2333" t="s">
        <v>7442</v>
      </c>
    </row>
    <row r="11" spans="2:7">
      <c r="B11" s="1902" t="s">
        <v>2144</v>
      </c>
      <c r="C11" s="4248"/>
      <c r="D11" s="1902" t="s">
        <v>7178</v>
      </c>
      <c r="E11" s="4247"/>
      <c r="F11" s="1903" t="s">
        <v>7179</v>
      </c>
      <c r="G11" s="4247" t="s">
        <v>7443</v>
      </c>
    </row>
    <row r="12" spans="2:7">
      <c r="B12" s="1904" t="s">
        <v>876</v>
      </c>
      <c r="C12" s="4248"/>
      <c r="D12" s="1904" t="s">
        <v>2044</v>
      </c>
      <c r="E12" s="4247"/>
      <c r="F12" s="1905" t="s">
        <v>7180</v>
      </c>
      <c r="G12" s="4247"/>
    </row>
    <row r="13" spans="2:7">
      <c r="B13" s="1902" t="s">
        <v>6587</v>
      </c>
      <c r="C13" s="4248"/>
      <c r="D13" s="1902" t="s">
        <v>42</v>
      </c>
      <c r="E13" s="4247"/>
      <c r="F13" s="1903" t="s">
        <v>7181</v>
      </c>
      <c r="G13" s="4247" t="s">
        <v>7444</v>
      </c>
    </row>
    <row r="14" spans="2:7">
      <c r="B14" s="1904" t="s">
        <v>2404</v>
      </c>
      <c r="C14" s="4248"/>
      <c r="D14" s="1904" t="s">
        <v>7182</v>
      </c>
      <c r="E14" s="4247"/>
      <c r="F14" s="1905" t="s">
        <v>7183</v>
      </c>
      <c r="G14" s="4247"/>
    </row>
    <row r="15" spans="2:7">
      <c r="B15" s="1902" t="s">
        <v>724</v>
      </c>
      <c r="C15" s="4248"/>
      <c r="D15" s="1902" t="s">
        <v>5608</v>
      </c>
      <c r="E15" s="4247"/>
      <c r="F15" s="1903" t="s">
        <v>1123</v>
      </c>
      <c r="G15" s="4247"/>
    </row>
    <row r="16" spans="2:7">
      <c r="B16" s="1904" t="s">
        <v>1843</v>
      </c>
      <c r="C16" s="4248"/>
      <c r="D16" s="1904" t="s">
        <v>5613</v>
      </c>
      <c r="E16" s="4247"/>
      <c r="F16" s="1905" t="s">
        <v>540</v>
      </c>
      <c r="G16" s="4247"/>
    </row>
    <row r="17" spans="2:7">
      <c r="B17" s="1902" t="s">
        <v>1456</v>
      </c>
      <c r="C17" s="4248"/>
      <c r="D17" s="1902" t="s">
        <v>1292</v>
      </c>
      <c r="E17" s="4247"/>
      <c r="F17" s="1903" t="s">
        <v>7184</v>
      </c>
      <c r="G17" s="4247"/>
    </row>
    <row r="18" spans="2:7">
      <c r="B18" s="1904" t="s">
        <v>5612</v>
      </c>
      <c r="C18" s="4248"/>
      <c r="D18" s="1904" t="s">
        <v>875</v>
      </c>
      <c r="E18" s="4247"/>
      <c r="F18" s="1905" t="s">
        <v>7185</v>
      </c>
      <c r="G18" s="4247"/>
    </row>
    <row r="19" spans="2:7" ht="25.5">
      <c r="B19" s="1902" t="s">
        <v>2394</v>
      </c>
      <c r="C19" s="4248"/>
      <c r="D19" s="1902" t="s">
        <v>5607</v>
      </c>
      <c r="E19" s="4247"/>
      <c r="F19" s="1903" t="s">
        <v>7186</v>
      </c>
      <c r="G19" s="4247"/>
    </row>
    <row r="20" spans="2:7" ht="25.5">
      <c r="B20" s="1904" t="s">
        <v>5604</v>
      </c>
      <c r="C20" s="4248"/>
      <c r="D20" s="1904" t="s">
        <v>6659</v>
      </c>
      <c r="E20" s="4247"/>
      <c r="F20" s="1905" t="s">
        <v>7187</v>
      </c>
      <c r="G20" s="2332" t="s">
        <v>7445</v>
      </c>
    </row>
    <row r="21" spans="2:7">
      <c r="B21" s="1902" t="s">
        <v>1980</v>
      </c>
      <c r="C21" s="4248"/>
      <c r="D21" s="1902" t="s">
        <v>5586</v>
      </c>
      <c r="E21" s="4247" t="s">
        <v>7439</v>
      </c>
      <c r="F21" s="1903" t="s">
        <v>7188</v>
      </c>
      <c r="G21" s="4247" t="s">
        <v>7446</v>
      </c>
    </row>
    <row r="22" spans="2:7">
      <c r="B22" s="1904" t="s">
        <v>943</v>
      </c>
      <c r="C22" s="4248" t="s">
        <v>7432</v>
      </c>
      <c r="D22" s="1904" t="s">
        <v>7189</v>
      </c>
      <c r="E22" s="4247"/>
      <c r="F22" s="1905" t="s">
        <v>412</v>
      </c>
      <c r="G22" s="4247"/>
    </row>
    <row r="23" spans="2:7">
      <c r="B23" s="1902" t="s">
        <v>342</v>
      </c>
      <c r="C23" s="4248"/>
      <c r="D23" s="1902" t="s">
        <v>7190</v>
      </c>
      <c r="E23" s="4247"/>
      <c r="F23" s="1903" t="s">
        <v>7191</v>
      </c>
      <c r="G23" s="4247" t="s">
        <v>7447</v>
      </c>
    </row>
    <row r="24" spans="2:7">
      <c r="B24" s="1904" t="s">
        <v>318</v>
      </c>
      <c r="C24" s="4248" t="s">
        <v>7433</v>
      </c>
      <c r="D24" s="1904" t="s">
        <v>7192</v>
      </c>
      <c r="E24" s="4247"/>
      <c r="F24" s="1905" t="s">
        <v>7193</v>
      </c>
      <c r="G24" s="4247"/>
    </row>
    <row r="25" spans="2:7">
      <c r="B25" s="1902" t="s">
        <v>1536</v>
      </c>
      <c r="C25" s="4248"/>
      <c r="D25" s="1902" t="s">
        <v>7194</v>
      </c>
      <c r="E25" s="4247"/>
      <c r="F25" s="1903" t="s">
        <v>7195</v>
      </c>
      <c r="G25" s="4247"/>
    </row>
    <row r="26" spans="2:7">
      <c r="B26" s="1904" t="s">
        <v>5621</v>
      </c>
      <c r="C26" s="4248"/>
      <c r="D26" s="1904" t="s">
        <v>542</v>
      </c>
      <c r="E26" s="4247"/>
      <c r="F26" s="1905" t="s">
        <v>5576</v>
      </c>
      <c r="G26" s="4247" t="s">
        <v>7448</v>
      </c>
    </row>
    <row r="27" spans="2:7">
      <c r="B27" s="1902" t="s">
        <v>7196</v>
      </c>
      <c r="C27" s="4248"/>
      <c r="D27" s="1902" t="s">
        <v>5606</v>
      </c>
      <c r="E27" s="4247"/>
      <c r="F27" s="1903" t="s">
        <v>7197</v>
      </c>
      <c r="G27" s="4247"/>
    </row>
    <row r="28" spans="2:7" ht="25.5">
      <c r="B28" s="1904" t="s">
        <v>941</v>
      </c>
      <c r="C28" s="4248"/>
      <c r="D28" s="1904" t="s">
        <v>7198</v>
      </c>
      <c r="E28" s="4247"/>
      <c r="F28" s="1905" t="s">
        <v>7199</v>
      </c>
      <c r="G28" s="4247"/>
    </row>
    <row r="29" spans="2:7">
      <c r="B29" s="1902" t="s">
        <v>334</v>
      </c>
      <c r="C29" s="4248"/>
      <c r="D29" s="1902" t="s">
        <v>7200</v>
      </c>
      <c r="E29" s="4247"/>
      <c r="F29" s="1903" t="s">
        <v>7201</v>
      </c>
      <c r="G29" s="4247"/>
    </row>
    <row r="30" spans="2:7">
      <c r="B30" s="1904" t="s">
        <v>6663</v>
      </c>
      <c r="C30" s="4248"/>
      <c r="D30" s="1904" t="s">
        <v>1929</v>
      </c>
      <c r="E30" s="4247"/>
      <c r="F30" s="1905" t="s">
        <v>2083</v>
      </c>
      <c r="G30" s="4247"/>
    </row>
    <row r="31" spans="2:7">
      <c r="B31" s="1902" t="s">
        <v>525</v>
      </c>
      <c r="C31" s="4248"/>
      <c r="D31" s="1902" t="s">
        <v>7202</v>
      </c>
      <c r="E31" s="4247" t="s">
        <v>7440</v>
      </c>
      <c r="F31" s="1903" t="s">
        <v>7203</v>
      </c>
      <c r="G31" s="4247" t="s">
        <v>7449</v>
      </c>
    </row>
    <row r="32" spans="2:7">
      <c r="B32" s="1904" t="s">
        <v>173</v>
      </c>
      <c r="C32" s="4248" t="s">
        <v>7434</v>
      </c>
      <c r="D32" s="1904" t="s">
        <v>1522</v>
      </c>
      <c r="E32" s="4247"/>
      <c r="F32" s="1905" t="s">
        <v>7204</v>
      </c>
      <c r="G32" s="4247"/>
    </row>
    <row r="33" spans="2:7">
      <c r="B33" s="1902" t="s">
        <v>7205</v>
      </c>
      <c r="C33" s="4248"/>
      <c r="D33" s="1902" t="s">
        <v>2487</v>
      </c>
      <c r="E33" s="4247"/>
      <c r="F33" s="1903" t="s">
        <v>1097</v>
      </c>
      <c r="G33" s="4247"/>
    </row>
    <row r="34" spans="2:7">
      <c r="B34" s="1904" t="s">
        <v>528</v>
      </c>
      <c r="C34" s="4248"/>
      <c r="D34" s="1904" t="s">
        <v>7206</v>
      </c>
      <c r="E34" s="4247"/>
      <c r="F34" s="1905" t="s">
        <v>1657</v>
      </c>
      <c r="G34" s="4247"/>
    </row>
    <row r="35" spans="2:7" ht="38.25">
      <c r="B35" s="1902" t="s">
        <v>1276</v>
      </c>
      <c r="C35" s="4248" t="s">
        <v>7435</v>
      </c>
      <c r="D35" s="1902" t="s">
        <v>7207</v>
      </c>
      <c r="E35" s="4251" t="s">
        <v>7441</v>
      </c>
      <c r="F35" s="1903" t="s">
        <v>7208</v>
      </c>
      <c r="G35" s="2332" t="s">
        <v>7450</v>
      </c>
    </row>
    <row r="36" spans="2:7">
      <c r="B36" s="1904" t="s">
        <v>1661</v>
      </c>
      <c r="C36" s="4248"/>
      <c r="D36" s="1904" t="s">
        <v>1300</v>
      </c>
      <c r="E36" s="4252"/>
      <c r="F36" s="1905" t="s">
        <v>1434</v>
      </c>
      <c r="G36" s="2332" t="s">
        <v>7451</v>
      </c>
    </row>
    <row r="37" spans="2:7" ht="25.5">
      <c r="B37" s="1902" t="s">
        <v>6636</v>
      </c>
      <c r="C37" s="4248"/>
      <c r="D37" s="1902" t="s">
        <v>1444</v>
      </c>
      <c r="E37" s="4252"/>
      <c r="F37" s="1903" t="s">
        <v>7209</v>
      </c>
      <c r="G37" s="2332" t="s">
        <v>7452</v>
      </c>
    </row>
    <row r="38" spans="2:7">
      <c r="B38" s="1904" t="s">
        <v>7210</v>
      </c>
      <c r="C38" s="4248" t="s">
        <v>7437</v>
      </c>
      <c r="D38" s="1904" t="s">
        <v>1449</v>
      </c>
      <c r="E38" s="4252"/>
      <c r="F38" s="4255"/>
      <c r="G38" s="4256"/>
    </row>
    <row r="39" spans="2:7" ht="13.5" thickBot="1">
      <c r="B39" s="1906" t="s">
        <v>7211</v>
      </c>
      <c r="C39" s="4254"/>
      <c r="D39" s="1906" t="s">
        <v>7212</v>
      </c>
      <c r="E39" s="4253"/>
      <c r="F39" s="4257"/>
      <c r="G39" s="4258"/>
    </row>
    <row r="40" spans="2:7" ht="5.0999999999999996" customHeight="1"/>
    <row r="41" spans="2:7" ht="51.95" customHeight="1">
      <c r="B41" s="2960" t="s">
        <v>9694</v>
      </c>
      <c r="C41" s="2960"/>
      <c r="D41" s="2960"/>
      <c r="E41" s="2960"/>
      <c r="F41" s="2960"/>
      <c r="G41" s="2960"/>
    </row>
    <row r="42" spans="2:7" ht="26.1" customHeight="1">
      <c r="B42" s="2960" t="s">
        <v>9695</v>
      </c>
      <c r="C42" s="2960"/>
      <c r="D42" s="2960"/>
      <c r="E42" s="2960"/>
      <c r="F42" s="2960"/>
      <c r="G42" s="2960"/>
    </row>
    <row r="43" spans="2:7">
      <c r="B43" s="3000" t="s">
        <v>9696</v>
      </c>
      <c r="C43" s="3000"/>
      <c r="D43" s="3000"/>
      <c r="E43" s="3000"/>
      <c r="F43" s="3000"/>
      <c r="G43" s="3000"/>
    </row>
    <row r="44" spans="2:7">
      <c r="B44" s="3000" t="s">
        <v>9697</v>
      </c>
      <c r="C44" s="3000"/>
      <c r="D44" s="3000"/>
      <c r="E44" s="3000"/>
      <c r="F44" s="3000"/>
      <c r="G44" s="3000"/>
    </row>
    <row r="45" spans="2:7">
      <c r="B45" s="3000" t="s">
        <v>9698</v>
      </c>
      <c r="C45" s="3000"/>
      <c r="D45" s="3000"/>
      <c r="E45" s="3000"/>
      <c r="F45" s="3000"/>
      <c r="G45" s="3000"/>
    </row>
    <row r="46" spans="2:7" ht="39" customHeight="1">
      <c r="B46" s="2960" t="s">
        <v>9699</v>
      </c>
      <c r="C46" s="2960"/>
      <c r="D46" s="2960"/>
      <c r="E46" s="2960"/>
      <c r="F46" s="2960"/>
      <c r="G46" s="2960"/>
    </row>
  </sheetData>
  <sheetProtection autoFilter="0"/>
  <mergeCells count="28">
    <mergeCell ref="B44:G44"/>
    <mergeCell ref="B45:G45"/>
    <mergeCell ref="B46:G46"/>
    <mergeCell ref="C35:C37"/>
    <mergeCell ref="E35:E39"/>
    <mergeCell ref="C38:C39"/>
    <mergeCell ref="B41:G41"/>
    <mergeCell ref="B42:G42"/>
    <mergeCell ref="B43:G43"/>
    <mergeCell ref="F38:G39"/>
    <mergeCell ref="G13:G19"/>
    <mergeCell ref="E21:E30"/>
    <mergeCell ref="G21:G22"/>
    <mergeCell ref="C22:C23"/>
    <mergeCell ref="G23:G25"/>
    <mergeCell ref="C24:C31"/>
    <mergeCell ref="G26:G30"/>
    <mergeCell ref="E31:E34"/>
    <mergeCell ref="G31:G34"/>
    <mergeCell ref="C32:C34"/>
    <mergeCell ref="C10:C21"/>
    <mergeCell ref="E10:E20"/>
    <mergeCell ref="G11:G12"/>
    <mergeCell ref="C1:G1"/>
    <mergeCell ref="B3:G3"/>
    <mergeCell ref="B4:G4"/>
    <mergeCell ref="B6:G6"/>
    <mergeCell ref="B7:G7"/>
  </mergeCells>
  <hyperlinks>
    <hyperlink ref="B1" location="Index!A1" display="Назад"/>
  </hyperlinks>
  <printOptions horizontalCentered="1"/>
  <pageMargins left="0.23622047244094491" right="0.23622047244094491" top="0.74803149606299213" bottom="0.74803149606299213" header="0.31496062992125984" footer="0.31496062992125984"/>
  <pageSetup paperSize="9" orientation="landscape" r:id="rId1"/>
  <headerFooter alignWithMargins="0"/>
  <rowBreaks count="1" manualBreakCount="1">
    <brk id="30" max="6" man="1"/>
  </rowBreaks>
</worksheet>
</file>

<file path=xl/worksheets/sheet108.xml><?xml version="1.0" encoding="utf-8"?>
<worksheet xmlns="http://schemas.openxmlformats.org/spreadsheetml/2006/main" xmlns:r="http://schemas.openxmlformats.org/officeDocument/2006/relationships">
  <dimension ref="B1:D26"/>
  <sheetViews>
    <sheetView zoomScaleNormal="100" workbookViewId="0">
      <pane ySplit="5" topLeftCell="A6" activePane="bottomLeft" state="frozen"/>
      <selection pane="bottomLeft" activeCell="B1" sqref="B1"/>
    </sheetView>
  </sheetViews>
  <sheetFormatPr defaultRowHeight="12.95" customHeight="1"/>
  <cols>
    <col min="1" max="1" width="3.7109375" style="292" customWidth="1"/>
    <col min="2" max="2" width="9.140625" style="292"/>
    <col min="3" max="4" width="55.7109375" style="292" customWidth="1"/>
    <col min="5" max="16384" width="9.140625" style="292"/>
  </cols>
  <sheetData>
    <row r="1" spans="2:4" ht="12.95" customHeight="1">
      <c r="B1" s="313" t="s">
        <v>2706</v>
      </c>
      <c r="C1" s="2973" t="s">
        <v>8269</v>
      </c>
      <c r="D1" s="2973"/>
    </row>
    <row r="2" spans="2:4" ht="5.0999999999999996" customHeight="1"/>
    <row r="3" spans="2:4" ht="12.95" customHeight="1">
      <c r="B3" s="2978" t="s">
        <v>5157</v>
      </c>
      <c r="C3" s="2978"/>
      <c r="D3" s="2978"/>
    </row>
    <row r="4" spans="2:4" ht="12.75">
      <c r="B4" s="3130" t="s">
        <v>5664</v>
      </c>
      <c r="C4" s="3130"/>
      <c r="D4" s="3130"/>
    </row>
    <row r="5" spans="2:4" ht="5.0999999999999996" customHeight="1"/>
    <row r="6" spans="2:4" ht="12.95" customHeight="1">
      <c r="B6" s="3000" t="s">
        <v>9702</v>
      </c>
      <c r="C6" s="3000"/>
      <c r="D6" s="3000"/>
    </row>
    <row r="7" spans="2:4" ht="26.1" customHeight="1">
      <c r="B7" s="4260" t="s">
        <v>5107</v>
      </c>
      <c r="C7" s="4260"/>
      <c r="D7" s="4260"/>
    </row>
    <row r="8" spans="2:4" ht="12.95" customHeight="1">
      <c r="B8" s="4130" t="s">
        <v>9988</v>
      </c>
      <c r="C8" s="4130"/>
      <c r="D8" s="4130"/>
    </row>
    <row r="9" spans="2:4" ht="12.95" customHeight="1">
      <c r="B9" s="384" t="s">
        <v>304</v>
      </c>
      <c r="C9" s="385" t="s">
        <v>5108</v>
      </c>
    </row>
    <row r="10" spans="2:4" ht="12.95" customHeight="1">
      <c r="C10" s="385" t="s">
        <v>5109</v>
      </c>
    </row>
    <row r="11" spans="2:4" ht="26.1" customHeight="1">
      <c r="C11" s="4261" t="s">
        <v>5665</v>
      </c>
      <c r="D11" s="4261"/>
    </row>
    <row r="12" spans="2:4" ht="12.95" customHeight="1">
      <c r="C12" s="4259" t="s">
        <v>5110</v>
      </c>
      <c r="D12" s="4259"/>
    </row>
    <row r="13" spans="2:4" ht="12.95" customHeight="1">
      <c r="C13" s="385" t="s">
        <v>5111</v>
      </c>
    </row>
    <row r="14" spans="2:4" ht="5.0999999999999996" customHeight="1"/>
    <row r="15" spans="2:4" ht="39" customHeight="1">
      <c r="B15" s="3134" t="s">
        <v>9700</v>
      </c>
      <c r="C15" s="3134"/>
      <c r="D15" s="3134"/>
    </row>
    <row r="16" spans="2:4" ht="104.1" customHeight="1">
      <c r="B16" s="3134" t="s">
        <v>9701</v>
      </c>
      <c r="C16" s="3134"/>
      <c r="D16" s="3134"/>
    </row>
    <row r="17" spans="2:4" ht="65.099999999999994" customHeight="1">
      <c r="B17" s="3732" t="s">
        <v>9703</v>
      </c>
      <c r="C17" s="3134"/>
      <c r="D17" s="3134"/>
    </row>
    <row r="18" spans="2:4" ht="26.1" customHeight="1">
      <c r="B18" s="3732" t="s">
        <v>9704</v>
      </c>
      <c r="C18" s="3134"/>
      <c r="D18" s="3134"/>
    </row>
    <row r="19" spans="2:4" ht="5.0999999999999996" customHeight="1"/>
    <row r="20" spans="2:4" ht="12.95" customHeight="1">
      <c r="B20" s="2978" t="s">
        <v>5112</v>
      </c>
      <c r="C20" s="2978"/>
      <c r="D20" s="2978"/>
    </row>
    <row r="21" spans="2:4" s="387" customFormat="1" ht="11.25">
      <c r="B21" s="3130" t="s">
        <v>5666</v>
      </c>
      <c r="C21" s="3130"/>
      <c r="D21" s="3130"/>
    </row>
    <row r="22" spans="2:4" ht="5.0999999999999996" customHeight="1">
      <c r="B22" s="386"/>
      <c r="C22" s="386"/>
      <c r="D22" s="386"/>
    </row>
    <row r="23" spans="2:4" ht="12.95" customHeight="1">
      <c r="B23" s="3134" t="s">
        <v>9705</v>
      </c>
      <c r="C23" s="3134"/>
      <c r="D23" s="3134"/>
    </row>
    <row r="24" spans="2:4" ht="12.95" customHeight="1">
      <c r="B24" s="3134" t="s">
        <v>1928</v>
      </c>
      <c r="C24" s="3134"/>
      <c r="D24" s="3134"/>
    </row>
    <row r="25" spans="2:4" ht="12.95" customHeight="1">
      <c r="B25" s="3134" t="s">
        <v>5114</v>
      </c>
      <c r="C25" s="3134"/>
      <c r="D25" s="3134"/>
    </row>
    <row r="26" spans="2:4" ht="12.95" customHeight="1">
      <c r="B26" s="3134" t="s">
        <v>2205</v>
      </c>
      <c r="C26" s="3134"/>
      <c r="D26" s="3134"/>
    </row>
  </sheetData>
  <sheetProtection autoFilter="0"/>
  <mergeCells count="18">
    <mergeCell ref="B26:D26"/>
    <mergeCell ref="B21:D21"/>
    <mergeCell ref="B20:D20"/>
    <mergeCell ref="B23:D23"/>
    <mergeCell ref="B24:D24"/>
    <mergeCell ref="B25:D25"/>
    <mergeCell ref="B6:D6"/>
    <mergeCell ref="C12:D12"/>
    <mergeCell ref="B7:D7"/>
    <mergeCell ref="B18:D18"/>
    <mergeCell ref="C1:D1"/>
    <mergeCell ref="B17:D17"/>
    <mergeCell ref="B4:D4"/>
    <mergeCell ref="B15:D15"/>
    <mergeCell ref="B3:D3"/>
    <mergeCell ref="C11:D11"/>
    <mergeCell ref="B16:D16"/>
    <mergeCell ref="B8:D8"/>
  </mergeCells>
  <phoneticPr fontId="9" type="noConversion"/>
  <hyperlinks>
    <hyperlink ref="B1" location="Index!A1" display="Назад"/>
    <hyperlink ref="B8:D8" location="'8.2'!A1" display="&gt;&gt; Калькулятор количества очков за игру"/>
  </hyperlinks>
  <printOptions horizontalCentered="1"/>
  <pageMargins left="0.74803149606299213" right="0.74803149606299213" top="0.98425196850393704" bottom="0.98425196850393704" header="0.51181102362204722" footer="0.51181102362204722"/>
  <pageSetup paperSize="9" scale="92" orientation="landscape" r:id="rId1"/>
  <headerFooter alignWithMargins="0"/>
  <rowBreaks count="1" manualBreakCount="1">
    <brk id="40" max="12" man="1"/>
  </rowBreaks>
  <drawing r:id="rId2"/>
</worksheet>
</file>

<file path=xl/worksheets/sheet109.xml><?xml version="1.0" encoding="utf-8"?>
<worksheet xmlns="http://schemas.openxmlformats.org/spreadsheetml/2006/main" xmlns:r="http://schemas.openxmlformats.org/officeDocument/2006/relationships">
  <dimension ref="A1:DH124"/>
  <sheetViews>
    <sheetView zoomScaleNormal="100" workbookViewId="0">
      <pane xSplit="3" ySplit="8" topLeftCell="D9" activePane="bottomRight" state="frozen"/>
      <selection pane="topRight" activeCell="D1" sqref="D1"/>
      <selection pane="bottomLeft" activeCell="A9" sqref="A9"/>
      <selection pane="bottomRight" activeCell="B1" sqref="B1:C1"/>
    </sheetView>
  </sheetViews>
  <sheetFormatPr defaultRowHeight="12.95" customHeight="1"/>
  <cols>
    <col min="1" max="1" width="3.7109375" style="377" customWidth="1"/>
    <col min="2" max="2" width="6.28515625" style="1" bestFit="1" customWidth="1"/>
    <col min="3" max="3" width="5.42578125" style="337" bestFit="1" customWidth="1"/>
    <col min="4" max="51" width="4" style="1" bestFit="1" customWidth="1"/>
    <col min="52" max="112" width="9.140625" style="228"/>
    <col min="113" max="16384" width="9.140625" style="1"/>
  </cols>
  <sheetData>
    <row r="1" spans="1:112" s="293" customFormat="1" ht="12.95" customHeight="1">
      <c r="B1" s="3252" t="s">
        <v>2706</v>
      </c>
      <c r="C1" s="3252"/>
      <c r="D1" s="3195" t="s">
        <v>8269</v>
      </c>
      <c r="E1" s="3195"/>
      <c r="F1" s="3195"/>
      <c r="G1" s="3195"/>
      <c r="H1" s="3195"/>
      <c r="I1" s="3195"/>
      <c r="J1" s="3195"/>
      <c r="K1" s="3195"/>
      <c r="L1" s="3195"/>
      <c r="M1" s="3195"/>
      <c r="N1" s="3195"/>
      <c r="O1" s="3195"/>
      <c r="P1" s="3195"/>
      <c r="Q1" s="3195"/>
      <c r="R1" s="3195"/>
      <c r="S1" s="3195"/>
      <c r="T1" s="3195"/>
      <c r="U1" s="3195"/>
      <c r="V1" s="3195"/>
      <c r="W1" s="3195"/>
      <c r="X1" s="3195"/>
      <c r="Y1" s="3195"/>
      <c r="Z1" s="3195"/>
      <c r="AA1" s="3195"/>
      <c r="AB1" s="3195"/>
      <c r="AC1" s="3195"/>
      <c r="AD1" s="3195"/>
      <c r="AE1" s="3195"/>
      <c r="AF1" s="319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c r="CD1" s="285"/>
      <c r="CE1" s="285"/>
      <c r="CF1" s="285"/>
      <c r="CG1" s="285"/>
      <c r="CH1" s="285"/>
      <c r="CI1" s="285"/>
      <c r="CJ1" s="285"/>
      <c r="CK1" s="285"/>
      <c r="CL1" s="285"/>
      <c r="CM1" s="285"/>
      <c r="CN1" s="285"/>
      <c r="CO1" s="285"/>
      <c r="CP1" s="285"/>
      <c r="CQ1" s="285"/>
      <c r="CR1" s="285"/>
      <c r="CS1" s="285"/>
      <c r="CT1" s="285"/>
      <c r="CU1" s="285"/>
      <c r="CV1" s="285"/>
      <c r="CW1" s="285"/>
      <c r="CX1" s="285"/>
      <c r="CY1" s="285"/>
      <c r="CZ1" s="285"/>
      <c r="DA1" s="285"/>
      <c r="DB1" s="285"/>
      <c r="DC1" s="285"/>
      <c r="DD1" s="285"/>
      <c r="DE1" s="285"/>
      <c r="DF1" s="285"/>
      <c r="DG1" s="285"/>
      <c r="DH1" s="285"/>
    </row>
    <row r="2" spans="1:112" s="292" customFormat="1" ht="5.0999999999999996" customHeight="1">
      <c r="C2" s="375"/>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row>
    <row r="3" spans="1:112" s="15" customFormat="1" ht="15">
      <c r="A3" s="292"/>
      <c r="B3" s="4263" t="s">
        <v>5115</v>
      </c>
      <c r="C3" s="4263"/>
      <c r="D3" s="4263"/>
      <c r="E3" s="4263"/>
      <c r="F3" s="4263"/>
      <c r="G3" s="4263"/>
      <c r="H3" s="4263"/>
      <c r="I3" s="4263"/>
      <c r="J3" s="4263"/>
      <c r="K3" s="4263"/>
      <c r="L3" s="4263"/>
      <c r="M3" s="4263"/>
      <c r="N3" s="4263"/>
      <c r="O3" s="4263"/>
      <c r="P3" s="4263"/>
      <c r="Q3" s="4263"/>
      <c r="R3" s="4263"/>
      <c r="S3" s="4263"/>
      <c r="T3" s="4263"/>
      <c r="U3" s="4263"/>
      <c r="V3" s="4263"/>
      <c r="W3" s="4263"/>
      <c r="X3" s="4263"/>
      <c r="Y3" s="4263"/>
      <c r="Z3" s="4263"/>
      <c r="AA3" s="4263"/>
      <c r="AB3" s="4263"/>
      <c r="AC3" s="4263"/>
      <c r="AD3" s="4263"/>
      <c r="AE3" s="4263"/>
      <c r="AF3" s="4263"/>
      <c r="AG3" s="292"/>
      <c r="AH3" s="292"/>
      <c r="AI3" s="292"/>
      <c r="AJ3" s="292"/>
      <c r="AK3" s="292"/>
      <c r="AL3" s="292"/>
      <c r="AM3" s="292"/>
      <c r="AN3" s="292"/>
      <c r="AO3" s="292"/>
      <c r="AP3" s="292"/>
      <c r="AQ3" s="292"/>
      <c r="AR3" s="292"/>
      <c r="AS3" s="292"/>
      <c r="AT3" s="292"/>
      <c r="AU3" s="292"/>
      <c r="AV3" s="292"/>
      <c r="AW3" s="292"/>
      <c r="AX3" s="292"/>
      <c r="AY3" s="292"/>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row>
    <row r="4" spans="1:112" s="377" customFormat="1" ht="5.0999999999999996" customHeight="1">
      <c r="C4" s="378"/>
      <c r="AZ4" s="228"/>
      <c r="BA4" s="228"/>
      <c r="BB4" s="228"/>
      <c r="BC4" s="228"/>
      <c r="BD4" s="228"/>
      <c r="BE4" s="228"/>
      <c r="BF4" s="228"/>
      <c r="BG4" s="228"/>
      <c r="BH4" s="228"/>
      <c r="BI4" s="228"/>
      <c r="BJ4" s="228"/>
      <c r="BK4" s="228"/>
      <c r="BL4" s="228"/>
      <c r="BM4" s="228"/>
      <c r="BN4" s="228"/>
      <c r="BO4" s="228"/>
      <c r="BP4" s="228"/>
      <c r="BQ4" s="228"/>
      <c r="BR4" s="228"/>
      <c r="BS4" s="228"/>
      <c r="BT4" s="228"/>
      <c r="BU4" s="228"/>
      <c r="BV4" s="228"/>
      <c r="BW4" s="228"/>
      <c r="BX4" s="228"/>
      <c r="BY4" s="228"/>
      <c r="BZ4" s="228"/>
      <c r="CA4" s="228"/>
      <c r="CB4" s="228"/>
      <c r="CC4" s="228"/>
      <c r="CD4" s="228"/>
      <c r="CE4" s="228"/>
      <c r="CF4" s="228"/>
      <c r="CG4" s="228"/>
      <c r="CH4" s="228"/>
      <c r="CI4" s="228"/>
      <c r="CJ4" s="228"/>
      <c r="CK4" s="228"/>
      <c r="CL4" s="228"/>
      <c r="CM4" s="228"/>
      <c r="CN4" s="228"/>
      <c r="CO4" s="228"/>
      <c r="CP4" s="228"/>
      <c r="CQ4" s="228"/>
      <c r="CR4" s="228"/>
      <c r="CS4" s="228"/>
      <c r="CT4" s="228"/>
      <c r="CU4" s="228"/>
      <c r="CV4" s="228"/>
      <c r="CW4" s="228"/>
      <c r="CX4" s="228"/>
      <c r="CY4" s="228"/>
      <c r="CZ4" s="228"/>
      <c r="DA4" s="228"/>
      <c r="DB4" s="228"/>
      <c r="DC4" s="228"/>
      <c r="DD4" s="228"/>
      <c r="DE4" s="228"/>
      <c r="DF4" s="228"/>
      <c r="DG4" s="228"/>
      <c r="DH4" s="228"/>
    </row>
    <row r="5" spans="1:112" ht="12.95" customHeight="1">
      <c r="B5" s="4264" t="s">
        <v>5663</v>
      </c>
      <c r="C5" s="4264"/>
      <c r="D5" s="4264"/>
      <c r="E5" s="4264"/>
      <c r="F5" s="4264"/>
      <c r="G5" s="4264"/>
      <c r="H5" s="4264"/>
      <c r="I5" s="4264"/>
      <c r="J5" s="4264"/>
      <c r="K5" s="4264"/>
      <c r="L5" s="4264"/>
      <c r="M5" s="4264"/>
      <c r="N5" s="4264"/>
      <c r="O5" s="4264"/>
      <c r="P5" s="4264"/>
      <c r="Q5" s="4264"/>
      <c r="R5" s="4264"/>
      <c r="S5" s="4264"/>
      <c r="T5" s="4264"/>
      <c r="U5" s="4264"/>
      <c r="V5" s="4264"/>
      <c r="W5" s="4264"/>
      <c r="X5" s="4264"/>
      <c r="Y5" s="4264"/>
      <c r="Z5" s="4264"/>
      <c r="AA5" s="4264"/>
      <c r="AB5" s="4264"/>
      <c r="AC5" s="4264"/>
      <c r="AD5" s="4264"/>
      <c r="AE5" s="4264"/>
      <c r="AF5" s="4264"/>
      <c r="AG5" s="377"/>
      <c r="AH5" s="377"/>
      <c r="AI5" s="377"/>
      <c r="AJ5" s="377"/>
      <c r="AK5" s="377"/>
      <c r="AL5" s="377"/>
      <c r="AM5" s="377"/>
      <c r="AN5" s="377"/>
      <c r="AO5" s="377"/>
      <c r="AP5" s="377"/>
      <c r="AQ5" s="377"/>
      <c r="AR5" s="377"/>
      <c r="AS5" s="377"/>
      <c r="AT5" s="377"/>
      <c r="AU5" s="377"/>
      <c r="AV5" s="377"/>
      <c r="AW5" s="377"/>
      <c r="AX5" s="377"/>
      <c r="AY5" s="377"/>
    </row>
    <row r="6" spans="1:112" s="377" customFormat="1" ht="5.0999999999999996" customHeight="1">
      <c r="C6" s="378"/>
      <c r="AZ6" s="228"/>
      <c r="BA6" s="228"/>
      <c r="BB6" s="228"/>
      <c r="BC6" s="228"/>
      <c r="BD6" s="228"/>
      <c r="BE6" s="228"/>
      <c r="BF6" s="228"/>
      <c r="BG6" s="228"/>
      <c r="BH6" s="228"/>
      <c r="BI6" s="228"/>
      <c r="BJ6" s="228"/>
      <c r="BK6" s="228"/>
      <c r="BL6" s="228"/>
      <c r="BM6" s="228"/>
      <c r="BN6" s="228"/>
      <c r="BO6" s="228"/>
      <c r="BP6" s="228"/>
      <c r="BQ6" s="228"/>
      <c r="BR6" s="228"/>
      <c r="BS6" s="228"/>
      <c r="BT6" s="228"/>
      <c r="BU6" s="228"/>
      <c r="BV6" s="228"/>
      <c r="BW6" s="228"/>
      <c r="BX6" s="228"/>
      <c r="BY6" s="228"/>
      <c r="BZ6" s="228"/>
      <c r="CA6" s="228"/>
      <c r="CB6" s="228"/>
      <c r="CC6" s="228"/>
      <c r="CD6" s="228"/>
      <c r="CE6" s="228"/>
      <c r="CF6" s="228"/>
      <c r="CG6" s="228"/>
      <c r="CH6" s="228"/>
      <c r="CI6" s="228"/>
      <c r="CJ6" s="228"/>
      <c r="CK6" s="228"/>
      <c r="CL6" s="228"/>
      <c r="CM6" s="228"/>
      <c r="CN6" s="228"/>
      <c r="CO6" s="228"/>
      <c r="CP6" s="228"/>
      <c r="CQ6" s="228"/>
      <c r="CR6" s="228"/>
      <c r="CS6" s="228"/>
      <c r="CT6" s="228"/>
      <c r="CU6" s="228"/>
      <c r="CV6" s="228"/>
      <c r="CW6" s="228"/>
      <c r="CX6" s="228"/>
      <c r="CY6" s="228"/>
      <c r="CZ6" s="228"/>
      <c r="DA6" s="228"/>
      <c r="DB6" s="228"/>
      <c r="DC6" s="228"/>
      <c r="DD6" s="228"/>
      <c r="DE6" s="228"/>
      <c r="DF6" s="228"/>
      <c r="DG6" s="228"/>
      <c r="DH6" s="228"/>
    </row>
    <row r="7" spans="1:112" s="2" customFormat="1" ht="12.95" customHeight="1">
      <c r="A7" s="379"/>
      <c r="B7" s="338"/>
      <c r="C7" s="339"/>
      <c r="D7" s="4262" t="s">
        <v>2424</v>
      </c>
      <c r="E7" s="4262"/>
      <c r="F7" s="4262"/>
      <c r="G7" s="4262"/>
      <c r="H7" s="4262"/>
      <c r="I7" s="4262"/>
      <c r="J7" s="4262"/>
      <c r="K7" s="4262"/>
      <c r="L7" s="4262"/>
      <c r="M7" s="4262"/>
      <c r="N7" s="4262"/>
      <c r="O7" s="4262"/>
      <c r="P7" s="4262"/>
      <c r="Q7" s="4262"/>
      <c r="R7" s="4262"/>
      <c r="S7" s="4262"/>
      <c r="T7" s="4262"/>
      <c r="U7" s="4262"/>
      <c r="V7" s="4262"/>
      <c r="W7" s="4262"/>
      <c r="X7" s="4262"/>
      <c r="Y7" s="4262"/>
      <c r="Z7" s="4262"/>
      <c r="AA7" s="4262"/>
      <c r="AB7" s="4262"/>
      <c r="AC7" s="4262"/>
      <c r="AD7" s="4262"/>
      <c r="AE7" s="4262"/>
      <c r="AF7" s="4262"/>
      <c r="AG7" s="4262"/>
      <c r="AH7" s="4262"/>
      <c r="AI7" s="4262"/>
      <c r="AJ7" s="4262"/>
      <c r="AK7" s="4262"/>
      <c r="AL7" s="4262"/>
      <c r="AM7" s="4262"/>
      <c r="AN7" s="4262"/>
      <c r="AO7" s="4262"/>
      <c r="AP7" s="4262"/>
      <c r="AQ7" s="4262"/>
      <c r="AR7" s="4262"/>
      <c r="AS7" s="4262"/>
      <c r="AT7" s="4262"/>
      <c r="AU7" s="4262"/>
      <c r="AV7" s="4262"/>
      <c r="AW7" s="4262"/>
      <c r="AX7" s="4262"/>
      <c r="AY7" s="4262"/>
      <c r="AZ7" s="381"/>
      <c r="BA7" s="381"/>
      <c r="BB7" s="381"/>
      <c r="BC7" s="381"/>
      <c r="BD7" s="381"/>
      <c r="BE7" s="381"/>
      <c r="BF7" s="381"/>
      <c r="BG7" s="381"/>
      <c r="BH7" s="381"/>
      <c r="BI7" s="381"/>
      <c r="BJ7" s="381"/>
      <c r="BK7" s="381"/>
      <c r="BL7" s="381"/>
      <c r="BM7" s="381"/>
      <c r="BN7" s="381"/>
      <c r="BO7" s="381"/>
      <c r="BP7" s="381"/>
      <c r="BQ7" s="381"/>
      <c r="BR7" s="381"/>
      <c r="BS7" s="381"/>
      <c r="BT7" s="381"/>
      <c r="BU7" s="381"/>
      <c r="BV7" s="381"/>
      <c r="BW7" s="381"/>
      <c r="BX7" s="381"/>
      <c r="BY7" s="381"/>
      <c r="BZ7" s="381"/>
      <c r="CA7" s="381"/>
      <c r="CB7" s="381"/>
      <c r="CC7" s="381"/>
      <c r="CD7" s="381"/>
      <c r="CE7" s="381"/>
      <c r="CF7" s="381"/>
      <c r="CG7" s="381"/>
      <c r="CH7" s="381"/>
      <c r="CI7" s="381"/>
      <c r="CJ7" s="381"/>
      <c r="CK7" s="381"/>
      <c r="CL7" s="381"/>
      <c r="CM7" s="381"/>
      <c r="CN7" s="381"/>
      <c r="CO7" s="381"/>
      <c r="CP7" s="381"/>
      <c r="CQ7" s="381"/>
      <c r="CR7" s="381"/>
      <c r="CS7" s="381"/>
      <c r="CT7" s="381"/>
      <c r="CU7" s="381"/>
      <c r="CV7" s="381"/>
      <c r="CW7" s="381"/>
      <c r="CX7" s="381"/>
      <c r="CY7" s="381"/>
      <c r="CZ7" s="381"/>
      <c r="DA7" s="381"/>
      <c r="DB7" s="381"/>
      <c r="DC7" s="381"/>
      <c r="DD7" s="381"/>
      <c r="DE7" s="381"/>
      <c r="DF7" s="381"/>
      <c r="DG7" s="381"/>
      <c r="DH7" s="381"/>
    </row>
    <row r="8" spans="1:112" s="340" customFormat="1" ht="12.95" customHeight="1">
      <c r="A8" s="380"/>
      <c r="B8" s="338" t="s">
        <v>1050</v>
      </c>
      <c r="C8" s="339" t="s">
        <v>2425</v>
      </c>
      <c r="D8" s="338">
        <v>1</v>
      </c>
      <c r="E8" s="338">
        <v>2</v>
      </c>
      <c r="F8" s="338">
        <v>3</v>
      </c>
      <c r="G8" s="338">
        <v>4</v>
      </c>
      <c r="H8" s="338">
        <v>5</v>
      </c>
      <c r="I8" s="338">
        <v>6</v>
      </c>
      <c r="J8" s="338">
        <v>7</v>
      </c>
      <c r="K8" s="338">
        <v>8</v>
      </c>
      <c r="L8" s="338">
        <v>9</v>
      </c>
      <c r="M8" s="338">
        <v>10</v>
      </c>
      <c r="N8" s="338">
        <v>11</v>
      </c>
      <c r="O8" s="338">
        <v>12</v>
      </c>
      <c r="P8" s="338">
        <v>13</v>
      </c>
      <c r="Q8" s="338">
        <v>14</v>
      </c>
      <c r="R8" s="338">
        <v>15</v>
      </c>
      <c r="S8" s="338">
        <v>16</v>
      </c>
      <c r="T8" s="338">
        <v>17</v>
      </c>
      <c r="U8" s="338">
        <v>18</v>
      </c>
      <c r="V8" s="338">
        <v>19</v>
      </c>
      <c r="W8" s="338">
        <v>20</v>
      </c>
      <c r="X8" s="338">
        <v>21</v>
      </c>
      <c r="Y8" s="338">
        <v>22</v>
      </c>
      <c r="Z8" s="338">
        <v>23</v>
      </c>
      <c r="AA8" s="338">
        <v>24</v>
      </c>
      <c r="AB8" s="338">
        <v>25</v>
      </c>
      <c r="AC8" s="338">
        <v>26</v>
      </c>
      <c r="AD8" s="338">
        <v>27</v>
      </c>
      <c r="AE8" s="338">
        <v>28</v>
      </c>
      <c r="AF8" s="338">
        <v>29</v>
      </c>
      <c r="AG8" s="338">
        <v>30</v>
      </c>
      <c r="AH8" s="338">
        <v>31</v>
      </c>
      <c r="AI8" s="338">
        <v>32</v>
      </c>
      <c r="AJ8" s="338">
        <v>33</v>
      </c>
      <c r="AK8" s="338">
        <v>34</v>
      </c>
      <c r="AL8" s="338">
        <v>35</v>
      </c>
      <c r="AM8" s="338">
        <v>36</v>
      </c>
      <c r="AN8" s="338">
        <v>37</v>
      </c>
      <c r="AO8" s="338">
        <v>38</v>
      </c>
      <c r="AP8" s="338">
        <v>39</v>
      </c>
      <c r="AQ8" s="338">
        <v>40</v>
      </c>
      <c r="AR8" s="338">
        <v>41</v>
      </c>
      <c r="AS8" s="338">
        <v>42</v>
      </c>
      <c r="AT8" s="338">
        <v>43</v>
      </c>
      <c r="AU8" s="338">
        <v>44</v>
      </c>
      <c r="AV8" s="338">
        <v>45</v>
      </c>
      <c r="AW8" s="338">
        <v>46</v>
      </c>
      <c r="AX8" s="338">
        <v>47</v>
      </c>
      <c r="AY8" s="338">
        <v>48</v>
      </c>
      <c r="AZ8" s="382"/>
      <c r="BA8" s="382"/>
      <c r="BB8" s="382"/>
      <c r="BC8" s="382"/>
      <c r="BD8" s="382"/>
      <c r="BE8" s="382"/>
      <c r="BF8" s="382"/>
      <c r="BG8" s="382"/>
      <c r="BH8" s="382"/>
      <c r="BI8" s="382"/>
      <c r="BJ8" s="382"/>
      <c r="BK8" s="382"/>
      <c r="BL8" s="382"/>
      <c r="BM8" s="382"/>
      <c r="BN8" s="382"/>
      <c r="BO8" s="382"/>
      <c r="BP8" s="382"/>
      <c r="BQ8" s="382"/>
      <c r="BR8" s="382"/>
      <c r="BS8" s="382"/>
      <c r="BT8" s="382"/>
      <c r="BU8" s="382"/>
      <c r="BV8" s="382"/>
      <c r="BW8" s="382"/>
      <c r="BX8" s="382"/>
      <c r="BY8" s="382"/>
      <c r="BZ8" s="382"/>
      <c r="CA8" s="382"/>
      <c r="CB8" s="382"/>
      <c r="CC8" s="382"/>
      <c r="CD8" s="382"/>
      <c r="CE8" s="382"/>
      <c r="CF8" s="382"/>
      <c r="CG8" s="382"/>
      <c r="CH8" s="382"/>
      <c r="CI8" s="382"/>
      <c r="CJ8" s="382"/>
      <c r="CK8" s="382"/>
      <c r="CL8" s="382"/>
      <c r="CM8" s="382"/>
      <c r="CN8" s="382"/>
      <c r="CO8" s="382"/>
      <c r="CP8" s="382"/>
      <c r="CQ8" s="382"/>
      <c r="CR8" s="382"/>
      <c r="CS8" s="382"/>
      <c r="CT8" s="382"/>
      <c r="CU8" s="382"/>
      <c r="CV8" s="382"/>
      <c r="CW8" s="382"/>
      <c r="CX8" s="382"/>
      <c r="CY8" s="382"/>
      <c r="CZ8" s="382"/>
      <c r="DA8" s="382"/>
      <c r="DB8" s="382"/>
      <c r="DC8" s="382"/>
      <c r="DD8" s="382"/>
      <c r="DE8" s="382"/>
      <c r="DF8" s="382"/>
      <c r="DG8" s="382"/>
      <c r="DH8" s="382"/>
    </row>
    <row r="9" spans="1:112" s="2" customFormat="1" ht="12.95" customHeight="1">
      <c r="A9" s="379"/>
      <c r="B9" s="338">
        <v>1</v>
      </c>
      <c r="C9" s="339">
        <v>111</v>
      </c>
      <c r="D9" s="341">
        <f>(200-ROUNDDOWN(($B$9+10)/(D8+5),0)+50)*2</f>
        <v>498</v>
      </c>
      <c r="E9" s="341">
        <f t="shared" ref="E9:J9" si="0">(200-ROUNDDOWN(($B$9+10)/(E8+5),0)+50)*2</f>
        <v>498</v>
      </c>
      <c r="F9" s="341">
        <f t="shared" si="0"/>
        <v>498</v>
      </c>
      <c r="G9" s="341">
        <f t="shared" si="0"/>
        <v>498</v>
      </c>
      <c r="H9" s="341">
        <f t="shared" si="0"/>
        <v>498</v>
      </c>
      <c r="I9" s="341">
        <f t="shared" si="0"/>
        <v>498</v>
      </c>
      <c r="J9" s="338">
        <f t="shared" si="0"/>
        <v>500</v>
      </c>
      <c r="K9" s="342"/>
      <c r="L9" s="343"/>
      <c r="M9" s="343"/>
      <c r="N9" s="343"/>
      <c r="O9" s="343"/>
      <c r="P9" s="343"/>
      <c r="Q9" s="343"/>
      <c r="R9" s="343"/>
      <c r="S9" s="343"/>
      <c r="T9" s="343"/>
      <c r="U9" s="343"/>
      <c r="V9" s="343"/>
      <c r="W9" s="343"/>
      <c r="X9" s="343"/>
      <c r="Y9" s="343"/>
      <c r="Z9" s="343"/>
      <c r="AA9" s="343"/>
      <c r="AB9" s="343"/>
      <c r="AC9" s="343"/>
      <c r="AD9" s="343"/>
      <c r="AE9" s="343"/>
      <c r="AF9" s="343"/>
      <c r="AG9" s="343"/>
      <c r="AH9" s="343"/>
      <c r="AI9" s="343"/>
      <c r="AJ9" s="343"/>
      <c r="AK9" s="343"/>
      <c r="AL9" s="343"/>
      <c r="AM9" s="343"/>
      <c r="AN9" s="343"/>
      <c r="AO9" s="343"/>
      <c r="AP9" s="343"/>
      <c r="AQ9" s="343"/>
      <c r="AR9" s="343"/>
      <c r="AS9" s="343"/>
      <c r="AT9" s="343"/>
      <c r="AU9" s="343"/>
      <c r="AV9" s="343"/>
      <c r="AW9" s="343"/>
      <c r="AX9" s="343"/>
      <c r="AY9" s="343"/>
      <c r="AZ9" s="381"/>
      <c r="BA9" s="381"/>
      <c r="BB9" s="381"/>
      <c r="BC9" s="381"/>
      <c r="BD9" s="381"/>
      <c r="BE9" s="381"/>
      <c r="BF9" s="381"/>
      <c r="BG9" s="381"/>
      <c r="BH9" s="381"/>
      <c r="BI9" s="381"/>
      <c r="BJ9" s="381"/>
      <c r="BK9" s="381"/>
      <c r="BL9" s="381"/>
      <c r="BM9" s="381"/>
      <c r="BN9" s="381"/>
      <c r="BO9" s="381"/>
      <c r="BP9" s="381"/>
      <c r="BQ9" s="381"/>
      <c r="BR9" s="381"/>
      <c r="BS9" s="381"/>
      <c r="BT9" s="381"/>
      <c r="BU9" s="381"/>
      <c r="BV9" s="381"/>
      <c r="BW9" s="381"/>
      <c r="BX9" s="381"/>
      <c r="BY9" s="381"/>
      <c r="BZ9" s="381"/>
      <c r="CA9" s="381"/>
      <c r="CB9" s="381"/>
      <c r="CC9" s="381"/>
      <c r="CD9" s="381"/>
      <c r="CE9" s="381"/>
      <c r="CF9" s="381"/>
      <c r="CG9" s="381"/>
      <c r="CH9" s="381"/>
      <c r="CI9" s="381"/>
      <c r="CJ9" s="381"/>
      <c r="CK9" s="381"/>
      <c r="CL9" s="381"/>
      <c r="CM9" s="381"/>
      <c r="CN9" s="381"/>
      <c r="CO9" s="381"/>
      <c r="CP9" s="381"/>
      <c r="CQ9" s="381"/>
      <c r="CR9" s="381"/>
      <c r="CS9" s="381"/>
      <c r="CT9" s="381"/>
      <c r="CU9" s="381"/>
      <c r="CV9" s="381"/>
      <c r="CW9" s="381"/>
      <c r="CX9" s="381"/>
      <c r="CY9" s="381"/>
      <c r="CZ9" s="381"/>
      <c r="DA9" s="381"/>
      <c r="DB9" s="381"/>
      <c r="DC9" s="381"/>
      <c r="DD9" s="381"/>
      <c r="DE9" s="381"/>
      <c r="DF9" s="381"/>
      <c r="DG9" s="381"/>
      <c r="DH9" s="381"/>
    </row>
    <row r="10" spans="1:112" s="2" customFormat="1" ht="12.95" customHeight="1">
      <c r="A10" s="379"/>
      <c r="B10" s="338">
        <v>2</v>
      </c>
      <c r="C10" s="339">
        <v>112</v>
      </c>
      <c r="D10" s="344">
        <f t="shared" ref="D10:K10" si="1">(200-ROUNDDOWN(($B$10+10)/(D8+5),0)+50)*2</f>
        <v>496</v>
      </c>
      <c r="E10" s="341">
        <f t="shared" si="1"/>
        <v>498</v>
      </c>
      <c r="F10" s="341">
        <f t="shared" si="1"/>
        <v>498</v>
      </c>
      <c r="G10" s="341">
        <f t="shared" si="1"/>
        <v>498</v>
      </c>
      <c r="H10" s="341">
        <f t="shared" si="1"/>
        <v>498</v>
      </c>
      <c r="I10" s="341">
        <f t="shared" si="1"/>
        <v>498</v>
      </c>
      <c r="J10" s="341">
        <f t="shared" si="1"/>
        <v>498</v>
      </c>
      <c r="K10" s="338">
        <f t="shared" si="1"/>
        <v>500</v>
      </c>
      <c r="L10" s="343"/>
      <c r="M10" s="343"/>
      <c r="N10" s="343"/>
      <c r="O10" s="343"/>
      <c r="P10" s="343"/>
      <c r="Q10" s="343"/>
      <c r="R10" s="343"/>
      <c r="S10" s="343"/>
      <c r="T10" s="343"/>
      <c r="U10" s="343"/>
      <c r="V10" s="343"/>
      <c r="W10" s="343"/>
      <c r="X10" s="343"/>
      <c r="Y10" s="343"/>
      <c r="Z10" s="343"/>
      <c r="AA10" s="343"/>
      <c r="AB10" s="343"/>
      <c r="AC10" s="343"/>
      <c r="AD10" s="343"/>
      <c r="AE10" s="343"/>
      <c r="AF10" s="343"/>
      <c r="AG10" s="343"/>
      <c r="AH10" s="343"/>
      <c r="AI10" s="343"/>
      <c r="AJ10" s="343"/>
      <c r="AK10" s="343"/>
      <c r="AL10" s="343"/>
      <c r="AM10" s="343"/>
      <c r="AN10" s="343"/>
      <c r="AO10" s="343"/>
      <c r="AP10" s="343"/>
      <c r="AQ10" s="343"/>
      <c r="AR10" s="343"/>
      <c r="AS10" s="343"/>
      <c r="AT10" s="343"/>
      <c r="AU10" s="343"/>
      <c r="AV10" s="343"/>
      <c r="AW10" s="343"/>
      <c r="AX10" s="343"/>
      <c r="AY10" s="343"/>
      <c r="AZ10" s="381"/>
      <c r="BA10" s="381"/>
      <c r="BB10" s="381"/>
      <c r="BC10" s="381"/>
      <c r="BD10" s="381"/>
      <c r="BE10" s="381"/>
      <c r="BF10" s="381"/>
      <c r="BG10" s="381"/>
      <c r="BH10" s="381"/>
      <c r="BI10" s="381"/>
      <c r="BJ10" s="381"/>
      <c r="BK10" s="381"/>
      <c r="BL10" s="381"/>
      <c r="BM10" s="381"/>
      <c r="BN10" s="381"/>
      <c r="BO10" s="381"/>
      <c r="BP10" s="381"/>
      <c r="BQ10" s="381"/>
      <c r="BR10" s="381"/>
      <c r="BS10" s="381"/>
      <c r="BT10" s="381"/>
      <c r="BU10" s="381"/>
      <c r="BV10" s="381"/>
      <c r="BW10" s="381"/>
      <c r="BX10" s="381"/>
      <c r="BY10" s="381"/>
      <c r="BZ10" s="381"/>
      <c r="CA10" s="381"/>
      <c r="CB10" s="381"/>
      <c r="CC10" s="381"/>
      <c r="CD10" s="381"/>
      <c r="CE10" s="381"/>
      <c r="CF10" s="381"/>
      <c r="CG10" s="381"/>
      <c r="CH10" s="381"/>
      <c r="CI10" s="381"/>
      <c r="CJ10" s="381"/>
      <c r="CK10" s="381"/>
      <c r="CL10" s="381"/>
      <c r="CM10" s="381"/>
      <c r="CN10" s="381"/>
      <c r="CO10" s="381"/>
      <c r="CP10" s="381"/>
      <c r="CQ10" s="381"/>
      <c r="CR10" s="381"/>
      <c r="CS10" s="381"/>
      <c r="CT10" s="381"/>
      <c r="CU10" s="381"/>
      <c r="CV10" s="381"/>
      <c r="CW10" s="381"/>
      <c r="CX10" s="381"/>
      <c r="CY10" s="381"/>
      <c r="CZ10" s="381"/>
      <c r="DA10" s="381"/>
      <c r="DB10" s="381"/>
      <c r="DC10" s="381"/>
      <c r="DD10" s="381"/>
      <c r="DE10" s="381"/>
      <c r="DF10" s="381"/>
      <c r="DG10" s="381"/>
      <c r="DH10" s="381"/>
    </row>
    <row r="11" spans="1:112" s="2" customFormat="1" ht="12.95" customHeight="1">
      <c r="A11" s="379"/>
      <c r="B11" s="338">
        <v>3</v>
      </c>
      <c r="C11" s="339">
        <v>113</v>
      </c>
      <c r="D11" s="344">
        <f t="shared" ref="D11:L11" si="2">(200-ROUNDDOWN(($B$11+10)/(D8+5),0)+50)*2</f>
        <v>496</v>
      </c>
      <c r="E11" s="341">
        <f t="shared" si="2"/>
        <v>498</v>
      </c>
      <c r="F11" s="341">
        <f t="shared" si="2"/>
        <v>498</v>
      </c>
      <c r="G11" s="341">
        <f t="shared" si="2"/>
        <v>498</v>
      </c>
      <c r="H11" s="341">
        <f t="shared" si="2"/>
        <v>498</v>
      </c>
      <c r="I11" s="341">
        <f t="shared" si="2"/>
        <v>498</v>
      </c>
      <c r="J11" s="341">
        <f t="shared" si="2"/>
        <v>498</v>
      </c>
      <c r="K11" s="341">
        <f t="shared" si="2"/>
        <v>498</v>
      </c>
      <c r="L11" s="338">
        <f t="shared" si="2"/>
        <v>500</v>
      </c>
      <c r="M11" s="343"/>
      <c r="N11" s="343"/>
      <c r="O11" s="343"/>
      <c r="P11" s="343"/>
      <c r="Q11" s="343"/>
      <c r="R11" s="343"/>
      <c r="S11" s="343"/>
      <c r="T11" s="343"/>
      <c r="U11" s="343"/>
      <c r="V11" s="343"/>
      <c r="W11" s="343"/>
      <c r="X11" s="343"/>
      <c r="Y11" s="343"/>
      <c r="Z11" s="343"/>
      <c r="AA11" s="343"/>
      <c r="AB11" s="343"/>
      <c r="AC11" s="343"/>
      <c r="AD11" s="343"/>
      <c r="AE11" s="343"/>
      <c r="AF11" s="343"/>
      <c r="AG11" s="343"/>
      <c r="AH11" s="343"/>
      <c r="AI11" s="343"/>
      <c r="AJ11" s="343"/>
      <c r="AK11" s="343"/>
      <c r="AL11" s="343"/>
      <c r="AM11" s="343"/>
      <c r="AN11" s="343"/>
      <c r="AO11" s="343"/>
      <c r="AP11" s="343"/>
      <c r="AQ11" s="343"/>
      <c r="AR11" s="343"/>
      <c r="AS11" s="343"/>
      <c r="AT11" s="343"/>
      <c r="AU11" s="343"/>
      <c r="AV11" s="343"/>
      <c r="AW11" s="343"/>
      <c r="AX11" s="343"/>
      <c r="AY11" s="343"/>
      <c r="AZ11" s="381"/>
      <c r="BA11" s="381"/>
      <c r="BB11" s="381"/>
      <c r="BC11" s="381"/>
      <c r="BD11" s="381"/>
      <c r="BE11" s="381"/>
      <c r="BF11" s="381"/>
      <c r="BG11" s="381"/>
      <c r="BH11" s="381"/>
      <c r="BI11" s="381"/>
      <c r="BJ11" s="381"/>
      <c r="BK11" s="381"/>
      <c r="BL11" s="381"/>
      <c r="BM11" s="381"/>
      <c r="BN11" s="381"/>
      <c r="BO11" s="381"/>
      <c r="BP11" s="381"/>
      <c r="BQ11" s="381"/>
      <c r="BR11" s="381"/>
      <c r="BS11" s="381"/>
      <c r="BT11" s="381"/>
      <c r="BU11" s="381"/>
      <c r="BV11" s="381"/>
      <c r="BW11" s="381"/>
      <c r="BX11" s="381"/>
      <c r="BY11" s="381"/>
      <c r="BZ11" s="381"/>
      <c r="CA11" s="381"/>
      <c r="CB11" s="381"/>
      <c r="CC11" s="381"/>
      <c r="CD11" s="381"/>
      <c r="CE11" s="381"/>
      <c r="CF11" s="381"/>
      <c r="CG11" s="381"/>
      <c r="CH11" s="381"/>
      <c r="CI11" s="381"/>
      <c r="CJ11" s="381"/>
      <c r="CK11" s="381"/>
      <c r="CL11" s="381"/>
      <c r="CM11" s="381"/>
      <c r="CN11" s="381"/>
      <c r="CO11" s="381"/>
      <c r="CP11" s="381"/>
      <c r="CQ11" s="381"/>
      <c r="CR11" s="381"/>
      <c r="CS11" s="381"/>
      <c r="CT11" s="381"/>
      <c r="CU11" s="381"/>
      <c r="CV11" s="381"/>
      <c r="CW11" s="381"/>
      <c r="CX11" s="381"/>
      <c r="CY11" s="381"/>
      <c r="CZ11" s="381"/>
      <c r="DA11" s="381"/>
      <c r="DB11" s="381"/>
      <c r="DC11" s="381"/>
      <c r="DD11" s="381"/>
      <c r="DE11" s="381"/>
      <c r="DF11" s="381"/>
      <c r="DG11" s="381"/>
      <c r="DH11" s="381"/>
    </row>
    <row r="12" spans="1:112" s="2" customFormat="1" ht="12.95" customHeight="1">
      <c r="A12" s="379"/>
      <c r="B12" s="338">
        <v>4</v>
      </c>
      <c r="C12" s="339">
        <v>114</v>
      </c>
      <c r="D12" s="344">
        <f>(200-ROUNDDOWN(($B$12+10)/(D8+5),0)+50)*2</f>
        <v>496</v>
      </c>
      <c r="E12" s="344">
        <f t="shared" ref="E12:M12" si="3">(200-ROUNDDOWN(($B$12+10)/(E8+5),0)+50)*2</f>
        <v>496</v>
      </c>
      <c r="F12" s="341">
        <f t="shared" si="3"/>
        <v>498</v>
      </c>
      <c r="G12" s="341">
        <f t="shared" si="3"/>
        <v>498</v>
      </c>
      <c r="H12" s="341">
        <f t="shared" si="3"/>
        <v>498</v>
      </c>
      <c r="I12" s="341">
        <f t="shared" si="3"/>
        <v>498</v>
      </c>
      <c r="J12" s="341">
        <f t="shared" si="3"/>
        <v>498</v>
      </c>
      <c r="K12" s="341">
        <f t="shared" si="3"/>
        <v>498</v>
      </c>
      <c r="L12" s="341">
        <f t="shared" si="3"/>
        <v>498</v>
      </c>
      <c r="M12" s="338">
        <f t="shared" si="3"/>
        <v>500</v>
      </c>
      <c r="N12" s="343"/>
      <c r="O12" s="343"/>
      <c r="P12" s="343"/>
      <c r="Q12" s="343"/>
      <c r="R12" s="343"/>
      <c r="S12" s="343"/>
      <c r="T12" s="343"/>
      <c r="U12" s="343"/>
      <c r="V12" s="343"/>
      <c r="W12" s="343"/>
      <c r="X12" s="343"/>
      <c r="Y12" s="343"/>
      <c r="Z12" s="343"/>
      <c r="AA12" s="343"/>
      <c r="AB12" s="343"/>
      <c r="AC12" s="343"/>
      <c r="AD12" s="343"/>
      <c r="AE12" s="343"/>
      <c r="AF12" s="343"/>
      <c r="AG12" s="343"/>
      <c r="AH12" s="343"/>
      <c r="AI12" s="343"/>
      <c r="AJ12" s="343"/>
      <c r="AK12" s="343"/>
      <c r="AL12" s="343"/>
      <c r="AM12" s="343"/>
      <c r="AN12" s="343"/>
      <c r="AO12" s="343"/>
      <c r="AP12" s="343"/>
      <c r="AQ12" s="343"/>
      <c r="AR12" s="343"/>
      <c r="AS12" s="343"/>
      <c r="AT12" s="343"/>
      <c r="AU12" s="343"/>
      <c r="AV12" s="343"/>
      <c r="AW12" s="343"/>
      <c r="AX12" s="343"/>
      <c r="AY12" s="343"/>
      <c r="AZ12" s="381"/>
      <c r="BA12" s="381"/>
      <c r="BB12" s="381"/>
      <c r="BC12" s="381"/>
      <c r="BD12" s="381"/>
      <c r="BE12" s="381"/>
      <c r="BF12" s="381"/>
      <c r="BG12" s="381"/>
      <c r="BH12" s="381"/>
      <c r="BI12" s="381"/>
      <c r="BJ12" s="381"/>
      <c r="BK12" s="381"/>
      <c r="BL12" s="381"/>
      <c r="BM12" s="381"/>
      <c r="BN12" s="381"/>
      <c r="BO12" s="381"/>
      <c r="BP12" s="381"/>
      <c r="BQ12" s="381"/>
      <c r="BR12" s="381"/>
      <c r="BS12" s="381"/>
      <c r="BT12" s="381"/>
      <c r="BU12" s="381"/>
      <c r="BV12" s="381"/>
      <c r="BW12" s="381"/>
      <c r="BX12" s="381"/>
      <c r="BY12" s="381"/>
      <c r="BZ12" s="381"/>
      <c r="CA12" s="381"/>
      <c r="CB12" s="381"/>
      <c r="CC12" s="381"/>
      <c r="CD12" s="381"/>
      <c r="CE12" s="381"/>
      <c r="CF12" s="381"/>
      <c r="CG12" s="381"/>
      <c r="CH12" s="381"/>
      <c r="CI12" s="381"/>
      <c r="CJ12" s="381"/>
      <c r="CK12" s="381"/>
      <c r="CL12" s="381"/>
      <c r="CM12" s="381"/>
      <c r="CN12" s="381"/>
      <c r="CO12" s="381"/>
      <c r="CP12" s="381"/>
      <c r="CQ12" s="381"/>
      <c r="CR12" s="381"/>
      <c r="CS12" s="381"/>
      <c r="CT12" s="381"/>
      <c r="CU12" s="381"/>
      <c r="CV12" s="381"/>
      <c r="CW12" s="381"/>
      <c r="CX12" s="381"/>
      <c r="CY12" s="381"/>
      <c r="CZ12" s="381"/>
      <c r="DA12" s="381"/>
      <c r="DB12" s="381"/>
      <c r="DC12" s="381"/>
      <c r="DD12" s="381"/>
      <c r="DE12" s="381"/>
      <c r="DF12" s="381"/>
      <c r="DG12" s="381"/>
      <c r="DH12" s="381"/>
    </row>
    <row r="13" spans="1:112" s="2" customFormat="1" ht="12.95" customHeight="1">
      <c r="A13" s="379"/>
      <c r="B13" s="338">
        <v>5</v>
      </c>
      <c r="C13" s="339">
        <v>115</v>
      </c>
      <c r="D13" s="344">
        <f>(200-ROUNDDOWN(($B$13+10)/(D8+5),0)+50)*2</f>
        <v>496</v>
      </c>
      <c r="E13" s="344">
        <f t="shared" ref="E13:N13" si="4">(200-ROUNDDOWN(($B$13+10)/(E8+5),0)+50)*2</f>
        <v>496</v>
      </c>
      <c r="F13" s="341">
        <f t="shared" si="4"/>
        <v>498</v>
      </c>
      <c r="G13" s="341">
        <f t="shared" si="4"/>
        <v>498</v>
      </c>
      <c r="H13" s="341">
        <f t="shared" si="4"/>
        <v>498</v>
      </c>
      <c r="I13" s="341">
        <f t="shared" si="4"/>
        <v>498</v>
      </c>
      <c r="J13" s="341">
        <f t="shared" si="4"/>
        <v>498</v>
      </c>
      <c r="K13" s="341">
        <f t="shared" si="4"/>
        <v>498</v>
      </c>
      <c r="L13" s="341">
        <f t="shared" si="4"/>
        <v>498</v>
      </c>
      <c r="M13" s="341">
        <f>(200-ROUNDDOWN(($B$13+10)/(M8+5),0)+50)*2</f>
        <v>498</v>
      </c>
      <c r="N13" s="338">
        <f t="shared" si="4"/>
        <v>500</v>
      </c>
      <c r="O13" s="343"/>
      <c r="P13" s="343"/>
      <c r="Q13" s="343"/>
      <c r="R13" s="343"/>
      <c r="S13" s="343"/>
      <c r="T13" s="343"/>
      <c r="U13" s="343"/>
      <c r="V13" s="343"/>
      <c r="W13" s="343"/>
      <c r="X13" s="343"/>
      <c r="Y13" s="343"/>
      <c r="Z13" s="343"/>
      <c r="AA13" s="343"/>
      <c r="AB13" s="343"/>
      <c r="AC13" s="343"/>
      <c r="AD13" s="343"/>
      <c r="AE13" s="343"/>
      <c r="AF13" s="343"/>
      <c r="AG13" s="343"/>
      <c r="AH13" s="343"/>
      <c r="AI13" s="343"/>
      <c r="AJ13" s="343"/>
      <c r="AK13" s="343"/>
      <c r="AL13" s="343"/>
      <c r="AM13" s="343"/>
      <c r="AN13" s="343"/>
      <c r="AO13" s="343"/>
      <c r="AP13" s="343"/>
      <c r="AQ13" s="343"/>
      <c r="AR13" s="343"/>
      <c r="AS13" s="343"/>
      <c r="AT13" s="343"/>
      <c r="AU13" s="343"/>
      <c r="AV13" s="343"/>
      <c r="AW13" s="343"/>
      <c r="AX13" s="343"/>
      <c r="AY13" s="343"/>
      <c r="AZ13" s="381"/>
      <c r="BA13" s="381"/>
      <c r="BB13" s="381"/>
      <c r="BC13" s="381"/>
      <c r="BD13" s="381"/>
      <c r="BE13" s="381"/>
      <c r="BF13" s="381"/>
      <c r="BG13" s="381"/>
      <c r="BH13" s="381"/>
      <c r="BI13" s="381"/>
      <c r="BJ13" s="381"/>
      <c r="BK13" s="381"/>
      <c r="BL13" s="381"/>
      <c r="BM13" s="381"/>
      <c r="BN13" s="381"/>
      <c r="BO13" s="381"/>
      <c r="BP13" s="381"/>
      <c r="BQ13" s="381"/>
      <c r="BR13" s="381"/>
      <c r="BS13" s="381"/>
      <c r="BT13" s="381"/>
      <c r="BU13" s="381"/>
      <c r="BV13" s="381"/>
      <c r="BW13" s="381"/>
      <c r="BX13" s="381"/>
      <c r="BY13" s="381"/>
      <c r="BZ13" s="381"/>
      <c r="CA13" s="381"/>
      <c r="CB13" s="381"/>
      <c r="CC13" s="381"/>
      <c r="CD13" s="381"/>
      <c r="CE13" s="381"/>
      <c r="CF13" s="381"/>
      <c r="CG13" s="381"/>
      <c r="CH13" s="381"/>
      <c r="CI13" s="381"/>
      <c r="CJ13" s="381"/>
      <c r="CK13" s="381"/>
      <c r="CL13" s="381"/>
      <c r="CM13" s="381"/>
      <c r="CN13" s="381"/>
      <c r="CO13" s="381"/>
      <c r="CP13" s="381"/>
      <c r="CQ13" s="381"/>
      <c r="CR13" s="381"/>
      <c r="CS13" s="381"/>
      <c r="CT13" s="381"/>
      <c r="CU13" s="381"/>
      <c r="CV13" s="381"/>
      <c r="CW13" s="381"/>
      <c r="CX13" s="381"/>
      <c r="CY13" s="381"/>
      <c r="CZ13" s="381"/>
      <c r="DA13" s="381"/>
      <c r="DB13" s="381"/>
      <c r="DC13" s="381"/>
      <c r="DD13" s="381"/>
      <c r="DE13" s="381"/>
      <c r="DF13" s="381"/>
      <c r="DG13" s="381"/>
      <c r="DH13" s="381"/>
    </row>
    <row r="14" spans="1:112" s="2" customFormat="1" ht="12.95" customHeight="1">
      <c r="A14" s="379"/>
      <c r="B14" s="338">
        <v>6</v>
      </c>
      <c r="C14" s="339">
        <v>116</v>
      </c>
      <c r="D14" s="344">
        <f>(200-ROUNDDOWN(($B$14+10)/(D8+5),0)+50)*2</f>
        <v>496</v>
      </c>
      <c r="E14" s="344">
        <f t="shared" ref="E14:O14" si="5">(200-ROUNDDOWN(($B$14+10)/(E8+5),0)+50)*2</f>
        <v>496</v>
      </c>
      <c r="F14" s="344">
        <f t="shared" si="5"/>
        <v>496</v>
      </c>
      <c r="G14" s="341">
        <f t="shared" si="5"/>
        <v>498</v>
      </c>
      <c r="H14" s="341">
        <f t="shared" si="5"/>
        <v>498</v>
      </c>
      <c r="I14" s="341">
        <f t="shared" si="5"/>
        <v>498</v>
      </c>
      <c r="J14" s="341">
        <f t="shared" si="5"/>
        <v>498</v>
      </c>
      <c r="K14" s="341">
        <f t="shared" si="5"/>
        <v>498</v>
      </c>
      <c r="L14" s="341">
        <f t="shared" si="5"/>
        <v>498</v>
      </c>
      <c r="M14" s="341">
        <f t="shared" si="5"/>
        <v>498</v>
      </c>
      <c r="N14" s="341">
        <f t="shared" si="5"/>
        <v>498</v>
      </c>
      <c r="O14" s="338">
        <f t="shared" si="5"/>
        <v>500</v>
      </c>
      <c r="P14" s="343"/>
      <c r="Q14" s="343"/>
      <c r="R14" s="343"/>
      <c r="S14" s="343"/>
      <c r="T14" s="343"/>
      <c r="U14" s="343"/>
      <c r="V14" s="343"/>
      <c r="W14" s="343"/>
      <c r="X14" s="343"/>
      <c r="Y14" s="343"/>
      <c r="Z14" s="343"/>
      <c r="AA14" s="343"/>
      <c r="AB14" s="343"/>
      <c r="AC14" s="343"/>
      <c r="AD14" s="343"/>
      <c r="AE14" s="343"/>
      <c r="AF14" s="343"/>
      <c r="AG14" s="343"/>
      <c r="AH14" s="343"/>
      <c r="AI14" s="343"/>
      <c r="AJ14" s="343"/>
      <c r="AK14" s="343"/>
      <c r="AL14" s="343"/>
      <c r="AM14" s="343"/>
      <c r="AN14" s="343"/>
      <c r="AO14" s="343"/>
      <c r="AP14" s="343"/>
      <c r="AQ14" s="343"/>
      <c r="AR14" s="343"/>
      <c r="AS14" s="343"/>
      <c r="AT14" s="343"/>
      <c r="AU14" s="343"/>
      <c r="AV14" s="343"/>
      <c r="AW14" s="343"/>
      <c r="AX14" s="343"/>
      <c r="AY14" s="343"/>
      <c r="AZ14" s="381"/>
      <c r="BA14" s="381"/>
      <c r="BB14" s="381"/>
      <c r="BC14" s="381"/>
      <c r="BD14" s="381"/>
      <c r="BE14" s="381"/>
      <c r="BF14" s="381"/>
      <c r="BG14" s="381"/>
      <c r="BH14" s="381"/>
      <c r="BI14" s="381"/>
      <c r="BJ14" s="381"/>
      <c r="BK14" s="381"/>
      <c r="BL14" s="381"/>
      <c r="BM14" s="381"/>
      <c r="BN14" s="381"/>
      <c r="BO14" s="381"/>
      <c r="BP14" s="381"/>
      <c r="BQ14" s="381"/>
      <c r="BR14" s="381"/>
      <c r="BS14" s="381"/>
      <c r="BT14" s="381"/>
      <c r="BU14" s="381"/>
      <c r="BV14" s="381"/>
      <c r="BW14" s="381"/>
      <c r="BX14" s="381"/>
      <c r="BY14" s="381"/>
      <c r="BZ14" s="381"/>
      <c r="CA14" s="381"/>
      <c r="CB14" s="381"/>
      <c r="CC14" s="381"/>
      <c r="CD14" s="381"/>
      <c r="CE14" s="381"/>
      <c r="CF14" s="381"/>
      <c r="CG14" s="381"/>
      <c r="CH14" s="381"/>
      <c r="CI14" s="381"/>
      <c r="CJ14" s="381"/>
      <c r="CK14" s="381"/>
      <c r="CL14" s="381"/>
      <c r="CM14" s="381"/>
      <c r="CN14" s="381"/>
      <c r="CO14" s="381"/>
      <c r="CP14" s="381"/>
      <c r="CQ14" s="381"/>
      <c r="CR14" s="381"/>
      <c r="CS14" s="381"/>
      <c r="CT14" s="381"/>
      <c r="CU14" s="381"/>
      <c r="CV14" s="381"/>
      <c r="CW14" s="381"/>
      <c r="CX14" s="381"/>
      <c r="CY14" s="381"/>
      <c r="CZ14" s="381"/>
      <c r="DA14" s="381"/>
      <c r="DB14" s="381"/>
      <c r="DC14" s="381"/>
      <c r="DD14" s="381"/>
      <c r="DE14" s="381"/>
      <c r="DF14" s="381"/>
      <c r="DG14" s="381"/>
      <c r="DH14" s="381"/>
    </row>
    <row r="15" spans="1:112" s="2" customFormat="1" ht="12.95" customHeight="1" thickBot="1">
      <c r="A15" s="379"/>
      <c r="B15" s="345">
        <v>7</v>
      </c>
      <c r="C15" s="346">
        <v>117</v>
      </c>
      <c r="D15" s="347">
        <f>(200-ROUNDDOWN(($B$15+10)/(D8+5),0)+50)*2</f>
        <v>496</v>
      </c>
      <c r="E15" s="347">
        <f t="shared" ref="E15:P15" si="6">(200-ROUNDDOWN(($B$15+10)/(E8+5),0)+50)*2</f>
        <v>496</v>
      </c>
      <c r="F15" s="347">
        <f t="shared" si="6"/>
        <v>496</v>
      </c>
      <c r="G15" s="348">
        <f t="shared" si="6"/>
        <v>498</v>
      </c>
      <c r="H15" s="348">
        <f t="shared" si="6"/>
        <v>498</v>
      </c>
      <c r="I15" s="348">
        <f t="shared" si="6"/>
        <v>498</v>
      </c>
      <c r="J15" s="348">
        <f t="shared" si="6"/>
        <v>498</v>
      </c>
      <c r="K15" s="348">
        <f t="shared" si="6"/>
        <v>498</v>
      </c>
      <c r="L15" s="348">
        <f t="shared" si="6"/>
        <v>498</v>
      </c>
      <c r="M15" s="348">
        <f t="shared" si="6"/>
        <v>498</v>
      </c>
      <c r="N15" s="348">
        <f t="shared" si="6"/>
        <v>498</v>
      </c>
      <c r="O15" s="348">
        <f t="shared" si="6"/>
        <v>498</v>
      </c>
      <c r="P15" s="345">
        <f t="shared" si="6"/>
        <v>500</v>
      </c>
      <c r="Q15" s="349"/>
      <c r="R15" s="349"/>
      <c r="S15" s="349"/>
      <c r="T15" s="349"/>
      <c r="U15" s="349"/>
      <c r="V15" s="349"/>
      <c r="W15" s="349"/>
      <c r="X15" s="349"/>
      <c r="Y15" s="349"/>
      <c r="Z15" s="349"/>
      <c r="AA15" s="349"/>
      <c r="AB15" s="349"/>
      <c r="AC15" s="349"/>
      <c r="AD15" s="349"/>
      <c r="AE15" s="349"/>
      <c r="AF15" s="349"/>
      <c r="AG15" s="349"/>
      <c r="AH15" s="349"/>
      <c r="AI15" s="349"/>
      <c r="AJ15" s="349"/>
      <c r="AK15" s="349"/>
      <c r="AL15" s="349"/>
      <c r="AM15" s="349"/>
      <c r="AN15" s="349"/>
      <c r="AO15" s="349"/>
      <c r="AP15" s="349"/>
      <c r="AQ15" s="349"/>
      <c r="AR15" s="349"/>
      <c r="AS15" s="349"/>
      <c r="AT15" s="349"/>
      <c r="AU15" s="349"/>
      <c r="AV15" s="349"/>
      <c r="AW15" s="349"/>
      <c r="AX15" s="349"/>
      <c r="AY15" s="349"/>
      <c r="AZ15" s="381"/>
      <c r="BA15" s="381"/>
      <c r="BB15" s="381"/>
      <c r="BC15" s="381"/>
      <c r="BD15" s="381"/>
      <c r="BE15" s="381"/>
      <c r="BF15" s="381"/>
      <c r="BG15" s="381"/>
      <c r="BH15" s="381"/>
      <c r="BI15" s="381"/>
      <c r="BJ15" s="381"/>
      <c r="BK15" s="381"/>
      <c r="BL15" s="381"/>
      <c r="BM15" s="381"/>
      <c r="BN15" s="381"/>
      <c r="BO15" s="381"/>
      <c r="BP15" s="381"/>
      <c r="BQ15" s="381"/>
      <c r="BR15" s="381"/>
      <c r="BS15" s="381"/>
      <c r="BT15" s="381"/>
      <c r="BU15" s="381"/>
      <c r="BV15" s="381"/>
      <c r="BW15" s="381"/>
      <c r="BX15" s="381"/>
      <c r="BY15" s="381"/>
      <c r="BZ15" s="381"/>
      <c r="CA15" s="381"/>
      <c r="CB15" s="381"/>
      <c r="CC15" s="381"/>
      <c r="CD15" s="381"/>
      <c r="CE15" s="381"/>
      <c r="CF15" s="381"/>
      <c r="CG15" s="381"/>
      <c r="CH15" s="381"/>
      <c r="CI15" s="381"/>
      <c r="CJ15" s="381"/>
      <c r="CK15" s="381"/>
      <c r="CL15" s="381"/>
      <c r="CM15" s="381"/>
      <c r="CN15" s="381"/>
      <c r="CO15" s="381"/>
      <c r="CP15" s="381"/>
      <c r="CQ15" s="381"/>
      <c r="CR15" s="381"/>
      <c r="CS15" s="381"/>
      <c r="CT15" s="381"/>
      <c r="CU15" s="381"/>
      <c r="CV15" s="381"/>
      <c r="CW15" s="381"/>
      <c r="CX15" s="381"/>
      <c r="CY15" s="381"/>
      <c r="CZ15" s="381"/>
      <c r="DA15" s="381"/>
      <c r="DB15" s="381"/>
      <c r="DC15" s="381"/>
      <c r="DD15" s="381"/>
      <c r="DE15" s="381"/>
      <c r="DF15" s="381"/>
      <c r="DG15" s="381"/>
      <c r="DH15" s="381"/>
    </row>
    <row r="16" spans="1:112" s="2" customFormat="1" ht="12.95" customHeight="1" thickTop="1">
      <c r="A16" s="379"/>
      <c r="B16" s="350">
        <v>8</v>
      </c>
      <c r="C16" s="351">
        <v>121</v>
      </c>
      <c r="D16" s="3">
        <f>(200-ROUNDDOWN(($B$16+10)/(D8+5),0)+50)*2</f>
        <v>494</v>
      </c>
      <c r="E16" s="352">
        <f t="shared" ref="E16:Q16" si="7">(200-ROUNDDOWN(($B$16+10)/(E8+5),0)+50)*2</f>
        <v>496</v>
      </c>
      <c r="F16" s="352">
        <f t="shared" si="7"/>
        <v>496</v>
      </c>
      <c r="G16" s="352">
        <f t="shared" si="7"/>
        <v>496</v>
      </c>
      <c r="H16" s="353">
        <f t="shared" si="7"/>
        <v>498</v>
      </c>
      <c r="I16" s="353">
        <f t="shared" si="7"/>
        <v>498</v>
      </c>
      <c r="J16" s="353">
        <f t="shared" si="7"/>
        <v>498</v>
      </c>
      <c r="K16" s="353">
        <f t="shared" si="7"/>
        <v>498</v>
      </c>
      <c r="L16" s="353">
        <f t="shared" si="7"/>
        <v>498</v>
      </c>
      <c r="M16" s="353">
        <f t="shared" si="7"/>
        <v>498</v>
      </c>
      <c r="N16" s="353">
        <f t="shared" si="7"/>
        <v>498</v>
      </c>
      <c r="O16" s="353">
        <f t="shared" si="7"/>
        <v>498</v>
      </c>
      <c r="P16" s="353">
        <f t="shared" si="7"/>
        <v>498</v>
      </c>
      <c r="Q16" s="350">
        <f t="shared" si="7"/>
        <v>500</v>
      </c>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81"/>
      <c r="BA16" s="381"/>
      <c r="BB16" s="381"/>
      <c r="BC16" s="381"/>
      <c r="BD16" s="381"/>
      <c r="BE16" s="381"/>
      <c r="BF16" s="381"/>
      <c r="BG16" s="381"/>
      <c r="BH16" s="381"/>
      <c r="BI16" s="381"/>
      <c r="BJ16" s="381"/>
      <c r="BK16" s="381"/>
      <c r="BL16" s="381"/>
      <c r="BM16" s="381"/>
      <c r="BN16" s="381"/>
      <c r="BO16" s="381"/>
      <c r="BP16" s="381"/>
      <c r="BQ16" s="381"/>
      <c r="BR16" s="381"/>
      <c r="BS16" s="381"/>
      <c r="BT16" s="381"/>
      <c r="BU16" s="381"/>
      <c r="BV16" s="381"/>
      <c r="BW16" s="381"/>
      <c r="BX16" s="381"/>
      <c r="BY16" s="381"/>
      <c r="BZ16" s="381"/>
      <c r="CA16" s="381"/>
      <c r="CB16" s="381"/>
      <c r="CC16" s="381"/>
      <c r="CD16" s="381"/>
      <c r="CE16" s="381"/>
      <c r="CF16" s="381"/>
      <c r="CG16" s="381"/>
      <c r="CH16" s="381"/>
      <c r="CI16" s="381"/>
      <c r="CJ16" s="381"/>
      <c r="CK16" s="381"/>
      <c r="CL16" s="381"/>
      <c r="CM16" s="381"/>
      <c r="CN16" s="381"/>
      <c r="CO16" s="381"/>
      <c r="CP16" s="381"/>
      <c r="CQ16" s="381"/>
      <c r="CR16" s="381"/>
      <c r="CS16" s="381"/>
      <c r="CT16" s="381"/>
      <c r="CU16" s="381"/>
      <c r="CV16" s="381"/>
      <c r="CW16" s="381"/>
      <c r="CX16" s="381"/>
      <c r="CY16" s="381"/>
      <c r="CZ16" s="381"/>
      <c r="DA16" s="381"/>
      <c r="DB16" s="381"/>
      <c r="DC16" s="381"/>
      <c r="DD16" s="381"/>
      <c r="DE16" s="381"/>
      <c r="DF16" s="381"/>
      <c r="DG16" s="381"/>
      <c r="DH16" s="381"/>
    </row>
    <row r="17" spans="1:112" s="2" customFormat="1" ht="12.95" customHeight="1">
      <c r="A17" s="379"/>
      <c r="B17" s="338">
        <v>9</v>
      </c>
      <c r="C17" s="339">
        <v>122</v>
      </c>
      <c r="D17" s="343">
        <f>(200-ROUNDDOWN(($B$17+10)/(D8+5),0)+50)*2</f>
        <v>494</v>
      </c>
      <c r="E17" s="344">
        <f t="shared" ref="E17:R17" si="8">(200-ROUNDDOWN(($B$17+10)/(E8+5),0)+50)*2</f>
        <v>496</v>
      </c>
      <c r="F17" s="344">
        <f t="shared" si="8"/>
        <v>496</v>
      </c>
      <c r="G17" s="344">
        <f t="shared" si="8"/>
        <v>496</v>
      </c>
      <c r="H17" s="341">
        <f t="shared" si="8"/>
        <v>498</v>
      </c>
      <c r="I17" s="341">
        <f t="shared" si="8"/>
        <v>498</v>
      </c>
      <c r="J17" s="341">
        <f t="shared" si="8"/>
        <v>498</v>
      </c>
      <c r="K17" s="341">
        <f t="shared" si="8"/>
        <v>498</v>
      </c>
      <c r="L17" s="341">
        <f t="shared" si="8"/>
        <v>498</v>
      </c>
      <c r="M17" s="341">
        <f t="shared" si="8"/>
        <v>498</v>
      </c>
      <c r="N17" s="341">
        <f t="shared" si="8"/>
        <v>498</v>
      </c>
      <c r="O17" s="341">
        <f t="shared" si="8"/>
        <v>498</v>
      </c>
      <c r="P17" s="341">
        <f t="shared" si="8"/>
        <v>498</v>
      </c>
      <c r="Q17" s="341">
        <f t="shared" si="8"/>
        <v>498</v>
      </c>
      <c r="R17" s="338">
        <f t="shared" si="8"/>
        <v>500</v>
      </c>
      <c r="S17" s="343"/>
      <c r="T17" s="343"/>
      <c r="U17" s="343"/>
      <c r="V17" s="343"/>
      <c r="W17" s="343"/>
      <c r="X17" s="343"/>
      <c r="Y17" s="343"/>
      <c r="Z17" s="343"/>
      <c r="AA17" s="343"/>
      <c r="AB17" s="343"/>
      <c r="AC17" s="343"/>
      <c r="AD17" s="343"/>
      <c r="AE17" s="343"/>
      <c r="AF17" s="343"/>
      <c r="AG17" s="343"/>
      <c r="AH17" s="343"/>
      <c r="AI17" s="343"/>
      <c r="AJ17" s="343"/>
      <c r="AK17" s="343"/>
      <c r="AL17" s="343"/>
      <c r="AM17" s="343"/>
      <c r="AN17" s="343"/>
      <c r="AO17" s="343"/>
      <c r="AP17" s="343"/>
      <c r="AQ17" s="343"/>
      <c r="AR17" s="343"/>
      <c r="AS17" s="343"/>
      <c r="AT17" s="343"/>
      <c r="AU17" s="343"/>
      <c r="AV17" s="343"/>
      <c r="AW17" s="343"/>
      <c r="AX17" s="343"/>
      <c r="AY17" s="343"/>
      <c r="AZ17" s="381"/>
      <c r="BA17" s="381"/>
      <c r="BB17" s="381"/>
      <c r="BC17" s="381"/>
      <c r="BD17" s="381"/>
      <c r="BE17" s="381"/>
      <c r="BF17" s="381"/>
      <c r="BG17" s="381"/>
      <c r="BH17" s="381"/>
      <c r="BI17" s="381"/>
      <c r="BJ17" s="381"/>
      <c r="BK17" s="381"/>
      <c r="BL17" s="381"/>
      <c r="BM17" s="381"/>
      <c r="BN17" s="381"/>
      <c r="BO17" s="381"/>
      <c r="BP17" s="381"/>
      <c r="BQ17" s="381"/>
      <c r="BR17" s="381"/>
      <c r="BS17" s="381"/>
      <c r="BT17" s="381"/>
      <c r="BU17" s="381"/>
      <c r="BV17" s="381"/>
      <c r="BW17" s="381"/>
      <c r="BX17" s="381"/>
      <c r="BY17" s="381"/>
      <c r="BZ17" s="381"/>
      <c r="CA17" s="381"/>
      <c r="CB17" s="381"/>
      <c r="CC17" s="381"/>
      <c r="CD17" s="381"/>
      <c r="CE17" s="381"/>
      <c r="CF17" s="381"/>
      <c r="CG17" s="381"/>
      <c r="CH17" s="381"/>
      <c r="CI17" s="381"/>
      <c r="CJ17" s="381"/>
      <c r="CK17" s="381"/>
      <c r="CL17" s="381"/>
      <c r="CM17" s="381"/>
      <c r="CN17" s="381"/>
      <c r="CO17" s="381"/>
      <c r="CP17" s="381"/>
      <c r="CQ17" s="381"/>
      <c r="CR17" s="381"/>
      <c r="CS17" s="381"/>
      <c r="CT17" s="381"/>
      <c r="CU17" s="381"/>
      <c r="CV17" s="381"/>
      <c r="CW17" s="381"/>
      <c r="CX17" s="381"/>
      <c r="CY17" s="381"/>
      <c r="CZ17" s="381"/>
      <c r="DA17" s="381"/>
      <c r="DB17" s="381"/>
      <c r="DC17" s="381"/>
      <c r="DD17" s="381"/>
      <c r="DE17" s="381"/>
      <c r="DF17" s="381"/>
      <c r="DG17" s="381"/>
      <c r="DH17" s="381"/>
    </row>
    <row r="18" spans="1:112" s="2" customFormat="1" ht="12.95" customHeight="1">
      <c r="A18" s="379"/>
      <c r="B18" s="338">
        <v>10</v>
      </c>
      <c r="C18" s="339">
        <v>123</v>
      </c>
      <c r="D18" s="343">
        <f>(200-ROUNDDOWN(($B$18+10)/(D8+5),0)+50)*2</f>
        <v>494</v>
      </c>
      <c r="E18" s="344">
        <f t="shared" ref="E18:S18" si="9">(200-ROUNDDOWN(($B$18+10)/(E8+5),0)+50)*2</f>
        <v>496</v>
      </c>
      <c r="F18" s="344">
        <f t="shared" si="9"/>
        <v>496</v>
      </c>
      <c r="G18" s="344">
        <f t="shared" si="9"/>
        <v>496</v>
      </c>
      <c r="H18" s="344">
        <f t="shared" si="9"/>
        <v>496</v>
      </c>
      <c r="I18" s="341">
        <f t="shared" si="9"/>
        <v>498</v>
      </c>
      <c r="J18" s="341">
        <f t="shared" si="9"/>
        <v>498</v>
      </c>
      <c r="K18" s="341">
        <f t="shared" si="9"/>
        <v>498</v>
      </c>
      <c r="L18" s="341">
        <f t="shared" si="9"/>
        <v>498</v>
      </c>
      <c r="M18" s="341">
        <f t="shared" si="9"/>
        <v>498</v>
      </c>
      <c r="N18" s="341">
        <f t="shared" si="9"/>
        <v>498</v>
      </c>
      <c r="O18" s="341">
        <f t="shared" si="9"/>
        <v>498</v>
      </c>
      <c r="P18" s="341">
        <f t="shared" si="9"/>
        <v>498</v>
      </c>
      <c r="Q18" s="341">
        <f t="shared" si="9"/>
        <v>498</v>
      </c>
      <c r="R18" s="341">
        <f t="shared" si="9"/>
        <v>498</v>
      </c>
      <c r="S18" s="338">
        <f t="shared" si="9"/>
        <v>500</v>
      </c>
      <c r="T18" s="343"/>
      <c r="U18" s="343"/>
      <c r="V18" s="343"/>
      <c r="W18" s="343"/>
      <c r="X18" s="343"/>
      <c r="Y18" s="343"/>
      <c r="Z18" s="343"/>
      <c r="AA18" s="343"/>
      <c r="AB18" s="343"/>
      <c r="AC18" s="343"/>
      <c r="AD18" s="343"/>
      <c r="AE18" s="343"/>
      <c r="AF18" s="343"/>
      <c r="AG18" s="343"/>
      <c r="AH18" s="343"/>
      <c r="AI18" s="343"/>
      <c r="AJ18" s="343"/>
      <c r="AK18" s="343"/>
      <c r="AL18" s="343"/>
      <c r="AM18" s="343"/>
      <c r="AN18" s="343"/>
      <c r="AO18" s="343"/>
      <c r="AP18" s="343"/>
      <c r="AQ18" s="343"/>
      <c r="AR18" s="343"/>
      <c r="AS18" s="343"/>
      <c r="AT18" s="343"/>
      <c r="AU18" s="343"/>
      <c r="AV18" s="343"/>
      <c r="AW18" s="343"/>
      <c r="AX18" s="343"/>
      <c r="AY18" s="343"/>
      <c r="AZ18" s="381"/>
      <c r="BA18" s="381"/>
      <c r="BB18" s="381"/>
      <c r="BC18" s="381"/>
      <c r="BD18" s="381"/>
      <c r="BE18" s="381"/>
      <c r="BF18" s="381"/>
      <c r="BG18" s="381"/>
      <c r="BH18" s="381"/>
      <c r="BI18" s="381"/>
      <c r="BJ18" s="381"/>
      <c r="BK18" s="381"/>
      <c r="BL18" s="381"/>
      <c r="BM18" s="381"/>
      <c r="BN18" s="381"/>
      <c r="BO18" s="381"/>
      <c r="BP18" s="381"/>
      <c r="BQ18" s="381"/>
      <c r="BR18" s="381"/>
      <c r="BS18" s="381"/>
      <c r="BT18" s="381"/>
      <c r="BU18" s="381"/>
      <c r="BV18" s="381"/>
      <c r="BW18" s="381"/>
      <c r="BX18" s="381"/>
      <c r="BY18" s="381"/>
      <c r="BZ18" s="381"/>
      <c r="CA18" s="381"/>
      <c r="CB18" s="381"/>
      <c r="CC18" s="381"/>
      <c r="CD18" s="381"/>
      <c r="CE18" s="381"/>
      <c r="CF18" s="381"/>
      <c r="CG18" s="381"/>
      <c r="CH18" s="381"/>
      <c r="CI18" s="381"/>
      <c r="CJ18" s="381"/>
      <c r="CK18" s="381"/>
      <c r="CL18" s="381"/>
      <c r="CM18" s="381"/>
      <c r="CN18" s="381"/>
      <c r="CO18" s="381"/>
      <c r="CP18" s="381"/>
      <c r="CQ18" s="381"/>
      <c r="CR18" s="381"/>
      <c r="CS18" s="381"/>
      <c r="CT18" s="381"/>
      <c r="CU18" s="381"/>
      <c r="CV18" s="381"/>
      <c r="CW18" s="381"/>
      <c r="CX18" s="381"/>
      <c r="CY18" s="381"/>
      <c r="CZ18" s="381"/>
      <c r="DA18" s="381"/>
      <c r="DB18" s="381"/>
      <c r="DC18" s="381"/>
      <c r="DD18" s="381"/>
      <c r="DE18" s="381"/>
      <c r="DF18" s="381"/>
      <c r="DG18" s="381"/>
      <c r="DH18" s="381"/>
    </row>
    <row r="19" spans="1:112" s="2" customFormat="1" ht="12.95" customHeight="1">
      <c r="A19" s="379"/>
      <c r="B19" s="338">
        <v>11</v>
      </c>
      <c r="C19" s="339">
        <v>124</v>
      </c>
      <c r="D19" s="343">
        <f>(200-ROUNDDOWN(($B$19+10)/(D8+5),0)+50)*2</f>
        <v>494</v>
      </c>
      <c r="E19" s="343">
        <f t="shared" ref="E19:T19" si="10">(200-ROUNDDOWN(($B$19+10)/(E8+5),0)+50)*2</f>
        <v>494</v>
      </c>
      <c r="F19" s="344">
        <f t="shared" si="10"/>
        <v>496</v>
      </c>
      <c r="G19" s="344">
        <f t="shared" si="10"/>
        <v>496</v>
      </c>
      <c r="H19" s="344">
        <f t="shared" si="10"/>
        <v>496</v>
      </c>
      <c r="I19" s="341">
        <f t="shared" si="10"/>
        <v>498</v>
      </c>
      <c r="J19" s="341">
        <f t="shared" si="10"/>
        <v>498</v>
      </c>
      <c r="K19" s="341">
        <f t="shared" si="10"/>
        <v>498</v>
      </c>
      <c r="L19" s="341">
        <f t="shared" si="10"/>
        <v>498</v>
      </c>
      <c r="M19" s="341">
        <f t="shared" si="10"/>
        <v>498</v>
      </c>
      <c r="N19" s="341">
        <f t="shared" si="10"/>
        <v>498</v>
      </c>
      <c r="O19" s="341">
        <f t="shared" si="10"/>
        <v>498</v>
      </c>
      <c r="P19" s="341">
        <f t="shared" si="10"/>
        <v>498</v>
      </c>
      <c r="Q19" s="341">
        <f t="shared" si="10"/>
        <v>498</v>
      </c>
      <c r="R19" s="341">
        <f t="shared" si="10"/>
        <v>498</v>
      </c>
      <c r="S19" s="341">
        <f>(200-ROUNDDOWN(($B$19+10)/(S8+5),0)+50)*2</f>
        <v>498</v>
      </c>
      <c r="T19" s="338">
        <f t="shared" si="10"/>
        <v>500</v>
      </c>
      <c r="U19" s="343"/>
      <c r="V19" s="343"/>
      <c r="W19" s="343"/>
      <c r="X19" s="343"/>
      <c r="Y19" s="343"/>
      <c r="Z19" s="343"/>
      <c r="AA19" s="343"/>
      <c r="AB19" s="343"/>
      <c r="AC19" s="343"/>
      <c r="AD19" s="343"/>
      <c r="AE19" s="343"/>
      <c r="AF19" s="343"/>
      <c r="AG19" s="343"/>
      <c r="AH19" s="343"/>
      <c r="AI19" s="343"/>
      <c r="AJ19" s="343"/>
      <c r="AK19" s="343"/>
      <c r="AL19" s="343"/>
      <c r="AM19" s="343"/>
      <c r="AN19" s="343"/>
      <c r="AO19" s="343"/>
      <c r="AP19" s="343"/>
      <c r="AQ19" s="343"/>
      <c r="AR19" s="343"/>
      <c r="AS19" s="343"/>
      <c r="AT19" s="343"/>
      <c r="AU19" s="343"/>
      <c r="AV19" s="343"/>
      <c r="AW19" s="343"/>
      <c r="AX19" s="343"/>
      <c r="AY19" s="343"/>
      <c r="AZ19" s="381"/>
      <c r="BA19" s="381"/>
      <c r="BB19" s="381"/>
      <c r="BC19" s="381"/>
      <c r="BD19" s="381"/>
      <c r="BE19" s="381"/>
      <c r="BF19" s="381"/>
      <c r="BG19" s="381"/>
      <c r="BH19" s="381"/>
      <c r="BI19" s="381"/>
      <c r="BJ19" s="381"/>
      <c r="BK19" s="381"/>
      <c r="BL19" s="381"/>
      <c r="BM19" s="381"/>
      <c r="BN19" s="381"/>
      <c r="BO19" s="381"/>
      <c r="BP19" s="381"/>
      <c r="BQ19" s="381"/>
      <c r="BR19" s="381"/>
      <c r="BS19" s="381"/>
      <c r="BT19" s="381"/>
      <c r="BU19" s="381"/>
      <c r="BV19" s="381"/>
      <c r="BW19" s="381"/>
      <c r="BX19" s="381"/>
      <c r="BY19" s="381"/>
      <c r="BZ19" s="381"/>
      <c r="CA19" s="381"/>
      <c r="CB19" s="381"/>
      <c r="CC19" s="381"/>
      <c r="CD19" s="381"/>
      <c r="CE19" s="381"/>
      <c r="CF19" s="381"/>
      <c r="CG19" s="381"/>
      <c r="CH19" s="381"/>
      <c r="CI19" s="381"/>
      <c r="CJ19" s="381"/>
      <c r="CK19" s="381"/>
      <c r="CL19" s="381"/>
      <c r="CM19" s="381"/>
      <c r="CN19" s="381"/>
      <c r="CO19" s="381"/>
      <c r="CP19" s="381"/>
      <c r="CQ19" s="381"/>
      <c r="CR19" s="381"/>
      <c r="CS19" s="381"/>
      <c r="CT19" s="381"/>
      <c r="CU19" s="381"/>
      <c r="CV19" s="381"/>
      <c r="CW19" s="381"/>
      <c r="CX19" s="381"/>
      <c r="CY19" s="381"/>
      <c r="CZ19" s="381"/>
      <c r="DA19" s="381"/>
      <c r="DB19" s="381"/>
      <c r="DC19" s="381"/>
      <c r="DD19" s="381"/>
      <c r="DE19" s="381"/>
      <c r="DF19" s="381"/>
      <c r="DG19" s="381"/>
      <c r="DH19" s="381"/>
    </row>
    <row r="20" spans="1:112" s="2" customFormat="1" ht="12.95" customHeight="1">
      <c r="A20" s="379"/>
      <c r="B20" s="338">
        <v>12</v>
      </c>
      <c r="C20" s="339">
        <v>125</v>
      </c>
      <c r="D20" s="343">
        <f>(200-ROUNDDOWN(($B$20+10)/(D8+5),0)+50)*2</f>
        <v>494</v>
      </c>
      <c r="E20" s="343">
        <f t="shared" ref="E20:U20" si="11">(200-ROUNDDOWN(($B$20+10)/(E8+5),0)+50)*2</f>
        <v>494</v>
      </c>
      <c r="F20" s="344">
        <f t="shared" si="11"/>
        <v>496</v>
      </c>
      <c r="G20" s="344">
        <f t="shared" si="11"/>
        <v>496</v>
      </c>
      <c r="H20" s="344">
        <f t="shared" si="11"/>
        <v>496</v>
      </c>
      <c r="I20" s="344">
        <f t="shared" si="11"/>
        <v>496</v>
      </c>
      <c r="J20" s="341">
        <f t="shared" si="11"/>
        <v>498</v>
      </c>
      <c r="K20" s="341">
        <f t="shared" si="11"/>
        <v>498</v>
      </c>
      <c r="L20" s="341">
        <f t="shared" si="11"/>
        <v>498</v>
      </c>
      <c r="M20" s="341">
        <f t="shared" si="11"/>
        <v>498</v>
      </c>
      <c r="N20" s="341">
        <f t="shared" si="11"/>
        <v>498</v>
      </c>
      <c r="O20" s="341">
        <f t="shared" si="11"/>
        <v>498</v>
      </c>
      <c r="P20" s="341">
        <f t="shared" si="11"/>
        <v>498</v>
      </c>
      <c r="Q20" s="341">
        <f t="shared" si="11"/>
        <v>498</v>
      </c>
      <c r="R20" s="341">
        <f t="shared" si="11"/>
        <v>498</v>
      </c>
      <c r="S20" s="341">
        <f t="shared" si="11"/>
        <v>498</v>
      </c>
      <c r="T20" s="341">
        <f t="shared" si="11"/>
        <v>498</v>
      </c>
      <c r="U20" s="338">
        <f t="shared" si="11"/>
        <v>500</v>
      </c>
      <c r="V20" s="343"/>
      <c r="W20" s="343"/>
      <c r="X20" s="343"/>
      <c r="Y20" s="343"/>
      <c r="Z20" s="343"/>
      <c r="AA20" s="343"/>
      <c r="AB20" s="343"/>
      <c r="AC20" s="343"/>
      <c r="AD20" s="343"/>
      <c r="AE20" s="343"/>
      <c r="AF20" s="343"/>
      <c r="AG20" s="343"/>
      <c r="AH20" s="343"/>
      <c r="AI20" s="343"/>
      <c r="AJ20" s="343"/>
      <c r="AK20" s="343"/>
      <c r="AL20" s="343"/>
      <c r="AM20" s="343"/>
      <c r="AN20" s="343"/>
      <c r="AO20" s="343"/>
      <c r="AP20" s="343"/>
      <c r="AQ20" s="343"/>
      <c r="AR20" s="343"/>
      <c r="AS20" s="343"/>
      <c r="AT20" s="343"/>
      <c r="AU20" s="343"/>
      <c r="AV20" s="343"/>
      <c r="AW20" s="343"/>
      <c r="AX20" s="343"/>
      <c r="AY20" s="343"/>
      <c r="AZ20" s="381"/>
      <c r="BA20" s="381"/>
      <c r="BB20" s="381"/>
      <c r="BC20" s="381"/>
      <c r="BD20" s="381"/>
      <c r="BE20" s="381"/>
      <c r="BF20" s="381"/>
      <c r="BG20" s="381"/>
      <c r="BH20" s="381"/>
      <c r="BI20" s="381"/>
      <c r="BJ20" s="381"/>
      <c r="BK20" s="381"/>
      <c r="BL20" s="381"/>
      <c r="BM20" s="381"/>
      <c r="BN20" s="381"/>
      <c r="BO20" s="381"/>
      <c r="BP20" s="381"/>
      <c r="BQ20" s="381"/>
      <c r="BR20" s="381"/>
      <c r="BS20" s="381"/>
      <c r="BT20" s="381"/>
      <c r="BU20" s="381"/>
      <c r="BV20" s="381"/>
      <c r="BW20" s="381"/>
      <c r="BX20" s="381"/>
      <c r="BY20" s="381"/>
      <c r="BZ20" s="381"/>
      <c r="CA20" s="381"/>
      <c r="CB20" s="381"/>
      <c r="CC20" s="381"/>
      <c r="CD20" s="381"/>
      <c r="CE20" s="381"/>
      <c r="CF20" s="381"/>
      <c r="CG20" s="381"/>
      <c r="CH20" s="381"/>
      <c r="CI20" s="381"/>
      <c r="CJ20" s="381"/>
      <c r="CK20" s="381"/>
      <c r="CL20" s="381"/>
      <c r="CM20" s="381"/>
      <c r="CN20" s="381"/>
      <c r="CO20" s="381"/>
      <c r="CP20" s="381"/>
      <c r="CQ20" s="381"/>
      <c r="CR20" s="381"/>
      <c r="CS20" s="381"/>
      <c r="CT20" s="381"/>
      <c r="CU20" s="381"/>
      <c r="CV20" s="381"/>
      <c r="CW20" s="381"/>
      <c r="CX20" s="381"/>
      <c r="CY20" s="381"/>
      <c r="CZ20" s="381"/>
      <c r="DA20" s="381"/>
      <c r="DB20" s="381"/>
      <c r="DC20" s="381"/>
      <c r="DD20" s="381"/>
      <c r="DE20" s="381"/>
      <c r="DF20" s="381"/>
      <c r="DG20" s="381"/>
      <c r="DH20" s="381"/>
    </row>
    <row r="21" spans="1:112" s="2" customFormat="1" ht="12.95" customHeight="1">
      <c r="A21" s="379"/>
      <c r="B21" s="338">
        <v>13</v>
      </c>
      <c r="C21" s="339">
        <v>126</v>
      </c>
      <c r="D21" s="343">
        <f>(200-ROUNDDOWN(($B$21+10)/(D8+5),0)+50)*2</f>
        <v>494</v>
      </c>
      <c r="E21" s="343">
        <f t="shared" ref="E21:V21" si="12">(200-ROUNDDOWN(($B$21+10)/(E8+5),0)+50)*2</f>
        <v>494</v>
      </c>
      <c r="F21" s="344">
        <f t="shared" si="12"/>
        <v>496</v>
      </c>
      <c r="G21" s="344">
        <f t="shared" si="12"/>
        <v>496</v>
      </c>
      <c r="H21" s="344">
        <f t="shared" si="12"/>
        <v>496</v>
      </c>
      <c r="I21" s="344">
        <f t="shared" si="12"/>
        <v>496</v>
      </c>
      <c r="J21" s="341">
        <f t="shared" si="12"/>
        <v>498</v>
      </c>
      <c r="K21" s="341">
        <f t="shared" si="12"/>
        <v>498</v>
      </c>
      <c r="L21" s="341">
        <f t="shared" si="12"/>
        <v>498</v>
      </c>
      <c r="M21" s="341">
        <f t="shared" si="12"/>
        <v>498</v>
      </c>
      <c r="N21" s="341">
        <f t="shared" si="12"/>
        <v>498</v>
      </c>
      <c r="O21" s="341">
        <f t="shared" si="12"/>
        <v>498</v>
      </c>
      <c r="P21" s="341">
        <f t="shared" si="12"/>
        <v>498</v>
      </c>
      <c r="Q21" s="341">
        <f t="shared" si="12"/>
        <v>498</v>
      </c>
      <c r="R21" s="341">
        <f t="shared" si="12"/>
        <v>498</v>
      </c>
      <c r="S21" s="341">
        <f t="shared" si="12"/>
        <v>498</v>
      </c>
      <c r="T21" s="341">
        <f t="shared" si="12"/>
        <v>498</v>
      </c>
      <c r="U21" s="341">
        <f t="shared" si="12"/>
        <v>498</v>
      </c>
      <c r="V21" s="338">
        <f t="shared" si="12"/>
        <v>500</v>
      </c>
      <c r="W21" s="343"/>
      <c r="X21" s="343"/>
      <c r="Y21" s="343"/>
      <c r="Z21" s="343"/>
      <c r="AA21" s="343"/>
      <c r="AB21" s="343"/>
      <c r="AC21" s="343"/>
      <c r="AD21" s="343"/>
      <c r="AE21" s="343"/>
      <c r="AF21" s="343"/>
      <c r="AG21" s="343"/>
      <c r="AH21" s="343"/>
      <c r="AI21" s="343"/>
      <c r="AJ21" s="343"/>
      <c r="AK21" s="343"/>
      <c r="AL21" s="343"/>
      <c r="AM21" s="343"/>
      <c r="AN21" s="343"/>
      <c r="AO21" s="343"/>
      <c r="AP21" s="343"/>
      <c r="AQ21" s="343"/>
      <c r="AR21" s="343"/>
      <c r="AS21" s="343"/>
      <c r="AT21" s="343"/>
      <c r="AU21" s="343"/>
      <c r="AV21" s="343"/>
      <c r="AW21" s="343"/>
      <c r="AX21" s="343"/>
      <c r="AY21" s="343"/>
      <c r="AZ21" s="381"/>
      <c r="BA21" s="381"/>
      <c r="BB21" s="381"/>
      <c r="BC21" s="381"/>
      <c r="BD21" s="381"/>
      <c r="BE21" s="381"/>
      <c r="BF21" s="381"/>
      <c r="BG21" s="381"/>
      <c r="BH21" s="381"/>
      <c r="BI21" s="381"/>
      <c r="BJ21" s="381"/>
      <c r="BK21" s="381"/>
      <c r="BL21" s="381"/>
      <c r="BM21" s="381"/>
      <c r="BN21" s="381"/>
      <c r="BO21" s="381"/>
      <c r="BP21" s="381"/>
      <c r="BQ21" s="381"/>
      <c r="BR21" s="381"/>
      <c r="BS21" s="381"/>
      <c r="BT21" s="381"/>
      <c r="BU21" s="381"/>
      <c r="BV21" s="381"/>
      <c r="BW21" s="381"/>
      <c r="BX21" s="381"/>
      <c r="BY21" s="381"/>
      <c r="BZ21" s="381"/>
      <c r="CA21" s="381"/>
      <c r="CB21" s="381"/>
      <c r="CC21" s="381"/>
      <c r="CD21" s="381"/>
      <c r="CE21" s="381"/>
      <c r="CF21" s="381"/>
      <c r="CG21" s="381"/>
      <c r="CH21" s="381"/>
      <c r="CI21" s="381"/>
      <c r="CJ21" s="381"/>
      <c r="CK21" s="381"/>
      <c r="CL21" s="381"/>
      <c r="CM21" s="381"/>
      <c r="CN21" s="381"/>
      <c r="CO21" s="381"/>
      <c r="CP21" s="381"/>
      <c r="CQ21" s="381"/>
      <c r="CR21" s="381"/>
      <c r="CS21" s="381"/>
      <c r="CT21" s="381"/>
      <c r="CU21" s="381"/>
      <c r="CV21" s="381"/>
      <c r="CW21" s="381"/>
      <c r="CX21" s="381"/>
      <c r="CY21" s="381"/>
      <c r="CZ21" s="381"/>
      <c r="DA21" s="381"/>
      <c r="DB21" s="381"/>
      <c r="DC21" s="381"/>
      <c r="DD21" s="381"/>
      <c r="DE21" s="381"/>
      <c r="DF21" s="381"/>
      <c r="DG21" s="381"/>
      <c r="DH21" s="381"/>
    </row>
    <row r="22" spans="1:112" s="2" customFormat="1" ht="12.95" customHeight="1" thickBot="1">
      <c r="A22" s="379"/>
      <c r="B22" s="345">
        <v>14</v>
      </c>
      <c r="C22" s="346">
        <v>127</v>
      </c>
      <c r="D22" s="354">
        <f>(200-ROUNDDOWN(($B$22+10)/(D8+5),0)+50)*2</f>
        <v>492</v>
      </c>
      <c r="E22" s="349">
        <f t="shared" ref="E22:V22" si="13">(200-ROUNDDOWN(($B$22+10)/(E8+5),0)+50)*2</f>
        <v>494</v>
      </c>
      <c r="F22" s="349">
        <f t="shared" si="13"/>
        <v>494</v>
      </c>
      <c r="G22" s="347">
        <f t="shared" si="13"/>
        <v>496</v>
      </c>
      <c r="H22" s="347">
        <f t="shared" si="13"/>
        <v>496</v>
      </c>
      <c r="I22" s="347">
        <f t="shared" si="13"/>
        <v>496</v>
      </c>
      <c r="J22" s="347">
        <f t="shared" si="13"/>
        <v>496</v>
      </c>
      <c r="K22" s="348">
        <f t="shared" si="13"/>
        <v>498</v>
      </c>
      <c r="L22" s="348">
        <f t="shared" si="13"/>
        <v>498</v>
      </c>
      <c r="M22" s="348">
        <f t="shared" si="13"/>
        <v>498</v>
      </c>
      <c r="N22" s="348">
        <f t="shared" si="13"/>
        <v>498</v>
      </c>
      <c r="O22" s="348">
        <f t="shared" si="13"/>
        <v>498</v>
      </c>
      <c r="P22" s="348">
        <f t="shared" si="13"/>
        <v>498</v>
      </c>
      <c r="Q22" s="348">
        <f t="shared" si="13"/>
        <v>498</v>
      </c>
      <c r="R22" s="348">
        <f t="shared" si="13"/>
        <v>498</v>
      </c>
      <c r="S22" s="348">
        <f t="shared" si="13"/>
        <v>498</v>
      </c>
      <c r="T22" s="348">
        <f t="shared" si="13"/>
        <v>498</v>
      </c>
      <c r="U22" s="348">
        <f t="shared" si="13"/>
        <v>498</v>
      </c>
      <c r="V22" s="348">
        <f t="shared" si="13"/>
        <v>498</v>
      </c>
      <c r="W22" s="345">
        <f>(200-ROUNDDOWN(($B$22+10)/(W8+5),0)+50)*2</f>
        <v>500</v>
      </c>
      <c r="X22" s="349"/>
      <c r="Y22" s="349"/>
      <c r="Z22" s="349"/>
      <c r="AA22" s="349"/>
      <c r="AB22" s="349"/>
      <c r="AC22" s="349"/>
      <c r="AD22" s="349"/>
      <c r="AE22" s="349"/>
      <c r="AF22" s="349"/>
      <c r="AG22" s="349"/>
      <c r="AH22" s="349"/>
      <c r="AI22" s="349"/>
      <c r="AJ22" s="349"/>
      <c r="AK22" s="349"/>
      <c r="AL22" s="349"/>
      <c r="AM22" s="349"/>
      <c r="AN22" s="349"/>
      <c r="AO22" s="349"/>
      <c r="AP22" s="349"/>
      <c r="AQ22" s="349"/>
      <c r="AR22" s="349"/>
      <c r="AS22" s="349"/>
      <c r="AT22" s="349"/>
      <c r="AU22" s="349"/>
      <c r="AV22" s="349"/>
      <c r="AW22" s="349"/>
      <c r="AX22" s="349"/>
      <c r="AY22" s="349"/>
      <c r="AZ22" s="381"/>
      <c r="BA22" s="381"/>
      <c r="BB22" s="381"/>
      <c r="BC22" s="381"/>
      <c r="BD22" s="381"/>
      <c r="BE22" s="381"/>
      <c r="BF22" s="381"/>
      <c r="BG22" s="381"/>
      <c r="BH22" s="381"/>
      <c r="BI22" s="381"/>
      <c r="BJ22" s="381"/>
      <c r="BK22" s="381"/>
      <c r="BL22" s="381"/>
      <c r="BM22" s="381"/>
      <c r="BN22" s="381"/>
      <c r="BO22" s="381"/>
      <c r="BP22" s="381"/>
      <c r="BQ22" s="381"/>
      <c r="BR22" s="381"/>
      <c r="BS22" s="381"/>
      <c r="BT22" s="381"/>
      <c r="BU22" s="381"/>
      <c r="BV22" s="381"/>
      <c r="BW22" s="381"/>
      <c r="BX22" s="381"/>
      <c r="BY22" s="381"/>
      <c r="BZ22" s="381"/>
      <c r="CA22" s="381"/>
      <c r="CB22" s="381"/>
      <c r="CC22" s="381"/>
      <c r="CD22" s="381"/>
      <c r="CE22" s="381"/>
      <c r="CF22" s="381"/>
      <c r="CG22" s="381"/>
      <c r="CH22" s="381"/>
      <c r="CI22" s="381"/>
      <c r="CJ22" s="381"/>
      <c r="CK22" s="381"/>
      <c r="CL22" s="381"/>
      <c r="CM22" s="381"/>
      <c r="CN22" s="381"/>
      <c r="CO22" s="381"/>
      <c r="CP22" s="381"/>
      <c r="CQ22" s="381"/>
      <c r="CR22" s="381"/>
      <c r="CS22" s="381"/>
      <c r="CT22" s="381"/>
      <c r="CU22" s="381"/>
      <c r="CV22" s="381"/>
      <c r="CW22" s="381"/>
      <c r="CX22" s="381"/>
      <c r="CY22" s="381"/>
      <c r="CZ22" s="381"/>
      <c r="DA22" s="381"/>
      <c r="DB22" s="381"/>
      <c r="DC22" s="381"/>
      <c r="DD22" s="381"/>
      <c r="DE22" s="381"/>
      <c r="DF22" s="381"/>
      <c r="DG22" s="381"/>
      <c r="DH22" s="381"/>
    </row>
    <row r="23" spans="1:112" s="2" customFormat="1" ht="12.95" customHeight="1" thickTop="1">
      <c r="A23" s="379"/>
      <c r="B23" s="350">
        <v>15</v>
      </c>
      <c r="C23" s="351">
        <v>131</v>
      </c>
      <c r="D23" s="355">
        <f>(200-ROUNDDOWN(($B$23+10)/(D8+5),0)+50)*2</f>
        <v>492</v>
      </c>
      <c r="E23" s="3">
        <f t="shared" ref="E23:V23" si="14">(200-ROUNDDOWN(($B$23+10)/(E8+5),0)+50)*2</f>
        <v>494</v>
      </c>
      <c r="F23" s="3">
        <f t="shared" si="14"/>
        <v>494</v>
      </c>
      <c r="G23" s="352">
        <f t="shared" si="14"/>
        <v>496</v>
      </c>
      <c r="H23" s="352">
        <f t="shared" si="14"/>
        <v>496</v>
      </c>
      <c r="I23" s="352">
        <f t="shared" si="14"/>
        <v>496</v>
      </c>
      <c r="J23" s="352">
        <f t="shared" si="14"/>
        <v>496</v>
      </c>
      <c r="K23" s="353">
        <f t="shared" si="14"/>
        <v>498</v>
      </c>
      <c r="L23" s="353">
        <f t="shared" si="14"/>
        <v>498</v>
      </c>
      <c r="M23" s="353">
        <f t="shared" si="14"/>
        <v>498</v>
      </c>
      <c r="N23" s="353">
        <f t="shared" si="14"/>
        <v>498</v>
      </c>
      <c r="O23" s="353">
        <f t="shared" si="14"/>
        <v>498</v>
      </c>
      <c r="P23" s="353">
        <f t="shared" si="14"/>
        <v>498</v>
      </c>
      <c r="Q23" s="353">
        <f t="shared" si="14"/>
        <v>498</v>
      </c>
      <c r="R23" s="353">
        <f t="shared" si="14"/>
        <v>498</v>
      </c>
      <c r="S23" s="353">
        <f>(200-ROUNDDOWN(($B$23+10)/(S8+5),0)+50)*2</f>
        <v>498</v>
      </c>
      <c r="T23" s="353">
        <f t="shared" si="14"/>
        <v>498</v>
      </c>
      <c r="U23" s="353">
        <f t="shared" si="14"/>
        <v>498</v>
      </c>
      <c r="V23" s="353">
        <f t="shared" si="14"/>
        <v>498</v>
      </c>
      <c r="W23" s="353">
        <f>(200-ROUNDDOWN(($B$23+10)/(W8+5),0)+50)*2</f>
        <v>498</v>
      </c>
      <c r="X23" s="350">
        <f>(200-ROUNDDOWN(($B$23+10)/(X8+5),0)+50)*2</f>
        <v>500</v>
      </c>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81"/>
      <c r="BA23" s="381"/>
      <c r="BB23" s="381"/>
      <c r="BC23" s="381"/>
      <c r="BD23" s="381"/>
      <c r="BE23" s="381"/>
      <c r="BF23" s="381"/>
      <c r="BG23" s="381"/>
      <c r="BH23" s="381"/>
      <c r="BI23" s="381"/>
      <c r="BJ23" s="381"/>
      <c r="BK23" s="381"/>
      <c r="BL23" s="381"/>
      <c r="BM23" s="381"/>
      <c r="BN23" s="381"/>
      <c r="BO23" s="381"/>
      <c r="BP23" s="381"/>
      <c r="BQ23" s="381"/>
      <c r="BR23" s="381"/>
      <c r="BS23" s="381"/>
      <c r="BT23" s="381"/>
      <c r="BU23" s="381"/>
      <c r="BV23" s="381"/>
      <c r="BW23" s="381"/>
      <c r="BX23" s="381"/>
      <c r="BY23" s="381"/>
      <c r="BZ23" s="381"/>
      <c r="CA23" s="381"/>
      <c r="CB23" s="381"/>
      <c r="CC23" s="381"/>
      <c r="CD23" s="381"/>
      <c r="CE23" s="381"/>
      <c r="CF23" s="381"/>
      <c r="CG23" s="381"/>
      <c r="CH23" s="381"/>
      <c r="CI23" s="381"/>
      <c r="CJ23" s="381"/>
      <c r="CK23" s="381"/>
      <c r="CL23" s="381"/>
      <c r="CM23" s="381"/>
      <c r="CN23" s="381"/>
      <c r="CO23" s="381"/>
      <c r="CP23" s="381"/>
      <c r="CQ23" s="381"/>
      <c r="CR23" s="381"/>
      <c r="CS23" s="381"/>
      <c r="CT23" s="381"/>
      <c r="CU23" s="381"/>
      <c r="CV23" s="381"/>
      <c r="CW23" s="381"/>
      <c r="CX23" s="381"/>
      <c r="CY23" s="381"/>
      <c r="CZ23" s="381"/>
      <c r="DA23" s="381"/>
      <c r="DB23" s="381"/>
      <c r="DC23" s="381"/>
      <c r="DD23" s="381"/>
      <c r="DE23" s="381"/>
      <c r="DF23" s="381"/>
      <c r="DG23" s="381"/>
      <c r="DH23" s="381"/>
    </row>
    <row r="24" spans="1:112" s="2" customFormat="1" ht="12.95" customHeight="1">
      <c r="A24" s="379"/>
      <c r="B24" s="338">
        <v>16</v>
      </c>
      <c r="C24" s="339">
        <v>132</v>
      </c>
      <c r="D24" s="356">
        <f>(200-ROUNDDOWN(($B$24+10)/(D8+5),0)+50)*2</f>
        <v>492</v>
      </c>
      <c r="E24" s="343">
        <f t="shared" ref="E24:V24" si="15">(200-ROUNDDOWN(($B$24+10)/(E8+5),0)+50)*2</f>
        <v>494</v>
      </c>
      <c r="F24" s="343">
        <f t="shared" si="15"/>
        <v>494</v>
      </c>
      <c r="G24" s="344">
        <f t="shared" si="15"/>
        <v>496</v>
      </c>
      <c r="H24" s="344">
        <f t="shared" si="15"/>
        <v>496</v>
      </c>
      <c r="I24" s="344">
        <f t="shared" si="15"/>
        <v>496</v>
      </c>
      <c r="J24" s="344">
        <f t="shared" si="15"/>
        <v>496</v>
      </c>
      <c r="K24" s="344">
        <f t="shared" si="15"/>
        <v>496</v>
      </c>
      <c r="L24" s="341">
        <f t="shared" si="15"/>
        <v>498</v>
      </c>
      <c r="M24" s="341">
        <f t="shared" si="15"/>
        <v>498</v>
      </c>
      <c r="N24" s="341">
        <f t="shared" si="15"/>
        <v>498</v>
      </c>
      <c r="O24" s="341">
        <f t="shared" si="15"/>
        <v>498</v>
      </c>
      <c r="P24" s="341">
        <f t="shared" si="15"/>
        <v>498</v>
      </c>
      <c r="Q24" s="341">
        <f t="shared" si="15"/>
        <v>498</v>
      </c>
      <c r="R24" s="341">
        <f t="shared" si="15"/>
        <v>498</v>
      </c>
      <c r="S24" s="341">
        <f t="shared" si="15"/>
        <v>498</v>
      </c>
      <c r="T24" s="341">
        <f t="shared" si="15"/>
        <v>498</v>
      </c>
      <c r="U24" s="341">
        <f t="shared" si="15"/>
        <v>498</v>
      </c>
      <c r="V24" s="341">
        <f t="shared" si="15"/>
        <v>498</v>
      </c>
      <c r="W24" s="341">
        <f>(200-ROUNDDOWN(($B$24+10)/(W8+5),0)+50)*2</f>
        <v>498</v>
      </c>
      <c r="X24" s="341">
        <f>(200-ROUNDDOWN(($B$24+10)/(X8+5),0)+50)*2</f>
        <v>498</v>
      </c>
      <c r="Y24" s="338">
        <f>(200-ROUNDDOWN(($B$24+10)/(Y8+5),0)+50)*2</f>
        <v>500</v>
      </c>
      <c r="Z24" s="343"/>
      <c r="AA24" s="343"/>
      <c r="AB24" s="343"/>
      <c r="AC24" s="343"/>
      <c r="AD24" s="343"/>
      <c r="AE24" s="343"/>
      <c r="AF24" s="343"/>
      <c r="AG24" s="343"/>
      <c r="AH24" s="343"/>
      <c r="AI24" s="343"/>
      <c r="AJ24" s="343"/>
      <c r="AK24" s="343"/>
      <c r="AL24" s="343"/>
      <c r="AM24" s="343"/>
      <c r="AN24" s="343"/>
      <c r="AO24" s="343"/>
      <c r="AP24" s="343"/>
      <c r="AQ24" s="343"/>
      <c r="AR24" s="343"/>
      <c r="AS24" s="343"/>
      <c r="AT24" s="343"/>
      <c r="AU24" s="343"/>
      <c r="AV24" s="343"/>
      <c r="AW24" s="343"/>
      <c r="AX24" s="343"/>
      <c r="AY24" s="343"/>
      <c r="AZ24" s="381"/>
      <c r="BA24" s="381"/>
      <c r="BB24" s="381"/>
      <c r="BC24" s="381"/>
      <c r="BD24" s="381"/>
      <c r="BE24" s="381"/>
      <c r="BF24" s="381"/>
      <c r="BG24" s="381"/>
      <c r="BH24" s="381"/>
      <c r="BI24" s="381"/>
      <c r="BJ24" s="381"/>
      <c r="BK24" s="381"/>
      <c r="BL24" s="381"/>
      <c r="BM24" s="381"/>
      <c r="BN24" s="381"/>
      <c r="BO24" s="381"/>
      <c r="BP24" s="381"/>
      <c r="BQ24" s="381"/>
      <c r="BR24" s="381"/>
      <c r="BS24" s="381"/>
      <c r="BT24" s="381"/>
      <c r="BU24" s="381"/>
      <c r="BV24" s="381"/>
      <c r="BW24" s="381"/>
      <c r="BX24" s="381"/>
      <c r="BY24" s="381"/>
      <c r="BZ24" s="381"/>
      <c r="CA24" s="381"/>
      <c r="CB24" s="381"/>
      <c r="CC24" s="381"/>
      <c r="CD24" s="381"/>
      <c r="CE24" s="381"/>
      <c r="CF24" s="381"/>
      <c r="CG24" s="381"/>
      <c r="CH24" s="381"/>
      <c r="CI24" s="381"/>
      <c r="CJ24" s="381"/>
      <c r="CK24" s="381"/>
      <c r="CL24" s="381"/>
      <c r="CM24" s="381"/>
      <c r="CN24" s="381"/>
      <c r="CO24" s="381"/>
      <c r="CP24" s="381"/>
      <c r="CQ24" s="381"/>
      <c r="CR24" s="381"/>
      <c r="CS24" s="381"/>
      <c r="CT24" s="381"/>
      <c r="CU24" s="381"/>
      <c r="CV24" s="381"/>
      <c r="CW24" s="381"/>
      <c r="CX24" s="381"/>
      <c r="CY24" s="381"/>
      <c r="CZ24" s="381"/>
      <c r="DA24" s="381"/>
      <c r="DB24" s="381"/>
      <c r="DC24" s="381"/>
      <c r="DD24" s="381"/>
      <c r="DE24" s="381"/>
      <c r="DF24" s="381"/>
      <c r="DG24" s="381"/>
      <c r="DH24" s="381"/>
    </row>
    <row r="25" spans="1:112" s="2" customFormat="1" ht="12.95" customHeight="1">
      <c r="A25" s="379"/>
      <c r="B25" s="338">
        <v>17</v>
      </c>
      <c r="C25" s="339">
        <v>133</v>
      </c>
      <c r="D25" s="356">
        <f>(200-ROUNDDOWN(($B$25+10)/(D8+5),0)+50)*2</f>
        <v>492</v>
      </c>
      <c r="E25" s="343">
        <f t="shared" ref="E25:V25" si="16">(200-ROUNDDOWN(($B$25+10)/(E8+5),0)+50)*2</f>
        <v>494</v>
      </c>
      <c r="F25" s="343">
        <f t="shared" si="16"/>
        <v>494</v>
      </c>
      <c r="G25" s="343">
        <f t="shared" si="16"/>
        <v>494</v>
      </c>
      <c r="H25" s="344">
        <f t="shared" si="16"/>
        <v>496</v>
      </c>
      <c r="I25" s="344">
        <f t="shared" si="16"/>
        <v>496</v>
      </c>
      <c r="J25" s="344">
        <f t="shared" si="16"/>
        <v>496</v>
      </c>
      <c r="K25" s="344">
        <f t="shared" si="16"/>
        <v>496</v>
      </c>
      <c r="L25" s="341">
        <f t="shared" si="16"/>
        <v>498</v>
      </c>
      <c r="M25" s="341">
        <f t="shared" si="16"/>
        <v>498</v>
      </c>
      <c r="N25" s="341">
        <f t="shared" si="16"/>
        <v>498</v>
      </c>
      <c r="O25" s="341">
        <f t="shared" si="16"/>
        <v>498</v>
      </c>
      <c r="P25" s="341">
        <f t="shared" si="16"/>
        <v>498</v>
      </c>
      <c r="Q25" s="341">
        <f t="shared" si="16"/>
        <v>498</v>
      </c>
      <c r="R25" s="341">
        <f t="shared" si="16"/>
        <v>498</v>
      </c>
      <c r="S25" s="341">
        <f t="shared" si="16"/>
        <v>498</v>
      </c>
      <c r="T25" s="341">
        <f t="shared" si="16"/>
        <v>498</v>
      </c>
      <c r="U25" s="341">
        <f t="shared" si="16"/>
        <v>498</v>
      </c>
      <c r="V25" s="341">
        <f t="shared" si="16"/>
        <v>498</v>
      </c>
      <c r="W25" s="341">
        <f>(200-ROUNDDOWN(($B$25+10)/(W8+5),0)+50)*2</f>
        <v>498</v>
      </c>
      <c r="X25" s="341">
        <f>(200-ROUNDDOWN(($B$25+10)/(X8+5),0)+50)*2</f>
        <v>498</v>
      </c>
      <c r="Y25" s="341">
        <f>(200-ROUNDDOWN(($B$25+10)/(Y8+5),0)+50)*2</f>
        <v>498</v>
      </c>
      <c r="Z25" s="338">
        <f>(200-ROUNDDOWN(($B$25+10)/(Z8+5),0)+50)*2</f>
        <v>500</v>
      </c>
      <c r="AA25" s="343"/>
      <c r="AB25" s="343"/>
      <c r="AC25" s="343"/>
      <c r="AD25" s="343"/>
      <c r="AE25" s="343"/>
      <c r="AF25" s="343"/>
      <c r="AG25" s="343"/>
      <c r="AH25" s="343"/>
      <c r="AI25" s="343"/>
      <c r="AJ25" s="343"/>
      <c r="AK25" s="343"/>
      <c r="AL25" s="343"/>
      <c r="AM25" s="343"/>
      <c r="AN25" s="343"/>
      <c r="AO25" s="343"/>
      <c r="AP25" s="343"/>
      <c r="AQ25" s="343"/>
      <c r="AR25" s="343"/>
      <c r="AS25" s="343"/>
      <c r="AT25" s="343"/>
      <c r="AU25" s="343"/>
      <c r="AV25" s="343"/>
      <c r="AW25" s="343"/>
      <c r="AX25" s="343"/>
      <c r="AY25" s="343"/>
      <c r="AZ25" s="381"/>
      <c r="BA25" s="381"/>
      <c r="BB25" s="381"/>
      <c r="BC25" s="381"/>
      <c r="BD25" s="381"/>
      <c r="BE25" s="381"/>
      <c r="BF25" s="381"/>
      <c r="BG25" s="381"/>
      <c r="BH25" s="381"/>
      <c r="BI25" s="381"/>
      <c r="BJ25" s="381"/>
      <c r="BK25" s="381"/>
      <c r="BL25" s="381"/>
      <c r="BM25" s="381"/>
      <c r="BN25" s="381"/>
      <c r="BO25" s="381"/>
      <c r="BP25" s="381"/>
      <c r="BQ25" s="381"/>
      <c r="BR25" s="381"/>
      <c r="BS25" s="381"/>
      <c r="BT25" s="381"/>
      <c r="BU25" s="381"/>
      <c r="BV25" s="381"/>
      <c r="BW25" s="381"/>
      <c r="BX25" s="381"/>
      <c r="BY25" s="381"/>
      <c r="BZ25" s="381"/>
      <c r="CA25" s="381"/>
      <c r="CB25" s="381"/>
      <c r="CC25" s="381"/>
      <c r="CD25" s="381"/>
      <c r="CE25" s="381"/>
      <c r="CF25" s="381"/>
      <c r="CG25" s="381"/>
      <c r="CH25" s="381"/>
      <c r="CI25" s="381"/>
      <c r="CJ25" s="381"/>
      <c r="CK25" s="381"/>
      <c r="CL25" s="381"/>
      <c r="CM25" s="381"/>
      <c r="CN25" s="381"/>
      <c r="CO25" s="381"/>
      <c r="CP25" s="381"/>
      <c r="CQ25" s="381"/>
      <c r="CR25" s="381"/>
      <c r="CS25" s="381"/>
      <c r="CT25" s="381"/>
      <c r="CU25" s="381"/>
      <c r="CV25" s="381"/>
      <c r="CW25" s="381"/>
      <c r="CX25" s="381"/>
      <c r="CY25" s="381"/>
      <c r="CZ25" s="381"/>
      <c r="DA25" s="381"/>
      <c r="DB25" s="381"/>
      <c r="DC25" s="381"/>
      <c r="DD25" s="381"/>
      <c r="DE25" s="381"/>
      <c r="DF25" s="381"/>
      <c r="DG25" s="381"/>
      <c r="DH25" s="381"/>
    </row>
    <row r="26" spans="1:112" s="2" customFormat="1" ht="12.95" customHeight="1">
      <c r="A26" s="379"/>
      <c r="B26" s="338">
        <v>18</v>
      </c>
      <c r="C26" s="339">
        <v>134</v>
      </c>
      <c r="D26" s="356">
        <f>(200-ROUNDDOWN(($B$26+10)/(D8+5),0)+50)*2</f>
        <v>492</v>
      </c>
      <c r="E26" s="356">
        <f t="shared" ref="E26:V26" si="17">(200-ROUNDDOWN(($B$26+10)/(E8+5),0)+50)*2</f>
        <v>492</v>
      </c>
      <c r="F26" s="343">
        <f t="shared" si="17"/>
        <v>494</v>
      </c>
      <c r="G26" s="343">
        <f t="shared" si="17"/>
        <v>494</v>
      </c>
      <c r="H26" s="344">
        <f t="shared" si="17"/>
        <v>496</v>
      </c>
      <c r="I26" s="344">
        <f t="shared" si="17"/>
        <v>496</v>
      </c>
      <c r="J26" s="344">
        <f t="shared" si="17"/>
        <v>496</v>
      </c>
      <c r="K26" s="344">
        <f t="shared" si="17"/>
        <v>496</v>
      </c>
      <c r="L26" s="344">
        <f t="shared" si="17"/>
        <v>496</v>
      </c>
      <c r="M26" s="341">
        <f t="shared" si="17"/>
        <v>498</v>
      </c>
      <c r="N26" s="341">
        <f t="shared" si="17"/>
        <v>498</v>
      </c>
      <c r="O26" s="341">
        <f t="shared" si="17"/>
        <v>498</v>
      </c>
      <c r="P26" s="341">
        <f t="shared" si="17"/>
        <v>498</v>
      </c>
      <c r="Q26" s="341">
        <f t="shared" si="17"/>
        <v>498</v>
      </c>
      <c r="R26" s="341">
        <f t="shared" si="17"/>
        <v>498</v>
      </c>
      <c r="S26" s="341">
        <f t="shared" si="17"/>
        <v>498</v>
      </c>
      <c r="T26" s="341">
        <f t="shared" si="17"/>
        <v>498</v>
      </c>
      <c r="U26" s="341">
        <f t="shared" si="17"/>
        <v>498</v>
      </c>
      <c r="V26" s="341">
        <f t="shared" si="17"/>
        <v>498</v>
      </c>
      <c r="W26" s="341">
        <f>(200-ROUNDDOWN(($B$26+10)/(W8+5),0)+50)*2</f>
        <v>498</v>
      </c>
      <c r="X26" s="341">
        <f>(200-ROUNDDOWN(($B$26+10)/(X8+5),0)+50)*2</f>
        <v>498</v>
      </c>
      <c r="Y26" s="341">
        <f>(200-ROUNDDOWN(($B$26+10)/(Y8+5),0)+50)*2</f>
        <v>498</v>
      </c>
      <c r="Z26" s="341">
        <f>(200-ROUNDDOWN(($B$26+10)/(Z8+5),0)+50)*2</f>
        <v>498</v>
      </c>
      <c r="AA26" s="338">
        <f>(200-ROUNDDOWN(($B$26+10)/(AA8+5),0)+50)*2</f>
        <v>500</v>
      </c>
      <c r="AB26" s="343"/>
      <c r="AC26" s="343"/>
      <c r="AD26" s="343"/>
      <c r="AE26" s="343"/>
      <c r="AF26" s="343"/>
      <c r="AG26" s="343"/>
      <c r="AH26" s="343"/>
      <c r="AI26" s="343"/>
      <c r="AJ26" s="343"/>
      <c r="AK26" s="343"/>
      <c r="AL26" s="343"/>
      <c r="AM26" s="343"/>
      <c r="AN26" s="343"/>
      <c r="AO26" s="343"/>
      <c r="AP26" s="343"/>
      <c r="AQ26" s="343"/>
      <c r="AR26" s="343"/>
      <c r="AS26" s="343"/>
      <c r="AT26" s="343"/>
      <c r="AU26" s="343"/>
      <c r="AV26" s="343"/>
      <c r="AW26" s="343"/>
      <c r="AX26" s="343"/>
      <c r="AY26" s="343"/>
      <c r="AZ26" s="381"/>
      <c r="BA26" s="381"/>
      <c r="BB26" s="381"/>
      <c r="BC26" s="381"/>
      <c r="BD26" s="381"/>
      <c r="BE26" s="381"/>
      <c r="BF26" s="381"/>
      <c r="BG26" s="381"/>
      <c r="BH26" s="381"/>
      <c r="BI26" s="381"/>
      <c r="BJ26" s="381"/>
      <c r="BK26" s="381"/>
      <c r="BL26" s="381"/>
      <c r="BM26" s="381"/>
      <c r="BN26" s="381"/>
      <c r="BO26" s="381"/>
      <c r="BP26" s="381"/>
      <c r="BQ26" s="381"/>
      <c r="BR26" s="381"/>
      <c r="BS26" s="381"/>
      <c r="BT26" s="381"/>
      <c r="BU26" s="381"/>
      <c r="BV26" s="381"/>
      <c r="BW26" s="381"/>
      <c r="BX26" s="381"/>
      <c r="BY26" s="381"/>
      <c r="BZ26" s="381"/>
      <c r="CA26" s="381"/>
      <c r="CB26" s="381"/>
      <c r="CC26" s="381"/>
      <c r="CD26" s="381"/>
      <c r="CE26" s="381"/>
      <c r="CF26" s="381"/>
      <c r="CG26" s="381"/>
      <c r="CH26" s="381"/>
      <c r="CI26" s="381"/>
      <c r="CJ26" s="381"/>
      <c r="CK26" s="381"/>
      <c r="CL26" s="381"/>
      <c r="CM26" s="381"/>
      <c r="CN26" s="381"/>
      <c r="CO26" s="381"/>
      <c r="CP26" s="381"/>
      <c r="CQ26" s="381"/>
      <c r="CR26" s="381"/>
      <c r="CS26" s="381"/>
      <c r="CT26" s="381"/>
      <c r="CU26" s="381"/>
      <c r="CV26" s="381"/>
      <c r="CW26" s="381"/>
      <c r="CX26" s="381"/>
      <c r="CY26" s="381"/>
      <c r="CZ26" s="381"/>
      <c r="DA26" s="381"/>
      <c r="DB26" s="381"/>
      <c r="DC26" s="381"/>
      <c r="DD26" s="381"/>
      <c r="DE26" s="381"/>
      <c r="DF26" s="381"/>
      <c r="DG26" s="381"/>
      <c r="DH26" s="381"/>
    </row>
    <row r="27" spans="1:112" s="2" customFormat="1" ht="12.95" customHeight="1">
      <c r="A27" s="379"/>
      <c r="B27" s="338">
        <v>19</v>
      </c>
      <c r="C27" s="339">
        <v>135</v>
      </c>
      <c r="D27" s="356">
        <f>(200-ROUNDDOWN(($B$27+10)/(D8+5),0)+50)*2</f>
        <v>492</v>
      </c>
      <c r="E27" s="356">
        <f t="shared" ref="E27:V27" si="18">(200-ROUNDDOWN(($B$27+10)/(E8+5),0)+50)*2</f>
        <v>492</v>
      </c>
      <c r="F27" s="343">
        <f t="shared" si="18"/>
        <v>494</v>
      </c>
      <c r="G27" s="343">
        <f t="shared" si="18"/>
        <v>494</v>
      </c>
      <c r="H27" s="344">
        <f t="shared" si="18"/>
        <v>496</v>
      </c>
      <c r="I27" s="344">
        <f t="shared" si="18"/>
        <v>496</v>
      </c>
      <c r="J27" s="344">
        <f t="shared" si="18"/>
        <v>496</v>
      </c>
      <c r="K27" s="344">
        <f t="shared" si="18"/>
        <v>496</v>
      </c>
      <c r="L27" s="344">
        <f t="shared" si="18"/>
        <v>496</v>
      </c>
      <c r="M27" s="341">
        <f>(200-ROUNDDOWN(($B$27+10)/(M8+5),0)+50)*2</f>
        <v>498</v>
      </c>
      <c r="N27" s="341">
        <f t="shared" si="18"/>
        <v>498</v>
      </c>
      <c r="O27" s="341">
        <f t="shared" si="18"/>
        <v>498</v>
      </c>
      <c r="P27" s="341">
        <f t="shared" si="18"/>
        <v>498</v>
      </c>
      <c r="Q27" s="341">
        <f t="shared" si="18"/>
        <v>498</v>
      </c>
      <c r="R27" s="341">
        <f t="shared" si="18"/>
        <v>498</v>
      </c>
      <c r="S27" s="341">
        <f t="shared" si="18"/>
        <v>498</v>
      </c>
      <c r="T27" s="341">
        <f t="shared" si="18"/>
        <v>498</v>
      </c>
      <c r="U27" s="341">
        <f t="shared" si="18"/>
        <v>498</v>
      </c>
      <c r="V27" s="341">
        <f t="shared" si="18"/>
        <v>498</v>
      </c>
      <c r="W27" s="341">
        <f t="shared" ref="W27:AB27" si="19">(200-ROUNDDOWN(($B$27+10)/(W8+5),0)+50)*2</f>
        <v>498</v>
      </c>
      <c r="X27" s="341">
        <f t="shared" si="19"/>
        <v>498</v>
      </c>
      <c r="Y27" s="341">
        <f t="shared" si="19"/>
        <v>498</v>
      </c>
      <c r="Z27" s="341">
        <f t="shared" si="19"/>
        <v>498</v>
      </c>
      <c r="AA27" s="341">
        <f t="shared" si="19"/>
        <v>498</v>
      </c>
      <c r="AB27" s="338">
        <f t="shared" si="19"/>
        <v>500</v>
      </c>
      <c r="AC27" s="343"/>
      <c r="AD27" s="343"/>
      <c r="AE27" s="343"/>
      <c r="AF27" s="343"/>
      <c r="AG27" s="343"/>
      <c r="AH27" s="343"/>
      <c r="AI27" s="343"/>
      <c r="AJ27" s="343"/>
      <c r="AK27" s="343"/>
      <c r="AL27" s="343"/>
      <c r="AM27" s="343"/>
      <c r="AN27" s="343"/>
      <c r="AO27" s="343"/>
      <c r="AP27" s="343"/>
      <c r="AQ27" s="343"/>
      <c r="AR27" s="343"/>
      <c r="AS27" s="343"/>
      <c r="AT27" s="343"/>
      <c r="AU27" s="343"/>
      <c r="AV27" s="343"/>
      <c r="AW27" s="343"/>
      <c r="AX27" s="343"/>
      <c r="AY27" s="343"/>
      <c r="AZ27" s="381"/>
      <c r="BA27" s="381"/>
      <c r="BB27" s="381"/>
      <c r="BC27" s="381"/>
      <c r="BD27" s="381"/>
      <c r="BE27" s="381"/>
      <c r="BF27" s="381"/>
      <c r="BG27" s="381"/>
      <c r="BH27" s="381"/>
      <c r="BI27" s="381"/>
      <c r="BJ27" s="381"/>
      <c r="BK27" s="381"/>
      <c r="BL27" s="381"/>
      <c r="BM27" s="381"/>
      <c r="BN27" s="381"/>
      <c r="BO27" s="381"/>
      <c r="BP27" s="381"/>
      <c r="BQ27" s="381"/>
      <c r="BR27" s="381"/>
      <c r="BS27" s="381"/>
      <c r="BT27" s="381"/>
      <c r="BU27" s="381"/>
      <c r="BV27" s="381"/>
      <c r="BW27" s="381"/>
      <c r="BX27" s="381"/>
      <c r="BY27" s="381"/>
      <c r="BZ27" s="381"/>
      <c r="CA27" s="381"/>
      <c r="CB27" s="381"/>
      <c r="CC27" s="381"/>
      <c r="CD27" s="381"/>
      <c r="CE27" s="381"/>
      <c r="CF27" s="381"/>
      <c r="CG27" s="381"/>
      <c r="CH27" s="381"/>
      <c r="CI27" s="381"/>
      <c r="CJ27" s="381"/>
      <c r="CK27" s="381"/>
      <c r="CL27" s="381"/>
      <c r="CM27" s="381"/>
      <c r="CN27" s="381"/>
      <c r="CO27" s="381"/>
      <c r="CP27" s="381"/>
      <c r="CQ27" s="381"/>
      <c r="CR27" s="381"/>
      <c r="CS27" s="381"/>
      <c r="CT27" s="381"/>
      <c r="CU27" s="381"/>
      <c r="CV27" s="381"/>
      <c r="CW27" s="381"/>
      <c r="CX27" s="381"/>
      <c r="CY27" s="381"/>
      <c r="CZ27" s="381"/>
      <c r="DA27" s="381"/>
      <c r="DB27" s="381"/>
      <c r="DC27" s="381"/>
      <c r="DD27" s="381"/>
      <c r="DE27" s="381"/>
      <c r="DF27" s="381"/>
      <c r="DG27" s="381"/>
      <c r="DH27" s="381"/>
    </row>
    <row r="28" spans="1:112" s="2" customFormat="1" ht="12.95" customHeight="1">
      <c r="A28" s="379"/>
      <c r="B28" s="338">
        <v>20</v>
      </c>
      <c r="C28" s="339">
        <v>136</v>
      </c>
      <c r="D28" s="357">
        <f>(200-ROUNDDOWN(($B$28+10)/(D8+5),0)+50)*2</f>
        <v>490</v>
      </c>
      <c r="E28" s="356">
        <f t="shared" ref="E28:V28" si="20">(200-ROUNDDOWN(($B$28+10)/(E8+5),0)+50)*2</f>
        <v>492</v>
      </c>
      <c r="F28" s="343">
        <f t="shared" si="20"/>
        <v>494</v>
      </c>
      <c r="G28" s="343">
        <f t="shared" si="20"/>
        <v>494</v>
      </c>
      <c r="H28" s="343">
        <f t="shared" si="20"/>
        <v>494</v>
      </c>
      <c r="I28" s="344">
        <f t="shared" si="20"/>
        <v>496</v>
      </c>
      <c r="J28" s="344">
        <f t="shared" si="20"/>
        <v>496</v>
      </c>
      <c r="K28" s="344">
        <f t="shared" si="20"/>
        <v>496</v>
      </c>
      <c r="L28" s="344">
        <f t="shared" si="20"/>
        <v>496</v>
      </c>
      <c r="M28" s="344">
        <f t="shared" si="20"/>
        <v>496</v>
      </c>
      <c r="N28" s="341">
        <f t="shared" si="20"/>
        <v>498</v>
      </c>
      <c r="O28" s="341">
        <f t="shared" si="20"/>
        <v>498</v>
      </c>
      <c r="P28" s="341">
        <f t="shared" si="20"/>
        <v>498</v>
      </c>
      <c r="Q28" s="341">
        <f t="shared" si="20"/>
        <v>498</v>
      </c>
      <c r="R28" s="341">
        <f>(200-ROUNDDOWN(($B$28+10)/(R8+5),0)+50)*2</f>
        <v>498</v>
      </c>
      <c r="S28" s="341">
        <f t="shared" si="20"/>
        <v>498</v>
      </c>
      <c r="T28" s="341">
        <f t="shared" si="20"/>
        <v>498</v>
      </c>
      <c r="U28" s="341">
        <f t="shared" si="20"/>
        <v>498</v>
      </c>
      <c r="V28" s="341">
        <f t="shared" si="20"/>
        <v>498</v>
      </c>
      <c r="W28" s="341">
        <f>(200-ROUNDDOWN(($B$28+10)/(W8+5),0)+50)*2</f>
        <v>498</v>
      </c>
      <c r="X28" s="341">
        <f t="shared" ref="X28:AC28" si="21">(200-ROUNDDOWN(($B$28+10)/(X8+5),0)+50)*2</f>
        <v>498</v>
      </c>
      <c r="Y28" s="341">
        <f t="shared" si="21"/>
        <v>498</v>
      </c>
      <c r="Z28" s="341">
        <f t="shared" si="21"/>
        <v>498</v>
      </c>
      <c r="AA28" s="341">
        <f t="shared" si="21"/>
        <v>498</v>
      </c>
      <c r="AB28" s="341">
        <f t="shared" si="21"/>
        <v>498</v>
      </c>
      <c r="AC28" s="338">
        <f t="shared" si="21"/>
        <v>500</v>
      </c>
      <c r="AD28" s="343"/>
      <c r="AE28" s="343"/>
      <c r="AF28" s="343"/>
      <c r="AG28" s="343"/>
      <c r="AH28" s="343"/>
      <c r="AI28" s="343"/>
      <c r="AJ28" s="343"/>
      <c r="AK28" s="343"/>
      <c r="AL28" s="343"/>
      <c r="AM28" s="343"/>
      <c r="AN28" s="343"/>
      <c r="AO28" s="343"/>
      <c r="AP28" s="343"/>
      <c r="AQ28" s="343"/>
      <c r="AR28" s="343"/>
      <c r="AS28" s="343"/>
      <c r="AT28" s="343"/>
      <c r="AU28" s="343"/>
      <c r="AV28" s="343"/>
      <c r="AW28" s="343"/>
      <c r="AX28" s="343"/>
      <c r="AY28" s="343"/>
      <c r="AZ28" s="381"/>
      <c r="BA28" s="381"/>
      <c r="BB28" s="381"/>
      <c r="BC28" s="381"/>
      <c r="BD28" s="381"/>
      <c r="BE28" s="381"/>
      <c r="BF28" s="381"/>
      <c r="BG28" s="381"/>
      <c r="BH28" s="381"/>
      <c r="BI28" s="381"/>
      <c r="BJ28" s="381"/>
      <c r="BK28" s="381"/>
      <c r="BL28" s="381"/>
      <c r="BM28" s="381"/>
      <c r="BN28" s="381"/>
      <c r="BO28" s="381"/>
      <c r="BP28" s="381"/>
      <c r="BQ28" s="381"/>
      <c r="BR28" s="381"/>
      <c r="BS28" s="381"/>
      <c r="BT28" s="381"/>
      <c r="BU28" s="381"/>
      <c r="BV28" s="381"/>
      <c r="BW28" s="381"/>
      <c r="BX28" s="381"/>
      <c r="BY28" s="381"/>
      <c r="BZ28" s="381"/>
      <c r="CA28" s="381"/>
      <c r="CB28" s="381"/>
      <c r="CC28" s="381"/>
      <c r="CD28" s="381"/>
      <c r="CE28" s="381"/>
      <c r="CF28" s="381"/>
      <c r="CG28" s="381"/>
      <c r="CH28" s="381"/>
      <c r="CI28" s="381"/>
      <c r="CJ28" s="381"/>
      <c r="CK28" s="381"/>
      <c r="CL28" s="381"/>
      <c r="CM28" s="381"/>
      <c r="CN28" s="381"/>
      <c r="CO28" s="381"/>
      <c r="CP28" s="381"/>
      <c r="CQ28" s="381"/>
      <c r="CR28" s="381"/>
      <c r="CS28" s="381"/>
      <c r="CT28" s="381"/>
      <c r="CU28" s="381"/>
      <c r="CV28" s="381"/>
      <c r="CW28" s="381"/>
      <c r="CX28" s="381"/>
      <c r="CY28" s="381"/>
      <c r="CZ28" s="381"/>
      <c r="DA28" s="381"/>
      <c r="DB28" s="381"/>
      <c r="DC28" s="381"/>
      <c r="DD28" s="381"/>
      <c r="DE28" s="381"/>
      <c r="DF28" s="381"/>
      <c r="DG28" s="381"/>
      <c r="DH28" s="381"/>
    </row>
    <row r="29" spans="1:112" s="2" customFormat="1" ht="12.95" customHeight="1" thickBot="1">
      <c r="A29" s="379"/>
      <c r="B29" s="345">
        <v>21</v>
      </c>
      <c r="C29" s="346">
        <v>137</v>
      </c>
      <c r="D29" s="358">
        <f>(200-ROUNDDOWN(($B$29+10)/(D8+5),0)+50)*2</f>
        <v>490</v>
      </c>
      <c r="E29" s="354">
        <f t="shared" ref="E29:V29" si="22">(200-ROUNDDOWN(($B$29+10)/(E8+5),0)+50)*2</f>
        <v>492</v>
      </c>
      <c r="F29" s="349">
        <f t="shared" si="22"/>
        <v>494</v>
      </c>
      <c r="G29" s="349">
        <f t="shared" si="22"/>
        <v>494</v>
      </c>
      <c r="H29" s="349">
        <f t="shared" si="22"/>
        <v>494</v>
      </c>
      <c r="I29" s="347">
        <f t="shared" si="22"/>
        <v>496</v>
      </c>
      <c r="J29" s="347">
        <f t="shared" si="22"/>
        <v>496</v>
      </c>
      <c r="K29" s="347">
        <f t="shared" si="22"/>
        <v>496</v>
      </c>
      <c r="L29" s="347">
        <f t="shared" si="22"/>
        <v>496</v>
      </c>
      <c r="M29" s="347">
        <f t="shared" si="22"/>
        <v>496</v>
      </c>
      <c r="N29" s="348">
        <f t="shared" si="22"/>
        <v>498</v>
      </c>
      <c r="O29" s="348">
        <f t="shared" si="22"/>
        <v>498</v>
      </c>
      <c r="P29" s="348">
        <f t="shared" si="22"/>
        <v>498</v>
      </c>
      <c r="Q29" s="348">
        <f t="shared" si="22"/>
        <v>498</v>
      </c>
      <c r="R29" s="348">
        <f t="shared" si="22"/>
        <v>498</v>
      </c>
      <c r="S29" s="348">
        <f t="shared" si="22"/>
        <v>498</v>
      </c>
      <c r="T29" s="348">
        <f t="shared" si="22"/>
        <v>498</v>
      </c>
      <c r="U29" s="348">
        <f t="shared" si="22"/>
        <v>498</v>
      </c>
      <c r="V29" s="348">
        <f t="shared" si="22"/>
        <v>498</v>
      </c>
      <c r="W29" s="348">
        <f>(200-ROUNDDOWN(($B$29+10)/(W8+5),0)+50)*2</f>
        <v>498</v>
      </c>
      <c r="X29" s="348">
        <f t="shared" ref="X29:AD29" si="23">(200-ROUNDDOWN(($B$29+10)/(X8+5),0)+50)*2</f>
        <v>498</v>
      </c>
      <c r="Y29" s="348">
        <f t="shared" si="23"/>
        <v>498</v>
      </c>
      <c r="Z29" s="348">
        <f t="shared" si="23"/>
        <v>498</v>
      </c>
      <c r="AA29" s="348">
        <f t="shared" si="23"/>
        <v>498</v>
      </c>
      <c r="AB29" s="348">
        <f t="shared" si="23"/>
        <v>498</v>
      </c>
      <c r="AC29" s="348">
        <f t="shared" si="23"/>
        <v>498</v>
      </c>
      <c r="AD29" s="345">
        <f t="shared" si="23"/>
        <v>500</v>
      </c>
      <c r="AE29" s="349"/>
      <c r="AF29" s="349"/>
      <c r="AG29" s="349"/>
      <c r="AH29" s="349"/>
      <c r="AI29" s="349"/>
      <c r="AJ29" s="349"/>
      <c r="AK29" s="349"/>
      <c r="AL29" s="349"/>
      <c r="AM29" s="349"/>
      <c r="AN29" s="349"/>
      <c r="AO29" s="349"/>
      <c r="AP29" s="349"/>
      <c r="AQ29" s="349"/>
      <c r="AR29" s="349"/>
      <c r="AS29" s="349"/>
      <c r="AT29" s="349"/>
      <c r="AU29" s="349"/>
      <c r="AV29" s="349"/>
      <c r="AW29" s="349"/>
      <c r="AX29" s="349"/>
      <c r="AY29" s="349"/>
      <c r="AZ29" s="381"/>
      <c r="BA29" s="381"/>
      <c r="BB29" s="381"/>
      <c r="BC29" s="381"/>
      <c r="BD29" s="381"/>
      <c r="BE29" s="381"/>
      <c r="BF29" s="381"/>
      <c r="BG29" s="381"/>
      <c r="BH29" s="381"/>
      <c r="BI29" s="381"/>
      <c r="BJ29" s="381"/>
      <c r="BK29" s="381"/>
      <c r="BL29" s="381"/>
      <c r="BM29" s="381"/>
      <c r="BN29" s="381"/>
      <c r="BO29" s="381"/>
      <c r="BP29" s="381"/>
      <c r="BQ29" s="381"/>
      <c r="BR29" s="381"/>
      <c r="BS29" s="381"/>
      <c r="BT29" s="381"/>
      <c r="BU29" s="381"/>
      <c r="BV29" s="381"/>
      <c r="BW29" s="381"/>
      <c r="BX29" s="381"/>
      <c r="BY29" s="381"/>
      <c r="BZ29" s="381"/>
      <c r="CA29" s="381"/>
      <c r="CB29" s="381"/>
      <c r="CC29" s="381"/>
      <c r="CD29" s="381"/>
      <c r="CE29" s="381"/>
      <c r="CF29" s="381"/>
      <c r="CG29" s="381"/>
      <c r="CH29" s="381"/>
      <c r="CI29" s="381"/>
      <c r="CJ29" s="381"/>
      <c r="CK29" s="381"/>
      <c r="CL29" s="381"/>
      <c r="CM29" s="381"/>
      <c r="CN29" s="381"/>
      <c r="CO29" s="381"/>
      <c r="CP29" s="381"/>
      <c r="CQ29" s="381"/>
      <c r="CR29" s="381"/>
      <c r="CS29" s="381"/>
      <c r="CT29" s="381"/>
      <c r="CU29" s="381"/>
      <c r="CV29" s="381"/>
      <c r="CW29" s="381"/>
      <c r="CX29" s="381"/>
      <c r="CY29" s="381"/>
      <c r="CZ29" s="381"/>
      <c r="DA29" s="381"/>
      <c r="DB29" s="381"/>
      <c r="DC29" s="381"/>
      <c r="DD29" s="381"/>
      <c r="DE29" s="381"/>
      <c r="DF29" s="381"/>
      <c r="DG29" s="381"/>
      <c r="DH29" s="381"/>
    </row>
    <row r="30" spans="1:112" s="2" customFormat="1" ht="12.95" customHeight="1" thickTop="1">
      <c r="A30" s="379"/>
      <c r="B30" s="350">
        <v>22</v>
      </c>
      <c r="C30" s="351">
        <v>141</v>
      </c>
      <c r="D30" s="359">
        <f>(200-ROUNDDOWN(($B$30+10)/(D8+5),0)+50)*2</f>
        <v>490</v>
      </c>
      <c r="E30" s="355">
        <f t="shared" ref="E30:V30" si="24">(200-ROUNDDOWN(($B$30+10)/(E8+5),0)+50)*2</f>
        <v>492</v>
      </c>
      <c r="F30" s="355">
        <f t="shared" si="24"/>
        <v>492</v>
      </c>
      <c r="G30" s="3">
        <f t="shared" si="24"/>
        <v>494</v>
      </c>
      <c r="H30" s="3">
        <f t="shared" si="24"/>
        <v>494</v>
      </c>
      <c r="I30" s="352">
        <f t="shared" si="24"/>
        <v>496</v>
      </c>
      <c r="J30" s="352">
        <f t="shared" si="24"/>
        <v>496</v>
      </c>
      <c r="K30" s="352">
        <f t="shared" si="24"/>
        <v>496</v>
      </c>
      <c r="L30" s="352">
        <f t="shared" si="24"/>
        <v>496</v>
      </c>
      <c r="M30" s="352">
        <f t="shared" si="24"/>
        <v>496</v>
      </c>
      <c r="N30" s="352">
        <f t="shared" si="24"/>
        <v>496</v>
      </c>
      <c r="O30" s="353">
        <f t="shared" si="24"/>
        <v>498</v>
      </c>
      <c r="P30" s="353">
        <f t="shared" si="24"/>
        <v>498</v>
      </c>
      <c r="Q30" s="353">
        <f t="shared" si="24"/>
        <v>498</v>
      </c>
      <c r="R30" s="353">
        <f t="shared" si="24"/>
        <v>498</v>
      </c>
      <c r="S30" s="353">
        <f t="shared" si="24"/>
        <v>498</v>
      </c>
      <c r="T30" s="353">
        <f t="shared" si="24"/>
        <v>498</v>
      </c>
      <c r="U30" s="353">
        <f t="shared" si="24"/>
        <v>498</v>
      </c>
      <c r="V30" s="353">
        <f t="shared" si="24"/>
        <v>498</v>
      </c>
      <c r="W30" s="353">
        <f>(200-ROUNDDOWN(($B$30+10)/(W8+5),0)+50)*2</f>
        <v>498</v>
      </c>
      <c r="X30" s="353">
        <f t="shared" ref="X30:AD30" si="25">(200-ROUNDDOWN(($B$30+10)/(X8+5),0)+50)*2</f>
        <v>498</v>
      </c>
      <c r="Y30" s="353">
        <f t="shared" si="25"/>
        <v>498</v>
      </c>
      <c r="Z30" s="353">
        <f t="shared" si="25"/>
        <v>498</v>
      </c>
      <c r="AA30" s="353">
        <f t="shared" si="25"/>
        <v>498</v>
      </c>
      <c r="AB30" s="353">
        <f t="shared" si="25"/>
        <v>498</v>
      </c>
      <c r="AC30" s="353">
        <f t="shared" si="25"/>
        <v>498</v>
      </c>
      <c r="AD30" s="353">
        <f t="shared" si="25"/>
        <v>498</v>
      </c>
      <c r="AE30" s="350">
        <f>(200-ROUNDDOWN(($B$30+10)/(AE8+5),0)+50)*2</f>
        <v>500</v>
      </c>
      <c r="AF30" s="3"/>
      <c r="AG30" s="3"/>
      <c r="AH30" s="3"/>
      <c r="AI30" s="3"/>
      <c r="AJ30" s="3"/>
      <c r="AK30" s="3"/>
      <c r="AL30" s="3"/>
      <c r="AM30" s="3"/>
      <c r="AN30" s="3"/>
      <c r="AO30" s="3"/>
      <c r="AP30" s="3"/>
      <c r="AQ30" s="3"/>
      <c r="AR30" s="3"/>
      <c r="AS30" s="3"/>
      <c r="AT30" s="3"/>
      <c r="AU30" s="3"/>
      <c r="AV30" s="3"/>
      <c r="AW30" s="3"/>
      <c r="AX30" s="3"/>
      <c r="AY30" s="3"/>
      <c r="AZ30" s="381"/>
      <c r="BA30" s="381"/>
      <c r="BB30" s="381"/>
      <c r="BC30" s="381"/>
      <c r="BD30" s="381"/>
      <c r="BE30" s="381"/>
      <c r="BF30" s="381"/>
      <c r="BG30" s="381"/>
      <c r="BH30" s="381"/>
      <c r="BI30" s="381"/>
      <c r="BJ30" s="381"/>
      <c r="BK30" s="381"/>
      <c r="BL30" s="381"/>
      <c r="BM30" s="381"/>
      <c r="BN30" s="381"/>
      <c r="BO30" s="381"/>
      <c r="BP30" s="381"/>
      <c r="BQ30" s="381"/>
      <c r="BR30" s="381"/>
      <c r="BS30" s="381"/>
      <c r="BT30" s="381"/>
      <c r="BU30" s="381"/>
      <c r="BV30" s="381"/>
      <c r="BW30" s="381"/>
      <c r="BX30" s="381"/>
      <c r="BY30" s="381"/>
      <c r="BZ30" s="381"/>
      <c r="CA30" s="381"/>
      <c r="CB30" s="381"/>
      <c r="CC30" s="381"/>
      <c r="CD30" s="381"/>
      <c r="CE30" s="381"/>
      <c r="CF30" s="381"/>
      <c r="CG30" s="381"/>
      <c r="CH30" s="381"/>
      <c r="CI30" s="381"/>
      <c r="CJ30" s="381"/>
      <c r="CK30" s="381"/>
      <c r="CL30" s="381"/>
      <c r="CM30" s="381"/>
      <c r="CN30" s="381"/>
      <c r="CO30" s="381"/>
      <c r="CP30" s="381"/>
      <c r="CQ30" s="381"/>
      <c r="CR30" s="381"/>
      <c r="CS30" s="381"/>
      <c r="CT30" s="381"/>
      <c r="CU30" s="381"/>
      <c r="CV30" s="381"/>
      <c r="CW30" s="381"/>
      <c r="CX30" s="381"/>
      <c r="CY30" s="381"/>
      <c r="CZ30" s="381"/>
      <c r="DA30" s="381"/>
      <c r="DB30" s="381"/>
      <c r="DC30" s="381"/>
      <c r="DD30" s="381"/>
      <c r="DE30" s="381"/>
      <c r="DF30" s="381"/>
      <c r="DG30" s="381"/>
      <c r="DH30" s="381"/>
    </row>
    <row r="31" spans="1:112" s="2" customFormat="1" ht="12.95" customHeight="1">
      <c r="A31" s="379"/>
      <c r="B31" s="338">
        <v>23</v>
      </c>
      <c r="C31" s="339">
        <v>142</v>
      </c>
      <c r="D31" s="357">
        <f>(200-ROUNDDOWN(($B$31+10)/(D8+5),0)+50)*2</f>
        <v>490</v>
      </c>
      <c r="E31" s="356">
        <f t="shared" ref="E31:V31" si="26">(200-ROUNDDOWN(($B$31+10)/(E8+5),0)+50)*2</f>
        <v>492</v>
      </c>
      <c r="F31" s="356">
        <f t="shared" si="26"/>
        <v>492</v>
      </c>
      <c r="G31" s="343">
        <f t="shared" si="26"/>
        <v>494</v>
      </c>
      <c r="H31" s="343">
        <f t="shared" si="26"/>
        <v>494</v>
      </c>
      <c r="I31" s="343">
        <f t="shared" si="26"/>
        <v>494</v>
      </c>
      <c r="J31" s="344">
        <f t="shared" si="26"/>
        <v>496</v>
      </c>
      <c r="K31" s="344">
        <f t="shared" si="26"/>
        <v>496</v>
      </c>
      <c r="L31" s="344">
        <f t="shared" si="26"/>
        <v>496</v>
      </c>
      <c r="M31" s="344">
        <f t="shared" si="26"/>
        <v>496</v>
      </c>
      <c r="N31" s="344">
        <f t="shared" si="26"/>
        <v>496</v>
      </c>
      <c r="O31" s="341">
        <f t="shared" si="26"/>
        <v>498</v>
      </c>
      <c r="P31" s="341">
        <f t="shared" si="26"/>
        <v>498</v>
      </c>
      <c r="Q31" s="341">
        <f t="shared" si="26"/>
        <v>498</v>
      </c>
      <c r="R31" s="341">
        <f t="shared" si="26"/>
        <v>498</v>
      </c>
      <c r="S31" s="341">
        <f>(200-ROUNDDOWN(($B$31+10)/(S8+5),0)+50)*2</f>
        <v>498</v>
      </c>
      <c r="T31" s="341">
        <f t="shared" si="26"/>
        <v>498</v>
      </c>
      <c r="U31" s="341">
        <f t="shared" si="26"/>
        <v>498</v>
      </c>
      <c r="V31" s="341">
        <f t="shared" si="26"/>
        <v>498</v>
      </c>
      <c r="W31" s="341">
        <f>(200-ROUNDDOWN(($B$31+10)/(W8+5),0)+50)*2</f>
        <v>498</v>
      </c>
      <c r="X31" s="341">
        <f t="shared" ref="X31:AD31" si="27">(200-ROUNDDOWN(($B$31+10)/(X8+5),0)+50)*2</f>
        <v>498</v>
      </c>
      <c r="Y31" s="341">
        <f t="shared" si="27"/>
        <v>498</v>
      </c>
      <c r="Z31" s="341">
        <f t="shared" si="27"/>
        <v>498</v>
      </c>
      <c r="AA31" s="341">
        <f t="shared" si="27"/>
        <v>498</v>
      </c>
      <c r="AB31" s="341">
        <f t="shared" si="27"/>
        <v>498</v>
      </c>
      <c r="AC31" s="341">
        <f t="shared" si="27"/>
        <v>498</v>
      </c>
      <c r="AD31" s="341">
        <f t="shared" si="27"/>
        <v>498</v>
      </c>
      <c r="AE31" s="341">
        <f>(200-ROUNDDOWN(($B$31+10)/(AE8+5),0)+50)*2</f>
        <v>498</v>
      </c>
      <c r="AF31" s="338">
        <f>(200-ROUNDDOWN(($B$31+10)/(AF8+5),0)+50)*2</f>
        <v>500</v>
      </c>
      <c r="AG31" s="343"/>
      <c r="AH31" s="343"/>
      <c r="AI31" s="343"/>
      <c r="AJ31" s="343"/>
      <c r="AK31" s="343"/>
      <c r="AL31" s="343"/>
      <c r="AM31" s="343"/>
      <c r="AN31" s="343"/>
      <c r="AO31" s="343"/>
      <c r="AP31" s="343"/>
      <c r="AQ31" s="343"/>
      <c r="AR31" s="343"/>
      <c r="AS31" s="343"/>
      <c r="AT31" s="343"/>
      <c r="AU31" s="343"/>
      <c r="AV31" s="343"/>
      <c r="AW31" s="343"/>
      <c r="AX31" s="343"/>
      <c r="AY31" s="343"/>
      <c r="AZ31" s="381"/>
      <c r="BA31" s="381"/>
      <c r="BB31" s="381"/>
      <c r="BC31" s="381"/>
      <c r="BD31" s="381"/>
      <c r="BE31" s="381"/>
      <c r="BF31" s="381"/>
      <c r="BG31" s="381"/>
      <c r="BH31" s="381"/>
      <c r="BI31" s="381"/>
      <c r="BJ31" s="381"/>
      <c r="BK31" s="381"/>
      <c r="BL31" s="381"/>
      <c r="BM31" s="381"/>
      <c r="BN31" s="381"/>
      <c r="BO31" s="381"/>
      <c r="BP31" s="381"/>
      <c r="BQ31" s="381"/>
      <c r="BR31" s="381"/>
      <c r="BS31" s="381"/>
      <c r="BT31" s="381"/>
      <c r="BU31" s="381"/>
      <c r="BV31" s="381"/>
      <c r="BW31" s="381"/>
      <c r="BX31" s="381"/>
      <c r="BY31" s="381"/>
      <c r="BZ31" s="381"/>
      <c r="CA31" s="381"/>
      <c r="CB31" s="381"/>
      <c r="CC31" s="381"/>
      <c r="CD31" s="381"/>
      <c r="CE31" s="381"/>
      <c r="CF31" s="381"/>
      <c r="CG31" s="381"/>
      <c r="CH31" s="381"/>
      <c r="CI31" s="381"/>
      <c r="CJ31" s="381"/>
      <c r="CK31" s="381"/>
      <c r="CL31" s="381"/>
      <c r="CM31" s="381"/>
      <c r="CN31" s="381"/>
      <c r="CO31" s="381"/>
      <c r="CP31" s="381"/>
      <c r="CQ31" s="381"/>
      <c r="CR31" s="381"/>
      <c r="CS31" s="381"/>
      <c r="CT31" s="381"/>
      <c r="CU31" s="381"/>
      <c r="CV31" s="381"/>
      <c r="CW31" s="381"/>
      <c r="CX31" s="381"/>
      <c r="CY31" s="381"/>
      <c r="CZ31" s="381"/>
      <c r="DA31" s="381"/>
      <c r="DB31" s="381"/>
      <c r="DC31" s="381"/>
      <c r="DD31" s="381"/>
      <c r="DE31" s="381"/>
      <c r="DF31" s="381"/>
      <c r="DG31" s="381"/>
      <c r="DH31" s="381"/>
    </row>
    <row r="32" spans="1:112" s="2" customFormat="1" ht="12.95" customHeight="1">
      <c r="A32" s="379"/>
      <c r="B32" s="338">
        <v>24</v>
      </c>
      <c r="C32" s="339">
        <v>143</v>
      </c>
      <c r="D32" s="357">
        <f>(200-ROUNDDOWN(($B$32+10)/(D8+5),0)+50)*2</f>
        <v>490</v>
      </c>
      <c r="E32" s="356">
        <f t="shared" ref="E32:V32" si="28">(200-ROUNDDOWN(($B$32+10)/(E8+5),0)+50)*2</f>
        <v>492</v>
      </c>
      <c r="F32" s="356">
        <f t="shared" si="28"/>
        <v>492</v>
      </c>
      <c r="G32" s="343">
        <f t="shared" si="28"/>
        <v>494</v>
      </c>
      <c r="H32" s="343">
        <f t="shared" si="28"/>
        <v>494</v>
      </c>
      <c r="I32" s="343">
        <f t="shared" si="28"/>
        <v>494</v>
      </c>
      <c r="J32" s="344">
        <f t="shared" si="28"/>
        <v>496</v>
      </c>
      <c r="K32" s="344">
        <f t="shared" si="28"/>
        <v>496</v>
      </c>
      <c r="L32" s="344">
        <f t="shared" si="28"/>
        <v>496</v>
      </c>
      <c r="M32" s="344">
        <f t="shared" si="28"/>
        <v>496</v>
      </c>
      <c r="N32" s="344">
        <f t="shared" si="28"/>
        <v>496</v>
      </c>
      <c r="O32" s="344">
        <f t="shared" si="28"/>
        <v>496</v>
      </c>
      <c r="P32" s="341">
        <f t="shared" si="28"/>
        <v>498</v>
      </c>
      <c r="Q32" s="341">
        <f t="shared" si="28"/>
        <v>498</v>
      </c>
      <c r="R32" s="341">
        <f t="shared" si="28"/>
        <v>498</v>
      </c>
      <c r="S32" s="341">
        <f t="shared" si="28"/>
        <v>498</v>
      </c>
      <c r="T32" s="341">
        <f t="shared" si="28"/>
        <v>498</v>
      </c>
      <c r="U32" s="341">
        <f t="shared" si="28"/>
        <v>498</v>
      </c>
      <c r="V32" s="341">
        <f t="shared" si="28"/>
        <v>498</v>
      </c>
      <c r="W32" s="341">
        <f>(200-ROUNDDOWN(($B$32+10)/(W8+5),0)+50)*2</f>
        <v>498</v>
      </c>
      <c r="X32" s="341">
        <f t="shared" ref="X32:AD32" si="29">(200-ROUNDDOWN(($B$32+10)/(X8+5),0)+50)*2</f>
        <v>498</v>
      </c>
      <c r="Y32" s="341">
        <f t="shared" si="29"/>
        <v>498</v>
      </c>
      <c r="Z32" s="341">
        <f t="shared" si="29"/>
        <v>498</v>
      </c>
      <c r="AA32" s="341">
        <f t="shared" si="29"/>
        <v>498</v>
      </c>
      <c r="AB32" s="341">
        <f t="shared" si="29"/>
        <v>498</v>
      </c>
      <c r="AC32" s="341">
        <f t="shared" si="29"/>
        <v>498</v>
      </c>
      <c r="AD32" s="341">
        <f t="shared" si="29"/>
        <v>498</v>
      </c>
      <c r="AE32" s="341">
        <f>(200-ROUNDDOWN(($B$32+10)/(AE8+5),0)+50)*2</f>
        <v>498</v>
      </c>
      <c r="AF32" s="341">
        <f>(200-ROUNDDOWN(($B$32+10)/(AF8+5),0)+50)*2</f>
        <v>498</v>
      </c>
      <c r="AG32" s="338">
        <f>(200-ROUNDDOWN(($B$32+10)/(AG8+5),0)+50)*2</f>
        <v>500</v>
      </c>
      <c r="AH32" s="343"/>
      <c r="AI32" s="343"/>
      <c r="AJ32" s="343"/>
      <c r="AK32" s="343"/>
      <c r="AL32" s="343"/>
      <c r="AM32" s="343"/>
      <c r="AN32" s="343"/>
      <c r="AO32" s="343"/>
      <c r="AP32" s="343"/>
      <c r="AQ32" s="343"/>
      <c r="AR32" s="343"/>
      <c r="AS32" s="343"/>
      <c r="AT32" s="343"/>
      <c r="AU32" s="343"/>
      <c r="AV32" s="343"/>
      <c r="AW32" s="343"/>
      <c r="AX32" s="343"/>
      <c r="AY32" s="343"/>
      <c r="AZ32" s="381"/>
      <c r="BA32" s="381"/>
      <c r="BB32" s="381"/>
      <c r="BC32" s="381"/>
      <c r="BD32" s="381"/>
      <c r="BE32" s="381"/>
      <c r="BF32" s="381"/>
      <c r="BG32" s="381"/>
      <c r="BH32" s="381"/>
      <c r="BI32" s="381"/>
      <c r="BJ32" s="381"/>
      <c r="BK32" s="381"/>
      <c r="BL32" s="381"/>
      <c r="BM32" s="381"/>
      <c r="BN32" s="381"/>
      <c r="BO32" s="381"/>
      <c r="BP32" s="381"/>
      <c r="BQ32" s="381"/>
      <c r="BR32" s="381"/>
      <c r="BS32" s="381"/>
      <c r="BT32" s="381"/>
      <c r="BU32" s="381"/>
      <c r="BV32" s="381"/>
      <c r="BW32" s="381"/>
      <c r="BX32" s="381"/>
      <c r="BY32" s="381"/>
      <c r="BZ32" s="381"/>
      <c r="CA32" s="381"/>
      <c r="CB32" s="381"/>
      <c r="CC32" s="381"/>
      <c r="CD32" s="381"/>
      <c r="CE32" s="381"/>
      <c r="CF32" s="381"/>
      <c r="CG32" s="381"/>
      <c r="CH32" s="381"/>
      <c r="CI32" s="381"/>
      <c r="CJ32" s="381"/>
      <c r="CK32" s="381"/>
      <c r="CL32" s="381"/>
      <c r="CM32" s="381"/>
      <c r="CN32" s="381"/>
      <c r="CO32" s="381"/>
      <c r="CP32" s="381"/>
      <c r="CQ32" s="381"/>
      <c r="CR32" s="381"/>
      <c r="CS32" s="381"/>
      <c r="CT32" s="381"/>
      <c r="CU32" s="381"/>
      <c r="CV32" s="381"/>
      <c r="CW32" s="381"/>
      <c r="CX32" s="381"/>
      <c r="CY32" s="381"/>
      <c r="CZ32" s="381"/>
      <c r="DA32" s="381"/>
      <c r="DB32" s="381"/>
      <c r="DC32" s="381"/>
      <c r="DD32" s="381"/>
      <c r="DE32" s="381"/>
      <c r="DF32" s="381"/>
      <c r="DG32" s="381"/>
      <c r="DH32" s="381"/>
    </row>
    <row r="33" spans="1:112" s="2" customFormat="1" ht="12.95" customHeight="1">
      <c r="A33" s="379"/>
      <c r="B33" s="338">
        <v>25</v>
      </c>
      <c r="C33" s="339">
        <v>144</v>
      </c>
      <c r="D33" s="357">
        <f>(200-ROUNDDOWN(($B$33+10)/(D8+5),0)+50)*2</f>
        <v>490</v>
      </c>
      <c r="E33" s="357">
        <f t="shared" ref="E33:V33" si="30">(200-ROUNDDOWN(($B$33+10)/(E8+5),0)+50)*2</f>
        <v>490</v>
      </c>
      <c r="F33" s="356">
        <f t="shared" si="30"/>
        <v>492</v>
      </c>
      <c r="G33" s="343">
        <f t="shared" si="30"/>
        <v>494</v>
      </c>
      <c r="H33" s="343">
        <f t="shared" si="30"/>
        <v>494</v>
      </c>
      <c r="I33" s="343">
        <f t="shared" si="30"/>
        <v>494</v>
      </c>
      <c r="J33" s="344">
        <f t="shared" si="30"/>
        <v>496</v>
      </c>
      <c r="K33" s="344">
        <f t="shared" si="30"/>
        <v>496</v>
      </c>
      <c r="L33" s="344">
        <f t="shared" si="30"/>
        <v>496</v>
      </c>
      <c r="M33" s="344">
        <f t="shared" si="30"/>
        <v>496</v>
      </c>
      <c r="N33" s="344">
        <f t="shared" si="30"/>
        <v>496</v>
      </c>
      <c r="O33" s="344">
        <f t="shared" si="30"/>
        <v>496</v>
      </c>
      <c r="P33" s="341">
        <f t="shared" si="30"/>
        <v>498</v>
      </c>
      <c r="Q33" s="341">
        <f t="shared" si="30"/>
        <v>498</v>
      </c>
      <c r="R33" s="341">
        <f t="shared" si="30"/>
        <v>498</v>
      </c>
      <c r="S33" s="341">
        <f t="shared" si="30"/>
        <v>498</v>
      </c>
      <c r="T33" s="341">
        <f t="shared" si="30"/>
        <v>498</v>
      </c>
      <c r="U33" s="341">
        <f t="shared" si="30"/>
        <v>498</v>
      </c>
      <c r="V33" s="341">
        <f t="shared" si="30"/>
        <v>498</v>
      </c>
      <c r="W33" s="341">
        <f>(200-ROUNDDOWN(($B$33+10)/(W8+5),0)+50)*2</f>
        <v>498</v>
      </c>
      <c r="X33" s="341">
        <f t="shared" ref="X33:AD33" si="31">(200-ROUNDDOWN(($B$33+10)/(X8+5),0)+50)*2</f>
        <v>498</v>
      </c>
      <c r="Y33" s="341">
        <f t="shared" si="31"/>
        <v>498</v>
      </c>
      <c r="Z33" s="341">
        <f t="shared" si="31"/>
        <v>498</v>
      </c>
      <c r="AA33" s="341">
        <f t="shared" si="31"/>
        <v>498</v>
      </c>
      <c r="AB33" s="341">
        <f t="shared" si="31"/>
        <v>498</v>
      </c>
      <c r="AC33" s="341">
        <f t="shared" si="31"/>
        <v>498</v>
      </c>
      <c r="AD33" s="341">
        <f t="shared" si="31"/>
        <v>498</v>
      </c>
      <c r="AE33" s="341">
        <f>(200-ROUNDDOWN(($B$33+10)/(AE8+5),0)+50)*2</f>
        <v>498</v>
      </c>
      <c r="AF33" s="341">
        <f>(200-ROUNDDOWN(($B$33+10)/(AF8+5),0)+50)*2</f>
        <v>498</v>
      </c>
      <c r="AG33" s="341">
        <f>(200-ROUNDDOWN(($B$33+10)/(AG8+5),0)+50)*2</f>
        <v>498</v>
      </c>
      <c r="AH33" s="338">
        <f>(200-ROUNDDOWN(($B$33+10)/(AH8+5),0)+50)*2</f>
        <v>500</v>
      </c>
      <c r="AI33" s="343"/>
      <c r="AJ33" s="343"/>
      <c r="AK33" s="343"/>
      <c r="AL33" s="343"/>
      <c r="AM33" s="343"/>
      <c r="AN33" s="343"/>
      <c r="AO33" s="343"/>
      <c r="AP33" s="343"/>
      <c r="AQ33" s="343"/>
      <c r="AR33" s="343"/>
      <c r="AS33" s="343"/>
      <c r="AT33" s="343"/>
      <c r="AU33" s="343"/>
      <c r="AV33" s="343"/>
      <c r="AW33" s="343"/>
      <c r="AX33" s="343"/>
      <c r="AY33" s="343"/>
      <c r="AZ33" s="381"/>
      <c r="BA33" s="381"/>
      <c r="BB33" s="381"/>
      <c r="BC33" s="381"/>
      <c r="BD33" s="381"/>
      <c r="BE33" s="381"/>
      <c r="BF33" s="381"/>
      <c r="BG33" s="381"/>
      <c r="BH33" s="381"/>
      <c r="BI33" s="381"/>
      <c r="BJ33" s="381"/>
      <c r="BK33" s="381"/>
      <c r="BL33" s="381"/>
      <c r="BM33" s="381"/>
      <c r="BN33" s="381"/>
      <c r="BO33" s="381"/>
      <c r="BP33" s="381"/>
      <c r="BQ33" s="381"/>
      <c r="BR33" s="381"/>
      <c r="BS33" s="381"/>
      <c r="BT33" s="381"/>
      <c r="BU33" s="381"/>
      <c r="BV33" s="381"/>
      <c r="BW33" s="381"/>
      <c r="BX33" s="381"/>
      <c r="BY33" s="381"/>
      <c r="BZ33" s="381"/>
      <c r="CA33" s="381"/>
      <c r="CB33" s="381"/>
      <c r="CC33" s="381"/>
      <c r="CD33" s="381"/>
      <c r="CE33" s="381"/>
      <c r="CF33" s="381"/>
      <c r="CG33" s="381"/>
      <c r="CH33" s="381"/>
      <c r="CI33" s="381"/>
      <c r="CJ33" s="381"/>
      <c r="CK33" s="381"/>
      <c r="CL33" s="381"/>
      <c r="CM33" s="381"/>
      <c r="CN33" s="381"/>
      <c r="CO33" s="381"/>
      <c r="CP33" s="381"/>
      <c r="CQ33" s="381"/>
      <c r="CR33" s="381"/>
      <c r="CS33" s="381"/>
      <c r="CT33" s="381"/>
      <c r="CU33" s="381"/>
      <c r="CV33" s="381"/>
      <c r="CW33" s="381"/>
      <c r="CX33" s="381"/>
      <c r="CY33" s="381"/>
      <c r="CZ33" s="381"/>
      <c r="DA33" s="381"/>
      <c r="DB33" s="381"/>
      <c r="DC33" s="381"/>
      <c r="DD33" s="381"/>
      <c r="DE33" s="381"/>
      <c r="DF33" s="381"/>
      <c r="DG33" s="381"/>
      <c r="DH33" s="381"/>
    </row>
    <row r="34" spans="1:112" s="2" customFormat="1" ht="12.95" customHeight="1">
      <c r="A34" s="379"/>
      <c r="B34" s="338">
        <v>26</v>
      </c>
      <c r="C34" s="339">
        <v>145</v>
      </c>
      <c r="D34" s="360">
        <f>(200-ROUNDDOWN(($B$34+10)/(D8+5),0)+50)*2</f>
        <v>488</v>
      </c>
      <c r="E34" s="357">
        <f t="shared" ref="E34:V34" si="32">(200-ROUNDDOWN(($B$34+10)/(E8+5),0)+50)*2</f>
        <v>490</v>
      </c>
      <c r="F34" s="356">
        <f t="shared" si="32"/>
        <v>492</v>
      </c>
      <c r="G34" s="356">
        <f t="shared" si="32"/>
        <v>492</v>
      </c>
      <c r="H34" s="343">
        <f t="shared" si="32"/>
        <v>494</v>
      </c>
      <c r="I34" s="343">
        <f t="shared" si="32"/>
        <v>494</v>
      </c>
      <c r="J34" s="343">
        <f t="shared" si="32"/>
        <v>494</v>
      </c>
      <c r="K34" s="344">
        <f t="shared" si="32"/>
        <v>496</v>
      </c>
      <c r="L34" s="344">
        <f t="shared" si="32"/>
        <v>496</v>
      </c>
      <c r="M34" s="344">
        <f t="shared" si="32"/>
        <v>496</v>
      </c>
      <c r="N34" s="344">
        <f t="shared" si="32"/>
        <v>496</v>
      </c>
      <c r="O34" s="344">
        <f t="shared" si="32"/>
        <v>496</v>
      </c>
      <c r="P34" s="344">
        <f t="shared" si="32"/>
        <v>496</v>
      </c>
      <c r="Q34" s="341">
        <f t="shared" si="32"/>
        <v>498</v>
      </c>
      <c r="R34" s="341">
        <f t="shared" si="32"/>
        <v>498</v>
      </c>
      <c r="S34" s="341">
        <f t="shared" si="32"/>
        <v>498</v>
      </c>
      <c r="T34" s="341">
        <f t="shared" si="32"/>
        <v>498</v>
      </c>
      <c r="U34" s="341">
        <f t="shared" si="32"/>
        <v>498</v>
      </c>
      <c r="V34" s="341">
        <f t="shared" si="32"/>
        <v>498</v>
      </c>
      <c r="W34" s="341">
        <f>(200-ROUNDDOWN(($B$34+10)/(W8+5),0)+50)*2</f>
        <v>498</v>
      </c>
      <c r="X34" s="341">
        <f t="shared" ref="X34:AD34" si="33">(200-ROUNDDOWN(($B$34+10)/(X8+5),0)+50)*2</f>
        <v>498</v>
      </c>
      <c r="Y34" s="341">
        <f t="shared" si="33"/>
        <v>498</v>
      </c>
      <c r="Z34" s="341">
        <f t="shared" si="33"/>
        <v>498</v>
      </c>
      <c r="AA34" s="341">
        <f t="shared" si="33"/>
        <v>498</v>
      </c>
      <c r="AB34" s="341">
        <f t="shared" si="33"/>
        <v>498</v>
      </c>
      <c r="AC34" s="341">
        <f t="shared" si="33"/>
        <v>498</v>
      </c>
      <c r="AD34" s="341">
        <f t="shared" si="33"/>
        <v>498</v>
      </c>
      <c r="AE34" s="341">
        <f>(200-ROUNDDOWN(($B$34+10)/(AE8+5),0)+50)*2</f>
        <v>498</v>
      </c>
      <c r="AF34" s="341">
        <f>(200-ROUNDDOWN(($B$34+10)/(AF8+5),0)+50)*2</f>
        <v>498</v>
      </c>
      <c r="AG34" s="341">
        <f>(200-ROUNDDOWN(($B$34+10)/(AG8+5),0)+50)*2</f>
        <v>498</v>
      </c>
      <c r="AH34" s="341">
        <f>(200-ROUNDDOWN(($B$34+10)/(AH8+5),0)+50)*2</f>
        <v>498</v>
      </c>
      <c r="AI34" s="338">
        <f>(200-ROUNDDOWN(($B$34+10)/(AI8+5),0)+50)*2</f>
        <v>500</v>
      </c>
      <c r="AJ34" s="343"/>
      <c r="AK34" s="343"/>
      <c r="AL34" s="343"/>
      <c r="AM34" s="343"/>
      <c r="AN34" s="343"/>
      <c r="AO34" s="343"/>
      <c r="AP34" s="343"/>
      <c r="AQ34" s="343"/>
      <c r="AR34" s="343"/>
      <c r="AS34" s="343"/>
      <c r="AT34" s="343"/>
      <c r="AU34" s="343"/>
      <c r="AV34" s="343"/>
      <c r="AW34" s="343"/>
      <c r="AX34" s="343"/>
      <c r="AY34" s="343"/>
      <c r="AZ34" s="381"/>
      <c r="BA34" s="381"/>
      <c r="BB34" s="381"/>
      <c r="BC34" s="381"/>
      <c r="BD34" s="381"/>
      <c r="BE34" s="381"/>
      <c r="BF34" s="381"/>
      <c r="BG34" s="381"/>
      <c r="BH34" s="381"/>
      <c r="BI34" s="381"/>
      <c r="BJ34" s="381"/>
      <c r="BK34" s="381"/>
      <c r="BL34" s="381"/>
      <c r="BM34" s="381"/>
      <c r="BN34" s="381"/>
      <c r="BO34" s="381"/>
      <c r="BP34" s="381"/>
      <c r="BQ34" s="381"/>
      <c r="BR34" s="381"/>
      <c r="BS34" s="381"/>
      <c r="BT34" s="381"/>
      <c r="BU34" s="381"/>
      <c r="BV34" s="381"/>
      <c r="BW34" s="381"/>
      <c r="BX34" s="381"/>
      <c r="BY34" s="381"/>
      <c r="BZ34" s="381"/>
      <c r="CA34" s="381"/>
      <c r="CB34" s="381"/>
      <c r="CC34" s="381"/>
      <c r="CD34" s="381"/>
      <c r="CE34" s="381"/>
      <c r="CF34" s="381"/>
      <c r="CG34" s="381"/>
      <c r="CH34" s="381"/>
      <c r="CI34" s="381"/>
      <c r="CJ34" s="381"/>
      <c r="CK34" s="381"/>
      <c r="CL34" s="381"/>
      <c r="CM34" s="381"/>
      <c r="CN34" s="381"/>
      <c r="CO34" s="381"/>
      <c r="CP34" s="381"/>
      <c r="CQ34" s="381"/>
      <c r="CR34" s="381"/>
      <c r="CS34" s="381"/>
      <c r="CT34" s="381"/>
      <c r="CU34" s="381"/>
      <c r="CV34" s="381"/>
      <c r="CW34" s="381"/>
      <c r="CX34" s="381"/>
      <c r="CY34" s="381"/>
      <c r="CZ34" s="381"/>
      <c r="DA34" s="381"/>
      <c r="DB34" s="381"/>
      <c r="DC34" s="381"/>
      <c r="DD34" s="381"/>
      <c r="DE34" s="381"/>
      <c r="DF34" s="381"/>
      <c r="DG34" s="381"/>
      <c r="DH34" s="381"/>
    </row>
    <row r="35" spans="1:112" s="2" customFormat="1" ht="12.95" customHeight="1">
      <c r="A35" s="379"/>
      <c r="B35" s="338">
        <v>27</v>
      </c>
      <c r="C35" s="339">
        <v>146</v>
      </c>
      <c r="D35" s="360">
        <f>(200-ROUNDDOWN(($B$35+10)/(D8+5),0)+50)*2</f>
        <v>488</v>
      </c>
      <c r="E35" s="357">
        <f t="shared" ref="E35:V35" si="34">(200-ROUNDDOWN(($B$35+10)/(E8+5),0)+50)*2</f>
        <v>490</v>
      </c>
      <c r="F35" s="356">
        <f t="shared" si="34"/>
        <v>492</v>
      </c>
      <c r="G35" s="356">
        <f t="shared" si="34"/>
        <v>492</v>
      </c>
      <c r="H35" s="343">
        <f t="shared" si="34"/>
        <v>494</v>
      </c>
      <c r="I35" s="343">
        <f t="shared" si="34"/>
        <v>494</v>
      </c>
      <c r="J35" s="343">
        <f t="shared" si="34"/>
        <v>494</v>
      </c>
      <c r="K35" s="344">
        <f t="shared" si="34"/>
        <v>496</v>
      </c>
      <c r="L35" s="344">
        <f t="shared" si="34"/>
        <v>496</v>
      </c>
      <c r="M35" s="344">
        <f t="shared" si="34"/>
        <v>496</v>
      </c>
      <c r="N35" s="344">
        <f t="shared" si="34"/>
        <v>496</v>
      </c>
      <c r="O35" s="344">
        <f t="shared" si="34"/>
        <v>496</v>
      </c>
      <c r="P35" s="344">
        <f t="shared" si="34"/>
        <v>496</v>
      </c>
      <c r="Q35" s="341">
        <f t="shared" si="34"/>
        <v>498</v>
      </c>
      <c r="R35" s="341">
        <f t="shared" si="34"/>
        <v>498</v>
      </c>
      <c r="S35" s="341">
        <f t="shared" si="34"/>
        <v>498</v>
      </c>
      <c r="T35" s="341">
        <f t="shared" si="34"/>
        <v>498</v>
      </c>
      <c r="U35" s="341">
        <f>(200-ROUNDDOWN(($B$35+10)/(U8+5),0)+50)*2</f>
        <v>498</v>
      </c>
      <c r="V35" s="341">
        <f t="shared" si="34"/>
        <v>498</v>
      </c>
      <c r="W35" s="341">
        <f>(200-ROUNDDOWN(($B$35+10)/(W8+5),0)+50)*2</f>
        <v>498</v>
      </c>
      <c r="X35" s="341">
        <f t="shared" ref="X35:AD35" si="35">(200-ROUNDDOWN(($B$35+10)/(X8+5),0)+50)*2</f>
        <v>498</v>
      </c>
      <c r="Y35" s="341">
        <f t="shared" si="35"/>
        <v>498</v>
      </c>
      <c r="Z35" s="341">
        <f t="shared" si="35"/>
        <v>498</v>
      </c>
      <c r="AA35" s="341">
        <f t="shared" si="35"/>
        <v>498</v>
      </c>
      <c r="AB35" s="341">
        <f t="shared" si="35"/>
        <v>498</v>
      </c>
      <c r="AC35" s="341">
        <f t="shared" si="35"/>
        <v>498</v>
      </c>
      <c r="AD35" s="341">
        <f t="shared" si="35"/>
        <v>498</v>
      </c>
      <c r="AE35" s="341">
        <f t="shared" ref="AE35:AJ35" si="36">(200-ROUNDDOWN(($B$35+10)/(AE8+5),0)+50)*2</f>
        <v>498</v>
      </c>
      <c r="AF35" s="341">
        <f t="shared" si="36"/>
        <v>498</v>
      </c>
      <c r="AG35" s="341">
        <f t="shared" si="36"/>
        <v>498</v>
      </c>
      <c r="AH35" s="341">
        <f t="shared" si="36"/>
        <v>498</v>
      </c>
      <c r="AI35" s="341">
        <f t="shared" si="36"/>
        <v>498</v>
      </c>
      <c r="AJ35" s="338">
        <f t="shared" si="36"/>
        <v>500</v>
      </c>
      <c r="AK35" s="343"/>
      <c r="AL35" s="343"/>
      <c r="AM35" s="343"/>
      <c r="AN35" s="343"/>
      <c r="AO35" s="343"/>
      <c r="AP35" s="343"/>
      <c r="AQ35" s="343"/>
      <c r="AR35" s="343"/>
      <c r="AS35" s="343"/>
      <c r="AT35" s="343"/>
      <c r="AU35" s="343"/>
      <c r="AV35" s="343"/>
      <c r="AW35" s="343"/>
      <c r="AX35" s="343"/>
      <c r="AY35" s="343"/>
      <c r="AZ35" s="381"/>
      <c r="BA35" s="381"/>
      <c r="BB35" s="381"/>
      <c r="BC35" s="381"/>
      <c r="BD35" s="381"/>
      <c r="BE35" s="381"/>
      <c r="BF35" s="381"/>
      <c r="BG35" s="381"/>
      <c r="BH35" s="381"/>
      <c r="BI35" s="381"/>
      <c r="BJ35" s="381"/>
      <c r="BK35" s="381"/>
      <c r="BL35" s="381"/>
      <c r="BM35" s="381"/>
      <c r="BN35" s="381"/>
      <c r="BO35" s="381"/>
      <c r="BP35" s="381"/>
      <c r="BQ35" s="381"/>
      <c r="BR35" s="381"/>
      <c r="BS35" s="381"/>
      <c r="BT35" s="381"/>
      <c r="BU35" s="381"/>
      <c r="BV35" s="381"/>
      <c r="BW35" s="381"/>
      <c r="BX35" s="381"/>
      <c r="BY35" s="381"/>
      <c r="BZ35" s="381"/>
      <c r="CA35" s="381"/>
      <c r="CB35" s="381"/>
      <c r="CC35" s="381"/>
      <c r="CD35" s="381"/>
      <c r="CE35" s="381"/>
      <c r="CF35" s="381"/>
      <c r="CG35" s="381"/>
      <c r="CH35" s="381"/>
      <c r="CI35" s="381"/>
      <c r="CJ35" s="381"/>
      <c r="CK35" s="381"/>
      <c r="CL35" s="381"/>
      <c r="CM35" s="381"/>
      <c r="CN35" s="381"/>
      <c r="CO35" s="381"/>
      <c r="CP35" s="381"/>
      <c r="CQ35" s="381"/>
      <c r="CR35" s="381"/>
      <c r="CS35" s="381"/>
      <c r="CT35" s="381"/>
      <c r="CU35" s="381"/>
      <c r="CV35" s="381"/>
      <c r="CW35" s="381"/>
      <c r="CX35" s="381"/>
      <c r="CY35" s="381"/>
      <c r="CZ35" s="381"/>
      <c r="DA35" s="381"/>
      <c r="DB35" s="381"/>
      <c r="DC35" s="381"/>
      <c r="DD35" s="381"/>
      <c r="DE35" s="381"/>
      <c r="DF35" s="381"/>
      <c r="DG35" s="381"/>
      <c r="DH35" s="381"/>
    </row>
    <row r="36" spans="1:112" s="2" customFormat="1" ht="12.95" customHeight="1" thickBot="1">
      <c r="A36" s="379"/>
      <c r="B36" s="345">
        <v>28</v>
      </c>
      <c r="C36" s="346">
        <v>147</v>
      </c>
      <c r="D36" s="361">
        <f>(200-ROUNDDOWN(($B$36+10)/(D8+5),0)+50)*2</f>
        <v>488</v>
      </c>
      <c r="E36" s="358">
        <f t="shared" ref="E36:V36" si="37">(200-ROUNDDOWN(($B$36+10)/(E8+5),0)+50)*2</f>
        <v>490</v>
      </c>
      <c r="F36" s="354">
        <f t="shared" si="37"/>
        <v>492</v>
      </c>
      <c r="G36" s="354">
        <f t="shared" si="37"/>
        <v>492</v>
      </c>
      <c r="H36" s="349">
        <f t="shared" si="37"/>
        <v>494</v>
      </c>
      <c r="I36" s="349">
        <f t="shared" si="37"/>
        <v>494</v>
      </c>
      <c r="J36" s="349">
        <f t="shared" si="37"/>
        <v>494</v>
      </c>
      <c r="K36" s="347">
        <f t="shared" si="37"/>
        <v>496</v>
      </c>
      <c r="L36" s="347">
        <f t="shared" si="37"/>
        <v>496</v>
      </c>
      <c r="M36" s="347">
        <f t="shared" si="37"/>
        <v>496</v>
      </c>
      <c r="N36" s="347">
        <f t="shared" si="37"/>
        <v>496</v>
      </c>
      <c r="O36" s="347">
        <f t="shared" si="37"/>
        <v>496</v>
      </c>
      <c r="P36" s="347">
        <f t="shared" si="37"/>
        <v>496</v>
      </c>
      <c r="Q36" s="347">
        <f t="shared" si="37"/>
        <v>496</v>
      </c>
      <c r="R36" s="348">
        <f t="shared" si="37"/>
        <v>498</v>
      </c>
      <c r="S36" s="348">
        <f t="shared" si="37"/>
        <v>498</v>
      </c>
      <c r="T36" s="348">
        <f t="shared" si="37"/>
        <v>498</v>
      </c>
      <c r="U36" s="348">
        <f t="shared" si="37"/>
        <v>498</v>
      </c>
      <c r="V36" s="348">
        <f t="shared" si="37"/>
        <v>498</v>
      </c>
      <c r="W36" s="348">
        <f>(200-ROUNDDOWN(($B$36+10)/(W8+5),0)+50)*2</f>
        <v>498</v>
      </c>
      <c r="X36" s="348">
        <f t="shared" ref="X36:AD36" si="38">(200-ROUNDDOWN(($B$36+10)/(X8+5),0)+50)*2</f>
        <v>498</v>
      </c>
      <c r="Y36" s="348">
        <f t="shared" si="38"/>
        <v>498</v>
      </c>
      <c r="Z36" s="348">
        <f t="shared" si="38"/>
        <v>498</v>
      </c>
      <c r="AA36" s="348">
        <f t="shared" si="38"/>
        <v>498</v>
      </c>
      <c r="AB36" s="348">
        <f t="shared" si="38"/>
        <v>498</v>
      </c>
      <c r="AC36" s="348">
        <f t="shared" si="38"/>
        <v>498</v>
      </c>
      <c r="AD36" s="348">
        <f t="shared" si="38"/>
        <v>498</v>
      </c>
      <c r="AE36" s="348">
        <f t="shared" ref="AE36:AK36" si="39">(200-ROUNDDOWN(($B$36+10)/(AE8+5),0)+50)*2</f>
        <v>498</v>
      </c>
      <c r="AF36" s="348">
        <f t="shared" si="39"/>
        <v>498</v>
      </c>
      <c r="AG36" s="348">
        <f t="shared" si="39"/>
        <v>498</v>
      </c>
      <c r="AH36" s="348">
        <f t="shared" si="39"/>
        <v>498</v>
      </c>
      <c r="AI36" s="348">
        <f t="shared" si="39"/>
        <v>498</v>
      </c>
      <c r="AJ36" s="348">
        <f t="shared" si="39"/>
        <v>498</v>
      </c>
      <c r="AK36" s="345">
        <f t="shared" si="39"/>
        <v>500</v>
      </c>
      <c r="AL36" s="349"/>
      <c r="AM36" s="349"/>
      <c r="AN36" s="349"/>
      <c r="AO36" s="349"/>
      <c r="AP36" s="349"/>
      <c r="AQ36" s="349"/>
      <c r="AR36" s="349"/>
      <c r="AS36" s="349"/>
      <c r="AT36" s="349"/>
      <c r="AU36" s="349"/>
      <c r="AV36" s="349"/>
      <c r="AW36" s="349"/>
      <c r="AX36" s="349"/>
      <c r="AY36" s="349"/>
      <c r="AZ36" s="381"/>
      <c r="BA36" s="381"/>
      <c r="BB36" s="381"/>
      <c r="BC36" s="381"/>
      <c r="BD36" s="381"/>
      <c r="BE36" s="381"/>
      <c r="BF36" s="381"/>
      <c r="BG36" s="381"/>
      <c r="BH36" s="381"/>
      <c r="BI36" s="381"/>
      <c r="BJ36" s="381"/>
      <c r="BK36" s="381"/>
      <c r="BL36" s="381"/>
      <c r="BM36" s="381"/>
      <c r="BN36" s="381"/>
      <c r="BO36" s="381"/>
      <c r="BP36" s="381"/>
      <c r="BQ36" s="381"/>
      <c r="BR36" s="381"/>
      <c r="BS36" s="381"/>
      <c r="BT36" s="381"/>
      <c r="BU36" s="381"/>
      <c r="BV36" s="381"/>
      <c r="BW36" s="381"/>
      <c r="BX36" s="381"/>
      <c r="BY36" s="381"/>
      <c r="BZ36" s="381"/>
      <c r="CA36" s="381"/>
      <c r="CB36" s="381"/>
      <c r="CC36" s="381"/>
      <c r="CD36" s="381"/>
      <c r="CE36" s="381"/>
      <c r="CF36" s="381"/>
      <c r="CG36" s="381"/>
      <c r="CH36" s="381"/>
      <c r="CI36" s="381"/>
      <c r="CJ36" s="381"/>
      <c r="CK36" s="381"/>
      <c r="CL36" s="381"/>
      <c r="CM36" s="381"/>
      <c r="CN36" s="381"/>
      <c r="CO36" s="381"/>
      <c r="CP36" s="381"/>
      <c r="CQ36" s="381"/>
      <c r="CR36" s="381"/>
      <c r="CS36" s="381"/>
      <c r="CT36" s="381"/>
      <c r="CU36" s="381"/>
      <c r="CV36" s="381"/>
      <c r="CW36" s="381"/>
      <c r="CX36" s="381"/>
      <c r="CY36" s="381"/>
      <c r="CZ36" s="381"/>
      <c r="DA36" s="381"/>
      <c r="DB36" s="381"/>
      <c r="DC36" s="381"/>
      <c r="DD36" s="381"/>
      <c r="DE36" s="381"/>
      <c r="DF36" s="381"/>
      <c r="DG36" s="381"/>
      <c r="DH36" s="381"/>
    </row>
    <row r="37" spans="1:112" s="2" customFormat="1" ht="12.95" customHeight="1" thickTop="1">
      <c r="A37" s="379"/>
      <c r="B37" s="350">
        <v>29</v>
      </c>
      <c r="C37" s="351">
        <v>211</v>
      </c>
      <c r="D37" s="362">
        <f>(200-ROUNDDOWN(($B$37+10)/(D8+5),0)+50)*2</f>
        <v>488</v>
      </c>
      <c r="E37" s="359">
        <f>(200-ROUNDDOWN(($B$37+10)/(E8+5),0)+50)*2</f>
        <v>490</v>
      </c>
      <c r="F37" s="355">
        <f>(200-ROUNDDOWN(($B$37+10)/(F8+5),0)+50)*2</f>
        <v>492</v>
      </c>
      <c r="G37" s="355">
        <f t="shared" ref="G37:AL37" si="40">(200-ROUNDDOWN(($B$37+10)/(G8+5),0)+50)*2</f>
        <v>492</v>
      </c>
      <c r="H37" s="3">
        <f t="shared" si="40"/>
        <v>494</v>
      </c>
      <c r="I37" s="3">
        <f t="shared" si="40"/>
        <v>494</v>
      </c>
      <c r="J37" s="3">
        <f t="shared" si="40"/>
        <v>494</v>
      </c>
      <c r="K37" s="3">
        <f t="shared" si="40"/>
        <v>494</v>
      </c>
      <c r="L37" s="352">
        <f t="shared" si="40"/>
        <v>496</v>
      </c>
      <c r="M37" s="352">
        <f t="shared" si="40"/>
        <v>496</v>
      </c>
      <c r="N37" s="352">
        <f t="shared" si="40"/>
        <v>496</v>
      </c>
      <c r="O37" s="352">
        <f t="shared" si="40"/>
        <v>496</v>
      </c>
      <c r="P37" s="352">
        <f t="shared" si="40"/>
        <v>496</v>
      </c>
      <c r="Q37" s="352">
        <f t="shared" si="40"/>
        <v>496</v>
      </c>
      <c r="R37" s="353">
        <f t="shared" si="40"/>
        <v>498</v>
      </c>
      <c r="S37" s="353">
        <f t="shared" si="40"/>
        <v>498</v>
      </c>
      <c r="T37" s="353">
        <f t="shared" si="40"/>
        <v>498</v>
      </c>
      <c r="U37" s="353">
        <f t="shared" si="40"/>
        <v>498</v>
      </c>
      <c r="V37" s="353">
        <f t="shared" si="40"/>
        <v>498</v>
      </c>
      <c r="W37" s="353">
        <f t="shared" si="40"/>
        <v>498</v>
      </c>
      <c r="X37" s="353">
        <f t="shared" si="40"/>
        <v>498</v>
      </c>
      <c r="Y37" s="353">
        <f t="shared" si="40"/>
        <v>498</v>
      </c>
      <c r="Z37" s="353">
        <f t="shared" si="40"/>
        <v>498</v>
      </c>
      <c r="AA37" s="353">
        <f t="shared" si="40"/>
        <v>498</v>
      </c>
      <c r="AB37" s="353">
        <f t="shared" si="40"/>
        <v>498</v>
      </c>
      <c r="AC37" s="353">
        <f t="shared" si="40"/>
        <v>498</v>
      </c>
      <c r="AD37" s="353">
        <f t="shared" si="40"/>
        <v>498</v>
      </c>
      <c r="AE37" s="353">
        <f t="shared" si="40"/>
        <v>498</v>
      </c>
      <c r="AF37" s="353">
        <f t="shared" si="40"/>
        <v>498</v>
      </c>
      <c r="AG37" s="353">
        <f t="shared" si="40"/>
        <v>498</v>
      </c>
      <c r="AH37" s="353">
        <f t="shared" si="40"/>
        <v>498</v>
      </c>
      <c r="AI37" s="353">
        <f t="shared" si="40"/>
        <v>498</v>
      </c>
      <c r="AJ37" s="353">
        <f t="shared" si="40"/>
        <v>498</v>
      </c>
      <c r="AK37" s="353">
        <f t="shared" si="40"/>
        <v>498</v>
      </c>
      <c r="AL37" s="350">
        <f t="shared" si="40"/>
        <v>500</v>
      </c>
      <c r="AM37" s="3"/>
      <c r="AN37" s="3"/>
      <c r="AO37" s="3"/>
      <c r="AP37" s="3"/>
      <c r="AQ37" s="3"/>
      <c r="AR37" s="3"/>
      <c r="AS37" s="3"/>
      <c r="AT37" s="3"/>
      <c r="AU37" s="3"/>
      <c r="AV37" s="3"/>
      <c r="AW37" s="3"/>
      <c r="AX37" s="3"/>
      <c r="AY37" s="3"/>
      <c r="AZ37" s="381"/>
      <c r="BA37" s="381"/>
      <c r="BB37" s="381"/>
      <c r="BC37" s="381"/>
      <c r="BD37" s="381"/>
      <c r="BE37" s="381"/>
      <c r="BF37" s="381"/>
      <c r="BG37" s="381"/>
      <c r="BH37" s="381"/>
      <c r="BI37" s="381"/>
      <c r="BJ37" s="381"/>
      <c r="BK37" s="381"/>
      <c r="BL37" s="381"/>
      <c r="BM37" s="381"/>
      <c r="BN37" s="381"/>
      <c r="BO37" s="381"/>
      <c r="BP37" s="381"/>
      <c r="BQ37" s="381"/>
      <c r="BR37" s="381"/>
      <c r="BS37" s="381"/>
      <c r="BT37" s="381"/>
      <c r="BU37" s="381"/>
      <c r="BV37" s="381"/>
      <c r="BW37" s="381"/>
      <c r="BX37" s="381"/>
      <c r="BY37" s="381"/>
      <c r="BZ37" s="381"/>
      <c r="CA37" s="381"/>
      <c r="CB37" s="381"/>
      <c r="CC37" s="381"/>
      <c r="CD37" s="381"/>
      <c r="CE37" s="381"/>
      <c r="CF37" s="381"/>
      <c r="CG37" s="381"/>
      <c r="CH37" s="381"/>
      <c r="CI37" s="381"/>
      <c r="CJ37" s="381"/>
      <c r="CK37" s="381"/>
      <c r="CL37" s="381"/>
      <c r="CM37" s="381"/>
      <c r="CN37" s="381"/>
      <c r="CO37" s="381"/>
      <c r="CP37" s="381"/>
      <c r="CQ37" s="381"/>
      <c r="CR37" s="381"/>
      <c r="CS37" s="381"/>
      <c r="CT37" s="381"/>
      <c r="CU37" s="381"/>
      <c r="CV37" s="381"/>
      <c r="CW37" s="381"/>
      <c r="CX37" s="381"/>
      <c r="CY37" s="381"/>
      <c r="CZ37" s="381"/>
      <c r="DA37" s="381"/>
      <c r="DB37" s="381"/>
      <c r="DC37" s="381"/>
      <c r="DD37" s="381"/>
      <c r="DE37" s="381"/>
      <c r="DF37" s="381"/>
      <c r="DG37" s="381"/>
      <c r="DH37" s="381"/>
    </row>
    <row r="38" spans="1:112" s="2" customFormat="1" ht="12.95" customHeight="1">
      <c r="A38" s="379"/>
      <c r="B38" s="338">
        <v>30</v>
      </c>
      <c r="C38" s="339">
        <v>212</v>
      </c>
      <c r="D38" s="360">
        <f>(200-ROUNDDOWN(($B$38+10)/(D8+5),0)+50)*2</f>
        <v>488</v>
      </c>
      <c r="E38" s="359">
        <f>(200-ROUNDDOWN(($B$38+10)/(E8+5),0)+50)*2</f>
        <v>490</v>
      </c>
      <c r="F38" s="359">
        <f>(200-ROUNDDOWN(($B$38+10)/(F8+5),0)+50)*2</f>
        <v>490</v>
      </c>
      <c r="G38" s="355">
        <f t="shared" ref="G38:AM38" si="41">(200-ROUNDDOWN(($B$38+10)/(G8+5),0)+50)*2</f>
        <v>492</v>
      </c>
      <c r="H38" s="355">
        <f t="shared" si="41"/>
        <v>492</v>
      </c>
      <c r="I38" s="3">
        <f t="shared" si="41"/>
        <v>494</v>
      </c>
      <c r="J38" s="3">
        <f t="shared" si="41"/>
        <v>494</v>
      </c>
      <c r="K38" s="3">
        <f t="shared" si="41"/>
        <v>494</v>
      </c>
      <c r="L38" s="352">
        <f t="shared" si="41"/>
        <v>496</v>
      </c>
      <c r="M38" s="352">
        <f t="shared" si="41"/>
        <v>496</v>
      </c>
      <c r="N38" s="352">
        <f t="shared" si="41"/>
        <v>496</v>
      </c>
      <c r="O38" s="352">
        <f t="shared" si="41"/>
        <v>496</v>
      </c>
      <c r="P38" s="352">
        <f t="shared" si="41"/>
        <v>496</v>
      </c>
      <c r="Q38" s="352">
        <f t="shared" si="41"/>
        <v>496</v>
      </c>
      <c r="R38" s="352">
        <f t="shared" si="41"/>
        <v>496</v>
      </c>
      <c r="S38" s="353">
        <f t="shared" si="41"/>
        <v>498</v>
      </c>
      <c r="T38" s="353">
        <f t="shared" si="41"/>
        <v>498</v>
      </c>
      <c r="U38" s="353">
        <f t="shared" si="41"/>
        <v>498</v>
      </c>
      <c r="V38" s="353">
        <f t="shared" si="41"/>
        <v>498</v>
      </c>
      <c r="W38" s="353">
        <f t="shared" si="41"/>
        <v>498</v>
      </c>
      <c r="X38" s="353">
        <f t="shared" si="41"/>
        <v>498</v>
      </c>
      <c r="Y38" s="353">
        <f t="shared" si="41"/>
        <v>498</v>
      </c>
      <c r="Z38" s="353">
        <f t="shared" si="41"/>
        <v>498</v>
      </c>
      <c r="AA38" s="353">
        <f t="shared" si="41"/>
        <v>498</v>
      </c>
      <c r="AB38" s="353">
        <f t="shared" si="41"/>
        <v>498</v>
      </c>
      <c r="AC38" s="353">
        <f t="shared" si="41"/>
        <v>498</v>
      </c>
      <c r="AD38" s="353">
        <f t="shared" si="41"/>
        <v>498</v>
      </c>
      <c r="AE38" s="353">
        <f t="shared" si="41"/>
        <v>498</v>
      </c>
      <c r="AF38" s="353">
        <f t="shared" si="41"/>
        <v>498</v>
      </c>
      <c r="AG38" s="353">
        <f t="shared" si="41"/>
        <v>498</v>
      </c>
      <c r="AH38" s="353">
        <f t="shared" si="41"/>
        <v>498</v>
      </c>
      <c r="AI38" s="353">
        <f t="shared" si="41"/>
        <v>498</v>
      </c>
      <c r="AJ38" s="353">
        <f t="shared" si="41"/>
        <v>498</v>
      </c>
      <c r="AK38" s="353">
        <f t="shared" si="41"/>
        <v>498</v>
      </c>
      <c r="AL38" s="353">
        <f t="shared" si="41"/>
        <v>498</v>
      </c>
      <c r="AM38" s="350">
        <f t="shared" si="41"/>
        <v>500</v>
      </c>
      <c r="AN38" s="3"/>
      <c r="AO38" s="3"/>
      <c r="AP38" s="3"/>
      <c r="AQ38" s="3"/>
      <c r="AR38" s="3"/>
      <c r="AS38" s="3"/>
      <c r="AT38" s="3"/>
      <c r="AU38" s="3"/>
      <c r="AV38" s="3"/>
      <c r="AW38" s="3"/>
      <c r="AX38" s="3"/>
      <c r="AY38" s="3"/>
      <c r="AZ38" s="381"/>
      <c r="BA38" s="381"/>
      <c r="BB38" s="381"/>
      <c r="BC38" s="381"/>
      <c r="BD38" s="381"/>
      <c r="BE38" s="381"/>
      <c r="BF38" s="381"/>
      <c r="BG38" s="381"/>
      <c r="BH38" s="381"/>
      <c r="BI38" s="381"/>
      <c r="BJ38" s="381"/>
      <c r="BK38" s="381"/>
      <c r="BL38" s="381"/>
      <c r="BM38" s="381"/>
      <c r="BN38" s="381"/>
      <c r="BO38" s="381"/>
      <c r="BP38" s="381"/>
      <c r="BQ38" s="381"/>
      <c r="BR38" s="381"/>
      <c r="BS38" s="381"/>
      <c r="BT38" s="381"/>
      <c r="BU38" s="381"/>
      <c r="BV38" s="381"/>
      <c r="BW38" s="381"/>
      <c r="BX38" s="381"/>
      <c r="BY38" s="381"/>
      <c r="BZ38" s="381"/>
      <c r="CA38" s="381"/>
      <c r="CB38" s="381"/>
      <c r="CC38" s="381"/>
      <c r="CD38" s="381"/>
      <c r="CE38" s="381"/>
      <c r="CF38" s="381"/>
      <c r="CG38" s="381"/>
      <c r="CH38" s="381"/>
      <c r="CI38" s="381"/>
      <c r="CJ38" s="381"/>
      <c r="CK38" s="381"/>
      <c r="CL38" s="381"/>
      <c r="CM38" s="381"/>
      <c r="CN38" s="381"/>
      <c r="CO38" s="381"/>
      <c r="CP38" s="381"/>
      <c r="CQ38" s="381"/>
      <c r="CR38" s="381"/>
      <c r="CS38" s="381"/>
      <c r="CT38" s="381"/>
      <c r="CU38" s="381"/>
      <c r="CV38" s="381"/>
      <c r="CW38" s="381"/>
      <c r="CX38" s="381"/>
      <c r="CY38" s="381"/>
      <c r="CZ38" s="381"/>
      <c r="DA38" s="381"/>
      <c r="DB38" s="381"/>
      <c r="DC38" s="381"/>
      <c r="DD38" s="381"/>
      <c r="DE38" s="381"/>
      <c r="DF38" s="381"/>
      <c r="DG38" s="381"/>
      <c r="DH38" s="381"/>
    </row>
    <row r="39" spans="1:112" s="2" customFormat="1" ht="12.95" customHeight="1">
      <c r="A39" s="379"/>
      <c r="B39" s="338">
        <v>31</v>
      </c>
      <c r="C39" s="339">
        <v>213</v>
      </c>
      <c r="D39" s="360">
        <f>(200-ROUNDDOWN(($B$39+10)/(D8+5),0)+50)*2</f>
        <v>488</v>
      </c>
      <c r="E39" s="359">
        <f>(200-ROUNDDOWN(($B$39+10)/(E8+5),0)+50)*2</f>
        <v>490</v>
      </c>
      <c r="F39" s="359">
        <f>(200-ROUNDDOWN(($B$39+10)/(F8+5),0)+50)*2</f>
        <v>490</v>
      </c>
      <c r="G39" s="355">
        <f t="shared" ref="G39:AN39" si="42">(200-ROUNDDOWN(($B$39+10)/(G8+5),0)+50)*2</f>
        <v>492</v>
      </c>
      <c r="H39" s="355">
        <f t="shared" si="42"/>
        <v>492</v>
      </c>
      <c r="I39" s="3">
        <f t="shared" si="42"/>
        <v>494</v>
      </c>
      <c r="J39" s="3">
        <f t="shared" si="42"/>
        <v>494</v>
      </c>
      <c r="K39" s="3">
        <f t="shared" si="42"/>
        <v>494</v>
      </c>
      <c r="L39" s="352">
        <f t="shared" si="42"/>
        <v>496</v>
      </c>
      <c r="M39" s="352">
        <f t="shared" si="42"/>
        <v>496</v>
      </c>
      <c r="N39" s="352">
        <f t="shared" si="42"/>
        <v>496</v>
      </c>
      <c r="O39" s="352">
        <f t="shared" si="42"/>
        <v>496</v>
      </c>
      <c r="P39" s="352">
        <f t="shared" si="42"/>
        <v>496</v>
      </c>
      <c r="Q39" s="352">
        <f t="shared" si="42"/>
        <v>496</v>
      </c>
      <c r="R39" s="352">
        <f t="shared" si="42"/>
        <v>496</v>
      </c>
      <c r="S39" s="353">
        <f t="shared" si="42"/>
        <v>498</v>
      </c>
      <c r="T39" s="353">
        <f t="shared" si="42"/>
        <v>498</v>
      </c>
      <c r="U39" s="353">
        <f t="shared" si="42"/>
        <v>498</v>
      </c>
      <c r="V39" s="353">
        <f t="shared" si="42"/>
        <v>498</v>
      </c>
      <c r="W39" s="353">
        <f t="shared" si="42"/>
        <v>498</v>
      </c>
      <c r="X39" s="353">
        <f t="shared" si="42"/>
        <v>498</v>
      </c>
      <c r="Y39" s="353">
        <f t="shared" si="42"/>
        <v>498</v>
      </c>
      <c r="Z39" s="353">
        <f t="shared" si="42"/>
        <v>498</v>
      </c>
      <c r="AA39" s="353">
        <f t="shared" si="42"/>
        <v>498</v>
      </c>
      <c r="AB39" s="353">
        <f t="shared" si="42"/>
        <v>498</v>
      </c>
      <c r="AC39" s="353">
        <f t="shared" si="42"/>
        <v>498</v>
      </c>
      <c r="AD39" s="353">
        <f t="shared" si="42"/>
        <v>498</v>
      </c>
      <c r="AE39" s="353">
        <f t="shared" si="42"/>
        <v>498</v>
      </c>
      <c r="AF39" s="353">
        <f t="shared" si="42"/>
        <v>498</v>
      </c>
      <c r="AG39" s="353">
        <f t="shared" si="42"/>
        <v>498</v>
      </c>
      <c r="AH39" s="353">
        <f t="shared" si="42"/>
        <v>498</v>
      </c>
      <c r="AI39" s="353">
        <f t="shared" si="42"/>
        <v>498</v>
      </c>
      <c r="AJ39" s="353">
        <f t="shared" si="42"/>
        <v>498</v>
      </c>
      <c r="AK39" s="353">
        <f t="shared" si="42"/>
        <v>498</v>
      </c>
      <c r="AL39" s="353">
        <f t="shared" si="42"/>
        <v>498</v>
      </c>
      <c r="AM39" s="353">
        <f t="shared" si="42"/>
        <v>498</v>
      </c>
      <c r="AN39" s="350">
        <f t="shared" si="42"/>
        <v>500</v>
      </c>
      <c r="AO39" s="3"/>
      <c r="AP39" s="3"/>
      <c r="AQ39" s="3"/>
      <c r="AR39" s="3"/>
      <c r="AS39" s="3"/>
      <c r="AT39" s="3"/>
      <c r="AU39" s="3"/>
      <c r="AV39" s="3"/>
      <c r="AW39" s="3"/>
      <c r="AX39" s="3"/>
      <c r="AY39" s="3"/>
      <c r="AZ39" s="381"/>
      <c r="BA39" s="381"/>
      <c r="BB39" s="381"/>
      <c r="BC39" s="381"/>
      <c r="BD39" s="381"/>
      <c r="BE39" s="381"/>
      <c r="BF39" s="381"/>
      <c r="BG39" s="381"/>
      <c r="BH39" s="381"/>
      <c r="BI39" s="381"/>
      <c r="BJ39" s="381"/>
      <c r="BK39" s="381"/>
      <c r="BL39" s="381"/>
      <c r="BM39" s="381"/>
      <c r="BN39" s="381"/>
      <c r="BO39" s="381"/>
      <c r="BP39" s="381"/>
      <c r="BQ39" s="381"/>
      <c r="BR39" s="381"/>
      <c r="BS39" s="381"/>
      <c r="BT39" s="381"/>
      <c r="BU39" s="381"/>
      <c r="BV39" s="381"/>
      <c r="BW39" s="381"/>
      <c r="BX39" s="381"/>
      <c r="BY39" s="381"/>
      <c r="BZ39" s="381"/>
      <c r="CA39" s="381"/>
      <c r="CB39" s="381"/>
      <c r="CC39" s="381"/>
      <c r="CD39" s="381"/>
      <c r="CE39" s="381"/>
      <c r="CF39" s="381"/>
      <c r="CG39" s="381"/>
      <c r="CH39" s="381"/>
      <c r="CI39" s="381"/>
      <c r="CJ39" s="381"/>
      <c r="CK39" s="381"/>
      <c r="CL39" s="381"/>
      <c r="CM39" s="381"/>
      <c r="CN39" s="381"/>
      <c r="CO39" s="381"/>
      <c r="CP39" s="381"/>
      <c r="CQ39" s="381"/>
      <c r="CR39" s="381"/>
      <c r="CS39" s="381"/>
      <c r="CT39" s="381"/>
      <c r="CU39" s="381"/>
      <c r="CV39" s="381"/>
      <c r="CW39" s="381"/>
      <c r="CX39" s="381"/>
      <c r="CY39" s="381"/>
      <c r="CZ39" s="381"/>
      <c r="DA39" s="381"/>
      <c r="DB39" s="381"/>
      <c r="DC39" s="381"/>
      <c r="DD39" s="381"/>
      <c r="DE39" s="381"/>
      <c r="DF39" s="381"/>
      <c r="DG39" s="381"/>
      <c r="DH39" s="381"/>
    </row>
    <row r="40" spans="1:112" s="2" customFormat="1" ht="12.95" customHeight="1">
      <c r="A40" s="379"/>
      <c r="B40" s="338">
        <v>32</v>
      </c>
      <c r="C40" s="339">
        <v>214</v>
      </c>
      <c r="D40" s="363">
        <f>(200-ROUNDDOWN(($B$40+10)/(D8+5),0)+50)*2</f>
        <v>486</v>
      </c>
      <c r="E40" s="362">
        <f>(200-ROUNDDOWN(($B$40+10)/(E8+5),0)+50)*2</f>
        <v>488</v>
      </c>
      <c r="F40" s="359">
        <f>(200-ROUNDDOWN(($B$40+10)/(F8+5),0)+50)*2</f>
        <v>490</v>
      </c>
      <c r="G40" s="355">
        <f t="shared" ref="G40:AO40" si="43">(200-ROUNDDOWN(($B$40+10)/(G8+5),0)+50)*2</f>
        <v>492</v>
      </c>
      <c r="H40" s="355">
        <f t="shared" si="43"/>
        <v>492</v>
      </c>
      <c r="I40" s="3">
        <f t="shared" si="43"/>
        <v>494</v>
      </c>
      <c r="J40" s="3">
        <f t="shared" si="43"/>
        <v>494</v>
      </c>
      <c r="K40" s="3">
        <f t="shared" si="43"/>
        <v>494</v>
      </c>
      <c r="L40" s="3">
        <f t="shared" si="43"/>
        <v>494</v>
      </c>
      <c r="M40" s="352">
        <f t="shared" si="43"/>
        <v>496</v>
      </c>
      <c r="N40" s="352">
        <f t="shared" si="43"/>
        <v>496</v>
      </c>
      <c r="O40" s="352">
        <f t="shared" si="43"/>
        <v>496</v>
      </c>
      <c r="P40" s="352">
        <f t="shared" si="43"/>
        <v>496</v>
      </c>
      <c r="Q40" s="352">
        <f t="shared" si="43"/>
        <v>496</v>
      </c>
      <c r="R40" s="352">
        <f t="shared" si="43"/>
        <v>496</v>
      </c>
      <c r="S40" s="352">
        <f t="shared" si="43"/>
        <v>496</v>
      </c>
      <c r="T40" s="353">
        <f t="shared" si="43"/>
        <v>498</v>
      </c>
      <c r="U40" s="353">
        <f t="shared" si="43"/>
        <v>498</v>
      </c>
      <c r="V40" s="353">
        <f t="shared" si="43"/>
        <v>498</v>
      </c>
      <c r="W40" s="353">
        <f t="shared" si="43"/>
        <v>498</v>
      </c>
      <c r="X40" s="353">
        <f t="shared" si="43"/>
        <v>498</v>
      </c>
      <c r="Y40" s="353">
        <f t="shared" si="43"/>
        <v>498</v>
      </c>
      <c r="Z40" s="353">
        <f t="shared" si="43"/>
        <v>498</v>
      </c>
      <c r="AA40" s="353">
        <f t="shared" si="43"/>
        <v>498</v>
      </c>
      <c r="AB40" s="353">
        <f t="shared" si="43"/>
        <v>498</v>
      </c>
      <c r="AC40" s="353">
        <f t="shared" si="43"/>
        <v>498</v>
      </c>
      <c r="AD40" s="353">
        <f t="shared" si="43"/>
        <v>498</v>
      </c>
      <c r="AE40" s="353">
        <f t="shared" si="43"/>
        <v>498</v>
      </c>
      <c r="AF40" s="353">
        <f t="shared" si="43"/>
        <v>498</v>
      </c>
      <c r="AG40" s="353">
        <f t="shared" si="43"/>
        <v>498</v>
      </c>
      <c r="AH40" s="353">
        <f t="shared" si="43"/>
        <v>498</v>
      </c>
      <c r="AI40" s="353">
        <f t="shared" si="43"/>
        <v>498</v>
      </c>
      <c r="AJ40" s="353">
        <f t="shared" si="43"/>
        <v>498</v>
      </c>
      <c r="AK40" s="353">
        <f t="shared" si="43"/>
        <v>498</v>
      </c>
      <c r="AL40" s="353">
        <f t="shared" si="43"/>
        <v>498</v>
      </c>
      <c r="AM40" s="353">
        <f t="shared" si="43"/>
        <v>498</v>
      </c>
      <c r="AN40" s="353">
        <f t="shared" si="43"/>
        <v>498</v>
      </c>
      <c r="AO40" s="350">
        <f t="shared" si="43"/>
        <v>500</v>
      </c>
      <c r="AP40" s="3"/>
      <c r="AQ40" s="3"/>
      <c r="AR40" s="3"/>
      <c r="AS40" s="3"/>
      <c r="AT40" s="3"/>
      <c r="AU40" s="3"/>
      <c r="AV40" s="3"/>
      <c r="AW40" s="3"/>
      <c r="AX40" s="3"/>
      <c r="AY40" s="3"/>
      <c r="AZ40" s="381"/>
      <c r="BA40" s="381"/>
      <c r="BB40" s="381"/>
      <c r="BC40" s="381"/>
      <c r="BD40" s="381"/>
      <c r="BE40" s="381"/>
      <c r="BF40" s="381"/>
      <c r="BG40" s="381"/>
      <c r="BH40" s="381"/>
      <c r="BI40" s="381"/>
      <c r="BJ40" s="381"/>
      <c r="BK40" s="381"/>
      <c r="BL40" s="381"/>
      <c r="BM40" s="381"/>
      <c r="BN40" s="381"/>
      <c r="BO40" s="381"/>
      <c r="BP40" s="381"/>
      <c r="BQ40" s="381"/>
      <c r="BR40" s="381"/>
      <c r="BS40" s="381"/>
      <c r="BT40" s="381"/>
      <c r="BU40" s="381"/>
      <c r="BV40" s="381"/>
      <c r="BW40" s="381"/>
      <c r="BX40" s="381"/>
      <c r="BY40" s="381"/>
      <c r="BZ40" s="381"/>
      <c r="CA40" s="381"/>
      <c r="CB40" s="381"/>
      <c r="CC40" s="381"/>
      <c r="CD40" s="381"/>
      <c r="CE40" s="381"/>
      <c r="CF40" s="381"/>
      <c r="CG40" s="381"/>
      <c r="CH40" s="381"/>
      <c r="CI40" s="381"/>
      <c r="CJ40" s="381"/>
      <c r="CK40" s="381"/>
      <c r="CL40" s="381"/>
      <c r="CM40" s="381"/>
      <c r="CN40" s="381"/>
      <c r="CO40" s="381"/>
      <c r="CP40" s="381"/>
      <c r="CQ40" s="381"/>
      <c r="CR40" s="381"/>
      <c r="CS40" s="381"/>
      <c r="CT40" s="381"/>
      <c r="CU40" s="381"/>
      <c r="CV40" s="381"/>
      <c r="CW40" s="381"/>
      <c r="CX40" s="381"/>
      <c r="CY40" s="381"/>
      <c r="CZ40" s="381"/>
      <c r="DA40" s="381"/>
      <c r="DB40" s="381"/>
      <c r="DC40" s="381"/>
      <c r="DD40" s="381"/>
      <c r="DE40" s="381"/>
      <c r="DF40" s="381"/>
      <c r="DG40" s="381"/>
      <c r="DH40" s="381"/>
    </row>
    <row r="41" spans="1:112" s="2" customFormat="1" ht="12.95" customHeight="1">
      <c r="A41" s="379"/>
      <c r="B41" s="338">
        <v>33</v>
      </c>
      <c r="C41" s="339">
        <v>215</v>
      </c>
      <c r="D41" s="363">
        <f>(200-ROUNDDOWN(($B$41+10)/(D8+5),0)+50)*2</f>
        <v>486</v>
      </c>
      <c r="E41" s="362">
        <f>(200-ROUNDDOWN(($B$41+10)/(E8+5),0)+50)*2</f>
        <v>488</v>
      </c>
      <c r="F41" s="359">
        <f>(200-ROUNDDOWN(($B$41+10)/(F8+5),0)+50)*2</f>
        <v>490</v>
      </c>
      <c r="G41" s="355">
        <f t="shared" ref="G41:AP41" si="44">(200-ROUNDDOWN(($B$41+10)/(G8+5),0)+50)*2</f>
        <v>492</v>
      </c>
      <c r="H41" s="355">
        <f t="shared" si="44"/>
        <v>492</v>
      </c>
      <c r="I41" s="3">
        <f t="shared" si="44"/>
        <v>494</v>
      </c>
      <c r="J41" s="3">
        <f t="shared" si="44"/>
        <v>494</v>
      </c>
      <c r="K41" s="3">
        <f t="shared" si="44"/>
        <v>494</v>
      </c>
      <c r="L41" s="3">
        <f t="shared" si="44"/>
        <v>494</v>
      </c>
      <c r="M41" s="352">
        <f t="shared" si="44"/>
        <v>496</v>
      </c>
      <c r="N41" s="352">
        <f t="shared" si="44"/>
        <v>496</v>
      </c>
      <c r="O41" s="352">
        <f t="shared" si="44"/>
        <v>496</v>
      </c>
      <c r="P41" s="352">
        <f t="shared" si="44"/>
        <v>496</v>
      </c>
      <c r="Q41" s="352">
        <f t="shared" si="44"/>
        <v>496</v>
      </c>
      <c r="R41" s="352">
        <f t="shared" si="44"/>
        <v>496</v>
      </c>
      <c r="S41" s="352">
        <f t="shared" si="44"/>
        <v>496</v>
      </c>
      <c r="T41" s="353">
        <f t="shared" si="44"/>
        <v>498</v>
      </c>
      <c r="U41" s="353">
        <f t="shared" si="44"/>
        <v>498</v>
      </c>
      <c r="V41" s="353">
        <f t="shared" si="44"/>
        <v>498</v>
      </c>
      <c r="W41" s="353">
        <f t="shared" si="44"/>
        <v>498</v>
      </c>
      <c r="X41" s="353">
        <f t="shared" si="44"/>
        <v>498</v>
      </c>
      <c r="Y41" s="353">
        <f t="shared" si="44"/>
        <v>498</v>
      </c>
      <c r="Z41" s="353">
        <f t="shared" si="44"/>
        <v>498</v>
      </c>
      <c r="AA41" s="353">
        <f t="shared" si="44"/>
        <v>498</v>
      </c>
      <c r="AB41" s="353">
        <f t="shared" si="44"/>
        <v>498</v>
      </c>
      <c r="AC41" s="353">
        <f t="shared" si="44"/>
        <v>498</v>
      </c>
      <c r="AD41" s="353">
        <f t="shared" si="44"/>
        <v>498</v>
      </c>
      <c r="AE41" s="353">
        <f t="shared" si="44"/>
        <v>498</v>
      </c>
      <c r="AF41" s="353">
        <f t="shared" si="44"/>
        <v>498</v>
      </c>
      <c r="AG41" s="353">
        <f t="shared" si="44"/>
        <v>498</v>
      </c>
      <c r="AH41" s="353">
        <f t="shared" si="44"/>
        <v>498</v>
      </c>
      <c r="AI41" s="353">
        <f t="shared" si="44"/>
        <v>498</v>
      </c>
      <c r="AJ41" s="353">
        <f t="shared" si="44"/>
        <v>498</v>
      </c>
      <c r="AK41" s="353">
        <f t="shared" si="44"/>
        <v>498</v>
      </c>
      <c r="AL41" s="353">
        <f t="shared" si="44"/>
        <v>498</v>
      </c>
      <c r="AM41" s="353">
        <f t="shared" si="44"/>
        <v>498</v>
      </c>
      <c r="AN41" s="353">
        <f t="shared" si="44"/>
        <v>498</v>
      </c>
      <c r="AO41" s="353">
        <f t="shared" si="44"/>
        <v>498</v>
      </c>
      <c r="AP41" s="350">
        <f t="shared" si="44"/>
        <v>500</v>
      </c>
      <c r="AQ41" s="3"/>
      <c r="AR41" s="3"/>
      <c r="AS41" s="3"/>
      <c r="AT41" s="3"/>
      <c r="AU41" s="3"/>
      <c r="AV41" s="3"/>
      <c r="AW41" s="3"/>
      <c r="AX41" s="3"/>
      <c r="AY41" s="3"/>
      <c r="AZ41" s="381"/>
      <c r="BA41" s="381"/>
      <c r="BB41" s="381"/>
      <c r="BC41" s="381"/>
      <c r="BD41" s="381"/>
      <c r="BE41" s="381"/>
      <c r="BF41" s="381"/>
      <c r="BG41" s="381"/>
      <c r="BH41" s="381"/>
      <c r="BI41" s="381"/>
      <c r="BJ41" s="381"/>
      <c r="BK41" s="381"/>
      <c r="BL41" s="381"/>
      <c r="BM41" s="381"/>
      <c r="BN41" s="381"/>
      <c r="BO41" s="381"/>
      <c r="BP41" s="381"/>
      <c r="BQ41" s="381"/>
      <c r="BR41" s="381"/>
      <c r="BS41" s="381"/>
      <c r="BT41" s="381"/>
      <c r="BU41" s="381"/>
      <c r="BV41" s="381"/>
      <c r="BW41" s="381"/>
      <c r="BX41" s="381"/>
      <c r="BY41" s="381"/>
      <c r="BZ41" s="381"/>
      <c r="CA41" s="381"/>
      <c r="CB41" s="381"/>
      <c r="CC41" s="381"/>
      <c r="CD41" s="381"/>
      <c r="CE41" s="381"/>
      <c r="CF41" s="381"/>
      <c r="CG41" s="381"/>
      <c r="CH41" s="381"/>
      <c r="CI41" s="381"/>
      <c r="CJ41" s="381"/>
      <c r="CK41" s="381"/>
      <c r="CL41" s="381"/>
      <c r="CM41" s="381"/>
      <c r="CN41" s="381"/>
      <c r="CO41" s="381"/>
      <c r="CP41" s="381"/>
      <c r="CQ41" s="381"/>
      <c r="CR41" s="381"/>
      <c r="CS41" s="381"/>
      <c r="CT41" s="381"/>
      <c r="CU41" s="381"/>
      <c r="CV41" s="381"/>
      <c r="CW41" s="381"/>
      <c r="CX41" s="381"/>
      <c r="CY41" s="381"/>
      <c r="CZ41" s="381"/>
      <c r="DA41" s="381"/>
      <c r="DB41" s="381"/>
      <c r="DC41" s="381"/>
      <c r="DD41" s="381"/>
      <c r="DE41" s="381"/>
      <c r="DF41" s="381"/>
      <c r="DG41" s="381"/>
      <c r="DH41" s="381"/>
    </row>
    <row r="42" spans="1:112" s="2" customFormat="1" ht="12.95" customHeight="1">
      <c r="A42" s="379"/>
      <c r="B42" s="338">
        <v>34</v>
      </c>
      <c r="C42" s="339">
        <v>216</v>
      </c>
      <c r="D42" s="363">
        <f>(200-ROUNDDOWN(($B$42+10)/(D8+5),0)+50)*2</f>
        <v>486</v>
      </c>
      <c r="E42" s="362">
        <f>(200-ROUNDDOWN(($B$42+10)/(E8+5),0)+50)*2</f>
        <v>488</v>
      </c>
      <c r="F42" s="359">
        <f>(200-ROUNDDOWN(($B$42+10)/(F8+5),0)+50)*2</f>
        <v>490</v>
      </c>
      <c r="G42" s="355">
        <f t="shared" ref="G42:AQ42" si="45">(200-ROUNDDOWN(($B$42+10)/(G8+5),0)+50)*2</f>
        <v>492</v>
      </c>
      <c r="H42" s="355">
        <f t="shared" si="45"/>
        <v>492</v>
      </c>
      <c r="I42" s="355">
        <f t="shared" si="45"/>
        <v>492</v>
      </c>
      <c r="J42" s="3">
        <f t="shared" si="45"/>
        <v>494</v>
      </c>
      <c r="K42" s="3">
        <f t="shared" si="45"/>
        <v>494</v>
      </c>
      <c r="L42" s="3">
        <f t="shared" si="45"/>
        <v>494</v>
      </c>
      <c r="M42" s="352">
        <f t="shared" si="45"/>
        <v>496</v>
      </c>
      <c r="N42" s="352">
        <f t="shared" si="45"/>
        <v>496</v>
      </c>
      <c r="O42" s="352">
        <f t="shared" si="45"/>
        <v>496</v>
      </c>
      <c r="P42" s="352">
        <f t="shared" si="45"/>
        <v>496</v>
      </c>
      <c r="Q42" s="352">
        <f t="shared" si="45"/>
        <v>496</v>
      </c>
      <c r="R42" s="352">
        <f t="shared" si="45"/>
        <v>496</v>
      </c>
      <c r="S42" s="352">
        <f t="shared" si="45"/>
        <v>496</v>
      </c>
      <c r="T42" s="352">
        <f t="shared" si="45"/>
        <v>496</v>
      </c>
      <c r="U42" s="353">
        <f t="shared" si="45"/>
        <v>498</v>
      </c>
      <c r="V42" s="353">
        <f t="shared" si="45"/>
        <v>498</v>
      </c>
      <c r="W42" s="353">
        <f t="shared" si="45"/>
        <v>498</v>
      </c>
      <c r="X42" s="353">
        <f t="shared" si="45"/>
        <v>498</v>
      </c>
      <c r="Y42" s="353">
        <f t="shared" si="45"/>
        <v>498</v>
      </c>
      <c r="Z42" s="353">
        <f t="shared" si="45"/>
        <v>498</v>
      </c>
      <c r="AA42" s="353">
        <f t="shared" si="45"/>
        <v>498</v>
      </c>
      <c r="AB42" s="353">
        <f t="shared" si="45"/>
        <v>498</v>
      </c>
      <c r="AC42" s="353">
        <f t="shared" si="45"/>
        <v>498</v>
      </c>
      <c r="AD42" s="353">
        <f t="shared" si="45"/>
        <v>498</v>
      </c>
      <c r="AE42" s="353">
        <f t="shared" si="45"/>
        <v>498</v>
      </c>
      <c r="AF42" s="353">
        <f t="shared" si="45"/>
        <v>498</v>
      </c>
      <c r="AG42" s="353">
        <f t="shared" si="45"/>
        <v>498</v>
      </c>
      <c r="AH42" s="353">
        <f t="shared" si="45"/>
        <v>498</v>
      </c>
      <c r="AI42" s="353">
        <f t="shared" si="45"/>
        <v>498</v>
      </c>
      <c r="AJ42" s="353">
        <f t="shared" si="45"/>
        <v>498</v>
      </c>
      <c r="AK42" s="353">
        <f t="shared" si="45"/>
        <v>498</v>
      </c>
      <c r="AL42" s="353">
        <f t="shared" si="45"/>
        <v>498</v>
      </c>
      <c r="AM42" s="353">
        <f t="shared" si="45"/>
        <v>498</v>
      </c>
      <c r="AN42" s="353">
        <f t="shared" si="45"/>
        <v>498</v>
      </c>
      <c r="AO42" s="353">
        <f t="shared" si="45"/>
        <v>498</v>
      </c>
      <c r="AP42" s="353">
        <f t="shared" si="45"/>
        <v>498</v>
      </c>
      <c r="AQ42" s="350">
        <f t="shared" si="45"/>
        <v>500</v>
      </c>
      <c r="AR42" s="3"/>
      <c r="AS42" s="3"/>
      <c r="AT42" s="3"/>
      <c r="AU42" s="3"/>
      <c r="AV42" s="3"/>
      <c r="AW42" s="3"/>
      <c r="AX42" s="3"/>
      <c r="AY42" s="3"/>
      <c r="AZ42" s="381"/>
      <c r="BA42" s="381"/>
      <c r="BB42" s="381"/>
      <c r="BC42" s="381"/>
      <c r="BD42" s="381"/>
      <c r="BE42" s="381"/>
      <c r="BF42" s="381"/>
      <c r="BG42" s="381"/>
      <c r="BH42" s="381"/>
      <c r="BI42" s="381"/>
      <c r="BJ42" s="381"/>
      <c r="BK42" s="381"/>
      <c r="BL42" s="381"/>
      <c r="BM42" s="381"/>
      <c r="BN42" s="381"/>
      <c r="BO42" s="381"/>
      <c r="BP42" s="381"/>
      <c r="BQ42" s="381"/>
      <c r="BR42" s="381"/>
      <c r="BS42" s="381"/>
      <c r="BT42" s="381"/>
      <c r="BU42" s="381"/>
      <c r="BV42" s="381"/>
      <c r="BW42" s="381"/>
      <c r="BX42" s="381"/>
      <c r="BY42" s="381"/>
      <c r="BZ42" s="381"/>
      <c r="CA42" s="381"/>
      <c r="CB42" s="381"/>
      <c r="CC42" s="381"/>
      <c r="CD42" s="381"/>
      <c r="CE42" s="381"/>
      <c r="CF42" s="381"/>
      <c r="CG42" s="381"/>
      <c r="CH42" s="381"/>
      <c r="CI42" s="381"/>
      <c r="CJ42" s="381"/>
      <c r="CK42" s="381"/>
      <c r="CL42" s="381"/>
      <c r="CM42" s="381"/>
      <c r="CN42" s="381"/>
      <c r="CO42" s="381"/>
      <c r="CP42" s="381"/>
      <c r="CQ42" s="381"/>
      <c r="CR42" s="381"/>
      <c r="CS42" s="381"/>
      <c r="CT42" s="381"/>
      <c r="CU42" s="381"/>
      <c r="CV42" s="381"/>
      <c r="CW42" s="381"/>
      <c r="CX42" s="381"/>
      <c r="CY42" s="381"/>
      <c r="CZ42" s="381"/>
      <c r="DA42" s="381"/>
      <c r="DB42" s="381"/>
      <c r="DC42" s="381"/>
      <c r="DD42" s="381"/>
      <c r="DE42" s="381"/>
      <c r="DF42" s="381"/>
      <c r="DG42" s="381"/>
      <c r="DH42" s="381"/>
    </row>
    <row r="43" spans="1:112" s="2" customFormat="1" ht="12.95" customHeight="1" thickBot="1">
      <c r="A43" s="379"/>
      <c r="B43" s="345">
        <v>35</v>
      </c>
      <c r="C43" s="346">
        <v>217</v>
      </c>
      <c r="D43" s="364">
        <f>(200-ROUNDDOWN(($B$43+10)/(D8+5),0)+50)*2</f>
        <v>486</v>
      </c>
      <c r="E43" s="361">
        <f>(200-ROUNDDOWN(($B$43+10)/(E8+5),0)+50)*2</f>
        <v>488</v>
      </c>
      <c r="F43" s="358">
        <f>(200-ROUNDDOWN(($B$43+10)/(F8+5),0)+50)*2</f>
        <v>490</v>
      </c>
      <c r="G43" s="358">
        <f t="shared" ref="G43:AR43" si="46">(200-ROUNDDOWN(($B$43+10)/(G8+5),0)+50)*2</f>
        <v>490</v>
      </c>
      <c r="H43" s="354">
        <f t="shared" si="46"/>
        <v>492</v>
      </c>
      <c r="I43" s="354">
        <f t="shared" si="46"/>
        <v>492</v>
      </c>
      <c r="J43" s="349">
        <f t="shared" si="46"/>
        <v>494</v>
      </c>
      <c r="K43" s="349">
        <f t="shared" si="46"/>
        <v>494</v>
      </c>
      <c r="L43" s="349">
        <f t="shared" si="46"/>
        <v>494</v>
      </c>
      <c r="M43" s="349">
        <f t="shared" si="46"/>
        <v>494</v>
      </c>
      <c r="N43" s="347">
        <f t="shared" si="46"/>
        <v>496</v>
      </c>
      <c r="O43" s="347">
        <f t="shared" si="46"/>
        <v>496</v>
      </c>
      <c r="P43" s="347">
        <f t="shared" si="46"/>
        <v>496</v>
      </c>
      <c r="Q43" s="347">
        <f t="shared" si="46"/>
        <v>496</v>
      </c>
      <c r="R43" s="347">
        <f t="shared" si="46"/>
        <v>496</v>
      </c>
      <c r="S43" s="347">
        <f t="shared" si="46"/>
        <v>496</v>
      </c>
      <c r="T43" s="347">
        <f t="shared" si="46"/>
        <v>496</v>
      </c>
      <c r="U43" s="348">
        <f t="shared" si="46"/>
        <v>498</v>
      </c>
      <c r="V43" s="348">
        <f t="shared" si="46"/>
        <v>498</v>
      </c>
      <c r="W43" s="348">
        <f t="shared" si="46"/>
        <v>498</v>
      </c>
      <c r="X43" s="348">
        <f t="shared" si="46"/>
        <v>498</v>
      </c>
      <c r="Y43" s="348">
        <f t="shared" si="46"/>
        <v>498</v>
      </c>
      <c r="Z43" s="348">
        <f t="shared" si="46"/>
        <v>498</v>
      </c>
      <c r="AA43" s="348">
        <f t="shared" si="46"/>
        <v>498</v>
      </c>
      <c r="AB43" s="348">
        <f t="shared" si="46"/>
        <v>498</v>
      </c>
      <c r="AC43" s="348">
        <f t="shared" si="46"/>
        <v>498</v>
      </c>
      <c r="AD43" s="348">
        <f t="shared" si="46"/>
        <v>498</v>
      </c>
      <c r="AE43" s="348">
        <f t="shared" si="46"/>
        <v>498</v>
      </c>
      <c r="AF43" s="348">
        <f t="shared" si="46"/>
        <v>498</v>
      </c>
      <c r="AG43" s="348">
        <f t="shared" si="46"/>
        <v>498</v>
      </c>
      <c r="AH43" s="348">
        <f t="shared" si="46"/>
        <v>498</v>
      </c>
      <c r="AI43" s="348">
        <f t="shared" si="46"/>
        <v>498</v>
      </c>
      <c r="AJ43" s="348">
        <f t="shared" si="46"/>
        <v>498</v>
      </c>
      <c r="AK43" s="348">
        <f t="shared" si="46"/>
        <v>498</v>
      </c>
      <c r="AL43" s="348">
        <f t="shared" si="46"/>
        <v>498</v>
      </c>
      <c r="AM43" s="348">
        <f t="shared" si="46"/>
        <v>498</v>
      </c>
      <c r="AN43" s="348">
        <f t="shared" si="46"/>
        <v>498</v>
      </c>
      <c r="AO43" s="348">
        <f t="shared" si="46"/>
        <v>498</v>
      </c>
      <c r="AP43" s="348">
        <f t="shared" si="46"/>
        <v>498</v>
      </c>
      <c r="AQ43" s="348">
        <f t="shared" si="46"/>
        <v>498</v>
      </c>
      <c r="AR43" s="345">
        <f t="shared" si="46"/>
        <v>500</v>
      </c>
      <c r="AS43" s="349"/>
      <c r="AT43" s="349"/>
      <c r="AU43" s="349"/>
      <c r="AV43" s="349"/>
      <c r="AW43" s="349"/>
      <c r="AX43" s="349"/>
      <c r="AY43" s="349"/>
      <c r="AZ43" s="381"/>
      <c r="BA43" s="381"/>
      <c r="BB43" s="381"/>
      <c r="BC43" s="381"/>
      <c r="BD43" s="381"/>
      <c r="BE43" s="381"/>
      <c r="BF43" s="381"/>
      <c r="BG43" s="381"/>
      <c r="BH43" s="381"/>
      <c r="BI43" s="381"/>
      <c r="BJ43" s="381"/>
      <c r="BK43" s="381"/>
      <c r="BL43" s="381"/>
      <c r="BM43" s="381"/>
      <c r="BN43" s="381"/>
      <c r="BO43" s="381"/>
      <c r="BP43" s="381"/>
      <c r="BQ43" s="381"/>
      <c r="BR43" s="381"/>
      <c r="BS43" s="381"/>
      <c r="BT43" s="381"/>
      <c r="BU43" s="381"/>
      <c r="BV43" s="381"/>
      <c r="BW43" s="381"/>
      <c r="BX43" s="381"/>
      <c r="BY43" s="381"/>
      <c r="BZ43" s="381"/>
      <c r="CA43" s="381"/>
      <c r="CB43" s="381"/>
      <c r="CC43" s="381"/>
      <c r="CD43" s="381"/>
      <c r="CE43" s="381"/>
      <c r="CF43" s="381"/>
      <c r="CG43" s="381"/>
      <c r="CH43" s="381"/>
      <c r="CI43" s="381"/>
      <c r="CJ43" s="381"/>
      <c r="CK43" s="381"/>
      <c r="CL43" s="381"/>
      <c r="CM43" s="381"/>
      <c r="CN43" s="381"/>
      <c r="CO43" s="381"/>
      <c r="CP43" s="381"/>
      <c r="CQ43" s="381"/>
      <c r="CR43" s="381"/>
      <c r="CS43" s="381"/>
      <c r="CT43" s="381"/>
      <c r="CU43" s="381"/>
      <c r="CV43" s="381"/>
      <c r="CW43" s="381"/>
      <c r="CX43" s="381"/>
      <c r="CY43" s="381"/>
      <c r="CZ43" s="381"/>
      <c r="DA43" s="381"/>
      <c r="DB43" s="381"/>
      <c r="DC43" s="381"/>
      <c r="DD43" s="381"/>
      <c r="DE43" s="381"/>
      <c r="DF43" s="381"/>
      <c r="DG43" s="381"/>
      <c r="DH43" s="381"/>
    </row>
    <row r="44" spans="1:112" s="2" customFormat="1" ht="12.95" customHeight="1" thickTop="1">
      <c r="A44" s="379"/>
      <c r="B44" s="350">
        <v>36</v>
      </c>
      <c r="C44" s="351">
        <v>221</v>
      </c>
      <c r="D44" s="365">
        <f>(200-ROUNDDOWN(($B$44+10)/(D8+5),0)+50)*2</f>
        <v>486</v>
      </c>
      <c r="E44" s="362">
        <f>(200-ROUNDDOWN(($B$44+10)/(E8+5),0)+50)*2</f>
        <v>488</v>
      </c>
      <c r="F44" s="359">
        <f>(200-ROUNDDOWN(($B$44+10)/(F8+5),0)+50)*2</f>
        <v>490</v>
      </c>
      <c r="G44" s="359">
        <f t="shared" ref="G44:AS44" si="47">(200-ROUNDDOWN(($B$44+10)/(G8+5),0)+50)*2</f>
        <v>490</v>
      </c>
      <c r="H44" s="355">
        <f t="shared" si="47"/>
        <v>492</v>
      </c>
      <c r="I44" s="355">
        <f t="shared" si="47"/>
        <v>492</v>
      </c>
      <c r="J44" s="3">
        <f t="shared" si="47"/>
        <v>494</v>
      </c>
      <c r="K44" s="3">
        <f t="shared" si="47"/>
        <v>494</v>
      </c>
      <c r="L44" s="3">
        <f t="shared" si="47"/>
        <v>494</v>
      </c>
      <c r="M44" s="3">
        <f t="shared" si="47"/>
        <v>494</v>
      </c>
      <c r="N44" s="352">
        <f t="shared" si="47"/>
        <v>496</v>
      </c>
      <c r="O44" s="352">
        <f t="shared" si="47"/>
        <v>496</v>
      </c>
      <c r="P44" s="352">
        <f t="shared" si="47"/>
        <v>496</v>
      </c>
      <c r="Q44" s="352">
        <f t="shared" si="47"/>
        <v>496</v>
      </c>
      <c r="R44" s="352">
        <f t="shared" si="47"/>
        <v>496</v>
      </c>
      <c r="S44" s="352">
        <f t="shared" si="47"/>
        <v>496</v>
      </c>
      <c r="T44" s="352">
        <f t="shared" si="47"/>
        <v>496</v>
      </c>
      <c r="U44" s="352">
        <f t="shared" si="47"/>
        <v>496</v>
      </c>
      <c r="V44" s="353">
        <f t="shared" si="47"/>
        <v>498</v>
      </c>
      <c r="W44" s="353">
        <f t="shared" si="47"/>
        <v>498</v>
      </c>
      <c r="X44" s="353">
        <f t="shared" si="47"/>
        <v>498</v>
      </c>
      <c r="Y44" s="353">
        <f t="shared" si="47"/>
        <v>498</v>
      </c>
      <c r="Z44" s="353">
        <f t="shared" si="47"/>
        <v>498</v>
      </c>
      <c r="AA44" s="353">
        <f t="shared" si="47"/>
        <v>498</v>
      </c>
      <c r="AB44" s="353">
        <f t="shared" si="47"/>
        <v>498</v>
      </c>
      <c r="AC44" s="353">
        <f t="shared" si="47"/>
        <v>498</v>
      </c>
      <c r="AD44" s="353">
        <f t="shared" si="47"/>
        <v>498</v>
      </c>
      <c r="AE44" s="353">
        <f t="shared" si="47"/>
        <v>498</v>
      </c>
      <c r="AF44" s="353">
        <f t="shared" si="47"/>
        <v>498</v>
      </c>
      <c r="AG44" s="353">
        <f t="shared" si="47"/>
        <v>498</v>
      </c>
      <c r="AH44" s="353">
        <f t="shared" si="47"/>
        <v>498</v>
      </c>
      <c r="AI44" s="353">
        <f t="shared" si="47"/>
        <v>498</v>
      </c>
      <c r="AJ44" s="353">
        <f t="shared" si="47"/>
        <v>498</v>
      </c>
      <c r="AK44" s="353">
        <f t="shared" si="47"/>
        <v>498</v>
      </c>
      <c r="AL44" s="353">
        <f t="shared" si="47"/>
        <v>498</v>
      </c>
      <c r="AM44" s="353">
        <f t="shared" si="47"/>
        <v>498</v>
      </c>
      <c r="AN44" s="353">
        <f t="shared" si="47"/>
        <v>498</v>
      </c>
      <c r="AO44" s="353">
        <f t="shared" si="47"/>
        <v>498</v>
      </c>
      <c r="AP44" s="353">
        <f t="shared" si="47"/>
        <v>498</v>
      </c>
      <c r="AQ44" s="353">
        <f t="shared" si="47"/>
        <v>498</v>
      </c>
      <c r="AR44" s="353">
        <f t="shared" si="47"/>
        <v>498</v>
      </c>
      <c r="AS44" s="350">
        <f t="shared" si="47"/>
        <v>500</v>
      </c>
      <c r="AT44" s="3"/>
      <c r="AU44" s="3"/>
      <c r="AV44" s="3"/>
      <c r="AW44" s="3"/>
      <c r="AX44" s="3"/>
      <c r="AY44" s="3"/>
      <c r="AZ44" s="381"/>
      <c r="BA44" s="381"/>
      <c r="BB44" s="381"/>
      <c r="BC44" s="381"/>
      <c r="BD44" s="381"/>
      <c r="BE44" s="381"/>
      <c r="BF44" s="381"/>
      <c r="BG44" s="381"/>
      <c r="BH44" s="381"/>
      <c r="BI44" s="381"/>
      <c r="BJ44" s="381"/>
      <c r="BK44" s="381"/>
      <c r="BL44" s="381"/>
      <c r="BM44" s="381"/>
      <c r="BN44" s="381"/>
      <c r="BO44" s="381"/>
      <c r="BP44" s="381"/>
      <c r="BQ44" s="381"/>
      <c r="BR44" s="381"/>
      <c r="BS44" s="381"/>
      <c r="BT44" s="381"/>
      <c r="BU44" s="381"/>
      <c r="BV44" s="381"/>
      <c r="BW44" s="381"/>
      <c r="BX44" s="381"/>
      <c r="BY44" s="381"/>
      <c r="BZ44" s="381"/>
      <c r="CA44" s="381"/>
      <c r="CB44" s="381"/>
      <c r="CC44" s="381"/>
      <c r="CD44" s="381"/>
      <c r="CE44" s="381"/>
      <c r="CF44" s="381"/>
      <c r="CG44" s="381"/>
      <c r="CH44" s="381"/>
      <c r="CI44" s="381"/>
      <c r="CJ44" s="381"/>
      <c r="CK44" s="381"/>
      <c r="CL44" s="381"/>
      <c r="CM44" s="381"/>
      <c r="CN44" s="381"/>
      <c r="CO44" s="381"/>
      <c r="CP44" s="381"/>
      <c r="CQ44" s="381"/>
      <c r="CR44" s="381"/>
      <c r="CS44" s="381"/>
      <c r="CT44" s="381"/>
      <c r="CU44" s="381"/>
      <c r="CV44" s="381"/>
      <c r="CW44" s="381"/>
      <c r="CX44" s="381"/>
      <c r="CY44" s="381"/>
      <c r="CZ44" s="381"/>
      <c r="DA44" s="381"/>
      <c r="DB44" s="381"/>
      <c r="DC44" s="381"/>
      <c r="DD44" s="381"/>
      <c r="DE44" s="381"/>
      <c r="DF44" s="381"/>
      <c r="DG44" s="381"/>
      <c r="DH44" s="381"/>
    </row>
    <row r="45" spans="1:112" s="2" customFormat="1" ht="12.95" customHeight="1">
      <c r="A45" s="379"/>
      <c r="B45" s="338">
        <v>37</v>
      </c>
      <c r="C45" s="339">
        <v>222</v>
      </c>
      <c r="D45" s="363">
        <f>(200-ROUNDDOWN(($B$45+10)/(D8+5),0)+50)*2</f>
        <v>486</v>
      </c>
      <c r="E45" s="362">
        <f>(200-ROUNDDOWN(($B$45+10)/(E8+5),0)+50)*2</f>
        <v>488</v>
      </c>
      <c r="F45" s="359">
        <f>(200-ROUNDDOWN(($B$45+10)/(F8+5),0)+50)*2</f>
        <v>490</v>
      </c>
      <c r="G45" s="359">
        <f t="shared" ref="G45:AT45" si="48">(200-ROUNDDOWN(($B$45+10)/(G8+5),0)+50)*2</f>
        <v>490</v>
      </c>
      <c r="H45" s="355">
        <f t="shared" si="48"/>
        <v>492</v>
      </c>
      <c r="I45" s="355">
        <f t="shared" si="48"/>
        <v>492</v>
      </c>
      <c r="J45" s="3">
        <f t="shared" si="48"/>
        <v>494</v>
      </c>
      <c r="K45" s="3">
        <f t="shared" si="48"/>
        <v>494</v>
      </c>
      <c r="L45" s="3">
        <f t="shared" si="48"/>
        <v>494</v>
      </c>
      <c r="M45" s="3">
        <f t="shared" si="48"/>
        <v>494</v>
      </c>
      <c r="N45" s="352">
        <f t="shared" si="48"/>
        <v>496</v>
      </c>
      <c r="O45" s="352">
        <f t="shared" si="48"/>
        <v>496</v>
      </c>
      <c r="P45" s="352">
        <f t="shared" si="48"/>
        <v>496</v>
      </c>
      <c r="Q45" s="352">
        <f t="shared" si="48"/>
        <v>496</v>
      </c>
      <c r="R45" s="352">
        <f t="shared" si="48"/>
        <v>496</v>
      </c>
      <c r="S45" s="352">
        <f t="shared" si="48"/>
        <v>496</v>
      </c>
      <c r="T45" s="352">
        <f t="shared" si="48"/>
        <v>496</v>
      </c>
      <c r="U45" s="352">
        <f t="shared" si="48"/>
        <v>496</v>
      </c>
      <c r="V45" s="353">
        <f t="shared" si="48"/>
        <v>498</v>
      </c>
      <c r="W45" s="353">
        <f t="shared" si="48"/>
        <v>498</v>
      </c>
      <c r="X45" s="353">
        <f t="shared" si="48"/>
        <v>498</v>
      </c>
      <c r="Y45" s="353">
        <f t="shared" si="48"/>
        <v>498</v>
      </c>
      <c r="Z45" s="353">
        <f t="shared" si="48"/>
        <v>498</v>
      </c>
      <c r="AA45" s="353">
        <f t="shared" si="48"/>
        <v>498</v>
      </c>
      <c r="AB45" s="353">
        <f t="shared" si="48"/>
        <v>498</v>
      </c>
      <c r="AC45" s="353">
        <f t="shared" si="48"/>
        <v>498</v>
      </c>
      <c r="AD45" s="353">
        <f t="shared" si="48"/>
        <v>498</v>
      </c>
      <c r="AE45" s="353">
        <f t="shared" si="48"/>
        <v>498</v>
      </c>
      <c r="AF45" s="353">
        <f t="shared" si="48"/>
        <v>498</v>
      </c>
      <c r="AG45" s="353">
        <f t="shared" si="48"/>
        <v>498</v>
      </c>
      <c r="AH45" s="353">
        <f t="shared" si="48"/>
        <v>498</v>
      </c>
      <c r="AI45" s="353">
        <f t="shared" si="48"/>
        <v>498</v>
      </c>
      <c r="AJ45" s="353">
        <f t="shared" si="48"/>
        <v>498</v>
      </c>
      <c r="AK45" s="353">
        <f t="shared" si="48"/>
        <v>498</v>
      </c>
      <c r="AL45" s="353">
        <f t="shared" si="48"/>
        <v>498</v>
      </c>
      <c r="AM45" s="353">
        <f t="shared" si="48"/>
        <v>498</v>
      </c>
      <c r="AN45" s="353">
        <f t="shared" si="48"/>
        <v>498</v>
      </c>
      <c r="AO45" s="353">
        <f t="shared" si="48"/>
        <v>498</v>
      </c>
      <c r="AP45" s="353">
        <f t="shared" si="48"/>
        <v>498</v>
      </c>
      <c r="AQ45" s="353">
        <f t="shared" si="48"/>
        <v>498</v>
      </c>
      <c r="AR45" s="353">
        <f t="shared" si="48"/>
        <v>498</v>
      </c>
      <c r="AS45" s="353">
        <f t="shared" si="48"/>
        <v>498</v>
      </c>
      <c r="AT45" s="350">
        <f t="shared" si="48"/>
        <v>500</v>
      </c>
      <c r="AU45" s="3"/>
      <c r="AV45" s="3"/>
      <c r="AW45" s="3"/>
      <c r="AX45" s="3"/>
      <c r="AY45" s="3"/>
      <c r="AZ45" s="381"/>
      <c r="BA45" s="381"/>
      <c r="BB45" s="381"/>
      <c r="BC45" s="381"/>
      <c r="BD45" s="381"/>
      <c r="BE45" s="381"/>
      <c r="BF45" s="381"/>
      <c r="BG45" s="381"/>
      <c r="BH45" s="381"/>
      <c r="BI45" s="381"/>
      <c r="BJ45" s="381"/>
      <c r="BK45" s="381"/>
      <c r="BL45" s="381"/>
      <c r="BM45" s="381"/>
      <c r="BN45" s="381"/>
      <c r="BO45" s="381"/>
      <c r="BP45" s="381"/>
      <c r="BQ45" s="381"/>
      <c r="BR45" s="381"/>
      <c r="BS45" s="381"/>
      <c r="BT45" s="381"/>
      <c r="BU45" s="381"/>
      <c r="BV45" s="381"/>
      <c r="BW45" s="381"/>
      <c r="BX45" s="381"/>
      <c r="BY45" s="381"/>
      <c r="BZ45" s="381"/>
      <c r="CA45" s="381"/>
      <c r="CB45" s="381"/>
      <c r="CC45" s="381"/>
      <c r="CD45" s="381"/>
      <c r="CE45" s="381"/>
      <c r="CF45" s="381"/>
      <c r="CG45" s="381"/>
      <c r="CH45" s="381"/>
      <c r="CI45" s="381"/>
      <c r="CJ45" s="381"/>
      <c r="CK45" s="381"/>
      <c r="CL45" s="381"/>
      <c r="CM45" s="381"/>
      <c r="CN45" s="381"/>
      <c r="CO45" s="381"/>
      <c r="CP45" s="381"/>
      <c r="CQ45" s="381"/>
      <c r="CR45" s="381"/>
      <c r="CS45" s="381"/>
      <c r="CT45" s="381"/>
      <c r="CU45" s="381"/>
      <c r="CV45" s="381"/>
      <c r="CW45" s="381"/>
      <c r="CX45" s="381"/>
      <c r="CY45" s="381"/>
      <c r="CZ45" s="381"/>
      <c r="DA45" s="381"/>
      <c r="DB45" s="381"/>
      <c r="DC45" s="381"/>
      <c r="DD45" s="381"/>
      <c r="DE45" s="381"/>
      <c r="DF45" s="381"/>
      <c r="DG45" s="381"/>
      <c r="DH45" s="381"/>
    </row>
    <row r="46" spans="1:112" s="2" customFormat="1" ht="12.95" customHeight="1">
      <c r="A46" s="379"/>
      <c r="B46" s="338">
        <v>38</v>
      </c>
      <c r="C46" s="339">
        <v>223</v>
      </c>
      <c r="D46" s="366">
        <f>(200-ROUNDDOWN(($B$46+10)/(D8+5),0)+50)*2</f>
        <v>484</v>
      </c>
      <c r="E46" s="362">
        <f>(200-ROUNDDOWN(($B$46+10)/(E8+5),0)+50)*2</f>
        <v>488</v>
      </c>
      <c r="F46" s="362">
        <f>(200-ROUNDDOWN(($B$46+10)/(F8+5),0)+50)*2</f>
        <v>488</v>
      </c>
      <c r="G46" s="359">
        <f t="shared" ref="G46:AU46" si="49">(200-ROUNDDOWN(($B$46+10)/(G8+5),0)+50)*2</f>
        <v>490</v>
      </c>
      <c r="H46" s="355">
        <f t="shared" si="49"/>
        <v>492</v>
      </c>
      <c r="I46" s="355">
        <f t="shared" si="49"/>
        <v>492</v>
      </c>
      <c r="J46" s="355">
        <f t="shared" si="49"/>
        <v>492</v>
      </c>
      <c r="K46" s="3">
        <f t="shared" si="49"/>
        <v>494</v>
      </c>
      <c r="L46" s="3">
        <f t="shared" si="49"/>
        <v>494</v>
      </c>
      <c r="M46" s="3">
        <f t="shared" si="49"/>
        <v>494</v>
      </c>
      <c r="N46" s="3">
        <f t="shared" si="49"/>
        <v>494</v>
      </c>
      <c r="O46" s="352">
        <f t="shared" si="49"/>
        <v>496</v>
      </c>
      <c r="P46" s="352">
        <f t="shared" si="49"/>
        <v>496</v>
      </c>
      <c r="Q46" s="352">
        <f t="shared" si="49"/>
        <v>496</v>
      </c>
      <c r="R46" s="352">
        <f t="shared" si="49"/>
        <v>496</v>
      </c>
      <c r="S46" s="352">
        <f t="shared" si="49"/>
        <v>496</v>
      </c>
      <c r="T46" s="352">
        <f t="shared" si="49"/>
        <v>496</v>
      </c>
      <c r="U46" s="352">
        <f t="shared" si="49"/>
        <v>496</v>
      </c>
      <c r="V46" s="352">
        <f t="shared" si="49"/>
        <v>496</v>
      </c>
      <c r="W46" s="353">
        <f t="shared" si="49"/>
        <v>498</v>
      </c>
      <c r="X46" s="353">
        <f t="shared" si="49"/>
        <v>498</v>
      </c>
      <c r="Y46" s="353">
        <f t="shared" si="49"/>
        <v>498</v>
      </c>
      <c r="Z46" s="353">
        <f t="shared" si="49"/>
        <v>498</v>
      </c>
      <c r="AA46" s="353">
        <f t="shared" si="49"/>
        <v>498</v>
      </c>
      <c r="AB46" s="353">
        <f t="shared" si="49"/>
        <v>498</v>
      </c>
      <c r="AC46" s="353">
        <f t="shared" si="49"/>
        <v>498</v>
      </c>
      <c r="AD46" s="353">
        <f t="shared" si="49"/>
        <v>498</v>
      </c>
      <c r="AE46" s="353">
        <f t="shared" si="49"/>
        <v>498</v>
      </c>
      <c r="AF46" s="353">
        <f t="shared" si="49"/>
        <v>498</v>
      </c>
      <c r="AG46" s="353">
        <f t="shared" si="49"/>
        <v>498</v>
      </c>
      <c r="AH46" s="353">
        <f t="shared" si="49"/>
        <v>498</v>
      </c>
      <c r="AI46" s="353">
        <f t="shared" si="49"/>
        <v>498</v>
      </c>
      <c r="AJ46" s="353">
        <f t="shared" si="49"/>
        <v>498</v>
      </c>
      <c r="AK46" s="353">
        <f t="shared" si="49"/>
        <v>498</v>
      </c>
      <c r="AL46" s="353">
        <f t="shared" si="49"/>
        <v>498</v>
      </c>
      <c r="AM46" s="353">
        <f t="shared" si="49"/>
        <v>498</v>
      </c>
      <c r="AN46" s="353">
        <f t="shared" si="49"/>
        <v>498</v>
      </c>
      <c r="AO46" s="353">
        <f t="shared" si="49"/>
        <v>498</v>
      </c>
      <c r="AP46" s="353">
        <f t="shared" si="49"/>
        <v>498</v>
      </c>
      <c r="AQ46" s="353">
        <f t="shared" si="49"/>
        <v>498</v>
      </c>
      <c r="AR46" s="353">
        <f t="shared" si="49"/>
        <v>498</v>
      </c>
      <c r="AS46" s="353">
        <f t="shared" si="49"/>
        <v>498</v>
      </c>
      <c r="AT46" s="353">
        <f t="shared" si="49"/>
        <v>498</v>
      </c>
      <c r="AU46" s="350">
        <f t="shared" si="49"/>
        <v>500</v>
      </c>
      <c r="AV46" s="3"/>
      <c r="AW46" s="3"/>
      <c r="AX46" s="3"/>
      <c r="AY46" s="3"/>
      <c r="AZ46" s="381"/>
      <c r="BA46" s="381"/>
      <c r="BB46" s="381"/>
      <c r="BC46" s="381"/>
      <c r="BD46" s="381"/>
      <c r="BE46" s="381"/>
      <c r="BF46" s="381"/>
      <c r="BG46" s="381"/>
      <c r="BH46" s="381"/>
      <c r="BI46" s="381"/>
      <c r="BJ46" s="381"/>
      <c r="BK46" s="381"/>
      <c r="BL46" s="381"/>
      <c r="BM46" s="381"/>
      <c r="BN46" s="381"/>
      <c r="BO46" s="381"/>
      <c r="BP46" s="381"/>
      <c r="BQ46" s="381"/>
      <c r="BR46" s="381"/>
      <c r="BS46" s="381"/>
      <c r="BT46" s="381"/>
      <c r="BU46" s="381"/>
      <c r="BV46" s="381"/>
      <c r="BW46" s="381"/>
      <c r="BX46" s="381"/>
      <c r="BY46" s="381"/>
      <c r="BZ46" s="381"/>
      <c r="CA46" s="381"/>
      <c r="CB46" s="381"/>
      <c r="CC46" s="381"/>
      <c r="CD46" s="381"/>
      <c r="CE46" s="381"/>
      <c r="CF46" s="381"/>
      <c r="CG46" s="381"/>
      <c r="CH46" s="381"/>
      <c r="CI46" s="381"/>
      <c r="CJ46" s="381"/>
      <c r="CK46" s="381"/>
      <c r="CL46" s="381"/>
      <c r="CM46" s="381"/>
      <c r="CN46" s="381"/>
      <c r="CO46" s="381"/>
      <c r="CP46" s="381"/>
      <c r="CQ46" s="381"/>
      <c r="CR46" s="381"/>
      <c r="CS46" s="381"/>
      <c r="CT46" s="381"/>
      <c r="CU46" s="381"/>
      <c r="CV46" s="381"/>
      <c r="CW46" s="381"/>
      <c r="CX46" s="381"/>
      <c r="CY46" s="381"/>
      <c r="CZ46" s="381"/>
      <c r="DA46" s="381"/>
      <c r="DB46" s="381"/>
      <c r="DC46" s="381"/>
      <c r="DD46" s="381"/>
      <c r="DE46" s="381"/>
      <c r="DF46" s="381"/>
      <c r="DG46" s="381"/>
      <c r="DH46" s="381"/>
    </row>
    <row r="47" spans="1:112" s="2" customFormat="1" ht="12.95" customHeight="1">
      <c r="A47" s="379"/>
      <c r="B47" s="338">
        <v>39</v>
      </c>
      <c r="C47" s="339">
        <v>224</v>
      </c>
      <c r="D47" s="366">
        <f>(200-ROUNDDOWN(($B$47+10)/(D8+5),0)+50)*2</f>
        <v>484</v>
      </c>
      <c r="E47" s="365">
        <f>(200-ROUNDDOWN(($B$47+10)/(E8+5),0)+50)*2</f>
        <v>486</v>
      </c>
      <c r="F47" s="362">
        <f>(200-ROUNDDOWN(($B$47+10)/(F8+5),0)+50)*2</f>
        <v>488</v>
      </c>
      <c r="G47" s="359">
        <f t="shared" ref="G47:AV47" si="50">(200-ROUNDDOWN(($B$47+10)/(G8+5),0)+50)*2</f>
        <v>490</v>
      </c>
      <c r="H47" s="355">
        <f t="shared" si="50"/>
        <v>492</v>
      </c>
      <c r="I47" s="355">
        <f t="shared" si="50"/>
        <v>492</v>
      </c>
      <c r="J47" s="355">
        <f t="shared" si="50"/>
        <v>492</v>
      </c>
      <c r="K47" s="3">
        <f t="shared" si="50"/>
        <v>494</v>
      </c>
      <c r="L47" s="3">
        <f t="shared" si="50"/>
        <v>494</v>
      </c>
      <c r="M47" s="3">
        <f t="shared" si="50"/>
        <v>494</v>
      </c>
      <c r="N47" s="3">
        <f t="shared" si="50"/>
        <v>494</v>
      </c>
      <c r="O47" s="352">
        <f t="shared" si="50"/>
        <v>496</v>
      </c>
      <c r="P47" s="352">
        <f t="shared" si="50"/>
        <v>496</v>
      </c>
      <c r="Q47" s="352">
        <f t="shared" si="50"/>
        <v>496</v>
      </c>
      <c r="R47" s="352">
        <f t="shared" si="50"/>
        <v>496</v>
      </c>
      <c r="S47" s="352">
        <f t="shared" si="50"/>
        <v>496</v>
      </c>
      <c r="T47" s="352">
        <f t="shared" si="50"/>
        <v>496</v>
      </c>
      <c r="U47" s="352">
        <f t="shared" si="50"/>
        <v>496</v>
      </c>
      <c r="V47" s="352">
        <f t="shared" si="50"/>
        <v>496</v>
      </c>
      <c r="W47" s="353">
        <f t="shared" si="50"/>
        <v>498</v>
      </c>
      <c r="X47" s="353">
        <f t="shared" si="50"/>
        <v>498</v>
      </c>
      <c r="Y47" s="353">
        <f t="shared" si="50"/>
        <v>498</v>
      </c>
      <c r="Z47" s="353">
        <f t="shared" si="50"/>
        <v>498</v>
      </c>
      <c r="AA47" s="353">
        <f t="shared" si="50"/>
        <v>498</v>
      </c>
      <c r="AB47" s="353">
        <f t="shared" si="50"/>
        <v>498</v>
      </c>
      <c r="AC47" s="353">
        <f t="shared" si="50"/>
        <v>498</v>
      </c>
      <c r="AD47" s="353">
        <f t="shared" si="50"/>
        <v>498</v>
      </c>
      <c r="AE47" s="353">
        <f t="shared" si="50"/>
        <v>498</v>
      </c>
      <c r="AF47" s="353">
        <f t="shared" si="50"/>
        <v>498</v>
      </c>
      <c r="AG47" s="353">
        <f t="shared" si="50"/>
        <v>498</v>
      </c>
      <c r="AH47" s="353">
        <f t="shared" si="50"/>
        <v>498</v>
      </c>
      <c r="AI47" s="353">
        <f t="shared" si="50"/>
        <v>498</v>
      </c>
      <c r="AJ47" s="353">
        <f t="shared" si="50"/>
        <v>498</v>
      </c>
      <c r="AK47" s="353">
        <f t="shared" si="50"/>
        <v>498</v>
      </c>
      <c r="AL47" s="353">
        <f t="shared" si="50"/>
        <v>498</v>
      </c>
      <c r="AM47" s="353">
        <f t="shared" si="50"/>
        <v>498</v>
      </c>
      <c r="AN47" s="353">
        <f t="shared" si="50"/>
        <v>498</v>
      </c>
      <c r="AO47" s="353">
        <f t="shared" si="50"/>
        <v>498</v>
      </c>
      <c r="AP47" s="353">
        <f t="shared" si="50"/>
        <v>498</v>
      </c>
      <c r="AQ47" s="353">
        <f t="shared" si="50"/>
        <v>498</v>
      </c>
      <c r="AR47" s="353">
        <f t="shared" si="50"/>
        <v>498</v>
      </c>
      <c r="AS47" s="353">
        <f t="shared" si="50"/>
        <v>498</v>
      </c>
      <c r="AT47" s="353">
        <f t="shared" si="50"/>
        <v>498</v>
      </c>
      <c r="AU47" s="353">
        <f t="shared" si="50"/>
        <v>498</v>
      </c>
      <c r="AV47" s="350">
        <f t="shared" si="50"/>
        <v>500</v>
      </c>
      <c r="AW47" s="3"/>
      <c r="AX47" s="3"/>
      <c r="AY47" s="3"/>
      <c r="AZ47" s="381"/>
      <c r="BA47" s="381"/>
      <c r="BB47" s="381"/>
      <c r="BC47" s="381"/>
      <c r="BD47" s="381"/>
      <c r="BE47" s="381"/>
      <c r="BF47" s="381"/>
      <c r="BG47" s="381"/>
      <c r="BH47" s="381"/>
      <c r="BI47" s="381"/>
      <c r="BJ47" s="381"/>
      <c r="BK47" s="381"/>
      <c r="BL47" s="381"/>
      <c r="BM47" s="381"/>
      <c r="BN47" s="381"/>
      <c r="BO47" s="381"/>
      <c r="BP47" s="381"/>
      <c r="BQ47" s="381"/>
      <c r="BR47" s="381"/>
      <c r="BS47" s="381"/>
      <c r="BT47" s="381"/>
      <c r="BU47" s="381"/>
      <c r="BV47" s="381"/>
      <c r="BW47" s="381"/>
      <c r="BX47" s="381"/>
      <c r="BY47" s="381"/>
      <c r="BZ47" s="381"/>
      <c r="CA47" s="381"/>
      <c r="CB47" s="381"/>
      <c r="CC47" s="381"/>
      <c r="CD47" s="381"/>
      <c r="CE47" s="381"/>
      <c r="CF47" s="381"/>
      <c r="CG47" s="381"/>
      <c r="CH47" s="381"/>
      <c r="CI47" s="381"/>
      <c r="CJ47" s="381"/>
      <c r="CK47" s="381"/>
      <c r="CL47" s="381"/>
      <c r="CM47" s="381"/>
      <c r="CN47" s="381"/>
      <c r="CO47" s="381"/>
      <c r="CP47" s="381"/>
      <c r="CQ47" s="381"/>
      <c r="CR47" s="381"/>
      <c r="CS47" s="381"/>
      <c r="CT47" s="381"/>
      <c r="CU47" s="381"/>
      <c r="CV47" s="381"/>
      <c r="CW47" s="381"/>
      <c r="CX47" s="381"/>
      <c r="CY47" s="381"/>
      <c r="CZ47" s="381"/>
      <c r="DA47" s="381"/>
      <c r="DB47" s="381"/>
      <c r="DC47" s="381"/>
      <c r="DD47" s="381"/>
      <c r="DE47" s="381"/>
      <c r="DF47" s="381"/>
      <c r="DG47" s="381"/>
      <c r="DH47" s="381"/>
    </row>
    <row r="48" spans="1:112" s="2" customFormat="1" ht="12.95" customHeight="1">
      <c r="A48" s="379"/>
      <c r="B48" s="338">
        <v>40</v>
      </c>
      <c r="C48" s="339">
        <v>225</v>
      </c>
      <c r="D48" s="366">
        <f>(200-ROUNDDOWN(($B$48+10)/(D8+5),0)+50)*2</f>
        <v>484</v>
      </c>
      <c r="E48" s="365">
        <f>(200-ROUNDDOWN(($B$48+10)/(E8+5),0)+50)*2</f>
        <v>486</v>
      </c>
      <c r="F48" s="362">
        <f>(200-ROUNDDOWN(($B$48+10)/(F8+5),0)+50)*2</f>
        <v>488</v>
      </c>
      <c r="G48" s="359">
        <f t="shared" ref="G48:AW48" si="51">(200-ROUNDDOWN(($B$48+10)/(G8+5),0)+50)*2</f>
        <v>490</v>
      </c>
      <c r="H48" s="359">
        <f t="shared" si="51"/>
        <v>490</v>
      </c>
      <c r="I48" s="355">
        <f t="shared" si="51"/>
        <v>492</v>
      </c>
      <c r="J48" s="355">
        <f t="shared" si="51"/>
        <v>492</v>
      </c>
      <c r="K48" s="3">
        <f t="shared" si="51"/>
        <v>494</v>
      </c>
      <c r="L48" s="3">
        <f t="shared" si="51"/>
        <v>494</v>
      </c>
      <c r="M48" s="3">
        <f t="shared" si="51"/>
        <v>494</v>
      </c>
      <c r="N48" s="3">
        <f t="shared" si="51"/>
        <v>494</v>
      </c>
      <c r="O48" s="352">
        <f t="shared" si="51"/>
        <v>496</v>
      </c>
      <c r="P48" s="352">
        <f t="shared" si="51"/>
        <v>496</v>
      </c>
      <c r="Q48" s="352">
        <f t="shared" si="51"/>
        <v>496</v>
      </c>
      <c r="R48" s="352">
        <f t="shared" si="51"/>
        <v>496</v>
      </c>
      <c r="S48" s="352">
        <f t="shared" si="51"/>
        <v>496</v>
      </c>
      <c r="T48" s="352">
        <f t="shared" si="51"/>
        <v>496</v>
      </c>
      <c r="U48" s="352">
        <f t="shared" si="51"/>
        <v>496</v>
      </c>
      <c r="V48" s="352">
        <f t="shared" si="51"/>
        <v>496</v>
      </c>
      <c r="W48" s="352">
        <f t="shared" si="51"/>
        <v>496</v>
      </c>
      <c r="X48" s="353">
        <f t="shared" si="51"/>
        <v>498</v>
      </c>
      <c r="Y48" s="353">
        <f t="shared" si="51"/>
        <v>498</v>
      </c>
      <c r="Z48" s="353">
        <f t="shared" si="51"/>
        <v>498</v>
      </c>
      <c r="AA48" s="353">
        <f t="shared" si="51"/>
        <v>498</v>
      </c>
      <c r="AB48" s="353">
        <f t="shared" si="51"/>
        <v>498</v>
      </c>
      <c r="AC48" s="353">
        <f t="shared" si="51"/>
        <v>498</v>
      </c>
      <c r="AD48" s="353">
        <f t="shared" si="51"/>
        <v>498</v>
      </c>
      <c r="AE48" s="353">
        <f t="shared" si="51"/>
        <v>498</v>
      </c>
      <c r="AF48" s="353">
        <f t="shared" si="51"/>
        <v>498</v>
      </c>
      <c r="AG48" s="353">
        <f t="shared" si="51"/>
        <v>498</v>
      </c>
      <c r="AH48" s="353">
        <f t="shared" si="51"/>
        <v>498</v>
      </c>
      <c r="AI48" s="353">
        <f t="shared" si="51"/>
        <v>498</v>
      </c>
      <c r="AJ48" s="353">
        <f t="shared" si="51"/>
        <v>498</v>
      </c>
      <c r="AK48" s="353">
        <f t="shared" si="51"/>
        <v>498</v>
      </c>
      <c r="AL48" s="353">
        <f t="shared" si="51"/>
        <v>498</v>
      </c>
      <c r="AM48" s="353">
        <f t="shared" si="51"/>
        <v>498</v>
      </c>
      <c r="AN48" s="353">
        <f t="shared" si="51"/>
        <v>498</v>
      </c>
      <c r="AO48" s="353">
        <f t="shared" si="51"/>
        <v>498</v>
      </c>
      <c r="AP48" s="353">
        <f t="shared" si="51"/>
        <v>498</v>
      </c>
      <c r="AQ48" s="353">
        <f t="shared" si="51"/>
        <v>498</v>
      </c>
      <c r="AR48" s="353">
        <f t="shared" si="51"/>
        <v>498</v>
      </c>
      <c r="AS48" s="353">
        <f t="shared" si="51"/>
        <v>498</v>
      </c>
      <c r="AT48" s="353">
        <f t="shared" si="51"/>
        <v>498</v>
      </c>
      <c r="AU48" s="353">
        <f t="shared" si="51"/>
        <v>498</v>
      </c>
      <c r="AV48" s="353">
        <f t="shared" si="51"/>
        <v>498</v>
      </c>
      <c r="AW48" s="350">
        <f t="shared" si="51"/>
        <v>500</v>
      </c>
      <c r="AX48" s="3"/>
      <c r="AY48" s="3"/>
      <c r="AZ48" s="381"/>
      <c r="BA48" s="381"/>
      <c r="BB48" s="381"/>
      <c r="BC48" s="381"/>
      <c r="BD48" s="381"/>
      <c r="BE48" s="381"/>
      <c r="BF48" s="381"/>
      <c r="BG48" s="381"/>
      <c r="BH48" s="381"/>
      <c r="BI48" s="381"/>
      <c r="BJ48" s="381"/>
      <c r="BK48" s="381"/>
      <c r="BL48" s="381"/>
      <c r="BM48" s="381"/>
      <c r="BN48" s="381"/>
      <c r="BO48" s="381"/>
      <c r="BP48" s="381"/>
      <c r="BQ48" s="381"/>
      <c r="BR48" s="381"/>
      <c r="BS48" s="381"/>
      <c r="BT48" s="381"/>
      <c r="BU48" s="381"/>
      <c r="BV48" s="381"/>
      <c r="BW48" s="381"/>
      <c r="BX48" s="381"/>
      <c r="BY48" s="381"/>
      <c r="BZ48" s="381"/>
      <c r="CA48" s="381"/>
      <c r="CB48" s="381"/>
      <c r="CC48" s="381"/>
      <c r="CD48" s="381"/>
      <c r="CE48" s="381"/>
      <c r="CF48" s="381"/>
      <c r="CG48" s="381"/>
      <c r="CH48" s="381"/>
      <c r="CI48" s="381"/>
      <c r="CJ48" s="381"/>
      <c r="CK48" s="381"/>
      <c r="CL48" s="381"/>
      <c r="CM48" s="381"/>
      <c r="CN48" s="381"/>
      <c r="CO48" s="381"/>
      <c r="CP48" s="381"/>
      <c r="CQ48" s="381"/>
      <c r="CR48" s="381"/>
      <c r="CS48" s="381"/>
      <c r="CT48" s="381"/>
      <c r="CU48" s="381"/>
      <c r="CV48" s="381"/>
      <c r="CW48" s="381"/>
      <c r="CX48" s="381"/>
      <c r="CY48" s="381"/>
      <c r="CZ48" s="381"/>
      <c r="DA48" s="381"/>
      <c r="DB48" s="381"/>
      <c r="DC48" s="381"/>
      <c r="DD48" s="381"/>
      <c r="DE48" s="381"/>
      <c r="DF48" s="381"/>
      <c r="DG48" s="381"/>
      <c r="DH48" s="381"/>
    </row>
    <row r="49" spans="1:112" s="2" customFormat="1" ht="12.95" customHeight="1">
      <c r="A49" s="379"/>
      <c r="B49" s="338">
        <v>41</v>
      </c>
      <c r="C49" s="339">
        <v>226</v>
      </c>
      <c r="D49" s="366">
        <f>(200-ROUNDDOWN(($B$49+10)/(D8+5),0)+50)*2</f>
        <v>484</v>
      </c>
      <c r="E49" s="365">
        <f>(200-ROUNDDOWN(($B$49+10)/(E8+5),0)+50)*2</f>
        <v>486</v>
      </c>
      <c r="F49" s="362">
        <f>(200-ROUNDDOWN(($B$49+10)/(F8+5),0)+50)*2</f>
        <v>488</v>
      </c>
      <c r="G49" s="359">
        <f t="shared" ref="G49:AX49" si="52">(200-ROUNDDOWN(($B$49+10)/(G8+5),0)+50)*2</f>
        <v>490</v>
      </c>
      <c r="H49" s="359">
        <f t="shared" si="52"/>
        <v>490</v>
      </c>
      <c r="I49" s="355">
        <f t="shared" si="52"/>
        <v>492</v>
      </c>
      <c r="J49" s="355">
        <f t="shared" si="52"/>
        <v>492</v>
      </c>
      <c r="K49" s="3">
        <f t="shared" si="52"/>
        <v>494</v>
      </c>
      <c r="L49" s="3">
        <f t="shared" si="52"/>
        <v>494</v>
      </c>
      <c r="M49" s="3">
        <f t="shared" si="52"/>
        <v>494</v>
      </c>
      <c r="N49" s="3">
        <f t="shared" si="52"/>
        <v>494</v>
      </c>
      <c r="O49" s="3">
        <f t="shared" si="52"/>
        <v>494</v>
      </c>
      <c r="P49" s="352">
        <f t="shared" si="52"/>
        <v>496</v>
      </c>
      <c r="Q49" s="352">
        <f t="shared" si="52"/>
        <v>496</v>
      </c>
      <c r="R49" s="352">
        <f t="shared" si="52"/>
        <v>496</v>
      </c>
      <c r="S49" s="352">
        <f t="shared" si="52"/>
        <v>496</v>
      </c>
      <c r="T49" s="352">
        <f t="shared" si="52"/>
        <v>496</v>
      </c>
      <c r="U49" s="352">
        <f t="shared" si="52"/>
        <v>496</v>
      </c>
      <c r="V49" s="352">
        <f t="shared" si="52"/>
        <v>496</v>
      </c>
      <c r="W49" s="352">
        <f t="shared" si="52"/>
        <v>496</v>
      </c>
      <c r="X49" s="353">
        <f t="shared" si="52"/>
        <v>498</v>
      </c>
      <c r="Y49" s="353">
        <f t="shared" si="52"/>
        <v>498</v>
      </c>
      <c r="Z49" s="353">
        <f t="shared" si="52"/>
        <v>498</v>
      </c>
      <c r="AA49" s="353">
        <f t="shared" si="52"/>
        <v>498</v>
      </c>
      <c r="AB49" s="353">
        <f t="shared" si="52"/>
        <v>498</v>
      </c>
      <c r="AC49" s="353">
        <f t="shared" si="52"/>
        <v>498</v>
      </c>
      <c r="AD49" s="353">
        <f t="shared" si="52"/>
        <v>498</v>
      </c>
      <c r="AE49" s="353">
        <f t="shared" si="52"/>
        <v>498</v>
      </c>
      <c r="AF49" s="353">
        <f t="shared" si="52"/>
        <v>498</v>
      </c>
      <c r="AG49" s="353">
        <f t="shared" si="52"/>
        <v>498</v>
      </c>
      <c r="AH49" s="353">
        <f t="shared" si="52"/>
        <v>498</v>
      </c>
      <c r="AI49" s="353">
        <f t="shared" si="52"/>
        <v>498</v>
      </c>
      <c r="AJ49" s="353">
        <f t="shared" si="52"/>
        <v>498</v>
      </c>
      <c r="AK49" s="353">
        <f t="shared" si="52"/>
        <v>498</v>
      </c>
      <c r="AL49" s="353">
        <f t="shared" si="52"/>
        <v>498</v>
      </c>
      <c r="AM49" s="353">
        <f t="shared" si="52"/>
        <v>498</v>
      </c>
      <c r="AN49" s="353">
        <f t="shared" si="52"/>
        <v>498</v>
      </c>
      <c r="AO49" s="353">
        <f t="shared" si="52"/>
        <v>498</v>
      </c>
      <c r="AP49" s="353">
        <f t="shared" si="52"/>
        <v>498</v>
      </c>
      <c r="AQ49" s="353">
        <f t="shared" si="52"/>
        <v>498</v>
      </c>
      <c r="AR49" s="353">
        <f t="shared" si="52"/>
        <v>498</v>
      </c>
      <c r="AS49" s="353">
        <f t="shared" si="52"/>
        <v>498</v>
      </c>
      <c r="AT49" s="353">
        <f t="shared" si="52"/>
        <v>498</v>
      </c>
      <c r="AU49" s="353">
        <f t="shared" si="52"/>
        <v>498</v>
      </c>
      <c r="AV49" s="353">
        <f t="shared" si="52"/>
        <v>498</v>
      </c>
      <c r="AW49" s="353">
        <f t="shared" si="52"/>
        <v>498</v>
      </c>
      <c r="AX49" s="350">
        <f t="shared" si="52"/>
        <v>500</v>
      </c>
      <c r="AY49" s="3"/>
      <c r="AZ49" s="381"/>
      <c r="BA49" s="381"/>
      <c r="BB49" s="381"/>
      <c r="BC49" s="381"/>
      <c r="BD49" s="381"/>
      <c r="BE49" s="381"/>
      <c r="BF49" s="381"/>
      <c r="BG49" s="381"/>
      <c r="BH49" s="381"/>
      <c r="BI49" s="381"/>
      <c r="BJ49" s="381"/>
      <c r="BK49" s="381"/>
      <c r="BL49" s="381"/>
      <c r="BM49" s="381"/>
      <c r="BN49" s="381"/>
      <c r="BO49" s="381"/>
      <c r="BP49" s="381"/>
      <c r="BQ49" s="381"/>
      <c r="BR49" s="381"/>
      <c r="BS49" s="381"/>
      <c r="BT49" s="381"/>
      <c r="BU49" s="381"/>
      <c r="BV49" s="381"/>
      <c r="BW49" s="381"/>
      <c r="BX49" s="381"/>
      <c r="BY49" s="381"/>
      <c r="BZ49" s="381"/>
      <c r="CA49" s="381"/>
      <c r="CB49" s="381"/>
      <c r="CC49" s="381"/>
      <c r="CD49" s="381"/>
      <c r="CE49" s="381"/>
      <c r="CF49" s="381"/>
      <c r="CG49" s="381"/>
      <c r="CH49" s="381"/>
      <c r="CI49" s="381"/>
      <c r="CJ49" s="381"/>
      <c r="CK49" s="381"/>
      <c r="CL49" s="381"/>
      <c r="CM49" s="381"/>
      <c r="CN49" s="381"/>
      <c r="CO49" s="381"/>
      <c r="CP49" s="381"/>
      <c r="CQ49" s="381"/>
      <c r="CR49" s="381"/>
      <c r="CS49" s="381"/>
      <c r="CT49" s="381"/>
      <c r="CU49" s="381"/>
      <c r="CV49" s="381"/>
      <c r="CW49" s="381"/>
      <c r="CX49" s="381"/>
      <c r="CY49" s="381"/>
      <c r="CZ49" s="381"/>
      <c r="DA49" s="381"/>
      <c r="DB49" s="381"/>
      <c r="DC49" s="381"/>
      <c r="DD49" s="381"/>
      <c r="DE49" s="381"/>
      <c r="DF49" s="381"/>
      <c r="DG49" s="381"/>
      <c r="DH49" s="381"/>
    </row>
    <row r="50" spans="1:112" s="2" customFormat="1" ht="12.95" customHeight="1" thickBot="1">
      <c r="A50" s="379"/>
      <c r="B50" s="345">
        <v>42</v>
      </c>
      <c r="C50" s="346">
        <v>227</v>
      </c>
      <c r="D50" s="367">
        <f>(200-ROUNDDOWN(($B$50+10)/(D8+5),0)+50)*2</f>
        <v>484</v>
      </c>
      <c r="E50" s="364">
        <f>(200-ROUNDDOWN(($B$50+10)/(E8+5),0)+50)*2</f>
        <v>486</v>
      </c>
      <c r="F50" s="361">
        <f>(200-ROUNDDOWN(($B$50+10)/(F8+5),0)+50)*2</f>
        <v>488</v>
      </c>
      <c r="G50" s="358">
        <f t="shared" ref="G50:AY50" si="53">(200-ROUNDDOWN(($B$50+10)/(G8+5),0)+50)*2</f>
        <v>490</v>
      </c>
      <c r="H50" s="358">
        <f t="shared" si="53"/>
        <v>490</v>
      </c>
      <c r="I50" s="354">
        <f t="shared" si="53"/>
        <v>492</v>
      </c>
      <c r="J50" s="354">
        <f t="shared" si="53"/>
        <v>492</v>
      </c>
      <c r="K50" s="354">
        <f t="shared" si="53"/>
        <v>492</v>
      </c>
      <c r="L50" s="349">
        <f t="shared" si="53"/>
        <v>494</v>
      </c>
      <c r="M50" s="349">
        <f t="shared" si="53"/>
        <v>494</v>
      </c>
      <c r="N50" s="349">
        <f t="shared" si="53"/>
        <v>494</v>
      </c>
      <c r="O50" s="349">
        <f t="shared" si="53"/>
        <v>494</v>
      </c>
      <c r="P50" s="347">
        <f t="shared" si="53"/>
        <v>496</v>
      </c>
      <c r="Q50" s="347">
        <f t="shared" si="53"/>
        <v>496</v>
      </c>
      <c r="R50" s="347">
        <f t="shared" si="53"/>
        <v>496</v>
      </c>
      <c r="S50" s="347">
        <f t="shared" si="53"/>
        <v>496</v>
      </c>
      <c r="T50" s="347">
        <f t="shared" si="53"/>
        <v>496</v>
      </c>
      <c r="U50" s="347">
        <f t="shared" si="53"/>
        <v>496</v>
      </c>
      <c r="V50" s="347">
        <f t="shared" si="53"/>
        <v>496</v>
      </c>
      <c r="W50" s="347">
        <f t="shared" si="53"/>
        <v>496</v>
      </c>
      <c r="X50" s="347">
        <f t="shared" si="53"/>
        <v>496</v>
      </c>
      <c r="Y50" s="348">
        <f t="shared" si="53"/>
        <v>498</v>
      </c>
      <c r="Z50" s="348">
        <f t="shared" si="53"/>
        <v>498</v>
      </c>
      <c r="AA50" s="348">
        <f t="shared" si="53"/>
        <v>498</v>
      </c>
      <c r="AB50" s="348">
        <f t="shared" si="53"/>
        <v>498</v>
      </c>
      <c r="AC50" s="348">
        <f t="shared" si="53"/>
        <v>498</v>
      </c>
      <c r="AD50" s="348">
        <f t="shared" si="53"/>
        <v>498</v>
      </c>
      <c r="AE50" s="348">
        <f t="shared" si="53"/>
        <v>498</v>
      </c>
      <c r="AF50" s="348">
        <f t="shared" si="53"/>
        <v>498</v>
      </c>
      <c r="AG50" s="348">
        <f t="shared" si="53"/>
        <v>498</v>
      </c>
      <c r="AH50" s="348">
        <f t="shared" si="53"/>
        <v>498</v>
      </c>
      <c r="AI50" s="348">
        <f t="shared" si="53"/>
        <v>498</v>
      </c>
      <c r="AJ50" s="348">
        <f t="shared" si="53"/>
        <v>498</v>
      </c>
      <c r="AK50" s="348">
        <f t="shared" si="53"/>
        <v>498</v>
      </c>
      <c r="AL50" s="348">
        <f t="shared" si="53"/>
        <v>498</v>
      </c>
      <c r="AM50" s="348">
        <f t="shared" si="53"/>
        <v>498</v>
      </c>
      <c r="AN50" s="348">
        <f t="shared" si="53"/>
        <v>498</v>
      </c>
      <c r="AO50" s="348">
        <f t="shared" si="53"/>
        <v>498</v>
      </c>
      <c r="AP50" s="348">
        <f t="shared" si="53"/>
        <v>498</v>
      </c>
      <c r="AQ50" s="348">
        <f t="shared" si="53"/>
        <v>498</v>
      </c>
      <c r="AR50" s="348">
        <f t="shared" si="53"/>
        <v>498</v>
      </c>
      <c r="AS50" s="348">
        <f t="shared" si="53"/>
        <v>498</v>
      </c>
      <c r="AT50" s="348">
        <f t="shared" si="53"/>
        <v>498</v>
      </c>
      <c r="AU50" s="348">
        <f t="shared" si="53"/>
        <v>498</v>
      </c>
      <c r="AV50" s="348">
        <f t="shared" si="53"/>
        <v>498</v>
      </c>
      <c r="AW50" s="348">
        <f t="shared" si="53"/>
        <v>498</v>
      </c>
      <c r="AX50" s="348">
        <f t="shared" si="53"/>
        <v>498</v>
      </c>
      <c r="AY50" s="345">
        <f t="shared" si="53"/>
        <v>500</v>
      </c>
      <c r="AZ50" s="381"/>
      <c r="BA50" s="381"/>
      <c r="BB50" s="381"/>
      <c r="BC50" s="381"/>
      <c r="BD50" s="381"/>
      <c r="BE50" s="381"/>
      <c r="BF50" s="381"/>
      <c r="BG50" s="381"/>
      <c r="BH50" s="381"/>
      <c r="BI50" s="381"/>
      <c r="BJ50" s="381"/>
      <c r="BK50" s="381"/>
      <c r="BL50" s="381"/>
      <c r="BM50" s="381"/>
      <c r="BN50" s="381"/>
      <c r="BO50" s="381"/>
      <c r="BP50" s="381"/>
      <c r="BQ50" s="381"/>
      <c r="BR50" s="381"/>
      <c r="BS50" s="381"/>
      <c r="BT50" s="381"/>
      <c r="BU50" s="381"/>
      <c r="BV50" s="381"/>
      <c r="BW50" s="381"/>
      <c r="BX50" s="381"/>
      <c r="BY50" s="381"/>
      <c r="BZ50" s="381"/>
      <c r="CA50" s="381"/>
      <c r="CB50" s="381"/>
      <c r="CC50" s="381"/>
      <c r="CD50" s="381"/>
      <c r="CE50" s="381"/>
      <c r="CF50" s="381"/>
      <c r="CG50" s="381"/>
      <c r="CH50" s="381"/>
      <c r="CI50" s="381"/>
      <c r="CJ50" s="381"/>
      <c r="CK50" s="381"/>
      <c r="CL50" s="381"/>
      <c r="CM50" s="381"/>
      <c r="CN50" s="381"/>
      <c r="CO50" s="381"/>
      <c r="CP50" s="381"/>
      <c r="CQ50" s="381"/>
      <c r="CR50" s="381"/>
      <c r="CS50" s="381"/>
      <c r="CT50" s="381"/>
      <c r="CU50" s="381"/>
      <c r="CV50" s="381"/>
      <c r="CW50" s="381"/>
      <c r="CX50" s="381"/>
      <c r="CY50" s="381"/>
      <c r="CZ50" s="381"/>
      <c r="DA50" s="381"/>
      <c r="DB50" s="381"/>
      <c r="DC50" s="381"/>
      <c r="DD50" s="381"/>
      <c r="DE50" s="381"/>
      <c r="DF50" s="381"/>
      <c r="DG50" s="381"/>
      <c r="DH50" s="381"/>
    </row>
    <row r="51" spans="1:112" s="2" customFormat="1" ht="12.95" customHeight="1" thickTop="1">
      <c r="A51" s="379"/>
      <c r="B51" s="350">
        <v>43</v>
      </c>
      <c r="C51" s="351">
        <v>231</v>
      </c>
      <c r="D51" s="368">
        <f>(200-ROUNDDOWN(($B$51+10)/(D8+5),0)+50)*2</f>
        <v>484</v>
      </c>
      <c r="E51" s="365">
        <f>(200-ROUNDDOWN(($B$51+10)/(E8+5),0)+50)*2</f>
        <v>486</v>
      </c>
      <c r="F51" s="362">
        <f>(200-ROUNDDOWN(($B$51+10)/(F8+5),0)+50)*2</f>
        <v>488</v>
      </c>
      <c r="G51" s="359">
        <f t="shared" ref="G51:AY51" si="54">(200-ROUNDDOWN(($B$51+10)/(G8+5),0)+50)*2</f>
        <v>490</v>
      </c>
      <c r="H51" s="359">
        <f t="shared" si="54"/>
        <v>490</v>
      </c>
      <c r="I51" s="355">
        <f t="shared" si="54"/>
        <v>492</v>
      </c>
      <c r="J51" s="355">
        <f t="shared" si="54"/>
        <v>492</v>
      </c>
      <c r="K51" s="355">
        <f t="shared" si="54"/>
        <v>492</v>
      </c>
      <c r="L51" s="3">
        <f t="shared" si="54"/>
        <v>494</v>
      </c>
      <c r="M51" s="3">
        <f t="shared" si="54"/>
        <v>494</v>
      </c>
      <c r="N51" s="3">
        <f t="shared" si="54"/>
        <v>494</v>
      </c>
      <c r="O51" s="3">
        <f t="shared" si="54"/>
        <v>494</v>
      </c>
      <c r="P51" s="352">
        <f t="shared" si="54"/>
        <v>496</v>
      </c>
      <c r="Q51" s="352">
        <f t="shared" si="54"/>
        <v>496</v>
      </c>
      <c r="R51" s="352">
        <f t="shared" si="54"/>
        <v>496</v>
      </c>
      <c r="S51" s="352">
        <f t="shared" si="54"/>
        <v>496</v>
      </c>
      <c r="T51" s="352">
        <f t="shared" si="54"/>
        <v>496</v>
      </c>
      <c r="U51" s="352">
        <f t="shared" si="54"/>
        <v>496</v>
      </c>
      <c r="V51" s="352">
        <f t="shared" si="54"/>
        <v>496</v>
      </c>
      <c r="W51" s="352">
        <f t="shared" si="54"/>
        <v>496</v>
      </c>
      <c r="X51" s="352">
        <f t="shared" si="54"/>
        <v>496</v>
      </c>
      <c r="Y51" s="353">
        <f t="shared" si="54"/>
        <v>498</v>
      </c>
      <c r="Z51" s="353">
        <f t="shared" si="54"/>
        <v>498</v>
      </c>
      <c r="AA51" s="353">
        <f t="shared" si="54"/>
        <v>498</v>
      </c>
      <c r="AB51" s="353">
        <f t="shared" si="54"/>
        <v>498</v>
      </c>
      <c r="AC51" s="353">
        <f t="shared" si="54"/>
        <v>498</v>
      </c>
      <c r="AD51" s="353">
        <f t="shared" si="54"/>
        <v>498</v>
      </c>
      <c r="AE51" s="353">
        <f t="shared" si="54"/>
        <v>498</v>
      </c>
      <c r="AF51" s="353">
        <f t="shared" si="54"/>
        <v>498</v>
      </c>
      <c r="AG51" s="353">
        <f t="shared" si="54"/>
        <v>498</v>
      </c>
      <c r="AH51" s="353">
        <f t="shared" si="54"/>
        <v>498</v>
      </c>
      <c r="AI51" s="353">
        <f t="shared" si="54"/>
        <v>498</v>
      </c>
      <c r="AJ51" s="353">
        <f t="shared" si="54"/>
        <v>498</v>
      </c>
      <c r="AK51" s="353">
        <f t="shared" si="54"/>
        <v>498</v>
      </c>
      <c r="AL51" s="353">
        <f t="shared" si="54"/>
        <v>498</v>
      </c>
      <c r="AM51" s="353">
        <f t="shared" si="54"/>
        <v>498</v>
      </c>
      <c r="AN51" s="353">
        <f t="shared" si="54"/>
        <v>498</v>
      </c>
      <c r="AO51" s="353">
        <f t="shared" si="54"/>
        <v>498</v>
      </c>
      <c r="AP51" s="353">
        <f t="shared" si="54"/>
        <v>498</v>
      </c>
      <c r="AQ51" s="353">
        <f t="shared" si="54"/>
        <v>498</v>
      </c>
      <c r="AR51" s="353">
        <f t="shared" si="54"/>
        <v>498</v>
      </c>
      <c r="AS51" s="353">
        <f t="shared" si="54"/>
        <v>498</v>
      </c>
      <c r="AT51" s="353">
        <f t="shared" si="54"/>
        <v>498</v>
      </c>
      <c r="AU51" s="353">
        <f t="shared" si="54"/>
        <v>498</v>
      </c>
      <c r="AV51" s="353">
        <f t="shared" si="54"/>
        <v>498</v>
      </c>
      <c r="AW51" s="353">
        <f t="shared" si="54"/>
        <v>498</v>
      </c>
      <c r="AX51" s="353">
        <f t="shared" si="54"/>
        <v>498</v>
      </c>
      <c r="AY51" s="353">
        <f t="shared" si="54"/>
        <v>498</v>
      </c>
      <c r="AZ51" s="381"/>
      <c r="BA51" s="381"/>
      <c r="BB51" s="381"/>
      <c r="BC51" s="381"/>
      <c r="BD51" s="381"/>
      <c r="BE51" s="381"/>
      <c r="BF51" s="381"/>
      <c r="BG51" s="381"/>
      <c r="BH51" s="381"/>
      <c r="BI51" s="381"/>
      <c r="BJ51" s="381"/>
      <c r="BK51" s="381"/>
      <c r="BL51" s="381"/>
      <c r="BM51" s="381"/>
      <c r="BN51" s="381"/>
      <c r="BO51" s="381"/>
      <c r="BP51" s="381"/>
      <c r="BQ51" s="381"/>
      <c r="BR51" s="381"/>
      <c r="BS51" s="381"/>
      <c r="BT51" s="381"/>
      <c r="BU51" s="381"/>
      <c r="BV51" s="381"/>
      <c r="BW51" s="381"/>
      <c r="BX51" s="381"/>
      <c r="BY51" s="381"/>
      <c r="BZ51" s="381"/>
      <c r="CA51" s="381"/>
      <c r="CB51" s="381"/>
      <c r="CC51" s="381"/>
      <c r="CD51" s="381"/>
      <c r="CE51" s="381"/>
      <c r="CF51" s="381"/>
      <c r="CG51" s="381"/>
      <c r="CH51" s="381"/>
      <c r="CI51" s="381"/>
      <c r="CJ51" s="381"/>
      <c r="CK51" s="381"/>
      <c r="CL51" s="381"/>
      <c r="CM51" s="381"/>
      <c r="CN51" s="381"/>
      <c r="CO51" s="381"/>
      <c r="CP51" s="381"/>
      <c r="CQ51" s="381"/>
      <c r="CR51" s="381"/>
      <c r="CS51" s="381"/>
      <c r="CT51" s="381"/>
      <c r="CU51" s="381"/>
      <c r="CV51" s="381"/>
      <c r="CW51" s="381"/>
      <c r="CX51" s="381"/>
      <c r="CY51" s="381"/>
      <c r="CZ51" s="381"/>
      <c r="DA51" s="381"/>
      <c r="DB51" s="381"/>
      <c r="DC51" s="381"/>
      <c r="DD51" s="381"/>
      <c r="DE51" s="381"/>
      <c r="DF51" s="381"/>
      <c r="DG51" s="381"/>
      <c r="DH51" s="381"/>
    </row>
    <row r="52" spans="1:112" s="2" customFormat="1" ht="12.95" customHeight="1">
      <c r="A52" s="379"/>
      <c r="B52" s="338">
        <v>44</v>
      </c>
      <c r="C52" s="339">
        <v>232</v>
      </c>
      <c r="D52" s="369">
        <f>(200-ROUNDDOWN(($B$52+10)/(D8+5),0)+50)*2</f>
        <v>482</v>
      </c>
      <c r="E52" s="365">
        <f>(200-ROUNDDOWN(($B$52+10)/(E8+5),0)+50)*2</f>
        <v>486</v>
      </c>
      <c r="F52" s="362">
        <f>(200-ROUNDDOWN(($B$52+10)/(F8+5),0)+50)*2</f>
        <v>488</v>
      </c>
      <c r="G52" s="362">
        <f t="shared" ref="G52:AY52" si="55">(200-ROUNDDOWN(($B$52+10)/(G8+5),0)+50)*2</f>
        <v>488</v>
      </c>
      <c r="H52" s="359">
        <f t="shared" si="55"/>
        <v>490</v>
      </c>
      <c r="I52" s="355">
        <f t="shared" si="55"/>
        <v>492</v>
      </c>
      <c r="J52" s="355">
        <f t="shared" si="55"/>
        <v>492</v>
      </c>
      <c r="K52" s="355">
        <f t="shared" si="55"/>
        <v>492</v>
      </c>
      <c r="L52" s="3">
        <f t="shared" si="55"/>
        <v>494</v>
      </c>
      <c r="M52" s="3">
        <f t="shared" si="55"/>
        <v>494</v>
      </c>
      <c r="N52" s="3">
        <f t="shared" si="55"/>
        <v>494</v>
      </c>
      <c r="O52" s="3">
        <f t="shared" si="55"/>
        <v>494</v>
      </c>
      <c r="P52" s="3">
        <f t="shared" si="55"/>
        <v>494</v>
      </c>
      <c r="Q52" s="352">
        <f t="shared" si="55"/>
        <v>496</v>
      </c>
      <c r="R52" s="352">
        <f t="shared" si="55"/>
        <v>496</v>
      </c>
      <c r="S52" s="352">
        <f t="shared" si="55"/>
        <v>496</v>
      </c>
      <c r="T52" s="352">
        <f t="shared" si="55"/>
        <v>496</v>
      </c>
      <c r="U52" s="352">
        <f t="shared" si="55"/>
        <v>496</v>
      </c>
      <c r="V52" s="352">
        <f t="shared" si="55"/>
        <v>496</v>
      </c>
      <c r="W52" s="352">
        <f t="shared" si="55"/>
        <v>496</v>
      </c>
      <c r="X52" s="352">
        <f t="shared" si="55"/>
        <v>496</v>
      </c>
      <c r="Y52" s="352">
        <f t="shared" si="55"/>
        <v>496</v>
      </c>
      <c r="Z52" s="353">
        <f t="shared" si="55"/>
        <v>498</v>
      </c>
      <c r="AA52" s="353">
        <f t="shared" si="55"/>
        <v>498</v>
      </c>
      <c r="AB52" s="353">
        <f t="shared" si="55"/>
        <v>498</v>
      </c>
      <c r="AC52" s="353">
        <f t="shared" si="55"/>
        <v>498</v>
      </c>
      <c r="AD52" s="353">
        <f t="shared" si="55"/>
        <v>498</v>
      </c>
      <c r="AE52" s="353">
        <f t="shared" si="55"/>
        <v>498</v>
      </c>
      <c r="AF52" s="353">
        <f t="shared" si="55"/>
        <v>498</v>
      </c>
      <c r="AG52" s="353">
        <f t="shared" si="55"/>
        <v>498</v>
      </c>
      <c r="AH52" s="353">
        <f t="shared" si="55"/>
        <v>498</v>
      </c>
      <c r="AI52" s="353">
        <f t="shared" si="55"/>
        <v>498</v>
      </c>
      <c r="AJ52" s="353">
        <f t="shared" si="55"/>
        <v>498</v>
      </c>
      <c r="AK52" s="353">
        <f t="shared" si="55"/>
        <v>498</v>
      </c>
      <c r="AL52" s="353">
        <f t="shared" si="55"/>
        <v>498</v>
      </c>
      <c r="AM52" s="353">
        <f t="shared" si="55"/>
        <v>498</v>
      </c>
      <c r="AN52" s="353">
        <f t="shared" si="55"/>
        <v>498</v>
      </c>
      <c r="AO52" s="353">
        <f t="shared" si="55"/>
        <v>498</v>
      </c>
      <c r="AP52" s="353">
        <f t="shared" si="55"/>
        <v>498</v>
      </c>
      <c r="AQ52" s="353">
        <f t="shared" si="55"/>
        <v>498</v>
      </c>
      <c r="AR52" s="353">
        <f t="shared" si="55"/>
        <v>498</v>
      </c>
      <c r="AS52" s="353">
        <f t="shared" si="55"/>
        <v>498</v>
      </c>
      <c r="AT52" s="353">
        <f t="shared" si="55"/>
        <v>498</v>
      </c>
      <c r="AU52" s="353">
        <f t="shared" si="55"/>
        <v>498</v>
      </c>
      <c r="AV52" s="353">
        <f t="shared" si="55"/>
        <v>498</v>
      </c>
      <c r="AW52" s="353">
        <f t="shared" si="55"/>
        <v>498</v>
      </c>
      <c r="AX52" s="353">
        <f t="shared" si="55"/>
        <v>498</v>
      </c>
      <c r="AY52" s="353">
        <f t="shared" si="55"/>
        <v>498</v>
      </c>
      <c r="AZ52" s="381"/>
      <c r="BA52" s="381"/>
      <c r="BB52" s="381"/>
      <c r="BC52" s="381"/>
      <c r="BD52" s="381"/>
      <c r="BE52" s="381"/>
      <c r="BF52" s="381"/>
      <c r="BG52" s="381"/>
      <c r="BH52" s="381"/>
      <c r="BI52" s="381"/>
      <c r="BJ52" s="381"/>
      <c r="BK52" s="381"/>
      <c r="BL52" s="381"/>
      <c r="BM52" s="381"/>
      <c r="BN52" s="381"/>
      <c r="BO52" s="381"/>
      <c r="BP52" s="381"/>
      <c r="BQ52" s="381"/>
      <c r="BR52" s="381"/>
      <c r="BS52" s="381"/>
      <c r="BT52" s="381"/>
      <c r="BU52" s="381"/>
      <c r="BV52" s="381"/>
      <c r="BW52" s="381"/>
      <c r="BX52" s="381"/>
      <c r="BY52" s="381"/>
      <c r="BZ52" s="381"/>
      <c r="CA52" s="381"/>
      <c r="CB52" s="381"/>
      <c r="CC52" s="381"/>
      <c r="CD52" s="381"/>
      <c r="CE52" s="381"/>
      <c r="CF52" s="381"/>
      <c r="CG52" s="381"/>
      <c r="CH52" s="381"/>
      <c r="CI52" s="381"/>
      <c r="CJ52" s="381"/>
      <c r="CK52" s="381"/>
      <c r="CL52" s="381"/>
      <c r="CM52" s="381"/>
      <c r="CN52" s="381"/>
      <c r="CO52" s="381"/>
      <c r="CP52" s="381"/>
      <c r="CQ52" s="381"/>
      <c r="CR52" s="381"/>
      <c r="CS52" s="381"/>
      <c r="CT52" s="381"/>
      <c r="CU52" s="381"/>
      <c r="CV52" s="381"/>
      <c r="CW52" s="381"/>
      <c r="CX52" s="381"/>
      <c r="CY52" s="381"/>
      <c r="CZ52" s="381"/>
      <c r="DA52" s="381"/>
      <c r="DB52" s="381"/>
      <c r="DC52" s="381"/>
      <c r="DD52" s="381"/>
      <c r="DE52" s="381"/>
      <c r="DF52" s="381"/>
      <c r="DG52" s="381"/>
      <c r="DH52" s="381"/>
    </row>
    <row r="53" spans="1:112" s="2" customFormat="1" ht="12.95" customHeight="1">
      <c r="A53" s="379"/>
      <c r="B53" s="338">
        <v>45</v>
      </c>
      <c r="C53" s="339">
        <v>233</v>
      </c>
      <c r="D53" s="369">
        <f>(200-ROUNDDOWN(($B$53+10)/(D8+5),0)+50)*2</f>
        <v>482</v>
      </c>
      <c r="E53" s="365">
        <f>(200-ROUNDDOWN(($B$53+10)/(E8+5),0)+50)*2</f>
        <v>486</v>
      </c>
      <c r="F53" s="362">
        <f>(200-ROUNDDOWN(($B$53+10)/(F8+5),0)+50)*2</f>
        <v>488</v>
      </c>
      <c r="G53" s="362">
        <f t="shared" ref="G53:AY53" si="56">(200-ROUNDDOWN(($B$53+10)/(G8+5),0)+50)*2</f>
        <v>488</v>
      </c>
      <c r="H53" s="359">
        <f t="shared" si="56"/>
        <v>490</v>
      </c>
      <c r="I53" s="359">
        <f t="shared" si="56"/>
        <v>490</v>
      </c>
      <c r="J53" s="355">
        <f t="shared" si="56"/>
        <v>492</v>
      </c>
      <c r="K53" s="355">
        <f t="shared" si="56"/>
        <v>492</v>
      </c>
      <c r="L53" s="3">
        <f t="shared" si="56"/>
        <v>494</v>
      </c>
      <c r="M53" s="3">
        <f t="shared" si="56"/>
        <v>494</v>
      </c>
      <c r="N53" s="3">
        <f t="shared" si="56"/>
        <v>494</v>
      </c>
      <c r="O53" s="3">
        <f t="shared" si="56"/>
        <v>494</v>
      </c>
      <c r="P53" s="3">
        <f t="shared" si="56"/>
        <v>494</v>
      </c>
      <c r="Q53" s="352">
        <f t="shared" si="56"/>
        <v>496</v>
      </c>
      <c r="R53" s="352">
        <f t="shared" si="56"/>
        <v>496</v>
      </c>
      <c r="S53" s="352">
        <f t="shared" si="56"/>
        <v>496</v>
      </c>
      <c r="T53" s="352">
        <f t="shared" si="56"/>
        <v>496</v>
      </c>
      <c r="U53" s="352">
        <f t="shared" si="56"/>
        <v>496</v>
      </c>
      <c r="V53" s="352">
        <f t="shared" si="56"/>
        <v>496</v>
      </c>
      <c r="W53" s="352">
        <f t="shared" si="56"/>
        <v>496</v>
      </c>
      <c r="X53" s="352">
        <f t="shared" si="56"/>
        <v>496</v>
      </c>
      <c r="Y53" s="352">
        <f t="shared" si="56"/>
        <v>496</v>
      </c>
      <c r="Z53" s="353">
        <f t="shared" si="56"/>
        <v>498</v>
      </c>
      <c r="AA53" s="353">
        <f t="shared" si="56"/>
        <v>498</v>
      </c>
      <c r="AB53" s="353">
        <f t="shared" si="56"/>
        <v>498</v>
      </c>
      <c r="AC53" s="353">
        <f t="shared" si="56"/>
        <v>498</v>
      </c>
      <c r="AD53" s="353">
        <f t="shared" si="56"/>
        <v>498</v>
      </c>
      <c r="AE53" s="353">
        <f t="shared" si="56"/>
        <v>498</v>
      </c>
      <c r="AF53" s="353">
        <f t="shared" si="56"/>
        <v>498</v>
      </c>
      <c r="AG53" s="353">
        <f t="shared" si="56"/>
        <v>498</v>
      </c>
      <c r="AH53" s="353">
        <f t="shared" si="56"/>
        <v>498</v>
      </c>
      <c r="AI53" s="353">
        <f t="shared" si="56"/>
        <v>498</v>
      </c>
      <c r="AJ53" s="353">
        <f t="shared" si="56"/>
        <v>498</v>
      </c>
      <c r="AK53" s="353">
        <f t="shared" si="56"/>
        <v>498</v>
      </c>
      <c r="AL53" s="353">
        <f t="shared" si="56"/>
        <v>498</v>
      </c>
      <c r="AM53" s="353">
        <f t="shared" si="56"/>
        <v>498</v>
      </c>
      <c r="AN53" s="353">
        <f t="shared" si="56"/>
        <v>498</v>
      </c>
      <c r="AO53" s="353">
        <f t="shared" si="56"/>
        <v>498</v>
      </c>
      <c r="AP53" s="353">
        <f t="shared" si="56"/>
        <v>498</v>
      </c>
      <c r="AQ53" s="353">
        <f t="shared" si="56"/>
        <v>498</v>
      </c>
      <c r="AR53" s="353">
        <f t="shared" si="56"/>
        <v>498</v>
      </c>
      <c r="AS53" s="353">
        <f t="shared" si="56"/>
        <v>498</v>
      </c>
      <c r="AT53" s="353">
        <f t="shared" si="56"/>
        <v>498</v>
      </c>
      <c r="AU53" s="353">
        <f t="shared" si="56"/>
        <v>498</v>
      </c>
      <c r="AV53" s="353">
        <f t="shared" si="56"/>
        <v>498</v>
      </c>
      <c r="AW53" s="353">
        <f t="shared" si="56"/>
        <v>498</v>
      </c>
      <c r="AX53" s="353">
        <f t="shared" si="56"/>
        <v>498</v>
      </c>
      <c r="AY53" s="353">
        <f t="shared" si="56"/>
        <v>498</v>
      </c>
      <c r="AZ53" s="381"/>
      <c r="BA53" s="381"/>
      <c r="BB53" s="381"/>
      <c r="BC53" s="381"/>
      <c r="BD53" s="381"/>
      <c r="BE53" s="381"/>
      <c r="BF53" s="381"/>
      <c r="BG53" s="381"/>
      <c r="BH53" s="381"/>
      <c r="BI53" s="381"/>
      <c r="BJ53" s="381"/>
      <c r="BK53" s="381"/>
      <c r="BL53" s="381"/>
      <c r="BM53" s="381"/>
      <c r="BN53" s="381"/>
      <c r="BO53" s="381"/>
      <c r="BP53" s="381"/>
      <c r="BQ53" s="381"/>
      <c r="BR53" s="381"/>
      <c r="BS53" s="381"/>
      <c r="BT53" s="381"/>
      <c r="BU53" s="381"/>
      <c r="BV53" s="381"/>
      <c r="BW53" s="381"/>
      <c r="BX53" s="381"/>
      <c r="BY53" s="381"/>
      <c r="BZ53" s="381"/>
      <c r="CA53" s="381"/>
      <c r="CB53" s="381"/>
      <c r="CC53" s="381"/>
      <c r="CD53" s="381"/>
      <c r="CE53" s="381"/>
      <c r="CF53" s="381"/>
      <c r="CG53" s="381"/>
      <c r="CH53" s="381"/>
      <c r="CI53" s="381"/>
      <c r="CJ53" s="381"/>
      <c r="CK53" s="381"/>
      <c r="CL53" s="381"/>
      <c r="CM53" s="381"/>
      <c r="CN53" s="381"/>
      <c r="CO53" s="381"/>
      <c r="CP53" s="381"/>
      <c r="CQ53" s="381"/>
      <c r="CR53" s="381"/>
      <c r="CS53" s="381"/>
      <c r="CT53" s="381"/>
      <c r="CU53" s="381"/>
      <c r="CV53" s="381"/>
      <c r="CW53" s="381"/>
      <c r="CX53" s="381"/>
      <c r="CY53" s="381"/>
      <c r="CZ53" s="381"/>
      <c r="DA53" s="381"/>
      <c r="DB53" s="381"/>
      <c r="DC53" s="381"/>
      <c r="DD53" s="381"/>
      <c r="DE53" s="381"/>
      <c r="DF53" s="381"/>
      <c r="DG53" s="381"/>
      <c r="DH53" s="381"/>
    </row>
    <row r="54" spans="1:112" s="2" customFormat="1" ht="12.95" customHeight="1">
      <c r="A54" s="379"/>
      <c r="B54" s="338">
        <v>46</v>
      </c>
      <c r="C54" s="339">
        <v>234</v>
      </c>
      <c r="D54" s="369">
        <f>(200-ROUNDDOWN(($B$54+10)/(D8+5),0)+50)*2</f>
        <v>482</v>
      </c>
      <c r="E54" s="368">
        <f>(200-ROUNDDOWN(($B$54+10)/(E8+5),0)+50)*2</f>
        <v>484</v>
      </c>
      <c r="F54" s="365">
        <f>(200-ROUNDDOWN(($B$54+10)/(F8+5),0)+50)*2</f>
        <v>486</v>
      </c>
      <c r="G54" s="362">
        <f t="shared" ref="G54:AY54" si="57">(200-ROUNDDOWN(($B$54+10)/(G8+5),0)+50)*2</f>
        <v>488</v>
      </c>
      <c r="H54" s="359">
        <f t="shared" si="57"/>
        <v>490</v>
      </c>
      <c r="I54" s="359">
        <f t="shared" si="57"/>
        <v>490</v>
      </c>
      <c r="J54" s="355">
        <f t="shared" si="57"/>
        <v>492</v>
      </c>
      <c r="K54" s="355">
        <f t="shared" si="57"/>
        <v>492</v>
      </c>
      <c r="L54" s="355">
        <f t="shared" si="57"/>
        <v>492</v>
      </c>
      <c r="M54" s="3">
        <f t="shared" si="57"/>
        <v>494</v>
      </c>
      <c r="N54" s="3">
        <f t="shared" si="57"/>
        <v>494</v>
      </c>
      <c r="O54" s="3">
        <f t="shared" si="57"/>
        <v>494</v>
      </c>
      <c r="P54" s="3">
        <f t="shared" si="57"/>
        <v>494</v>
      </c>
      <c r="Q54" s="352">
        <f t="shared" si="57"/>
        <v>496</v>
      </c>
      <c r="R54" s="352">
        <f t="shared" si="57"/>
        <v>496</v>
      </c>
      <c r="S54" s="352">
        <f t="shared" si="57"/>
        <v>496</v>
      </c>
      <c r="T54" s="352">
        <f t="shared" si="57"/>
        <v>496</v>
      </c>
      <c r="U54" s="352">
        <f t="shared" si="57"/>
        <v>496</v>
      </c>
      <c r="V54" s="352">
        <f t="shared" si="57"/>
        <v>496</v>
      </c>
      <c r="W54" s="352">
        <f t="shared" si="57"/>
        <v>496</v>
      </c>
      <c r="X54" s="352">
        <f t="shared" si="57"/>
        <v>496</v>
      </c>
      <c r="Y54" s="352">
        <f t="shared" si="57"/>
        <v>496</v>
      </c>
      <c r="Z54" s="352">
        <f t="shared" si="57"/>
        <v>496</v>
      </c>
      <c r="AA54" s="353">
        <f t="shared" si="57"/>
        <v>498</v>
      </c>
      <c r="AB54" s="353">
        <f t="shared" si="57"/>
        <v>498</v>
      </c>
      <c r="AC54" s="353">
        <f t="shared" si="57"/>
        <v>498</v>
      </c>
      <c r="AD54" s="353">
        <f t="shared" si="57"/>
        <v>498</v>
      </c>
      <c r="AE54" s="353">
        <f t="shared" si="57"/>
        <v>498</v>
      </c>
      <c r="AF54" s="353">
        <f t="shared" si="57"/>
        <v>498</v>
      </c>
      <c r="AG54" s="353">
        <f t="shared" si="57"/>
        <v>498</v>
      </c>
      <c r="AH54" s="353">
        <f t="shared" si="57"/>
        <v>498</v>
      </c>
      <c r="AI54" s="353">
        <f t="shared" si="57"/>
        <v>498</v>
      </c>
      <c r="AJ54" s="353">
        <f t="shared" si="57"/>
        <v>498</v>
      </c>
      <c r="AK54" s="353">
        <f t="shared" si="57"/>
        <v>498</v>
      </c>
      <c r="AL54" s="353">
        <f t="shared" si="57"/>
        <v>498</v>
      </c>
      <c r="AM54" s="353">
        <f t="shared" si="57"/>
        <v>498</v>
      </c>
      <c r="AN54" s="353">
        <f t="shared" si="57"/>
        <v>498</v>
      </c>
      <c r="AO54" s="353">
        <f t="shared" si="57"/>
        <v>498</v>
      </c>
      <c r="AP54" s="353">
        <f t="shared" si="57"/>
        <v>498</v>
      </c>
      <c r="AQ54" s="353">
        <f t="shared" si="57"/>
        <v>498</v>
      </c>
      <c r="AR54" s="353">
        <f t="shared" si="57"/>
        <v>498</v>
      </c>
      <c r="AS54" s="353">
        <f t="shared" si="57"/>
        <v>498</v>
      </c>
      <c r="AT54" s="353">
        <f t="shared" si="57"/>
        <v>498</v>
      </c>
      <c r="AU54" s="353">
        <f t="shared" si="57"/>
        <v>498</v>
      </c>
      <c r="AV54" s="353">
        <f t="shared" si="57"/>
        <v>498</v>
      </c>
      <c r="AW54" s="353">
        <f t="shared" si="57"/>
        <v>498</v>
      </c>
      <c r="AX54" s="353">
        <f t="shared" si="57"/>
        <v>498</v>
      </c>
      <c r="AY54" s="353">
        <f t="shared" si="57"/>
        <v>498</v>
      </c>
      <c r="AZ54" s="381"/>
      <c r="BA54" s="381"/>
      <c r="BB54" s="381"/>
      <c r="BC54" s="381"/>
      <c r="BD54" s="381"/>
      <c r="BE54" s="381"/>
      <c r="BF54" s="381"/>
      <c r="BG54" s="381"/>
      <c r="BH54" s="381"/>
      <c r="BI54" s="381"/>
      <c r="BJ54" s="381"/>
      <c r="BK54" s="381"/>
      <c r="BL54" s="381"/>
      <c r="BM54" s="381"/>
      <c r="BN54" s="381"/>
      <c r="BO54" s="381"/>
      <c r="BP54" s="381"/>
      <c r="BQ54" s="381"/>
      <c r="BR54" s="381"/>
      <c r="BS54" s="381"/>
      <c r="BT54" s="381"/>
      <c r="BU54" s="381"/>
      <c r="BV54" s="381"/>
      <c r="BW54" s="381"/>
      <c r="BX54" s="381"/>
      <c r="BY54" s="381"/>
      <c r="BZ54" s="381"/>
      <c r="CA54" s="381"/>
      <c r="CB54" s="381"/>
      <c r="CC54" s="381"/>
      <c r="CD54" s="381"/>
      <c r="CE54" s="381"/>
      <c r="CF54" s="381"/>
      <c r="CG54" s="381"/>
      <c r="CH54" s="381"/>
      <c r="CI54" s="381"/>
      <c r="CJ54" s="381"/>
      <c r="CK54" s="381"/>
      <c r="CL54" s="381"/>
      <c r="CM54" s="381"/>
      <c r="CN54" s="381"/>
      <c r="CO54" s="381"/>
      <c r="CP54" s="381"/>
      <c r="CQ54" s="381"/>
      <c r="CR54" s="381"/>
      <c r="CS54" s="381"/>
      <c r="CT54" s="381"/>
      <c r="CU54" s="381"/>
      <c r="CV54" s="381"/>
      <c r="CW54" s="381"/>
      <c r="CX54" s="381"/>
      <c r="CY54" s="381"/>
      <c r="CZ54" s="381"/>
      <c r="DA54" s="381"/>
      <c r="DB54" s="381"/>
      <c r="DC54" s="381"/>
      <c r="DD54" s="381"/>
      <c r="DE54" s="381"/>
      <c r="DF54" s="381"/>
      <c r="DG54" s="381"/>
      <c r="DH54" s="381"/>
    </row>
    <row r="55" spans="1:112" s="2" customFormat="1" ht="12.95" customHeight="1">
      <c r="A55" s="379"/>
      <c r="B55" s="338">
        <v>47</v>
      </c>
      <c r="C55" s="339">
        <v>235</v>
      </c>
      <c r="D55" s="369">
        <f>(200-ROUNDDOWN(($B$55+10)/(D8+5),0)+50)*2</f>
        <v>482</v>
      </c>
      <c r="E55" s="368">
        <f>(200-ROUNDDOWN(($B$55+10)/(E8+5),0)+50)*2</f>
        <v>484</v>
      </c>
      <c r="F55" s="365">
        <f>(200-ROUNDDOWN(($B$55+10)/(F8+5),0)+50)*2</f>
        <v>486</v>
      </c>
      <c r="G55" s="362">
        <f t="shared" ref="G55:AY55" si="58">(200-ROUNDDOWN(($B$55+10)/(G8+5),0)+50)*2</f>
        <v>488</v>
      </c>
      <c r="H55" s="359">
        <f t="shared" si="58"/>
        <v>490</v>
      </c>
      <c r="I55" s="359">
        <f t="shared" si="58"/>
        <v>490</v>
      </c>
      <c r="J55" s="355">
        <f t="shared" si="58"/>
        <v>492</v>
      </c>
      <c r="K55" s="355">
        <f t="shared" si="58"/>
        <v>492</v>
      </c>
      <c r="L55" s="355">
        <f t="shared" si="58"/>
        <v>492</v>
      </c>
      <c r="M55" s="3">
        <f t="shared" si="58"/>
        <v>494</v>
      </c>
      <c r="N55" s="3">
        <f t="shared" si="58"/>
        <v>494</v>
      </c>
      <c r="O55" s="3">
        <f t="shared" si="58"/>
        <v>494</v>
      </c>
      <c r="P55" s="3">
        <f t="shared" si="58"/>
        <v>494</v>
      </c>
      <c r="Q55" s="3">
        <f t="shared" si="58"/>
        <v>494</v>
      </c>
      <c r="R55" s="352">
        <f t="shared" si="58"/>
        <v>496</v>
      </c>
      <c r="S55" s="352">
        <f t="shared" si="58"/>
        <v>496</v>
      </c>
      <c r="T55" s="352">
        <f t="shared" si="58"/>
        <v>496</v>
      </c>
      <c r="U55" s="352">
        <f t="shared" si="58"/>
        <v>496</v>
      </c>
      <c r="V55" s="352">
        <f t="shared" si="58"/>
        <v>496</v>
      </c>
      <c r="W55" s="352">
        <f t="shared" si="58"/>
        <v>496</v>
      </c>
      <c r="X55" s="352">
        <f t="shared" si="58"/>
        <v>496</v>
      </c>
      <c r="Y55" s="352">
        <f t="shared" si="58"/>
        <v>496</v>
      </c>
      <c r="Z55" s="352">
        <f t="shared" si="58"/>
        <v>496</v>
      </c>
      <c r="AA55" s="353">
        <f t="shared" si="58"/>
        <v>498</v>
      </c>
      <c r="AB55" s="353">
        <f t="shared" si="58"/>
        <v>498</v>
      </c>
      <c r="AC55" s="353">
        <f t="shared" si="58"/>
        <v>498</v>
      </c>
      <c r="AD55" s="353">
        <f t="shared" si="58"/>
        <v>498</v>
      </c>
      <c r="AE55" s="353">
        <f t="shared" si="58"/>
        <v>498</v>
      </c>
      <c r="AF55" s="353">
        <f t="shared" si="58"/>
        <v>498</v>
      </c>
      <c r="AG55" s="353">
        <f t="shared" si="58"/>
        <v>498</v>
      </c>
      <c r="AH55" s="353">
        <f t="shared" si="58"/>
        <v>498</v>
      </c>
      <c r="AI55" s="353">
        <f t="shared" si="58"/>
        <v>498</v>
      </c>
      <c r="AJ55" s="353">
        <f t="shared" si="58"/>
        <v>498</v>
      </c>
      <c r="AK55" s="353">
        <f t="shared" si="58"/>
        <v>498</v>
      </c>
      <c r="AL55" s="353">
        <f t="shared" si="58"/>
        <v>498</v>
      </c>
      <c r="AM55" s="353">
        <f t="shared" si="58"/>
        <v>498</v>
      </c>
      <c r="AN55" s="353">
        <f t="shared" si="58"/>
        <v>498</v>
      </c>
      <c r="AO55" s="353">
        <f t="shared" si="58"/>
        <v>498</v>
      </c>
      <c r="AP55" s="353">
        <f t="shared" si="58"/>
        <v>498</v>
      </c>
      <c r="AQ55" s="353">
        <f t="shared" si="58"/>
        <v>498</v>
      </c>
      <c r="AR55" s="353">
        <f t="shared" si="58"/>
        <v>498</v>
      </c>
      <c r="AS55" s="353">
        <f t="shared" si="58"/>
        <v>498</v>
      </c>
      <c r="AT55" s="353">
        <f t="shared" si="58"/>
        <v>498</v>
      </c>
      <c r="AU55" s="353">
        <f t="shared" si="58"/>
        <v>498</v>
      </c>
      <c r="AV55" s="353">
        <f t="shared" si="58"/>
        <v>498</v>
      </c>
      <c r="AW55" s="353">
        <f t="shared" si="58"/>
        <v>498</v>
      </c>
      <c r="AX55" s="353">
        <f t="shared" si="58"/>
        <v>498</v>
      </c>
      <c r="AY55" s="353">
        <f t="shared" si="58"/>
        <v>498</v>
      </c>
      <c r="AZ55" s="381"/>
      <c r="BA55" s="381"/>
      <c r="BB55" s="381"/>
      <c r="BC55" s="381"/>
      <c r="BD55" s="381"/>
      <c r="BE55" s="381"/>
      <c r="BF55" s="381"/>
      <c r="BG55" s="381"/>
      <c r="BH55" s="381"/>
      <c r="BI55" s="381"/>
      <c r="BJ55" s="381"/>
      <c r="BK55" s="381"/>
      <c r="BL55" s="381"/>
      <c r="BM55" s="381"/>
      <c r="BN55" s="381"/>
      <c r="BO55" s="381"/>
      <c r="BP55" s="381"/>
      <c r="BQ55" s="381"/>
      <c r="BR55" s="381"/>
      <c r="BS55" s="381"/>
      <c r="BT55" s="381"/>
      <c r="BU55" s="381"/>
      <c r="BV55" s="381"/>
      <c r="BW55" s="381"/>
      <c r="BX55" s="381"/>
      <c r="BY55" s="381"/>
      <c r="BZ55" s="381"/>
      <c r="CA55" s="381"/>
      <c r="CB55" s="381"/>
      <c r="CC55" s="381"/>
      <c r="CD55" s="381"/>
      <c r="CE55" s="381"/>
      <c r="CF55" s="381"/>
      <c r="CG55" s="381"/>
      <c r="CH55" s="381"/>
      <c r="CI55" s="381"/>
      <c r="CJ55" s="381"/>
      <c r="CK55" s="381"/>
      <c r="CL55" s="381"/>
      <c r="CM55" s="381"/>
      <c r="CN55" s="381"/>
      <c r="CO55" s="381"/>
      <c r="CP55" s="381"/>
      <c r="CQ55" s="381"/>
      <c r="CR55" s="381"/>
      <c r="CS55" s="381"/>
      <c r="CT55" s="381"/>
      <c r="CU55" s="381"/>
      <c r="CV55" s="381"/>
      <c r="CW55" s="381"/>
      <c r="CX55" s="381"/>
      <c r="CY55" s="381"/>
      <c r="CZ55" s="381"/>
      <c r="DA55" s="381"/>
      <c r="DB55" s="381"/>
      <c r="DC55" s="381"/>
      <c r="DD55" s="381"/>
      <c r="DE55" s="381"/>
      <c r="DF55" s="381"/>
      <c r="DG55" s="381"/>
      <c r="DH55" s="381"/>
    </row>
    <row r="56" spans="1:112" s="2" customFormat="1" ht="12.95" customHeight="1">
      <c r="A56" s="379"/>
      <c r="B56" s="338">
        <v>48</v>
      </c>
      <c r="C56" s="339">
        <v>236</v>
      </c>
      <c r="D56" s="369">
        <f>(200-ROUNDDOWN(($B$56+10)/(D8+5),0)+50)*2</f>
        <v>482</v>
      </c>
      <c r="E56" s="368">
        <f>(200-ROUNDDOWN(($B$56+10)/(E8+5),0)+50)*2</f>
        <v>484</v>
      </c>
      <c r="F56" s="365">
        <f>(200-ROUNDDOWN(($B$56+10)/(F8+5),0)+50)*2</f>
        <v>486</v>
      </c>
      <c r="G56" s="362">
        <f t="shared" ref="G56:AY56" si="59">(200-ROUNDDOWN(($B$56+10)/(G8+5),0)+50)*2</f>
        <v>488</v>
      </c>
      <c r="H56" s="359">
        <f t="shared" si="59"/>
        <v>490</v>
      </c>
      <c r="I56" s="359">
        <f t="shared" si="59"/>
        <v>490</v>
      </c>
      <c r="J56" s="355">
        <f t="shared" si="59"/>
        <v>492</v>
      </c>
      <c r="K56" s="355">
        <f t="shared" si="59"/>
        <v>492</v>
      </c>
      <c r="L56" s="355">
        <f t="shared" si="59"/>
        <v>492</v>
      </c>
      <c r="M56" s="3">
        <f t="shared" si="59"/>
        <v>494</v>
      </c>
      <c r="N56" s="3">
        <f t="shared" si="59"/>
        <v>494</v>
      </c>
      <c r="O56" s="3">
        <f t="shared" si="59"/>
        <v>494</v>
      </c>
      <c r="P56" s="3">
        <f t="shared" si="59"/>
        <v>494</v>
      </c>
      <c r="Q56" s="3">
        <f t="shared" si="59"/>
        <v>494</v>
      </c>
      <c r="R56" s="352">
        <f t="shared" si="59"/>
        <v>496</v>
      </c>
      <c r="S56" s="352">
        <f t="shared" si="59"/>
        <v>496</v>
      </c>
      <c r="T56" s="352">
        <f t="shared" si="59"/>
        <v>496</v>
      </c>
      <c r="U56" s="352">
        <f t="shared" si="59"/>
        <v>496</v>
      </c>
      <c r="V56" s="352">
        <f t="shared" si="59"/>
        <v>496</v>
      </c>
      <c r="W56" s="352">
        <f t="shared" si="59"/>
        <v>496</v>
      </c>
      <c r="X56" s="352">
        <f t="shared" si="59"/>
        <v>496</v>
      </c>
      <c r="Y56" s="352">
        <f t="shared" si="59"/>
        <v>496</v>
      </c>
      <c r="Z56" s="352">
        <f t="shared" si="59"/>
        <v>496</v>
      </c>
      <c r="AA56" s="352">
        <f t="shared" si="59"/>
        <v>496</v>
      </c>
      <c r="AB56" s="353">
        <f t="shared" si="59"/>
        <v>498</v>
      </c>
      <c r="AC56" s="353">
        <f t="shared" si="59"/>
        <v>498</v>
      </c>
      <c r="AD56" s="353">
        <f t="shared" si="59"/>
        <v>498</v>
      </c>
      <c r="AE56" s="353">
        <f t="shared" si="59"/>
        <v>498</v>
      </c>
      <c r="AF56" s="353">
        <f t="shared" si="59"/>
        <v>498</v>
      </c>
      <c r="AG56" s="353">
        <f t="shared" si="59"/>
        <v>498</v>
      </c>
      <c r="AH56" s="353">
        <f t="shared" si="59"/>
        <v>498</v>
      </c>
      <c r="AI56" s="353">
        <f t="shared" si="59"/>
        <v>498</v>
      </c>
      <c r="AJ56" s="353">
        <f t="shared" si="59"/>
        <v>498</v>
      </c>
      <c r="AK56" s="353">
        <f t="shared" si="59"/>
        <v>498</v>
      </c>
      <c r="AL56" s="353">
        <f t="shared" si="59"/>
        <v>498</v>
      </c>
      <c r="AM56" s="353">
        <f t="shared" si="59"/>
        <v>498</v>
      </c>
      <c r="AN56" s="353">
        <f t="shared" si="59"/>
        <v>498</v>
      </c>
      <c r="AO56" s="353">
        <f t="shared" si="59"/>
        <v>498</v>
      </c>
      <c r="AP56" s="353">
        <f t="shared" si="59"/>
        <v>498</v>
      </c>
      <c r="AQ56" s="353">
        <f t="shared" si="59"/>
        <v>498</v>
      </c>
      <c r="AR56" s="353">
        <f t="shared" si="59"/>
        <v>498</v>
      </c>
      <c r="AS56" s="353">
        <f t="shared" si="59"/>
        <v>498</v>
      </c>
      <c r="AT56" s="353">
        <f t="shared" si="59"/>
        <v>498</v>
      </c>
      <c r="AU56" s="353">
        <f t="shared" si="59"/>
        <v>498</v>
      </c>
      <c r="AV56" s="353">
        <f t="shared" si="59"/>
        <v>498</v>
      </c>
      <c r="AW56" s="353">
        <f t="shared" si="59"/>
        <v>498</v>
      </c>
      <c r="AX56" s="353">
        <f t="shared" si="59"/>
        <v>498</v>
      </c>
      <c r="AY56" s="353">
        <f t="shared" si="59"/>
        <v>498</v>
      </c>
      <c r="AZ56" s="381"/>
      <c r="BA56" s="381"/>
      <c r="BB56" s="381"/>
      <c r="BC56" s="381"/>
      <c r="BD56" s="381"/>
      <c r="BE56" s="381"/>
      <c r="BF56" s="381"/>
      <c r="BG56" s="381"/>
      <c r="BH56" s="381"/>
      <c r="BI56" s="381"/>
      <c r="BJ56" s="381"/>
      <c r="BK56" s="381"/>
      <c r="BL56" s="381"/>
      <c r="BM56" s="381"/>
      <c r="BN56" s="381"/>
      <c r="BO56" s="381"/>
      <c r="BP56" s="381"/>
      <c r="BQ56" s="381"/>
      <c r="BR56" s="381"/>
      <c r="BS56" s="381"/>
      <c r="BT56" s="381"/>
      <c r="BU56" s="381"/>
      <c r="BV56" s="381"/>
      <c r="BW56" s="381"/>
      <c r="BX56" s="381"/>
      <c r="BY56" s="381"/>
      <c r="BZ56" s="381"/>
      <c r="CA56" s="381"/>
      <c r="CB56" s="381"/>
      <c r="CC56" s="381"/>
      <c r="CD56" s="381"/>
      <c r="CE56" s="381"/>
      <c r="CF56" s="381"/>
      <c r="CG56" s="381"/>
      <c r="CH56" s="381"/>
      <c r="CI56" s="381"/>
      <c r="CJ56" s="381"/>
      <c r="CK56" s="381"/>
      <c r="CL56" s="381"/>
      <c r="CM56" s="381"/>
      <c r="CN56" s="381"/>
      <c r="CO56" s="381"/>
      <c r="CP56" s="381"/>
      <c r="CQ56" s="381"/>
      <c r="CR56" s="381"/>
      <c r="CS56" s="381"/>
      <c r="CT56" s="381"/>
      <c r="CU56" s="381"/>
      <c r="CV56" s="381"/>
      <c r="CW56" s="381"/>
      <c r="CX56" s="381"/>
      <c r="CY56" s="381"/>
      <c r="CZ56" s="381"/>
      <c r="DA56" s="381"/>
      <c r="DB56" s="381"/>
      <c r="DC56" s="381"/>
      <c r="DD56" s="381"/>
      <c r="DE56" s="381"/>
      <c r="DF56" s="381"/>
      <c r="DG56" s="381"/>
      <c r="DH56" s="381"/>
    </row>
    <row r="57" spans="1:112" s="2" customFormat="1" ht="12.95" customHeight="1" thickBot="1">
      <c r="A57" s="379"/>
      <c r="B57" s="345">
        <v>49</v>
      </c>
      <c r="C57" s="346">
        <v>237</v>
      </c>
      <c r="D57" s="370">
        <f>(200-ROUNDDOWN(($B$57+10)/(D8+5),0)+50)*2</f>
        <v>482</v>
      </c>
      <c r="E57" s="367">
        <f>(200-ROUNDDOWN(($B$57+10)/(E8+5),0)+50)*2</f>
        <v>484</v>
      </c>
      <c r="F57" s="364">
        <f>(200-ROUNDDOWN(($B$57+10)/(F8+5),0)+50)*2</f>
        <v>486</v>
      </c>
      <c r="G57" s="361">
        <f t="shared" ref="G57:AY57" si="60">(200-ROUNDDOWN(($B$57+10)/(G8+5),0)+50)*2</f>
        <v>488</v>
      </c>
      <c r="H57" s="358">
        <f t="shared" si="60"/>
        <v>490</v>
      </c>
      <c r="I57" s="358">
        <f t="shared" si="60"/>
        <v>490</v>
      </c>
      <c r="J57" s="354">
        <f t="shared" si="60"/>
        <v>492</v>
      </c>
      <c r="K57" s="354">
        <f t="shared" si="60"/>
        <v>492</v>
      </c>
      <c r="L57" s="354">
        <f t="shared" si="60"/>
        <v>492</v>
      </c>
      <c r="M57" s="349">
        <f t="shared" si="60"/>
        <v>494</v>
      </c>
      <c r="N57" s="349">
        <f t="shared" si="60"/>
        <v>494</v>
      </c>
      <c r="O57" s="349">
        <f t="shared" si="60"/>
        <v>494</v>
      </c>
      <c r="P57" s="349">
        <f t="shared" si="60"/>
        <v>494</v>
      </c>
      <c r="Q57" s="349">
        <f t="shared" si="60"/>
        <v>494</v>
      </c>
      <c r="R57" s="347">
        <f t="shared" si="60"/>
        <v>496</v>
      </c>
      <c r="S57" s="347">
        <f t="shared" si="60"/>
        <v>496</v>
      </c>
      <c r="T57" s="347">
        <f t="shared" si="60"/>
        <v>496</v>
      </c>
      <c r="U57" s="347">
        <f t="shared" si="60"/>
        <v>496</v>
      </c>
      <c r="V57" s="347">
        <f t="shared" si="60"/>
        <v>496</v>
      </c>
      <c r="W57" s="347">
        <f t="shared" si="60"/>
        <v>496</v>
      </c>
      <c r="X57" s="347">
        <f t="shared" si="60"/>
        <v>496</v>
      </c>
      <c r="Y57" s="347">
        <f t="shared" si="60"/>
        <v>496</v>
      </c>
      <c r="Z57" s="347">
        <f t="shared" si="60"/>
        <v>496</v>
      </c>
      <c r="AA57" s="347">
        <f t="shared" si="60"/>
        <v>496</v>
      </c>
      <c r="AB57" s="348">
        <f t="shared" si="60"/>
        <v>498</v>
      </c>
      <c r="AC57" s="348">
        <f t="shared" si="60"/>
        <v>498</v>
      </c>
      <c r="AD57" s="348">
        <f t="shared" si="60"/>
        <v>498</v>
      </c>
      <c r="AE57" s="348">
        <f t="shared" si="60"/>
        <v>498</v>
      </c>
      <c r="AF57" s="348">
        <f t="shared" si="60"/>
        <v>498</v>
      </c>
      <c r="AG57" s="348">
        <f t="shared" si="60"/>
        <v>498</v>
      </c>
      <c r="AH57" s="348">
        <f t="shared" si="60"/>
        <v>498</v>
      </c>
      <c r="AI57" s="348">
        <f t="shared" si="60"/>
        <v>498</v>
      </c>
      <c r="AJ57" s="348">
        <f t="shared" si="60"/>
        <v>498</v>
      </c>
      <c r="AK57" s="348">
        <f t="shared" si="60"/>
        <v>498</v>
      </c>
      <c r="AL57" s="348">
        <f t="shared" si="60"/>
        <v>498</v>
      </c>
      <c r="AM57" s="348">
        <f t="shared" si="60"/>
        <v>498</v>
      </c>
      <c r="AN57" s="348">
        <f t="shared" si="60"/>
        <v>498</v>
      </c>
      <c r="AO57" s="348">
        <f t="shared" si="60"/>
        <v>498</v>
      </c>
      <c r="AP57" s="348">
        <f t="shared" si="60"/>
        <v>498</v>
      </c>
      <c r="AQ57" s="348">
        <f t="shared" si="60"/>
        <v>498</v>
      </c>
      <c r="AR57" s="348">
        <f t="shared" si="60"/>
        <v>498</v>
      </c>
      <c r="AS57" s="348">
        <f t="shared" si="60"/>
        <v>498</v>
      </c>
      <c r="AT57" s="348">
        <f t="shared" si="60"/>
        <v>498</v>
      </c>
      <c r="AU57" s="348">
        <f t="shared" si="60"/>
        <v>498</v>
      </c>
      <c r="AV57" s="348">
        <f t="shared" si="60"/>
        <v>498</v>
      </c>
      <c r="AW57" s="348">
        <f t="shared" si="60"/>
        <v>498</v>
      </c>
      <c r="AX57" s="348">
        <f t="shared" si="60"/>
        <v>498</v>
      </c>
      <c r="AY57" s="348">
        <f t="shared" si="60"/>
        <v>498</v>
      </c>
      <c r="AZ57" s="381"/>
      <c r="BA57" s="381"/>
      <c r="BB57" s="381"/>
      <c r="BC57" s="381"/>
      <c r="BD57" s="381"/>
      <c r="BE57" s="381"/>
      <c r="BF57" s="381"/>
      <c r="BG57" s="381"/>
      <c r="BH57" s="381"/>
      <c r="BI57" s="381"/>
      <c r="BJ57" s="381"/>
      <c r="BK57" s="381"/>
      <c r="BL57" s="381"/>
      <c r="BM57" s="381"/>
      <c r="BN57" s="381"/>
      <c r="BO57" s="381"/>
      <c r="BP57" s="381"/>
      <c r="BQ57" s="381"/>
      <c r="BR57" s="381"/>
      <c r="BS57" s="381"/>
      <c r="BT57" s="381"/>
      <c r="BU57" s="381"/>
      <c r="BV57" s="381"/>
      <c r="BW57" s="381"/>
      <c r="BX57" s="381"/>
      <c r="BY57" s="381"/>
      <c r="BZ57" s="381"/>
      <c r="CA57" s="381"/>
      <c r="CB57" s="381"/>
      <c r="CC57" s="381"/>
      <c r="CD57" s="381"/>
      <c r="CE57" s="381"/>
      <c r="CF57" s="381"/>
      <c r="CG57" s="381"/>
      <c r="CH57" s="381"/>
      <c r="CI57" s="381"/>
      <c r="CJ57" s="381"/>
      <c r="CK57" s="381"/>
      <c r="CL57" s="381"/>
      <c r="CM57" s="381"/>
      <c r="CN57" s="381"/>
      <c r="CO57" s="381"/>
      <c r="CP57" s="381"/>
      <c r="CQ57" s="381"/>
      <c r="CR57" s="381"/>
      <c r="CS57" s="381"/>
      <c r="CT57" s="381"/>
      <c r="CU57" s="381"/>
      <c r="CV57" s="381"/>
      <c r="CW57" s="381"/>
      <c r="CX57" s="381"/>
      <c r="CY57" s="381"/>
      <c r="CZ57" s="381"/>
      <c r="DA57" s="381"/>
      <c r="DB57" s="381"/>
      <c r="DC57" s="381"/>
      <c r="DD57" s="381"/>
      <c r="DE57" s="381"/>
      <c r="DF57" s="381"/>
      <c r="DG57" s="381"/>
      <c r="DH57" s="381"/>
    </row>
    <row r="58" spans="1:112" s="2" customFormat="1" ht="12.95" customHeight="1" thickTop="1">
      <c r="A58" s="379"/>
      <c r="B58" s="350">
        <v>50</v>
      </c>
      <c r="C58" s="351">
        <v>241</v>
      </c>
      <c r="D58" s="371">
        <f>(200-ROUNDDOWN(($B$58+10)/(D8+5),0)+50)*2</f>
        <v>480</v>
      </c>
      <c r="E58" s="368">
        <f>(200-ROUNDDOWN(($B$58+10)/(E8+5),0)+50)*2</f>
        <v>484</v>
      </c>
      <c r="F58" s="365">
        <f>(200-ROUNDDOWN(($B$58+10)/(F8+5),0)+50)*2</f>
        <v>486</v>
      </c>
      <c r="G58" s="362">
        <f t="shared" ref="G58:AY58" si="61">(200-ROUNDDOWN(($B$58+10)/(G8+5),0)+50)*2</f>
        <v>488</v>
      </c>
      <c r="H58" s="362">
        <f t="shared" si="61"/>
        <v>488</v>
      </c>
      <c r="I58" s="359">
        <f t="shared" si="61"/>
        <v>490</v>
      </c>
      <c r="J58" s="359">
        <f t="shared" si="61"/>
        <v>490</v>
      </c>
      <c r="K58" s="355">
        <f t="shared" si="61"/>
        <v>492</v>
      </c>
      <c r="L58" s="355">
        <f t="shared" si="61"/>
        <v>492</v>
      </c>
      <c r="M58" s="355">
        <f t="shared" si="61"/>
        <v>492</v>
      </c>
      <c r="N58" s="3">
        <f t="shared" si="61"/>
        <v>494</v>
      </c>
      <c r="O58" s="3">
        <f t="shared" si="61"/>
        <v>494</v>
      </c>
      <c r="P58" s="3">
        <f t="shared" si="61"/>
        <v>494</v>
      </c>
      <c r="Q58" s="3">
        <f t="shared" si="61"/>
        <v>494</v>
      </c>
      <c r="R58" s="3">
        <f t="shared" si="61"/>
        <v>494</v>
      </c>
      <c r="S58" s="352">
        <f t="shared" si="61"/>
        <v>496</v>
      </c>
      <c r="T58" s="352">
        <f t="shared" si="61"/>
        <v>496</v>
      </c>
      <c r="U58" s="352">
        <f t="shared" si="61"/>
        <v>496</v>
      </c>
      <c r="V58" s="352">
        <f t="shared" si="61"/>
        <v>496</v>
      </c>
      <c r="W58" s="352">
        <f t="shared" si="61"/>
        <v>496</v>
      </c>
      <c r="X58" s="352">
        <f t="shared" si="61"/>
        <v>496</v>
      </c>
      <c r="Y58" s="352">
        <f t="shared" si="61"/>
        <v>496</v>
      </c>
      <c r="Z58" s="352">
        <f t="shared" si="61"/>
        <v>496</v>
      </c>
      <c r="AA58" s="352">
        <f t="shared" si="61"/>
        <v>496</v>
      </c>
      <c r="AB58" s="352">
        <f t="shared" si="61"/>
        <v>496</v>
      </c>
      <c r="AC58" s="353">
        <f t="shared" si="61"/>
        <v>498</v>
      </c>
      <c r="AD58" s="353">
        <f t="shared" si="61"/>
        <v>498</v>
      </c>
      <c r="AE58" s="353">
        <f t="shared" si="61"/>
        <v>498</v>
      </c>
      <c r="AF58" s="353">
        <f t="shared" si="61"/>
        <v>498</v>
      </c>
      <c r="AG58" s="353">
        <f t="shared" si="61"/>
        <v>498</v>
      </c>
      <c r="AH58" s="353">
        <f t="shared" si="61"/>
        <v>498</v>
      </c>
      <c r="AI58" s="353">
        <f t="shared" si="61"/>
        <v>498</v>
      </c>
      <c r="AJ58" s="353">
        <f t="shared" si="61"/>
        <v>498</v>
      </c>
      <c r="AK58" s="353">
        <f t="shared" si="61"/>
        <v>498</v>
      </c>
      <c r="AL58" s="353">
        <f t="shared" si="61"/>
        <v>498</v>
      </c>
      <c r="AM58" s="353">
        <f t="shared" si="61"/>
        <v>498</v>
      </c>
      <c r="AN58" s="353">
        <f t="shared" si="61"/>
        <v>498</v>
      </c>
      <c r="AO58" s="353">
        <f t="shared" si="61"/>
        <v>498</v>
      </c>
      <c r="AP58" s="353">
        <f t="shared" si="61"/>
        <v>498</v>
      </c>
      <c r="AQ58" s="353">
        <f t="shared" si="61"/>
        <v>498</v>
      </c>
      <c r="AR58" s="353">
        <f t="shared" si="61"/>
        <v>498</v>
      </c>
      <c r="AS58" s="353">
        <f t="shared" si="61"/>
        <v>498</v>
      </c>
      <c r="AT58" s="353">
        <f t="shared" si="61"/>
        <v>498</v>
      </c>
      <c r="AU58" s="353">
        <f t="shared" si="61"/>
        <v>498</v>
      </c>
      <c r="AV58" s="353">
        <f t="shared" si="61"/>
        <v>498</v>
      </c>
      <c r="AW58" s="353">
        <f t="shared" si="61"/>
        <v>498</v>
      </c>
      <c r="AX58" s="353">
        <f t="shared" si="61"/>
        <v>498</v>
      </c>
      <c r="AY58" s="353">
        <f t="shared" si="61"/>
        <v>498</v>
      </c>
      <c r="AZ58" s="381"/>
      <c r="BA58" s="381"/>
      <c r="BB58" s="381"/>
      <c r="BC58" s="381"/>
      <c r="BD58" s="381"/>
      <c r="BE58" s="381"/>
      <c r="BF58" s="381"/>
      <c r="BG58" s="381"/>
      <c r="BH58" s="381"/>
      <c r="BI58" s="381"/>
      <c r="BJ58" s="381"/>
      <c r="BK58" s="381"/>
      <c r="BL58" s="381"/>
      <c r="BM58" s="381"/>
      <c r="BN58" s="381"/>
      <c r="BO58" s="381"/>
      <c r="BP58" s="381"/>
      <c r="BQ58" s="381"/>
      <c r="BR58" s="381"/>
      <c r="BS58" s="381"/>
      <c r="BT58" s="381"/>
      <c r="BU58" s="381"/>
      <c r="BV58" s="381"/>
      <c r="BW58" s="381"/>
      <c r="BX58" s="381"/>
      <c r="BY58" s="381"/>
      <c r="BZ58" s="381"/>
      <c r="CA58" s="381"/>
      <c r="CB58" s="381"/>
      <c r="CC58" s="381"/>
      <c r="CD58" s="381"/>
      <c r="CE58" s="381"/>
      <c r="CF58" s="381"/>
      <c r="CG58" s="381"/>
      <c r="CH58" s="381"/>
      <c r="CI58" s="381"/>
      <c r="CJ58" s="381"/>
      <c r="CK58" s="381"/>
      <c r="CL58" s="381"/>
      <c r="CM58" s="381"/>
      <c r="CN58" s="381"/>
      <c r="CO58" s="381"/>
      <c r="CP58" s="381"/>
      <c r="CQ58" s="381"/>
      <c r="CR58" s="381"/>
      <c r="CS58" s="381"/>
      <c r="CT58" s="381"/>
      <c r="CU58" s="381"/>
      <c r="CV58" s="381"/>
      <c r="CW58" s="381"/>
      <c r="CX58" s="381"/>
      <c r="CY58" s="381"/>
      <c r="CZ58" s="381"/>
      <c r="DA58" s="381"/>
      <c r="DB58" s="381"/>
      <c r="DC58" s="381"/>
      <c r="DD58" s="381"/>
      <c r="DE58" s="381"/>
      <c r="DF58" s="381"/>
      <c r="DG58" s="381"/>
      <c r="DH58" s="381"/>
    </row>
    <row r="59" spans="1:112" s="2" customFormat="1" ht="12.95" customHeight="1">
      <c r="A59" s="379"/>
      <c r="B59" s="338">
        <v>51</v>
      </c>
      <c r="C59" s="339">
        <v>242</v>
      </c>
      <c r="D59" s="372">
        <f>(200-ROUNDDOWN(($B$59+10)/(D8+5),0)+50)*2</f>
        <v>480</v>
      </c>
      <c r="E59" s="368">
        <f>(200-ROUNDDOWN(($B$59+10)/(E8+5),0)+50)*2</f>
        <v>484</v>
      </c>
      <c r="F59" s="365">
        <f>(200-ROUNDDOWN(($B$59+10)/(F8+5),0)+50)*2</f>
        <v>486</v>
      </c>
      <c r="G59" s="362">
        <f t="shared" ref="G59:AY59" si="62">(200-ROUNDDOWN(($B$59+10)/(G8+5),0)+50)*2</f>
        <v>488</v>
      </c>
      <c r="H59" s="362">
        <f t="shared" si="62"/>
        <v>488</v>
      </c>
      <c r="I59" s="359">
        <f t="shared" si="62"/>
        <v>490</v>
      </c>
      <c r="J59" s="359">
        <f t="shared" si="62"/>
        <v>490</v>
      </c>
      <c r="K59" s="355">
        <f t="shared" si="62"/>
        <v>492</v>
      </c>
      <c r="L59" s="355">
        <f t="shared" si="62"/>
        <v>492</v>
      </c>
      <c r="M59" s="355">
        <f t="shared" si="62"/>
        <v>492</v>
      </c>
      <c r="N59" s="3">
        <f t="shared" si="62"/>
        <v>494</v>
      </c>
      <c r="O59" s="3">
        <f t="shared" si="62"/>
        <v>494</v>
      </c>
      <c r="P59" s="3">
        <f t="shared" si="62"/>
        <v>494</v>
      </c>
      <c r="Q59" s="3">
        <f t="shared" si="62"/>
        <v>494</v>
      </c>
      <c r="R59" s="3">
        <f t="shared" si="62"/>
        <v>494</v>
      </c>
      <c r="S59" s="352">
        <f t="shared" si="62"/>
        <v>496</v>
      </c>
      <c r="T59" s="352">
        <f t="shared" si="62"/>
        <v>496</v>
      </c>
      <c r="U59" s="352">
        <f t="shared" si="62"/>
        <v>496</v>
      </c>
      <c r="V59" s="352">
        <f t="shared" si="62"/>
        <v>496</v>
      </c>
      <c r="W59" s="352">
        <f t="shared" si="62"/>
        <v>496</v>
      </c>
      <c r="X59" s="352">
        <f t="shared" si="62"/>
        <v>496</v>
      </c>
      <c r="Y59" s="352">
        <f t="shared" si="62"/>
        <v>496</v>
      </c>
      <c r="Z59" s="352">
        <f t="shared" si="62"/>
        <v>496</v>
      </c>
      <c r="AA59" s="352">
        <f t="shared" si="62"/>
        <v>496</v>
      </c>
      <c r="AB59" s="352">
        <f t="shared" si="62"/>
        <v>496</v>
      </c>
      <c r="AC59" s="353">
        <f t="shared" si="62"/>
        <v>498</v>
      </c>
      <c r="AD59" s="353">
        <f t="shared" si="62"/>
        <v>498</v>
      </c>
      <c r="AE59" s="353">
        <f t="shared" si="62"/>
        <v>498</v>
      </c>
      <c r="AF59" s="353">
        <f t="shared" si="62"/>
        <v>498</v>
      </c>
      <c r="AG59" s="353">
        <f t="shared" si="62"/>
        <v>498</v>
      </c>
      <c r="AH59" s="353">
        <f t="shared" si="62"/>
        <v>498</v>
      </c>
      <c r="AI59" s="353">
        <f t="shared" si="62"/>
        <v>498</v>
      </c>
      <c r="AJ59" s="353">
        <f t="shared" si="62"/>
        <v>498</v>
      </c>
      <c r="AK59" s="353">
        <f t="shared" si="62"/>
        <v>498</v>
      </c>
      <c r="AL59" s="353">
        <f t="shared" si="62"/>
        <v>498</v>
      </c>
      <c r="AM59" s="353">
        <f t="shared" si="62"/>
        <v>498</v>
      </c>
      <c r="AN59" s="353">
        <f t="shared" si="62"/>
        <v>498</v>
      </c>
      <c r="AO59" s="353">
        <f t="shared" si="62"/>
        <v>498</v>
      </c>
      <c r="AP59" s="353">
        <f t="shared" si="62"/>
        <v>498</v>
      </c>
      <c r="AQ59" s="353">
        <f t="shared" si="62"/>
        <v>498</v>
      </c>
      <c r="AR59" s="353">
        <f t="shared" si="62"/>
        <v>498</v>
      </c>
      <c r="AS59" s="353">
        <f t="shared" si="62"/>
        <v>498</v>
      </c>
      <c r="AT59" s="353">
        <f t="shared" si="62"/>
        <v>498</v>
      </c>
      <c r="AU59" s="353">
        <f t="shared" si="62"/>
        <v>498</v>
      </c>
      <c r="AV59" s="353">
        <f t="shared" si="62"/>
        <v>498</v>
      </c>
      <c r="AW59" s="353">
        <f t="shared" si="62"/>
        <v>498</v>
      </c>
      <c r="AX59" s="353">
        <f t="shared" si="62"/>
        <v>498</v>
      </c>
      <c r="AY59" s="353">
        <f t="shared" si="62"/>
        <v>498</v>
      </c>
      <c r="AZ59" s="381"/>
      <c r="BA59" s="381"/>
      <c r="BB59" s="381"/>
      <c r="BC59" s="381"/>
      <c r="BD59" s="381"/>
      <c r="BE59" s="381"/>
      <c r="BF59" s="381"/>
      <c r="BG59" s="381"/>
      <c r="BH59" s="381"/>
      <c r="BI59" s="381"/>
      <c r="BJ59" s="381"/>
      <c r="BK59" s="381"/>
      <c r="BL59" s="381"/>
      <c r="BM59" s="381"/>
      <c r="BN59" s="381"/>
      <c r="BO59" s="381"/>
      <c r="BP59" s="381"/>
      <c r="BQ59" s="381"/>
      <c r="BR59" s="381"/>
      <c r="BS59" s="381"/>
      <c r="BT59" s="381"/>
      <c r="BU59" s="381"/>
      <c r="BV59" s="381"/>
      <c r="BW59" s="381"/>
      <c r="BX59" s="381"/>
      <c r="BY59" s="381"/>
      <c r="BZ59" s="381"/>
      <c r="CA59" s="381"/>
      <c r="CB59" s="381"/>
      <c r="CC59" s="381"/>
      <c r="CD59" s="381"/>
      <c r="CE59" s="381"/>
      <c r="CF59" s="381"/>
      <c r="CG59" s="381"/>
      <c r="CH59" s="381"/>
      <c r="CI59" s="381"/>
      <c r="CJ59" s="381"/>
      <c r="CK59" s="381"/>
      <c r="CL59" s="381"/>
      <c r="CM59" s="381"/>
      <c r="CN59" s="381"/>
      <c r="CO59" s="381"/>
      <c r="CP59" s="381"/>
      <c r="CQ59" s="381"/>
      <c r="CR59" s="381"/>
      <c r="CS59" s="381"/>
      <c r="CT59" s="381"/>
      <c r="CU59" s="381"/>
      <c r="CV59" s="381"/>
      <c r="CW59" s="381"/>
      <c r="CX59" s="381"/>
      <c r="CY59" s="381"/>
      <c r="CZ59" s="381"/>
      <c r="DA59" s="381"/>
      <c r="DB59" s="381"/>
      <c r="DC59" s="381"/>
      <c r="DD59" s="381"/>
      <c r="DE59" s="381"/>
      <c r="DF59" s="381"/>
      <c r="DG59" s="381"/>
      <c r="DH59" s="381"/>
    </row>
    <row r="60" spans="1:112" s="2" customFormat="1" ht="12.95" customHeight="1">
      <c r="A60" s="379"/>
      <c r="B60" s="338">
        <v>52</v>
      </c>
      <c r="C60" s="339">
        <v>243</v>
      </c>
      <c r="D60" s="372">
        <f>(200-ROUNDDOWN(($B$60+10)/(D8+5),0)+50)*2</f>
        <v>480</v>
      </c>
      <c r="E60" s="368">
        <f>(200-ROUNDDOWN(($B$60+10)/(E8+5),0)+50)*2</f>
        <v>484</v>
      </c>
      <c r="F60" s="365">
        <f>(200-ROUNDDOWN(($B$60+10)/(F8+5),0)+50)*2</f>
        <v>486</v>
      </c>
      <c r="G60" s="362">
        <f t="shared" ref="G60:AY60" si="63">(200-ROUNDDOWN(($B$60+10)/(G8+5),0)+50)*2</f>
        <v>488</v>
      </c>
      <c r="H60" s="362">
        <f t="shared" si="63"/>
        <v>488</v>
      </c>
      <c r="I60" s="359">
        <f t="shared" si="63"/>
        <v>490</v>
      </c>
      <c r="J60" s="359">
        <f t="shared" si="63"/>
        <v>490</v>
      </c>
      <c r="K60" s="355">
        <f t="shared" si="63"/>
        <v>492</v>
      </c>
      <c r="L60" s="355">
        <f t="shared" si="63"/>
        <v>492</v>
      </c>
      <c r="M60" s="355">
        <f t="shared" si="63"/>
        <v>492</v>
      </c>
      <c r="N60" s="3">
        <f t="shared" si="63"/>
        <v>494</v>
      </c>
      <c r="O60" s="3">
        <f t="shared" si="63"/>
        <v>494</v>
      </c>
      <c r="P60" s="3">
        <f t="shared" si="63"/>
        <v>494</v>
      </c>
      <c r="Q60" s="3">
        <f t="shared" si="63"/>
        <v>494</v>
      </c>
      <c r="R60" s="3">
        <f t="shared" si="63"/>
        <v>494</v>
      </c>
      <c r="S60" s="352">
        <f t="shared" si="63"/>
        <v>496</v>
      </c>
      <c r="T60" s="352">
        <f t="shared" si="63"/>
        <v>496</v>
      </c>
      <c r="U60" s="352">
        <f t="shared" si="63"/>
        <v>496</v>
      </c>
      <c r="V60" s="352">
        <f t="shared" si="63"/>
        <v>496</v>
      </c>
      <c r="W60" s="352">
        <f t="shared" si="63"/>
        <v>496</v>
      </c>
      <c r="X60" s="352">
        <f t="shared" si="63"/>
        <v>496</v>
      </c>
      <c r="Y60" s="352">
        <f t="shared" si="63"/>
        <v>496</v>
      </c>
      <c r="Z60" s="352">
        <f t="shared" si="63"/>
        <v>496</v>
      </c>
      <c r="AA60" s="352">
        <f t="shared" si="63"/>
        <v>496</v>
      </c>
      <c r="AB60" s="352">
        <f t="shared" si="63"/>
        <v>496</v>
      </c>
      <c r="AC60" s="352">
        <f t="shared" si="63"/>
        <v>496</v>
      </c>
      <c r="AD60" s="353">
        <f t="shared" si="63"/>
        <v>498</v>
      </c>
      <c r="AE60" s="353">
        <f t="shared" si="63"/>
        <v>498</v>
      </c>
      <c r="AF60" s="353">
        <f t="shared" si="63"/>
        <v>498</v>
      </c>
      <c r="AG60" s="353">
        <f t="shared" si="63"/>
        <v>498</v>
      </c>
      <c r="AH60" s="353">
        <f t="shared" si="63"/>
        <v>498</v>
      </c>
      <c r="AI60" s="353">
        <f t="shared" si="63"/>
        <v>498</v>
      </c>
      <c r="AJ60" s="353">
        <f t="shared" si="63"/>
        <v>498</v>
      </c>
      <c r="AK60" s="353">
        <f t="shared" si="63"/>
        <v>498</v>
      </c>
      <c r="AL60" s="353">
        <f t="shared" si="63"/>
        <v>498</v>
      </c>
      <c r="AM60" s="353">
        <f t="shared" si="63"/>
        <v>498</v>
      </c>
      <c r="AN60" s="353">
        <f t="shared" si="63"/>
        <v>498</v>
      </c>
      <c r="AO60" s="353">
        <f t="shared" si="63"/>
        <v>498</v>
      </c>
      <c r="AP60" s="353">
        <f t="shared" si="63"/>
        <v>498</v>
      </c>
      <c r="AQ60" s="353">
        <f t="shared" si="63"/>
        <v>498</v>
      </c>
      <c r="AR60" s="353">
        <f t="shared" si="63"/>
        <v>498</v>
      </c>
      <c r="AS60" s="353">
        <f t="shared" si="63"/>
        <v>498</v>
      </c>
      <c r="AT60" s="353">
        <f t="shared" si="63"/>
        <v>498</v>
      </c>
      <c r="AU60" s="353">
        <f t="shared" si="63"/>
        <v>498</v>
      </c>
      <c r="AV60" s="353">
        <f t="shared" si="63"/>
        <v>498</v>
      </c>
      <c r="AW60" s="353">
        <f t="shared" si="63"/>
        <v>498</v>
      </c>
      <c r="AX60" s="353">
        <f t="shared" si="63"/>
        <v>498</v>
      </c>
      <c r="AY60" s="353">
        <f t="shared" si="63"/>
        <v>498</v>
      </c>
      <c r="AZ60" s="381"/>
      <c r="BA60" s="381"/>
      <c r="BB60" s="381"/>
      <c r="BC60" s="381"/>
      <c r="BD60" s="381"/>
      <c r="BE60" s="381"/>
      <c r="BF60" s="381"/>
      <c r="BG60" s="381"/>
      <c r="BH60" s="381"/>
      <c r="BI60" s="381"/>
      <c r="BJ60" s="381"/>
      <c r="BK60" s="381"/>
      <c r="BL60" s="381"/>
      <c r="BM60" s="381"/>
      <c r="BN60" s="381"/>
      <c r="BO60" s="381"/>
      <c r="BP60" s="381"/>
      <c r="BQ60" s="381"/>
      <c r="BR60" s="381"/>
      <c r="BS60" s="381"/>
      <c r="BT60" s="381"/>
      <c r="BU60" s="381"/>
      <c r="BV60" s="381"/>
      <c r="BW60" s="381"/>
      <c r="BX60" s="381"/>
      <c r="BY60" s="381"/>
      <c r="BZ60" s="381"/>
      <c r="CA60" s="381"/>
      <c r="CB60" s="381"/>
      <c r="CC60" s="381"/>
      <c r="CD60" s="381"/>
      <c r="CE60" s="381"/>
      <c r="CF60" s="381"/>
      <c r="CG60" s="381"/>
      <c r="CH60" s="381"/>
      <c r="CI60" s="381"/>
      <c r="CJ60" s="381"/>
      <c r="CK60" s="381"/>
      <c r="CL60" s="381"/>
      <c r="CM60" s="381"/>
      <c r="CN60" s="381"/>
      <c r="CO60" s="381"/>
      <c r="CP60" s="381"/>
      <c r="CQ60" s="381"/>
      <c r="CR60" s="381"/>
      <c r="CS60" s="381"/>
      <c r="CT60" s="381"/>
      <c r="CU60" s="381"/>
      <c r="CV60" s="381"/>
      <c r="CW60" s="381"/>
      <c r="CX60" s="381"/>
      <c r="CY60" s="381"/>
      <c r="CZ60" s="381"/>
      <c r="DA60" s="381"/>
      <c r="DB60" s="381"/>
      <c r="DC60" s="381"/>
      <c r="DD60" s="381"/>
      <c r="DE60" s="381"/>
      <c r="DF60" s="381"/>
      <c r="DG60" s="381"/>
      <c r="DH60" s="381"/>
    </row>
    <row r="61" spans="1:112" s="2" customFormat="1" ht="12.95" customHeight="1">
      <c r="A61" s="379"/>
      <c r="B61" s="338">
        <v>53</v>
      </c>
      <c r="C61" s="339">
        <v>244</v>
      </c>
      <c r="D61" s="372">
        <f>(200-ROUNDDOWN(($B$61+10)/(D8+5),0)+50)*2</f>
        <v>480</v>
      </c>
      <c r="E61" s="373">
        <f>(200-ROUNDDOWN(($B$61+10)/(E8+5),0)+50)*2</f>
        <v>482</v>
      </c>
      <c r="F61" s="365">
        <f>(200-ROUNDDOWN(($B$61+10)/(F8+5),0)+50)*2</f>
        <v>486</v>
      </c>
      <c r="G61" s="365">
        <f t="shared" ref="G61:AY61" si="64">(200-ROUNDDOWN(($B$61+10)/(G8+5),0)+50)*2</f>
        <v>486</v>
      </c>
      <c r="H61" s="362">
        <f t="shared" si="64"/>
        <v>488</v>
      </c>
      <c r="I61" s="359">
        <f t="shared" si="64"/>
        <v>490</v>
      </c>
      <c r="J61" s="359">
        <f t="shared" si="64"/>
        <v>490</v>
      </c>
      <c r="K61" s="355">
        <f t="shared" si="64"/>
        <v>492</v>
      </c>
      <c r="L61" s="355">
        <f t="shared" si="64"/>
        <v>492</v>
      </c>
      <c r="M61" s="355">
        <f t="shared" si="64"/>
        <v>492</v>
      </c>
      <c r="N61" s="3">
        <f t="shared" si="64"/>
        <v>494</v>
      </c>
      <c r="O61" s="3">
        <f t="shared" si="64"/>
        <v>494</v>
      </c>
      <c r="P61" s="3">
        <f t="shared" si="64"/>
        <v>494</v>
      </c>
      <c r="Q61" s="3">
        <f t="shared" si="64"/>
        <v>494</v>
      </c>
      <c r="R61" s="3">
        <f t="shared" si="64"/>
        <v>494</v>
      </c>
      <c r="S61" s="3">
        <f t="shared" si="64"/>
        <v>494</v>
      </c>
      <c r="T61" s="352">
        <f t="shared" si="64"/>
        <v>496</v>
      </c>
      <c r="U61" s="352">
        <f t="shared" si="64"/>
        <v>496</v>
      </c>
      <c r="V61" s="352">
        <f t="shared" si="64"/>
        <v>496</v>
      </c>
      <c r="W61" s="352">
        <f t="shared" si="64"/>
        <v>496</v>
      </c>
      <c r="X61" s="352">
        <f t="shared" si="64"/>
        <v>496</v>
      </c>
      <c r="Y61" s="352">
        <f t="shared" si="64"/>
        <v>496</v>
      </c>
      <c r="Z61" s="352">
        <f t="shared" si="64"/>
        <v>496</v>
      </c>
      <c r="AA61" s="352">
        <f t="shared" si="64"/>
        <v>496</v>
      </c>
      <c r="AB61" s="352">
        <f t="shared" si="64"/>
        <v>496</v>
      </c>
      <c r="AC61" s="352">
        <f t="shared" si="64"/>
        <v>496</v>
      </c>
      <c r="AD61" s="353">
        <f t="shared" si="64"/>
        <v>498</v>
      </c>
      <c r="AE61" s="353">
        <f t="shared" si="64"/>
        <v>498</v>
      </c>
      <c r="AF61" s="353">
        <f t="shared" si="64"/>
        <v>498</v>
      </c>
      <c r="AG61" s="353">
        <f t="shared" si="64"/>
        <v>498</v>
      </c>
      <c r="AH61" s="353">
        <f t="shared" si="64"/>
        <v>498</v>
      </c>
      <c r="AI61" s="353">
        <f t="shared" si="64"/>
        <v>498</v>
      </c>
      <c r="AJ61" s="353">
        <f t="shared" si="64"/>
        <v>498</v>
      </c>
      <c r="AK61" s="353">
        <f t="shared" si="64"/>
        <v>498</v>
      </c>
      <c r="AL61" s="353">
        <f t="shared" si="64"/>
        <v>498</v>
      </c>
      <c r="AM61" s="353">
        <f t="shared" si="64"/>
        <v>498</v>
      </c>
      <c r="AN61" s="353">
        <f t="shared" si="64"/>
        <v>498</v>
      </c>
      <c r="AO61" s="353">
        <f t="shared" si="64"/>
        <v>498</v>
      </c>
      <c r="AP61" s="353">
        <f t="shared" si="64"/>
        <v>498</v>
      </c>
      <c r="AQ61" s="353">
        <f t="shared" si="64"/>
        <v>498</v>
      </c>
      <c r="AR61" s="353">
        <f t="shared" si="64"/>
        <v>498</v>
      </c>
      <c r="AS61" s="353">
        <f t="shared" si="64"/>
        <v>498</v>
      </c>
      <c r="AT61" s="353">
        <f t="shared" si="64"/>
        <v>498</v>
      </c>
      <c r="AU61" s="353">
        <f t="shared" si="64"/>
        <v>498</v>
      </c>
      <c r="AV61" s="353">
        <f t="shared" si="64"/>
        <v>498</v>
      </c>
      <c r="AW61" s="353">
        <f t="shared" si="64"/>
        <v>498</v>
      </c>
      <c r="AX61" s="353">
        <f t="shared" si="64"/>
        <v>498</v>
      </c>
      <c r="AY61" s="353">
        <f t="shared" si="64"/>
        <v>498</v>
      </c>
      <c r="AZ61" s="381"/>
      <c r="BA61" s="381"/>
      <c r="BB61" s="381"/>
      <c r="BC61" s="381"/>
      <c r="BD61" s="381"/>
      <c r="BE61" s="381"/>
      <c r="BF61" s="381"/>
      <c r="BG61" s="381"/>
      <c r="BH61" s="381"/>
      <c r="BI61" s="381"/>
      <c r="BJ61" s="381"/>
      <c r="BK61" s="381"/>
      <c r="BL61" s="381"/>
      <c r="BM61" s="381"/>
      <c r="BN61" s="381"/>
      <c r="BO61" s="381"/>
      <c r="BP61" s="381"/>
      <c r="BQ61" s="381"/>
      <c r="BR61" s="381"/>
      <c r="BS61" s="381"/>
      <c r="BT61" s="381"/>
      <c r="BU61" s="381"/>
      <c r="BV61" s="381"/>
      <c r="BW61" s="381"/>
      <c r="BX61" s="381"/>
      <c r="BY61" s="381"/>
      <c r="BZ61" s="381"/>
      <c r="CA61" s="381"/>
      <c r="CB61" s="381"/>
      <c r="CC61" s="381"/>
      <c r="CD61" s="381"/>
      <c r="CE61" s="381"/>
      <c r="CF61" s="381"/>
      <c r="CG61" s="381"/>
      <c r="CH61" s="381"/>
      <c r="CI61" s="381"/>
      <c r="CJ61" s="381"/>
      <c r="CK61" s="381"/>
      <c r="CL61" s="381"/>
      <c r="CM61" s="381"/>
      <c r="CN61" s="381"/>
      <c r="CO61" s="381"/>
      <c r="CP61" s="381"/>
      <c r="CQ61" s="381"/>
      <c r="CR61" s="381"/>
      <c r="CS61" s="381"/>
      <c r="CT61" s="381"/>
      <c r="CU61" s="381"/>
      <c r="CV61" s="381"/>
      <c r="CW61" s="381"/>
      <c r="CX61" s="381"/>
      <c r="CY61" s="381"/>
      <c r="CZ61" s="381"/>
      <c r="DA61" s="381"/>
      <c r="DB61" s="381"/>
      <c r="DC61" s="381"/>
      <c r="DD61" s="381"/>
      <c r="DE61" s="381"/>
      <c r="DF61" s="381"/>
      <c r="DG61" s="381"/>
      <c r="DH61" s="381"/>
    </row>
    <row r="62" spans="1:112" s="2" customFormat="1" ht="12.95" customHeight="1">
      <c r="A62" s="379"/>
      <c r="B62" s="338">
        <v>54</v>
      </c>
      <c r="C62" s="339">
        <v>245</v>
      </c>
      <c r="D62" s="372">
        <f>(200-ROUNDDOWN(($B$62+10)/(D8+5),0)+50)*2</f>
        <v>480</v>
      </c>
      <c r="E62" s="373">
        <f>(200-ROUNDDOWN(($B$62+10)/(E8+5),0)+50)*2</f>
        <v>482</v>
      </c>
      <c r="F62" s="368">
        <f>(200-ROUNDDOWN(($B$62+10)/(F8+5),0)+50)*2</f>
        <v>484</v>
      </c>
      <c r="G62" s="365">
        <f t="shared" ref="G62:AY62" si="65">(200-ROUNDDOWN(($B$62+10)/(G8+5),0)+50)*2</f>
        <v>486</v>
      </c>
      <c r="H62" s="362">
        <f t="shared" si="65"/>
        <v>488</v>
      </c>
      <c r="I62" s="359">
        <f t="shared" si="65"/>
        <v>490</v>
      </c>
      <c r="J62" s="359">
        <f t="shared" si="65"/>
        <v>490</v>
      </c>
      <c r="K62" s="355">
        <f t="shared" si="65"/>
        <v>492</v>
      </c>
      <c r="L62" s="355">
        <f t="shared" si="65"/>
        <v>492</v>
      </c>
      <c r="M62" s="355">
        <f t="shared" si="65"/>
        <v>492</v>
      </c>
      <c r="N62" s="355">
        <f t="shared" si="65"/>
        <v>492</v>
      </c>
      <c r="O62" s="3">
        <f t="shared" si="65"/>
        <v>494</v>
      </c>
      <c r="P62" s="3">
        <f t="shared" si="65"/>
        <v>494</v>
      </c>
      <c r="Q62" s="3">
        <f t="shared" si="65"/>
        <v>494</v>
      </c>
      <c r="R62" s="3">
        <f t="shared" si="65"/>
        <v>494</v>
      </c>
      <c r="S62" s="3">
        <f t="shared" si="65"/>
        <v>494</v>
      </c>
      <c r="T62" s="352">
        <f t="shared" si="65"/>
        <v>496</v>
      </c>
      <c r="U62" s="352">
        <f t="shared" si="65"/>
        <v>496</v>
      </c>
      <c r="V62" s="352">
        <f t="shared" si="65"/>
        <v>496</v>
      </c>
      <c r="W62" s="352">
        <f t="shared" si="65"/>
        <v>496</v>
      </c>
      <c r="X62" s="352">
        <f t="shared" si="65"/>
        <v>496</v>
      </c>
      <c r="Y62" s="352">
        <f t="shared" si="65"/>
        <v>496</v>
      </c>
      <c r="Z62" s="352">
        <f t="shared" si="65"/>
        <v>496</v>
      </c>
      <c r="AA62" s="352">
        <f t="shared" si="65"/>
        <v>496</v>
      </c>
      <c r="AB62" s="352">
        <f t="shared" si="65"/>
        <v>496</v>
      </c>
      <c r="AC62" s="352">
        <f t="shared" si="65"/>
        <v>496</v>
      </c>
      <c r="AD62" s="352">
        <f t="shared" si="65"/>
        <v>496</v>
      </c>
      <c r="AE62" s="353">
        <f t="shared" si="65"/>
        <v>498</v>
      </c>
      <c r="AF62" s="353">
        <f t="shared" si="65"/>
        <v>498</v>
      </c>
      <c r="AG62" s="353">
        <f t="shared" si="65"/>
        <v>498</v>
      </c>
      <c r="AH62" s="353">
        <f t="shared" si="65"/>
        <v>498</v>
      </c>
      <c r="AI62" s="353">
        <f t="shared" si="65"/>
        <v>498</v>
      </c>
      <c r="AJ62" s="353">
        <f t="shared" si="65"/>
        <v>498</v>
      </c>
      <c r="AK62" s="353">
        <f t="shared" si="65"/>
        <v>498</v>
      </c>
      <c r="AL62" s="353">
        <f t="shared" si="65"/>
        <v>498</v>
      </c>
      <c r="AM62" s="353">
        <f t="shared" si="65"/>
        <v>498</v>
      </c>
      <c r="AN62" s="353">
        <f t="shared" si="65"/>
        <v>498</v>
      </c>
      <c r="AO62" s="353">
        <f t="shared" si="65"/>
        <v>498</v>
      </c>
      <c r="AP62" s="353">
        <f t="shared" si="65"/>
        <v>498</v>
      </c>
      <c r="AQ62" s="353">
        <f t="shared" si="65"/>
        <v>498</v>
      </c>
      <c r="AR62" s="353">
        <f t="shared" si="65"/>
        <v>498</v>
      </c>
      <c r="AS62" s="353">
        <f t="shared" si="65"/>
        <v>498</v>
      </c>
      <c r="AT62" s="353">
        <f t="shared" si="65"/>
        <v>498</v>
      </c>
      <c r="AU62" s="353">
        <f t="shared" si="65"/>
        <v>498</v>
      </c>
      <c r="AV62" s="353">
        <f t="shared" si="65"/>
        <v>498</v>
      </c>
      <c r="AW62" s="353">
        <f t="shared" si="65"/>
        <v>498</v>
      </c>
      <c r="AX62" s="353">
        <f t="shared" si="65"/>
        <v>498</v>
      </c>
      <c r="AY62" s="353">
        <f t="shared" si="65"/>
        <v>498</v>
      </c>
      <c r="AZ62" s="381"/>
      <c r="BA62" s="381"/>
      <c r="BB62" s="381"/>
      <c r="BC62" s="381"/>
      <c r="BD62" s="381"/>
      <c r="BE62" s="381"/>
      <c r="BF62" s="381"/>
      <c r="BG62" s="381"/>
      <c r="BH62" s="381"/>
      <c r="BI62" s="381"/>
      <c r="BJ62" s="381"/>
      <c r="BK62" s="381"/>
      <c r="BL62" s="381"/>
      <c r="BM62" s="381"/>
      <c r="BN62" s="381"/>
      <c r="BO62" s="381"/>
      <c r="BP62" s="381"/>
      <c r="BQ62" s="381"/>
      <c r="BR62" s="381"/>
      <c r="BS62" s="381"/>
      <c r="BT62" s="381"/>
      <c r="BU62" s="381"/>
      <c r="BV62" s="381"/>
      <c r="BW62" s="381"/>
      <c r="BX62" s="381"/>
      <c r="BY62" s="381"/>
      <c r="BZ62" s="381"/>
      <c r="CA62" s="381"/>
      <c r="CB62" s="381"/>
      <c r="CC62" s="381"/>
      <c r="CD62" s="381"/>
      <c r="CE62" s="381"/>
      <c r="CF62" s="381"/>
      <c r="CG62" s="381"/>
      <c r="CH62" s="381"/>
      <c r="CI62" s="381"/>
      <c r="CJ62" s="381"/>
      <c r="CK62" s="381"/>
      <c r="CL62" s="381"/>
      <c r="CM62" s="381"/>
      <c r="CN62" s="381"/>
      <c r="CO62" s="381"/>
      <c r="CP62" s="381"/>
      <c r="CQ62" s="381"/>
      <c r="CR62" s="381"/>
      <c r="CS62" s="381"/>
      <c r="CT62" s="381"/>
      <c r="CU62" s="381"/>
      <c r="CV62" s="381"/>
      <c r="CW62" s="381"/>
      <c r="CX62" s="381"/>
      <c r="CY62" s="381"/>
      <c r="CZ62" s="381"/>
      <c r="DA62" s="381"/>
      <c r="DB62" s="381"/>
      <c r="DC62" s="381"/>
      <c r="DD62" s="381"/>
      <c r="DE62" s="381"/>
      <c r="DF62" s="381"/>
      <c r="DG62" s="381"/>
      <c r="DH62" s="381"/>
    </row>
    <row r="63" spans="1:112" s="2" customFormat="1" ht="12.95" customHeight="1">
      <c r="A63" s="379"/>
      <c r="B63" s="338">
        <v>55</v>
      </c>
      <c r="C63" s="339">
        <v>246</v>
      </c>
      <c r="D63" s="372">
        <f>(200-ROUNDDOWN(($B$63+10)/(D8+5),0)+50)*2</f>
        <v>480</v>
      </c>
      <c r="E63" s="373">
        <f>(200-ROUNDDOWN(($B$63+10)/(E8+5),0)+50)*2</f>
        <v>482</v>
      </c>
      <c r="F63" s="368">
        <f>(200-ROUNDDOWN(($B$63+10)/(F8+5),0)+50)*2</f>
        <v>484</v>
      </c>
      <c r="G63" s="365">
        <f t="shared" ref="G63:AY63" si="66">(200-ROUNDDOWN(($B$63+10)/(G8+5),0)+50)*2</f>
        <v>486</v>
      </c>
      <c r="H63" s="362">
        <f t="shared" si="66"/>
        <v>488</v>
      </c>
      <c r="I63" s="359">
        <f t="shared" si="66"/>
        <v>490</v>
      </c>
      <c r="J63" s="359">
        <f t="shared" si="66"/>
        <v>490</v>
      </c>
      <c r="K63" s="359">
        <f t="shared" si="66"/>
        <v>490</v>
      </c>
      <c r="L63" s="355">
        <f t="shared" si="66"/>
        <v>492</v>
      </c>
      <c r="M63" s="355">
        <f t="shared" si="66"/>
        <v>492</v>
      </c>
      <c r="N63" s="355">
        <f t="shared" si="66"/>
        <v>492</v>
      </c>
      <c r="O63" s="3">
        <f t="shared" si="66"/>
        <v>494</v>
      </c>
      <c r="P63" s="3">
        <f t="shared" si="66"/>
        <v>494</v>
      </c>
      <c r="Q63" s="3">
        <f t="shared" si="66"/>
        <v>494</v>
      </c>
      <c r="R63" s="3">
        <f t="shared" si="66"/>
        <v>494</v>
      </c>
      <c r="S63" s="3">
        <f t="shared" si="66"/>
        <v>494</v>
      </c>
      <c r="T63" s="352">
        <f t="shared" si="66"/>
        <v>496</v>
      </c>
      <c r="U63" s="352">
        <f t="shared" si="66"/>
        <v>496</v>
      </c>
      <c r="V63" s="352">
        <f t="shared" si="66"/>
        <v>496</v>
      </c>
      <c r="W63" s="352">
        <f t="shared" si="66"/>
        <v>496</v>
      </c>
      <c r="X63" s="352">
        <f t="shared" si="66"/>
        <v>496</v>
      </c>
      <c r="Y63" s="352">
        <f t="shared" si="66"/>
        <v>496</v>
      </c>
      <c r="Z63" s="352">
        <f t="shared" si="66"/>
        <v>496</v>
      </c>
      <c r="AA63" s="352">
        <f t="shared" si="66"/>
        <v>496</v>
      </c>
      <c r="AB63" s="352">
        <f t="shared" si="66"/>
        <v>496</v>
      </c>
      <c r="AC63" s="352">
        <f t="shared" si="66"/>
        <v>496</v>
      </c>
      <c r="AD63" s="352">
        <f t="shared" si="66"/>
        <v>496</v>
      </c>
      <c r="AE63" s="353">
        <f t="shared" si="66"/>
        <v>498</v>
      </c>
      <c r="AF63" s="353">
        <f t="shared" si="66"/>
        <v>498</v>
      </c>
      <c r="AG63" s="353">
        <f t="shared" si="66"/>
        <v>498</v>
      </c>
      <c r="AH63" s="353">
        <f t="shared" si="66"/>
        <v>498</v>
      </c>
      <c r="AI63" s="353">
        <f t="shared" si="66"/>
        <v>498</v>
      </c>
      <c r="AJ63" s="353">
        <f t="shared" si="66"/>
        <v>498</v>
      </c>
      <c r="AK63" s="353">
        <f t="shared" si="66"/>
        <v>498</v>
      </c>
      <c r="AL63" s="353">
        <f t="shared" si="66"/>
        <v>498</v>
      </c>
      <c r="AM63" s="353">
        <f t="shared" si="66"/>
        <v>498</v>
      </c>
      <c r="AN63" s="353">
        <f t="shared" si="66"/>
        <v>498</v>
      </c>
      <c r="AO63" s="353">
        <f t="shared" si="66"/>
        <v>498</v>
      </c>
      <c r="AP63" s="353">
        <f t="shared" si="66"/>
        <v>498</v>
      </c>
      <c r="AQ63" s="353">
        <f t="shared" si="66"/>
        <v>498</v>
      </c>
      <c r="AR63" s="353">
        <f t="shared" si="66"/>
        <v>498</v>
      </c>
      <c r="AS63" s="353">
        <f t="shared" si="66"/>
        <v>498</v>
      </c>
      <c r="AT63" s="353">
        <f t="shared" si="66"/>
        <v>498</v>
      </c>
      <c r="AU63" s="353">
        <f t="shared" si="66"/>
        <v>498</v>
      </c>
      <c r="AV63" s="353">
        <f t="shared" si="66"/>
        <v>498</v>
      </c>
      <c r="AW63" s="353">
        <f t="shared" si="66"/>
        <v>498</v>
      </c>
      <c r="AX63" s="353">
        <f t="shared" si="66"/>
        <v>498</v>
      </c>
      <c r="AY63" s="353">
        <f t="shared" si="66"/>
        <v>498</v>
      </c>
      <c r="AZ63" s="381"/>
      <c r="BA63" s="381"/>
      <c r="BB63" s="381"/>
      <c r="BC63" s="381"/>
      <c r="BD63" s="381"/>
      <c r="BE63" s="381"/>
      <c r="BF63" s="381"/>
      <c r="BG63" s="381"/>
      <c r="BH63" s="381"/>
      <c r="BI63" s="381"/>
      <c r="BJ63" s="381"/>
      <c r="BK63" s="381"/>
      <c r="BL63" s="381"/>
      <c r="BM63" s="381"/>
      <c r="BN63" s="381"/>
      <c r="BO63" s="381"/>
      <c r="BP63" s="381"/>
      <c r="BQ63" s="381"/>
      <c r="BR63" s="381"/>
      <c r="BS63" s="381"/>
      <c r="BT63" s="381"/>
      <c r="BU63" s="381"/>
      <c r="BV63" s="381"/>
      <c r="BW63" s="381"/>
      <c r="BX63" s="381"/>
      <c r="BY63" s="381"/>
      <c r="BZ63" s="381"/>
      <c r="CA63" s="381"/>
      <c r="CB63" s="381"/>
      <c r="CC63" s="381"/>
      <c r="CD63" s="381"/>
      <c r="CE63" s="381"/>
      <c r="CF63" s="381"/>
      <c r="CG63" s="381"/>
      <c r="CH63" s="381"/>
      <c r="CI63" s="381"/>
      <c r="CJ63" s="381"/>
      <c r="CK63" s="381"/>
      <c r="CL63" s="381"/>
      <c r="CM63" s="381"/>
      <c r="CN63" s="381"/>
      <c r="CO63" s="381"/>
      <c r="CP63" s="381"/>
      <c r="CQ63" s="381"/>
      <c r="CR63" s="381"/>
      <c r="CS63" s="381"/>
      <c r="CT63" s="381"/>
      <c r="CU63" s="381"/>
      <c r="CV63" s="381"/>
      <c r="CW63" s="381"/>
      <c r="CX63" s="381"/>
      <c r="CY63" s="381"/>
      <c r="CZ63" s="381"/>
      <c r="DA63" s="381"/>
      <c r="DB63" s="381"/>
      <c r="DC63" s="381"/>
      <c r="DD63" s="381"/>
      <c r="DE63" s="381"/>
      <c r="DF63" s="381"/>
      <c r="DG63" s="381"/>
      <c r="DH63" s="381"/>
    </row>
    <row r="64" spans="1:112" s="2" customFormat="1" ht="12.95" customHeight="1" thickBot="1">
      <c r="A64" s="379"/>
      <c r="B64" s="345">
        <v>56</v>
      </c>
      <c r="C64" s="346">
        <v>247</v>
      </c>
      <c r="D64" s="374">
        <f>(200-ROUNDDOWN(($B$64+10)/(D8+5),0)+50)*2</f>
        <v>478</v>
      </c>
      <c r="E64" s="370">
        <f>(200-ROUNDDOWN(($B$64+10)/(E8+5),0)+50)*2</f>
        <v>482</v>
      </c>
      <c r="F64" s="367">
        <f>(200-ROUNDDOWN(($B$64+10)/(F8+5),0)+50)*2</f>
        <v>484</v>
      </c>
      <c r="G64" s="364">
        <f t="shared" ref="G64:AY64" si="67">(200-ROUNDDOWN(($B$64+10)/(G8+5),0)+50)*2</f>
        <v>486</v>
      </c>
      <c r="H64" s="361">
        <f t="shared" si="67"/>
        <v>488</v>
      </c>
      <c r="I64" s="361">
        <f t="shared" si="67"/>
        <v>488</v>
      </c>
      <c r="J64" s="358">
        <f t="shared" si="67"/>
        <v>490</v>
      </c>
      <c r="K64" s="358">
        <f t="shared" si="67"/>
        <v>490</v>
      </c>
      <c r="L64" s="354">
        <f t="shared" si="67"/>
        <v>492</v>
      </c>
      <c r="M64" s="354">
        <f t="shared" si="67"/>
        <v>492</v>
      </c>
      <c r="N64" s="354">
        <f t="shared" si="67"/>
        <v>492</v>
      </c>
      <c r="O64" s="349">
        <f t="shared" si="67"/>
        <v>494</v>
      </c>
      <c r="P64" s="349">
        <f t="shared" si="67"/>
        <v>494</v>
      </c>
      <c r="Q64" s="349">
        <f t="shared" si="67"/>
        <v>494</v>
      </c>
      <c r="R64" s="349">
        <f t="shared" si="67"/>
        <v>494</v>
      </c>
      <c r="S64" s="349">
        <f t="shared" si="67"/>
        <v>494</v>
      </c>
      <c r="T64" s="349">
        <f t="shared" si="67"/>
        <v>494</v>
      </c>
      <c r="U64" s="347">
        <f t="shared" si="67"/>
        <v>496</v>
      </c>
      <c r="V64" s="347">
        <f t="shared" si="67"/>
        <v>496</v>
      </c>
      <c r="W64" s="347">
        <f t="shared" si="67"/>
        <v>496</v>
      </c>
      <c r="X64" s="347">
        <f t="shared" si="67"/>
        <v>496</v>
      </c>
      <c r="Y64" s="347">
        <f t="shared" si="67"/>
        <v>496</v>
      </c>
      <c r="Z64" s="347">
        <f t="shared" si="67"/>
        <v>496</v>
      </c>
      <c r="AA64" s="347">
        <f t="shared" si="67"/>
        <v>496</v>
      </c>
      <c r="AB64" s="347">
        <f t="shared" si="67"/>
        <v>496</v>
      </c>
      <c r="AC64" s="347">
        <f t="shared" si="67"/>
        <v>496</v>
      </c>
      <c r="AD64" s="347">
        <f t="shared" si="67"/>
        <v>496</v>
      </c>
      <c r="AE64" s="347">
        <f t="shared" si="67"/>
        <v>496</v>
      </c>
      <c r="AF64" s="348">
        <f t="shared" si="67"/>
        <v>498</v>
      </c>
      <c r="AG64" s="348">
        <f t="shared" si="67"/>
        <v>498</v>
      </c>
      <c r="AH64" s="348">
        <f t="shared" si="67"/>
        <v>498</v>
      </c>
      <c r="AI64" s="348">
        <f t="shared" si="67"/>
        <v>498</v>
      </c>
      <c r="AJ64" s="348">
        <f t="shared" si="67"/>
        <v>498</v>
      </c>
      <c r="AK64" s="348">
        <f t="shared" si="67"/>
        <v>498</v>
      </c>
      <c r="AL64" s="348">
        <f t="shared" si="67"/>
        <v>498</v>
      </c>
      <c r="AM64" s="348">
        <f t="shared" si="67"/>
        <v>498</v>
      </c>
      <c r="AN64" s="348">
        <f t="shared" si="67"/>
        <v>498</v>
      </c>
      <c r="AO64" s="348">
        <f t="shared" si="67"/>
        <v>498</v>
      </c>
      <c r="AP64" s="348">
        <f t="shared" si="67"/>
        <v>498</v>
      </c>
      <c r="AQ64" s="348">
        <f t="shared" si="67"/>
        <v>498</v>
      </c>
      <c r="AR64" s="348">
        <f t="shared" si="67"/>
        <v>498</v>
      </c>
      <c r="AS64" s="348">
        <f t="shared" si="67"/>
        <v>498</v>
      </c>
      <c r="AT64" s="348">
        <f t="shared" si="67"/>
        <v>498</v>
      </c>
      <c r="AU64" s="348">
        <f t="shared" si="67"/>
        <v>498</v>
      </c>
      <c r="AV64" s="348">
        <f t="shared" si="67"/>
        <v>498</v>
      </c>
      <c r="AW64" s="348">
        <f t="shared" si="67"/>
        <v>498</v>
      </c>
      <c r="AX64" s="348">
        <f t="shared" si="67"/>
        <v>498</v>
      </c>
      <c r="AY64" s="348">
        <f t="shared" si="67"/>
        <v>498</v>
      </c>
      <c r="AZ64" s="381"/>
      <c r="BA64" s="381"/>
      <c r="BB64" s="381"/>
      <c r="BC64" s="381"/>
      <c r="BD64" s="381"/>
      <c r="BE64" s="381"/>
      <c r="BF64" s="381"/>
      <c r="BG64" s="381"/>
      <c r="BH64" s="381"/>
      <c r="BI64" s="381"/>
      <c r="BJ64" s="381"/>
      <c r="BK64" s="381"/>
      <c r="BL64" s="381"/>
      <c r="BM64" s="381"/>
      <c r="BN64" s="381"/>
      <c r="BO64" s="381"/>
      <c r="BP64" s="381"/>
      <c r="BQ64" s="381"/>
      <c r="BR64" s="381"/>
      <c r="BS64" s="381"/>
      <c r="BT64" s="381"/>
      <c r="BU64" s="381"/>
      <c r="BV64" s="381"/>
      <c r="BW64" s="381"/>
      <c r="BX64" s="381"/>
      <c r="BY64" s="381"/>
      <c r="BZ64" s="381"/>
      <c r="CA64" s="381"/>
      <c r="CB64" s="381"/>
      <c r="CC64" s="381"/>
      <c r="CD64" s="381"/>
      <c r="CE64" s="381"/>
      <c r="CF64" s="381"/>
      <c r="CG64" s="381"/>
      <c r="CH64" s="381"/>
      <c r="CI64" s="381"/>
      <c r="CJ64" s="381"/>
      <c r="CK64" s="381"/>
      <c r="CL64" s="381"/>
      <c r="CM64" s="381"/>
      <c r="CN64" s="381"/>
      <c r="CO64" s="381"/>
      <c r="CP64" s="381"/>
      <c r="CQ64" s="381"/>
      <c r="CR64" s="381"/>
      <c r="CS64" s="381"/>
      <c r="CT64" s="381"/>
      <c r="CU64" s="381"/>
      <c r="CV64" s="381"/>
      <c r="CW64" s="381"/>
      <c r="CX64" s="381"/>
      <c r="CY64" s="381"/>
      <c r="CZ64" s="381"/>
      <c r="DA64" s="381"/>
      <c r="DB64" s="381"/>
      <c r="DC64" s="381"/>
      <c r="DD64" s="381"/>
      <c r="DE64" s="381"/>
      <c r="DF64" s="381"/>
      <c r="DG64" s="381"/>
      <c r="DH64" s="381"/>
    </row>
    <row r="65" spans="3:3" s="228" customFormat="1" ht="12.95" customHeight="1" thickTop="1">
      <c r="C65" s="383"/>
    </row>
    <row r="66" spans="3:3" s="228" customFormat="1" ht="12.95" customHeight="1">
      <c r="C66" s="383"/>
    </row>
    <row r="67" spans="3:3" s="228" customFormat="1" ht="12.95" customHeight="1">
      <c r="C67" s="383"/>
    </row>
    <row r="68" spans="3:3" s="228" customFormat="1" ht="12.95" customHeight="1">
      <c r="C68" s="383"/>
    </row>
    <row r="69" spans="3:3" s="228" customFormat="1" ht="12.95" customHeight="1">
      <c r="C69" s="383"/>
    </row>
    <row r="70" spans="3:3" s="228" customFormat="1" ht="12.95" customHeight="1">
      <c r="C70" s="383"/>
    </row>
    <row r="71" spans="3:3" s="228" customFormat="1" ht="12.95" customHeight="1">
      <c r="C71" s="383"/>
    </row>
    <row r="72" spans="3:3" s="228" customFormat="1" ht="12.95" customHeight="1">
      <c r="C72" s="383"/>
    </row>
    <row r="73" spans="3:3" s="228" customFormat="1" ht="12.95" customHeight="1">
      <c r="C73" s="383"/>
    </row>
    <row r="74" spans="3:3" s="228" customFormat="1" ht="12.95" customHeight="1">
      <c r="C74" s="383"/>
    </row>
    <row r="75" spans="3:3" s="228" customFormat="1" ht="12.95" customHeight="1">
      <c r="C75" s="383"/>
    </row>
    <row r="76" spans="3:3" s="228" customFormat="1" ht="12.95" customHeight="1">
      <c r="C76" s="383"/>
    </row>
    <row r="77" spans="3:3" s="228" customFormat="1" ht="12.95" customHeight="1">
      <c r="C77" s="383"/>
    </row>
    <row r="78" spans="3:3" s="228" customFormat="1" ht="12.95" customHeight="1">
      <c r="C78" s="383"/>
    </row>
    <row r="79" spans="3:3" s="228" customFormat="1" ht="12.95" customHeight="1">
      <c r="C79" s="383"/>
    </row>
    <row r="80" spans="3:3" s="228" customFormat="1" ht="12.95" customHeight="1">
      <c r="C80" s="383"/>
    </row>
    <row r="81" spans="3:3" s="228" customFormat="1" ht="12.95" customHeight="1">
      <c r="C81" s="383"/>
    </row>
    <row r="82" spans="3:3" s="228" customFormat="1" ht="12.95" customHeight="1">
      <c r="C82" s="383"/>
    </row>
    <row r="83" spans="3:3" s="228" customFormat="1" ht="12.95" customHeight="1">
      <c r="C83" s="383"/>
    </row>
    <row r="84" spans="3:3" s="228" customFormat="1" ht="12.95" customHeight="1">
      <c r="C84" s="383"/>
    </row>
    <row r="85" spans="3:3" s="228" customFormat="1" ht="12.95" customHeight="1">
      <c r="C85" s="383"/>
    </row>
    <row r="86" spans="3:3" s="228" customFormat="1" ht="12.95" customHeight="1">
      <c r="C86" s="383"/>
    </row>
    <row r="87" spans="3:3" s="228" customFormat="1" ht="12.95" customHeight="1">
      <c r="C87" s="383"/>
    </row>
    <row r="88" spans="3:3" s="228" customFormat="1" ht="12.95" customHeight="1">
      <c r="C88" s="383"/>
    </row>
    <row r="89" spans="3:3" s="228" customFormat="1" ht="12.95" customHeight="1">
      <c r="C89" s="383"/>
    </row>
    <row r="90" spans="3:3" s="228" customFormat="1" ht="12.95" customHeight="1">
      <c r="C90" s="383"/>
    </row>
    <row r="91" spans="3:3" s="228" customFormat="1" ht="12.95" customHeight="1">
      <c r="C91" s="383"/>
    </row>
    <row r="92" spans="3:3" s="228" customFormat="1" ht="12.95" customHeight="1">
      <c r="C92" s="383"/>
    </row>
    <row r="93" spans="3:3" s="228" customFormat="1" ht="12.95" customHeight="1">
      <c r="C93" s="383"/>
    </row>
    <row r="94" spans="3:3" s="228" customFormat="1" ht="12.95" customHeight="1">
      <c r="C94" s="383"/>
    </row>
    <row r="95" spans="3:3" s="228" customFormat="1" ht="12.95" customHeight="1">
      <c r="C95" s="383"/>
    </row>
    <row r="96" spans="3:3" s="228" customFormat="1" ht="12.95" customHeight="1">
      <c r="C96" s="383"/>
    </row>
    <row r="97" spans="3:3" s="228" customFormat="1" ht="12.95" customHeight="1">
      <c r="C97" s="383"/>
    </row>
    <row r="98" spans="3:3" s="228" customFormat="1" ht="12.95" customHeight="1">
      <c r="C98" s="383"/>
    </row>
    <row r="99" spans="3:3" s="228" customFormat="1" ht="12.95" customHeight="1">
      <c r="C99" s="383"/>
    </row>
    <row r="100" spans="3:3" s="228" customFormat="1" ht="12.95" customHeight="1">
      <c r="C100" s="383"/>
    </row>
    <row r="101" spans="3:3" s="228" customFormat="1" ht="12.95" customHeight="1">
      <c r="C101" s="383"/>
    </row>
    <row r="102" spans="3:3" s="228" customFormat="1" ht="12.95" customHeight="1">
      <c r="C102" s="383"/>
    </row>
    <row r="103" spans="3:3" s="228" customFormat="1" ht="12.95" customHeight="1">
      <c r="C103" s="383"/>
    </row>
    <row r="104" spans="3:3" s="228" customFormat="1" ht="12.95" customHeight="1">
      <c r="C104" s="383"/>
    </row>
    <row r="105" spans="3:3" s="228" customFormat="1" ht="12.95" customHeight="1">
      <c r="C105" s="383"/>
    </row>
    <row r="106" spans="3:3" s="228" customFormat="1" ht="12.95" customHeight="1">
      <c r="C106" s="383"/>
    </row>
    <row r="107" spans="3:3" s="228" customFormat="1" ht="12.95" customHeight="1">
      <c r="C107" s="383"/>
    </row>
    <row r="108" spans="3:3" s="228" customFormat="1" ht="12.95" customHeight="1">
      <c r="C108" s="383"/>
    </row>
    <row r="109" spans="3:3" s="228" customFormat="1" ht="12.95" customHeight="1">
      <c r="C109" s="383"/>
    </row>
    <row r="110" spans="3:3" s="228" customFormat="1" ht="12.95" customHeight="1">
      <c r="C110" s="383"/>
    </row>
    <row r="111" spans="3:3" s="228" customFormat="1" ht="12.95" customHeight="1">
      <c r="C111" s="383"/>
    </row>
    <row r="112" spans="3:3" s="228" customFormat="1" ht="12.95" customHeight="1">
      <c r="C112" s="383"/>
    </row>
    <row r="113" spans="3:3" s="228" customFormat="1" ht="12.95" customHeight="1">
      <c r="C113" s="383"/>
    </row>
    <row r="114" spans="3:3" s="228" customFormat="1" ht="12.95" customHeight="1">
      <c r="C114" s="383"/>
    </row>
    <row r="115" spans="3:3" s="228" customFormat="1" ht="12.95" customHeight="1">
      <c r="C115" s="383"/>
    </row>
    <row r="116" spans="3:3" s="228" customFormat="1" ht="12.95" customHeight="1">
      <c r="C116" s="383"/>
    </row>
    <row r="117" spans="3:3" s="228" customFormat="1" ht="12.95" customHeight="1">
      <c r="C117" s="383"/>
    </row>
    <row r="118" spans="3:3" s="228" customFormat="1" ht="12.95" customHeight="1">
      <c r="C118" s="383"/>
    </row>
    <row r="119" spans="3:3" s="228" customFormat="1" ht="12.95" customHeight="1">
      <c r="C119" s="383"/>
    </row>
    <row r="120" spans="3:3" s="228" customFormat="1" ht="12.95" customHeight="1">
      <c r="C120" s="383"/>
    </row>
    <row r="121" spans="3:3" s="228" customFormat="1" ht="12.95" customHeight="1">
      <c r="C121" s="383"/>
    </row>
    <row r="122" spans="3:3" s="228" customFormat="1" ht="12.95" customHeight="1">
      <c r="C122" s="383"/>
    </row>
    <row r="123" spans="3:3" s="228" customFormat="1" ht="12.95" customHeight="1">
      <c r="C123" s="383"/>
    </row>
    <row r="124" spans="3:3" s="228" customFormat="1" ht="12.95" customHeight="1">
      <c r="C124" s="383"/>
    </row>
  </sheetData>
  <sheetProtection autoFilter="0"/>
  <mergeCells count="5">
    <mergeCell ref="D7:AY7"/>
    <mergeCell ref="B3:AF3"/>
    <mergeCell ref="B5:AF5"/>
    <mergeCell ref="B1:C1"/>
    <mergeCell ref="D1:AF1"/>
  </mergeCells>
  <phoneticPr fontId="9" type="noConversion"/>
  <hyperlinks>
    <hyperlink ref="B1" location="Index!A1" display="Назад"/>
  </hyperlinks>
  <printOptions horizontalCentered="1" verticalCentered="1"/>
  <pageMargins left="0" right="0" top="0" bottom="0.15748031496062992" header="0.31496062992125984" footer="0"/>
  <pageSetup paperSize="9" scale="65" orientation="landscape" r:id="rId1"/>
  <headerFooter alignWithMargins="0"/>
</worksheet>
</file>

<file path=xl/worksheets/sheet110.xml><?xml version="1.0" encoding="utf-8"?>
<worksheet xmlns="http://schemas.openxmlformats.org/spreadsheetml/2006/main" xmlns:r="http://schemas.openxmlformats.org/officeDocument/2006/relationships">
  <dimension ref="B1:I420"/>
  <sheetViews>
    <sheetView zoomScaleNormal="100" workbookViewId="0">
      <pane ySplit="4" topLeftCell="A5" activePane="bottomLeft" state="frozen"/>
      <selection pane="bottomLeft" activeCell="B1" sqref="B1:C1"/>
    </sheetView>
  </sheetViews>
  <sheetFormatPr defaultRowHeight="12.95" customHeight="1"/>
  <cols>
    <col min="1" max="1" width="3.7109375" style="292" customWidth="1"/>
    <col min="2" max="4" width="15.7109375" style="292" customWidth="1"/>
    <col min="5" max="5" width="23.140625" style="292" customWidth="1"/>
    <col min="6" max="6" width="20.5703125" style="292" customWidth="1"/>
    <col min="7" max="7" width="14.140625" style="292" customWidth="1"/>
    <col min="8" max="8" width="19.28515625" style="292" customWidth="1"/>
    <col min="9" max="16384" width="9.140625" style="292"/>
  </cols>
  <sheetData>
    <row r="1" spans="2:8" ht="12.95" customHeight="1">
      <c r="B1" s="3129" t="s">
        <v>2706</v>
      </c>
      <c r="C1" s="3129"/>
      <c r="D1" s="2973" t="s">
        <v>8269</v>
      </c>
      <c r="E1" s="2973"/>
      <c r="F1" s="2973"/>
      <c r="G1" s="2973"/>
      <c r="H1" s="2973"/>
    </row>
    <row r="2" spans="2:8" ht="5.0999999999999996" customHeight="1"/>
    <row r="3" spans="2:8" ht="12.95" customHeight="1">
      <c r="B3" s="2978" t="s">
        <v>7847</v>
      </c>
      <c r="C3" s="2978"/>
      <c r="D3" s="2978"/>
      <c r="E3" s="2978"/>
      <c r="F3" s="2978"/>
      <c r="G3" s="2978"/>
      <c r="H3" s="2978"/>
    </row>
    <row r="4" spans="2:8" ht="5.0999999999999996" customHeight="1"/>
    <row r="5" spans="2:8" ht="51.95" customHeight="1">
      <c r="B5" s="2960" t="s">
        <v>9769</v>
      </c>
      <c r="C5" s="2960"/>
      <c r="D5" s="2960"/>
      <c r="E5" s="2960"/>
      <c r="F5" s="2960"/>
      <c r="G5" s="2960"/>
      <c r="H5" s="2960"/>
    </row>
    <row r="6" spans="2:8" ht="5.0999999999999996" customHeight="1" thickBot="1"/>
    <row r="7" spans="2:8" ht="12.95" customHeight="1">
      <c r="B7" s="4268" t="s">
        <v>7851</v>
      </c>
      <c r="C7" s="4269"/>
      <c r="D7" s="4270"/>
      <c r="E7" s="4265" t="s">
        <v>7852</v>
      </c>
      <c r="F7" s="4265" t="s">
        <v>7853</v>
      </c>
      <c r="G7" s="4265" t="s">
        <v>7855</v>
      </c>
      <c r="H7" s="4272" t="s">
        <v>7856</v>
      </c>
    </row>
    <row r="8" spans="2:8" ht="12.95" customHeight="1">
      <c r="B8" s="2417" t="s">
        <v>7848</v>
      </c>
      <c r="C8" s="2418" t="s">
        <v>7849</v>
      </c>
      <c r="D8" s="2419" t="s">
        <v>7850</v>
      </c>
      <c r="E8" s="4266"/>
      <c r="F8" s="4266"/>
      <c r="G8" s="4266"/>
      <c r="H8" s="4273"/>
    </row>
    <row r="9" spans="2:8" ht="21" thickBot="1">
      <c r="B9" s="2460">
        <v>1</v>
      </c>
      <c r="C9" s="2461">
        <v>1</v>
      </c>
      <c r="D9" s="2462">
        <v>1</v>
      </c>
      <c r="E9" s="2463">
        <v>1</v>
      </c>
      <c r="F9" s="2464" t="s">
        <v>1463</v>
      </c>
      <c r="G9" s="2465" t="s">
        <v>1463</v>
      </c>
      <c r="H9" s="2465" t="s">
        <v>7857</v>
      </c>
    </row>
    <row r="10" spans="2:8" ht="5.0999999999999996" customHeight="1" thickBot="1">
      <c r="B10" s="2414"/>
      <c r="C10" s="2414"/>
      <c r="D10" s="2414"/>
    </row>
    <row r="11" spans="2:8" ht="39" customHeight="1" thickBot="1">
      <c r="B11" s="4274" t="s">
        <v>7862</v>
      </c>
      <c r="C11" s="4275"/>
      <c r="D11" s="4275"/>
      <c r="E11" s="4275"/>
      <c r="F11" s="4275"/>
      <c r="G11" s="2466">
        <f>ROUND((200-ROUNDDOWN((B18+10)/(E18+5),0)+F18+G18)*H18,0)</f>
        <v>159</v>
      </c>
      <c r="H11" s="2467" t="s">
        <v>7863</v>
      </c>
    </row>
    <row r="12" spans="2:8" ht="20.25">
      <c r="B12" s="4267" t="s">
        <v>7864</v>
      </c>
      <c r="C12" s="4267"/>
      <c r="D12" s="4267"/>
      <c r="E12" s="4267"/>
      <c r="F12" s="4267"/>
      <c r="G12" s="4271" t="str">
        <f>IF(G11&gt;397,"Архангел",IF(G11&lt;5,"Бес",IF(G11&gt;139,VLOOKUP(G11,G26:H284,2,FALSE),VLOOKUP(G11,G285:H420,2,FALSE))))</f>
        <v>Призрак</v>
      </c>
      <c r="H12" s="4271"/>
    </row>
    <row r="13" spans="2:8" ht="12.95" hidden="1" customHeight="1">
      <c r="B13" s="2414"/>
      <c r="C13" s="2414"/>
      <c r="D13" s="2414"/>
    </row>
    <row r="14" spans="2:8" ht="12.95" hidden="1" customHeight="1">
      <c r="B14" s="2414"/>
      <c r="C14" s="2414"/>
      <c r="D14" s="2414"/>
    </row>
    <row r="15" spans="2:8" ht="12.95" hidden="1" customHeight="1">
      <c r="B15" s="2414"/>
      <c r="C15" s="2414"/>
      <c r="D15" s="2414"/>
    </row>
    <row r="16" spans="2:8" ht="12.95" hidden="1" customHeight="1">
      <c r="B16" s="2414"/>
      <c r="C16" s="2414"/>
      <c r="D16" s="2414"/>
    </row>
    <row r="17" spans="2:9" ht="12.95" hidden="1" customHeight="1">
      <c r="B17" s="2414"/>
      <c r="C17" s="2414"/>
      <c r="D17" s="2414"/>
    </row>
    <row r="18" spans="2:9" ht="12.95" hidden="1" customHeight="1">
      <c r="B18" s="3566">
        <f>D9+(C9-1)*7+(B9-1)*4*7</f>
        <v>1</v>
      </c>
      <c r="C18" s="3566"/>
      <c r="D18" s="3566"/>
      <c r="E18" s="2420">
        <f>E9</f>
        <v>1</v>
      </c>
      <c r="F18" s="2420">
        <f>IF(F9="Да",25,0)</f>
        <v>0</v>
      </c>
      <c r="G18" s="2420">
        <f>IF(G9="Да",25,0)</f>
        <v>0</v>
      </c>
      <c r="H18" s="2420">
        <f>VLOOKUP(H9,H19:I23,2,FALSE)</f>
        <v>0.8</v>
      </c>
    </row>
    <row r="19" spans="2:9" ht="12.95" hidden="1" customHeight="1">
      <c r="B19" s="292">
        <v>1</v>
      </c>
      <c r="C19" s="292">
        <v>1</v>
      </c>
      <c r="D19" s="292">
        <v>1</v>
      </c>
      <c r="E19" s="292">
        <v>1</v>
      </c>
      <c r="F19" s="292" t="s">
        <v>210</v>
      </c>
      <c r="G19" s="292" t="s">
        <v>210</v>
      </c>
      <c r="H19" s="292" t="s">
        <v>7857</v>
      </c>
      <c r="I19" s="292">
        <v>0.8</v>
      </c>
    </row>
    <row r="20" spans="2:9" ht="12.95" hidden="1" customHeight="1">
      <c r="B20" s="292">
        <v>2</v>
      </c>
      <c r="C20" s="292">
        <v>2</v>
      </c>
      <c r="D20" s="292">
        <v>2</v>
      </c>
      <c r="E20" s="292">
        <v>2</v>
      </c>
      <c r="F20" s="292" t="s">
        <v>1463</v>
      </c>
      <c r="G20" s="292" t="s">
        <v>1463</v>
      </c>
      <c r="H20" s="292" t="s">
        <v>7858</v>
      </c>
      <c r="I20" s="2414">
        <v>1</v>
      </c>
    </row>
    <row r="21" spans="2:9" ht="12.95" hidden="1" customHeight="1">
      <c r="B21" s="292">
        <v>3</v>
      </c>
      <c r="C21" s="292">
        <v>3</v>
      </c>
      <c r="D21" s="292">
        <v>3</v>
      </c>
      <c r="E21" s="292">
        <v>3</v>
      </c>
      <c r="F21" s="292" t="s">
        <v>7854</v>
      </c>
      <c r="H21" s="292" t="s">
        <v>7859</v>
      </c>
      <c r="I21" s="2414">
        <v>1.3</v>
      </c>
    </row>
    <row r="22" spans="2:9" ht="12.95" hidden="1" customHeight="1">
      <c r="B22" s="292">
        <v>4</v>
      </c>
      <c r="C22" s="292">
        <v>4</v>
      </c>
      <c r="D22" s="292">
        <v>4</v>
      </c>
      <c r="E22" s="292">
        <v>4</v>
      </c>
      <c r="H22" s="292" t="s">
        <v>7860</v>
      </c>
      <c r="I22" s="2414">
        <v>1.6</v>
      </c>
    </row>
    <row r="23" spans="2:9" ht="12.95" hidden="1" customHeight="1" thickBot="1">
      <c r="B23" s="292">
        <v>5</v>
      </c>
      <c r="D23" s="292">
        <v>5</v>
      </c>
      <c r="E23" s="292">
        <v>5</v>
      </c>
      <c r="H23" s="292" t="s">
        <v>7861</v>
      </c>
      <c r="I23" s="2414">
        <v>2</v>
      </c>
    </row>
    <row r="24" spans="2:9" ht="12.95" hidden="1" customHeight="1">
      <c r="B24" s="292">
        <v>6</v>
      </c>
      <c r="D24" s="292">
        <v>6</v>
      </c>
      <c r="E24" s="292">
        <v>6</v>
      </c>
      <c r="H24" s="1694"/>
    </row>
    <row r="25" spans="2:9" ht="12.95" hidden="1" customHeight="1">
      <c r="B25" s="292">
        <v>7</v>
      </c>
      <c r="D25" s="292">
        <v>7</v>
      </c>
      <c r="E25" s="292">
        <v>7</v>
      </c>
    </row>
    <row r="26" spans="2:9" ht="12.95" hidden="1" customHeight="1">
      <c r="B26" s="292">
        <v>8</v>
      </c>
      <c r="E26" s="292">
        <v>8</v>
      </c>
      <c r="G26" s="292">
        <v>500</v>
      </c>
      <c r="H26" s="292" t="s">
        <v>1220</v>
      </c>
    </row>
    <row r="27" spans="2:9" ht="12.95" hidden="1" customHeight="1">
      <c r="B27" s="292">
        <v>9</v>
      </c>
      <c r="E27" s="292">
        <v>9</v>
      </c>
      <c r="G27" s="292">
        <v>397</v>
      </c>
      <c r="H27" s="292" t="s">
        <v>3462</v>
      </c>
    </row>
    <row r="28" spans="2:9" ht="12.95" hidden="1" customHeight="1">
      <c r="B28" s="292">
        <v>10</v>
      </c>
      <c r="E28" s="292">
        <v>10</v>
      </c>
      <c r="G28" s="292">
        <v>396</v>
      </c>
      <c r="H28" s="292" t="s">
        <v>3462</v>
      </c>
    </row>
    <row r="29" spans="2:9" ht="12.95" hidden="1" customHeight="1">
      <c r="B29" s="292">
        <v>11</v>
      </c>
      <c r="E29" s="292">
        <v>11</v>
      </c>
      <c r="G29" s="292">
        <v>395</v>
      </c>
      <c r="H29" s="292" t="s">
        <v>3462</v>
      </c>
    </row>
    <row r="30" spans="2:9" ht="12.95" hidden="1" customHeight="1">
      <c r="B30" s="292">
        <v>12</v>
      </c>
      <c r="E30" s="292">
        <v>12</v>
      </c>
      <c r="G30" s="292">
        <v>394</v>
      </c>
      <c r="H30" s="292" t="s">
        <v>842</v>
      </c>
    </row>
    <row r="31" spans="2:9" ht="12.95" hidden="1" customHeight="1">
      <c r="B31" s="292">
        <v>13</v>
      </c>
      <c r="E31" s="292">
        <v>13</v>
      </c>
      <c r="G31" s="292">
        <v>393</v>
      </c>
      <c r="H31" s="292" t="s">
        <v>842</v>
      </c>
    </row>
    <row r="32" spans="2:9" ht="12.95" hidden="1" customHeight="1">
      <c r="B32" s="292">
        <v>14</v>
      </c>
      <c r="E32" s="292">
        <v>14</v>
      </c>
      <c r="G32" s="292">
        <v>392</v>
      </c>
      <c r="H32" s="292" t="s">
        <v>842</v>
      </c>
    </row>
    <row r="33" spans="2:8" ht="12.95" hidden="1" customHeight="1">
      <c r="B33" s="292">
        <v>15</v>
      </c>
      <c r="E33" s="292">
        <v>15</v>
      </c>
      <c r="G33" s="292">
        <v>391</v>
      </c>
      <c r="H33" s="292" t="s">
        <v>1221</v>
      </c>
    </row>
    <row r="34" spans="2:8" ht="12.95" hidden="1" customHeight="1">
      <c r="B34" s="292">
        <v>16</v>
      </c>
      <c r="E34" s="292">
        <v>16</v>
      </c>
      <c r="G34" s="292">
        <v>390</v>
      </c>
      <c r="H34" s="292" t="s">
        <v>1221</v>
      </c>
    </row>
    <row r="35" spans="2:8" ht="12.95" hidden="1" customHeight="1">
      <c r="B35" s="292">
        <v>17</v>
      </c>
      <c r="E35" s="292">
        <v>17</v>
      </c>
      <c r="G35" s="292">
        <v>389</v>
      </c>
      <c r="H35" s="292" t="s">
        <v>1221</v>
      </c>
    </row>
    <row r="36" spans="2:8" ht="12.95" hidden="1" customHeight="1">
      <c r="B36" s="292">
        <v>18</v>
      </c>
      <c r="E36" s="292">
        <v>18</v>
      </c>
      <c r="G36" s="292">
        <v>388</v>
      </c>
      <c r="H36" s="292" t="s">
        <v>1222</v>
      </c>
    </row>
    <row r="37" spans="2:8" ht="12.95" hidden="1" customHeight="1">
      <c r="B37" s="292">
        <v>19</v>
      </c>
      <c r="E37" s="292">
        <v>19</v>
      </c>
      <c r="G37" s="292">
        <v>387</v>
      </c>
      <c r="H37" s="292" t="s">
        <v>1222</v>
      </c>
    </row>
    <row r="38" spans="2:8" ht="12.95" hidden="1" customHeight="1">
      <c r="B38" s="292">
        <v>20</v>
      </c>
      <c r="E38" s="292">
        <v>20</v>
      </c>
      <c r="G38" s="292">
        <v>386</v>
      </c>
      <c r="H38" s="292" t="s">
        <v>1222</v>
      </c>
    </row>
    <row r="39" spans="2:8" ht="12.95" hidden="1" customHeight="1">
      <c r="B39" s="292">
        <v>21</v>
      </c>
      <c r="E39" s="292">
        <v>21</v>
      </c>
      <c r="G39" s="292">
        <v>385</v>
      </c>
      <c r="H39" s="292" t="s">
        <v>151</v>
      </c>
    </row>
    <row r="40" spans="2:8" ht="12.95" hidden="1" customHeight="1">
      <c r="B40" s="292">
        <v>22</v>
      </c>
      <c r="E40" s="292">
        <v>22</v>
      </c>
      <c r="G40" s="292">
        <v>384</v>
      </c>
      <c r="H40" s="292" t="s">
        <v>151</v>
      </c>
    </row>
    <row r="41" spans="2:8" ht="12.95" hidden="1" customHeight="1">
      <c r="B41" s="292">
        <v>23</v>
      </c>
      <c r="E41" s="292">
        <v>23</v>
      </c>
      <c r="G41" s="292">
        <v>383</v>
      </c>
      <c r="H41" s="292" t="s">
        <v>151</v>
      </c>
    </row>
    <row r="42" spans="2:8" ht="12.95" hidden="1" customHeight="1">
      <c r="B42" s="292">
        <v>24</v>
      </c>
      <c r="E42" s="292">
        <v>24</v>
      </c>
      <c r="G42" s="292">
        <v>382</v>
      </c>
      <c r="H42" s="292" t="s">
        <v>2611</v>
      </c>
    </row>
    <row r="43" spans="2:8" ht="12.95" hidden="1" customHeight="1">
      <c r="B43" s="292">
        <v>25</v>
      </c>
      <c r="E43" s="292">
        <v>25</v>
      </c>
      <c r="G43" s="292">
        <v>381</v>
      </c>
      <c r="H43" s="292" t="s">
        <v>2611</v>
      </c>
    </row>
    <row r="44" spans="2:8" ht="12.95" hidden="1" customHeight="1">
      <c r="B44" s="292">
        <v>26</v>
      </c>
      <c r="E44" s="292">
        <v>26</v>
      </c>
      <c r="G44" s="292">
        <v>380</v>
      </c>
      <c r="H44" s="292" t="s">
        <v>2611</v>
      </c>
    </row>
    <row r="45" spans="2:8" ht="12.95" hidden="1" customHeight="1">
      <c r="B45" s="292">
        <v>27</v>
      </c>
      <c r="E45" s="292">
        <v>27</v>
      </c>
      <c r="G45" s="292">
        <v>379</v>
      </c>
      <c r="H45" s="292" t="s">
        <v>1941</v>
      </c>
    </row>
    <row r="46" spans="2:8" ht="12.95" hidden="1" customHeight="1">
      <c r="B46" s="292">
        <v>28</v>
      </c>
      <c r="E46" s="292">
        <v>28</v>
      </c>
      <c r="G46" s="292">
        <v>378</v>
      </c>
      <c r="H46" s="292" t="s">
        <v>1941</v>
      </c>
    </row>
    <row r="47" spans="2:8" ht="12.95" hidden="1" customHeight="1">
      <c r="B47" s="292">
        <v>29</v>
      </c>
      <c r="E47" s="292">
        <v>29</v>
      </c>
      <c r="G47" s="292">
        <v>377</v>
      </c>
      <c r="H47" s="292" t="s">
        <v>1941</v>
      </c>
    </row>
    <row r="48" spans="2:8" ht="12.95" hidden="1" customHeight="1">
      <c r="B48" s="292">
        <v>30</v>
      </c>
      <c r="E48" s="292">
        <v>30</v>
      </c>
      <c r="G48" s="292">
        <v>376</v>
      </c>
      <c r="H48" s="292" t="s">
        <v>650</v>
      </c>
    </row>
    <row r="49" spans="2:8" ht="12.95" hidden="1" customHeight="1">
      <c r="B49" s="292">
        <v>31</v>
      </c>
      <c r="E49" s="292">
        <v>31</v>
      </c>
      <c r="G49" s="292">
        <v>375</v>
      </c>
      <c r="H49" s="292" t="s">
        <v>650</v>
      </c>
    </row>
    <row r="50" spans="2:8" ht="12.95" hidden="1" customHeight="1">
      <c r="B50" s="292">
        <v>32</v>
      </c>
      <c r="E50" s="292">
        <v>32</v>
      </c>
      <c r="G50" s="292">
        <v>374</v>
      </c>
      <c r="H50" s="292" t="s">
        <v>650</v>
      </c>
    </row>
    <row r="51" spans="2:8" ht="12.95" hidden="1" customHeight="1">
      <c r="B51" s="292">
        <v>33</v>
      </c>
      <c r="E51" s="292">
        <v>33</v>
      </c>
      <c r="G51" s="292">
        <v>373</v>
      </c>
      <c r="H51" s="292" t="s">
        <v>3447</v>
      </c>
    </row>
    <row r="52" spans="2:8" ht="12.95" hidden="1" customHeight="1">
      <c r="B52" s="292">
        <v>34</v>
      </c>
      <c r="E52" s="292">
        <v>34</v>
      </c>
      <c r="G52" s="292">
        <v>372</v>
      </c>
      <c r="H52" s="292" t="s">
        <v>3447</v>
      </c>
    </row>
    <row r="53" spans="2:8" ht="12.95" hidden="1" customHeight="1">
      <c r="B53" s="292">
        <v>35</v>
      </c>
      <c r="E53" s="292">
        <v>35</v>
      </c>
      <c r="G53" s="292">
        <v>371</v>
      </c>
      <c r="H53" s="292" t="s">
        <v>3447</v>
      </c>
    </row>
    <row r="54" spans="2:8" ht="12.95" hidden="1" customHeight="1">
      <c r="B54" s="292">
        <v>36</v>
      </c>
      <c r="E54" s="292">
        <v>36</v>
      </c>
      <c r="G54" s="292">
        <v>370</v>
      </c>
      <c r="H54" s="292" t="s">
        <v>1100</v>
      </c>
    </row>
    <row r="55" spans="2:8" ht="12.95" hidden="1" customHeight="1">
      <c r="B55" s="292">
        <v>37</v>
      </c>
      <c r="E55" s="292">
        <v>37</v>
      </c>
      <c r="G55" s="292">
        <v>369</v>
      </c>
      <c r="H55" s="292" t="s">
        <v>1100</v>
      </c>
    </row>
    <row r="56" spans="2:8" ht="12.95" hidden="1" customHeight="1">
      <c r="B56" s="292">
        <v>38</v>
      </c>
      <c r="E56" s="292">
        <v>38</v>
      </c>
      <c r="G56" s="292">
        <v>368</v>
      </c>
      <c r="H56" s="292" t="s">
        <v>1100</v>
      </c>
    </row>
    <row r="57" spans="2:8" ht="12.95" hidden="1" customHeight="1">
      <c r="B57" s="292">
        <v>39</v>
      </c>
      <c r="E57" s="292">
        <v>39</v>
      </c>
      <c r="G57" s="292">
        <v>367</v>
      </c>
      <c r="H57" s="292" t="s">
        <v>6432</v>
      </c>
    </row>
    <row r="58" spans="2:8" ht="12.95" hidden="1" customHeight="1">
      <c r="B58" s="292">
        <v>40</v>
      </c>
      <c r="E58" s="292">
        <v>40</v>
      </c>
      <c r="G58" s="292">
        <v>366</v>
      </c>
      <c r="H58" s="292" t="s">
        <v>6432</v>
      </c>
    </row>
    <row r="59" spans="2:8" ht="12.95" hidden="1" customHeight="1">
      <c r="B59" s="292">
        <v>41</v>
      </c>
      <c r="E59" s="292">
        <v>41</v>
      </c>
      <c r="G59" s="292">
        <v>365</v>
      </c>
      <c r="H59" s="292" t="s">
        <v>6432</v>
      </c>
    </row>
    <row r="60" spans="2:8" ht="12.95" hidden="1" customHeight="1">
      <c r="B60" s="292">
        <v>42</v>
      </c>
      <c r="E60" s="292">
        <v>42</v>
      </c>
      <c r="G60" s="292">
        <v>364</v>
      </c>
      <c r="H60" s="292" t="s">
        <v>651</v>
      </c>
    </row>
    <row r="61" spans="2:8" ht="12.95" hidden="1" customHeight="1">
      <c r="B61" s="292">
        <v>43</v>
      </c>
      <c r="E61" s="292">
        <v>43</v>
      </c>
      <c r="G61" s="292">
        <v>363</v>
      </c>
      <c r="H61" s="292" t="s">
        <v>651</v>
      </c>
    </row>
    <row r="62" spans="2:8" ht="12.95" hidden="1" customHeight="1">
      <c r="B62" s="292">
        <v>44</v>
      </c>
      <c r="E62" s="292">
        <v>44</v>
      </c>
      <c r="G62" s="292">
        <v>362</v>
      </c>
      <c r="H62" s="292" t="s">
        <v>651</v>
      </c>
    </row>
    <row r="63" spans="2:8" ht="12.95" hidden="1" customHeight="1">
      <c r="B63" s="292">
        <v>45</v>
      </c>
      <c r="E63" s="292">
        <v>45</v>
      </c>
      <c r="G63" s="292">
        <v>361</v>
      </c>
      <c r="H63" s="292" t="s">
        <v>652</v>
      </c>
    </row>
    <row r="64" spans="2:8" ht="12.95" hidden="1" customHeight="1">
      <c r="B64" s="292">
        <v>46</v>
      </c>
      <c r="E64" s="292">
        <v>46</v>
      </c>
      <c r="G64" s="292">
        <v>360</v>
      </c>
      <c r="H64" s="292" t="s">
        <v>652</v>
      </c>
    </row>
    <row r="65" spans="2:8" ht="12.95" hidden="1" customHeight="1">
      <c r="B65" s="292">
        <v>47</v>
      </c>
      <c r="E65" s="292">
        <v>47</v>
      </c>
      <c r="G65" s="292">
        <v>359</v>
      </c>
      <c r="H65" s="292" t="s">
        <v>652</v>
      </c>
    </row>
    <row r="66" spans="2:8" ht="12.95" hidden="1" customHeight="1">
      <c r="B66" s="292">
        <v>48</v>
      </c>
      <c r="E66" s="292">
        <v>48</v>
      </c>
      <c r="G66" s="292">
        <v>358</v>
      </c>
      <c r="H66" s="292" t="s">
        <v>899</v>
      </c>
    </row>
    <row r="67" spans="2:8" ht="12.95" hidden="1" customHeight="1">
      <c r="B67" s="292">
        <v>49</v>
      </c>
      <c r="G67" s="292">
        <v>357</v>
      </c>
      <c r="H67" s="292" t="s">
        <v>899</v>
      </c>
    </row>
    <row r="68" spans="2:8" ht="12.95" hidden="1" customHeight="1">
      <c r="B68" s="292">
        <v>50</v>
      </c>
      <c r="G68" s="292">
        <v>356</v>
      </c>
      <c r="H68" s="292" t="s">
        <v>899</v>
      </c>
    </row>
    <row r="69" spans="2:8" ht="12.95" hidden="1" customHeight="1">
      <c r="B69" s="292">
        <v>51</v>
      </c>
      <c r="G69" s="292">
        <v>355</v>
      </c>
      <c r="H69" s="292" t="s">
        <v>653</v>
      </c>
    </row>
    <row r="70" spans="2:8" ht="12.95" hidden="1" customHeight="1">
      <c r="B70" s="292">
        <v>52</v>
      </c>
      <c r="G70" s="292">
        <v>354</v>
      </c>
      <c r="H70" s="292" t="s">
        <v>653</v>
      </c>
    </row>
    <row r="71" spans="2:8" ht="12.95" hidden="1" customHeight="1">
      <c r="B71" s="292">
        <v>53</v>
      </c>
      <c r="G71" s="292">
        <v>353</v>
      </c>
      <c r="H71" s="292" t="s">
        <v>653</v>
      </c>
    </row>
    <row r="72" spans="2:8" ht="12.95" hidden="1" customHeight="1">
      <c r="B72" s="292">
        <v>54</v>
      </c>
      <c r="G72" s="292">
        <v>352</v>
      </c>
      <c r="H72" s="292" t="s">
        <v>3453</v>
      </c>
    </row>
    <row r="73" spans="2:8" ht="12.95" hidden="1" customHeight="1">
      <c r="B73" s="292">
        <v>55</v>
      </c>
      <c r="G73" s="292">
        <v>351</v>
      </c>
      <c r="H73" s="292" t="s">
        <v>3453</v>
      </c>
    </row>
    <row r="74" spans="2:8" ht="12.95" hidden="1" customHeight="1">
      <c r="B74" s="292">
        <v>56</v>
      </c>
      <c r="G74" s="292">
        <v>350</v>
      </c>
      <c r="H74" s="292" t="s">
        <v>3453</v>
      </c>
    </row>
    <row r="75" spans="2:8" ht="12.95" hidden="1" customHeight="1">
      <c r="B75" s="292">
        <v>57</v>
      </c>
      <c r="G75" s="292">
        <v>349</v>
      </c>
      <c r="H75" s="292" t="s">
        <v>2607</v>
      </c>
    </row>
    <row r="76" spans="2:8" ht="12.95" hidden="1" customHeight="1">
      <c r="B76" s="292">
        <v>58</v>
      </c>
      <c r="G76" s="292">
        <v>348</v>
      </c>
      <c r="H76" s="292" t="s">
        <v>2607</v>
      </c>
    </row>
    <row r="77" spans="2:8" ht="12.95" hidden="1" customHeight="1">
      <c r="B77" s="292">
        <v>59</v>
      </c>
      <c r="G77" s="292">
        <v>347</v>
      </c>
      <c r="H77" s="292" t="s">
        <v>2607</v>
      </c>
    </row>
    <row r="78" spans="2:8" ht="12.95" hidden="1" customHeight="1">
      <c r="B78" s="292">
        <v>60</v>
      </c>
      <c r="G78" s="292">
        <v>346</v>
      </c>
      <c r="H78" s="292" t="s">
        <v>654</v>
      </c>
    </row>
    <row r="79" spans="2:8" ht="12.95" hidden="1" customHeight="1">
      <c r="B79" s="292">
        <v>61</v>
      </c>
      <c r="G79" s="292">
        <v>345</v>
      </c>
      <c r="H79" s="292" t="s">
        <v>654</v>
      </c>
    </row>
    <row r="80" spans="2:8" ht="12.95" hidden="1" customHeight="1">
      <c r="B80" s="292">
        <v>62</v>
      </c>
      <c r="G80" s="292">
        <v>344</v>
      </c>
      <c r="H80" s="292" t="s">
        <v>654</v>
      </c>
    </row>
    <row r="81" spans="2:8" ht="12.95" hidden="1" customHeight="1">
      <c r="B81" s="292">
        <v>63</v>
      </c>
      <c r="G81" s="292">
        <v>343</v>
      </c>
      <c r="H81" s="292" t="s">
        <v>3456</v>
      </c>
    </row>
    <row r="82" spans="2:8" ht="12.95" hidden="1" customHeight="1">
      <c r="B82" s="292">
        <v>64</v>
      </c>
      <c r="G82" s="292">
        <v>342</v>
      </c>
      <c r="H82" s="292" t="s">
        <v>3456</v>
      </c>
    </row>
    <row r="83" spans="2:8" ht="12.95" hidden="1" customHeight="1">
      <c r="B83" s="292">
        <v>65</v>
      </c>
      <c r="G83" s="292">
        <v>341</v>
      </c>
      <c r="H83" s="292" t="s">
        <v>3456</v>
      </c>
    </row>
    <row r="84" spans="2:8" ht="12.95" hidden="1" customHeight="1">
      <c r="B84" s="292">
        <v>66</v>
      </c>
      <c r="G84" s="292">
        <v>340</v>
      </c>
      <c r="H84" s="292" t="s">
        <v>841</v>
      </c>
    </row>
    <row r="85" spans="2:8" ht="12.95" hidden="1" customHeight="1">
      <c r="B85" s="292">
        <v>67</v>
      </c>
      <c r="G85" s="292">
        <v>339</v>
      </c>
      <c r="H85" s="292" t="s">
        <v>841</v>
      </c>
    </row>
    <row r="86" spans="2:8" ht="12.95" hidden="1" customHeight="1">
      <c r="B86" s="292">
        <v>68</v>
      </c>
      <c r="G86" s="292">
        <v>338</v>
      </c>
      <c r="H86" s="292" t="s">
        <v>841</v>
      </c>
    </row>
    <row r="87" spans="2:8" ht="12.95" hidden="1" customHeight="1">
      <c r="B87" s="292">
        <v>69</v>
      </c>
      <c r="G87" s="292">
        <v>337</v>
      </c>
      <c r="H87" s="292" t="s">
        <v>566</v>
      </c>
    </row>
    <row r="88" spans="2:8" ht="12.95" hidden="1" customHeight="1">
      <c r="B88" s="292">
        <v>70</v>
      </c>
      <c r="G88" s="292">
        <v>336</v>
      </c>
      <c r="H88" s="292" t="s">
        <v>566</v>
      </c>
    </row>
    <row r="89" spans="2:8" ht="12.95" hidden="1" customHeight="1">
      <c r="B89" s="292">
        <v>71</v>
      </c>
      <c r="G89" s="292">
        <v>335</v>
      </c>
      <c r="H89" s="292" t="s">
        <v>566</v>
      </c>
    </row>
    <row r="90" spans="2:8" ht="12.95" hidden="1" customHeight="1">
      <c r="B90" s="292">
        <v>72</v>
      </c>
      <c r="G90" s="292">
        <v>334</v>
      </c>
      <c r="H90" s="292" t="s">
        <v>567</v>
      </c>
    </row>
    <row r="91" spans="2:8" ht="12.95" hidden="1" customHeight="1">
      <c r="B91" s="292">
        <v>73</v>
      </c>
      <c r="G91" s="292">
        <v>333</v>
      </c>
      <c r="H91" s="292" t="s">
        <v>567</v>
      </c>
    </row>
    <row r="92" spans="2:8" ht="12.95" hidden="1" customHeight="1">
      <c r="B92" s="292">
        <v>74</v>
      </c>
      <c r="G92" s="292">
        <v>332</v>
      </c>
      <c r="H92" s="292" t="s">
        <v>567</v>
      </c>
    </row>
    <row r="93" spans="2:8" ht="12.75" hidden="1" customHeight="1">
      <c r="B93" s="292">
        <v>75</v>
      </c>
      <c r="G93" s="292">
        <v>331</v>
      </c>
      <c r="H93" s="292" t="s">
        <v>3463</v>
      </c>
    </row>
    <row r="94" spans="2:8" ht="12.75" hidden="1" customHeight="1">
      <c r="B94" s="292">
        <v>76</v>
      </c>
      <c r="G94" s="292">
        <v>330</v>
      </c>
      <c r="H94" s="292" t="s">
        <v>3463</v>
      </c>
    </row>
    <row r="95" spans="2:8" ht="12.75" hidden="1" customHeight="1">
      <c r="B95" s="292">
        <v>77</v>
      </c>
      <c r="G95" s="292">
        <v>329</v>
      </c>
      <c r="H95" s="292" t="s">
        <v>3463</v>
      </c>
    </row>
    <row r="96" spans="2:8" ht="12.95" hidden="1" customHeight="1">
      <c r="B96" s="292">
        <v>78</v>
      </c>
      <c r="G96" s="292">
        <v>328</v>
      </c>
      <c r="H96" s="292" t="s">
        <v>1052</v>
      </c>
    </row>
    <row r="97" spans="2:8" ht="12.95" hidden="1" customHeight="1">
      <c r="B97" s="292">
        <v>79</v>
      </c>
      <c r="G97" s="292">
        <v>327</v>
      </c>
      <c r="H97" s="292" t="s">
        <v>1052</v>
      </c>
    </row>
    <row r="98" spans="2:8" ht="12.95" hidden="1" customHeight="1">
      <c r="B98" s="292">
        <v>80</v>
      </c>
      <c r="G98" s="292">
        <v>326</v>
      </c>
      <c r="H98" s="292" t="s">
        <v>1052</v>
      </c>
    </row>
    <row r="99" spans="2:8" ht="12.95" hidden="1" customHeight="1">
      <c r="B99" s="292">
        <v>81</v>
      </c>
      <c r="G99" s="292">
        <v>325</v>
      </c>
      <c r="H99" s="292" t="s">
        <v>3063</v>
      </c>
    </row>
    <row r="100" spans="2:8" ht="12.95" hidden="1" customHeight="1">
      <c r="B100" s="292">
        <v>82</v>
      </c>
      <c r="G100" s="292">
        <v>324</v>
      </c>
      <c r="H100" s="292" t="s">
        <v>3063</v>
      </c>
    </row>
    <row r="101" spans="2:8" ht="12.95" hidden="1" customHeight="1">
      <c r="B101" s="292">
        <v>83</v>
      </c>
      <c r="G101" s="292">
        <v>323</v>
      </c>
      <c r="H101" s="292" t="s">
        <v>3063</v>
      </c>
    </row>
    <row r="102" spans="2:8" ht="12.95" hidden="1" customHeight="1">
      <c r="B102" s="292">
        <v>84</v>
      </c>
      <c r="G102" s="292">
        <v>322</v>
      </c>
      <c r="H102" s="292" t="s">
        <v>1053</v>
      </c>
    </row>
    <row r="103" spans="2:8" ht="12.95" hidden="1" customHeight="1">
      <c r="B103" s="292">
        <v>85</v>
      </c>
      <c r="G103" s="292">
        <v>321</v>
      </c>
      <c r="H103" s="292" t="s">
        <v>1053</v>
      </c>
    </row>
    <row r="104" spans="2:8" ht="12.95" hidden="1" customHeight="1">
      <c r="B104" s="292">
        <v>86</v>
      </c>
      <c r="G104" s="292">
        <v>320</v>
      </c>
      <c r="H104" s="292" t="s">
        <v>1053</v>
      </c>
    </row>
    <row r="105" spans="2:8" ht="12.95" hidden="1" customHeight="1">
      <c r="B105" s="292">
        <v>87</v>
      </c>
      <c r="G105" s="292">
        <v>319</v>
      </c>
      <c r="H105" s="292" t="s">
        <v>1054</v>
      </c>
    </row>
    <row r="106" spans="2:8" ht="12.95" hidden="1" customHeight="1">
      <c r="B106" s="292">
        <v>88</v>
      </c>
      <c r="G106" s="292">
        <v>318</v>
      </c>
      <c r="H106" s="292" t="s">
        <v>1054</v>
      </c>
    </row>
    <row r="107" spans="2:8" ht="12.95" hidden="1" customHeight="1">
      <c r="B107" s="292">
        <v>89</v>
      </c>
      <c r="G107" s="292">
        <v>317</v>
      </c>
      <c r="H107" s="292" t="s">
        <v>1054</v>
      </c>
    </row>
    <row r="108" spans="2:8" ht="12.95" hidden="1" customHeight="1">
      <c r="B108" s="292">
        <v>90</v>
      </c>
      <c r="G108" s="292">
        <v>316</v>
      </c>
      <c r="H108" s="292" t="s">
        <v>3466</v>
      </c>
    </row>
    <row r="109" spans="2:8" ht="12.95" hidden="1" customHeight="1">
      <c r="B109" s="292">
        <v>91</v>
      </c>
      <c r="G109" s="292">
        <v>315</v>
      </c>
      <c r="H109" s="292" t="s">
        <v>3466</v>
      </c>
    </row>
    <row r="110" spans="2:8" ht="12.95" hidden="1" customHeight="1">
      <c r="B110" s="292">
        <v>92</v>
      </c>
      <c r="G110" s="292">
        <v>314</v>
      </c>
      <c r="H110" s="292" t="s">
        <v>3466</v>
      </c>
    </row>
    <row r="111" spans="2:8" ht="12.95" hidden="1" customHeight="1">
      <c r="B111" s="292">
        <v>93</v>
      </c>
      <c r="G111" s="292">
        <v>313</v>
      </c>
      <c r="H111" s="292" t="s">
        <v>150</v>
      </c>
    </row>
    <row r="112" spans="2:8" ht="12.95" hidden="1" customHeight="1">
      <c r="B112" s="292">
        <v>94</v>
      </c>
      <c r="G112" s="292">
        <v>312</v>
      </c>
      <c r="H112" s="292" t="s">
        <v>150</v>
      </c>
    </row>
    <row r="113" spans="2:8" ht="12.95" hidden="1" customHeight="1">
      <c r="B113" s="292">
        <v>95</v>
      </c>
      <c r="G113" s="292">
        <v>311</v>
      </c>
      <c r="H113" s="292" t="s">
        <v>150</v>
      </c>
    </row>
    <row r="114" spans="2:8" ht="12.95" hidden="1" customHeight="1">
      <c r="B114" s="292">
        <v>96</v>
      </c>
      <c r="G114" s="292">
        <v>310</v>
      </c>
      <c r="H114" s="292" t="s">
        <v>614</v>
      </c>
    </row>
    <row r="115" spans="2:8" ht="12.95" hidden="1" customHeight="1">
      <c r="B115" s="292">
        <v>97</v>
      </c>
      <c r="G115" s="292">
        <v>309</v>
      </c>
      <c r="H115" s="292" t="s">
        <v>614</v>
      </c>
    </row>
    <row r="116" spans="2:8" ht="12.95" hidden="1" customHeight="1">
      <c r="B116" s="292">
        <v>98</v>
      </c>
      <c r="G116" s="292">
        <v>308</v>
      </c>
      <c r="H116" s="292" t="s">
        <v>614</v>
      </c>
    </row>
    <row r="117" spans="2:8" ht="12.95" hidden="1" customHeight="1">
      <c r="B117" s="292">
        <v>99</v>
      </c>
      <c r="G117" s="292">
        <v>307</v>
      </c>
      <c r="H117" s="292" t="s">
        <v>1062</v>
      </c>
    </row>
    <row r="118" spans="2:8" ht="12.95" hidden="1" customHeight="1">
      <c r="G118" s="292">
        <v>306</v>
      </c>
      <c r="H118" s="292" t="s">
        <v>1062</v>
      </c>
    </row>
    <row r="119" spans="2:8" ht="12.95" hidden="1" customHeight="1">
      <c r="G119" s="292">
        <v>305</v>
      </c>
      <c r="H119" s="292" t="s">
        <v>1062</v>
      </c>
    </row>
    <row r="120" spans="2:8" ht="12.95" hidden="1" customHeight="1">
      <c r="G120" s="292">
        <v>304</v>
      </c>
      <c r="H120" s="292" t="s">
        <v>1521</v>
      </c>
    </row>
    <row r="121" spans="2:8" ht="12.95" hidden="1" customHeight="1">
      <c r="G121" s="292">
        <v>303</v>
      </c>
      <c r="H121" s="292" t="s">
        <v>1521</v>
      </c>
    </row>
    <row r="122" spans="2:8" ht="12.95" hidden="1" customHeight="1">
      <c r="G122" s="292">
        <v>302</v>
      </c>
      <c r="H122" s="292" t="s">
        <v>1521</v>
      </c>
    </row>
    <row r="123" spans="2:8" ht="12.95" hidden="1" customHeight="1">
      <c r="G123" s="292">
        <v>301</v>
      </c>
      <c r="H123" s="292" t="s">
        <v>149</v>
      </c>
    </row>
    <row r="124" spans="2:8" ht="12.95" hidden="1" customHeight="1">
      <c r="G124" s="292">
        <v>300</v>
      </c>
      <c r="H124" s="292" t="s">
        <v>149</v>
      </c>
    </row>
    <row r="125" spans="2:8" ht="12.95" hidden="1" customHeight="1">
      <c r="G125" s="292">
        <v>299</v>
      </c>
      <c r="H125" s="292" t="s">
        <v>149</v>
      </c>
    </row>
    <row r="126" spans="2:8" ht="12.95" hidden="1" customHeight="1">
      <c r="G126" s="292">
        <v>298</v>
      </c>
      <c r="H126" s="292" t="s">
        <v>898</v>
      </c>
    </row>
    <row r="127" spans="2:8" ht="12.95" hidden="1" customHeight="1">
      <c r="G127" s="292">
        <v>297</v>
      </c>
      <c r="H127" s="292" t="s">
        <v>898</v>
      </c>
    </row>
    <row r="128" spans="2:8" ht="12.95" hidden="1" customHeight="1">
      <c r="G128" s="292">
        <v>296</v>
      </c>
      <c r="H128" s="292" t="s">
        <v>898</v>
      </c>
    </row>
    <row r="129" spans="7:8" ht="12.95" hidden="1" customHeight="1">
      <c r="G129" s="292">
        <v>295</v>
      </c>
      <c r="H129" s="292" t="s">
        <v>3461</v>
      </c>
    </row>
    <row r="130" spans="7:8" ht="12.95" hidden="1" customHeight="1">
      <c r="G130" s="292">
        <v>294</v>
      </c>
      <c r="H130" s="292" t="s">
        <v>3461</v>
      </c>
    </row>
    <row r="131" spans="7:8" ht="12.95" hidden="1" customHeight="1">
      <c r="G131" s="292">
        <v>293</v>
      </c>
      <c r="H131" s="292" t="s">
        <v>3461</v>
      </c>
    </row>
    <row r="132" spans="7:8" ht="12.95" hidden="1" customHeight="1">
      <c r="G132" s="292">
        <v>292</v>
      </c>
      <c r="H132" s="292" t="s">
        <v>613</v>
      </c>
    </row>
    <row r="133" spans="7:8" ht="12.95" hidden="1" customHeight="1">
      <c r="G133" s="292">
        <v>291</v>
      </c>
      <c r="H133" s="292" t="s">
        <v>613</v>
      </c>
    </row>
    <row r="134" spans="7:8" ht="12.95" hidden="1" customHeight="1">
      <c r="G134" s="292">
        <v>290</v>
      </c>
      <c r="H134" s="292" t="s">
        <v>613</v>
      </c>
    </row>
    <row r="135" spans="7:8" ht="12.95" hidden="1" customHeight="1">
      <c r="G135" s="292">
        <v>289</v>
      </c>
      <c r="H135" s="292" t="s">
        <v>1309</v>
      </c>
    </row>
    <row r="136" spans="7:8" ht="12.95" hidden="1" customHeight="1">
      <c r="G136" s="292">
        <v>288</v>
      </c>
      <c r="H136" s="292" t="s">
        <v>1309</v>
      </c>
    </row>
    <row r="137" spans="7:8" ht="12.95" hidden="1" customHeight="1">
      <c r="G137" s="292">
        <v>287</v>
      </c>
      <c r="H137" s="292" t="s">
        <v>1309</v>
      </c>
    </row>
    <row r="138" spans="7:8" ht="12.95" hidden="1" customHeight="1">
      <c r="G138" s="292">
        <v>286</v>
      </c>
      <c r="H138" s="292" t="s">
        <v>3452</v>
      </c>
    </row>
    <row r="139" spans="7:8" ht="12.95" hidden="1" customHeight="1">
      <c r="G139" s="292">
        <v>285</v>
      </c>
      <c r="H139" s="292" t="s">
        <v>3452</v>
      </c>
    </row>
    <row r="140" spans="7:8" ht="12.95" hidden="1" customHeight="1">
      <c r="G140" s="292">
        <v>284</v>
      </c>
      <c r="H140" s="292" t="s">
        <v>3452</v>
      </c>
    </row>
    <row r="141" spans="7:8" ht="12.95" hidden="1" customHeight="1">
      <c r="G141" s="292">
        <v>283</v>
      </c>
      <c r="H141" s="292" t="s">
        <v>641</v>
      </c>
    </row>
    <row r="142" spans="7:8" ht="12.95" hidden="1" customHeight="1">
      <c r="G142" s="292">
        <v>282</v>
      </c>
      <c r="H142" s="292" t="s">
        <v>641</v>
      </c>
    </row>
    <row r="143" spans="7:8" ht="12.95" hidden="1" customHeight="1">
      <c r="G143" s="292">
        <v>281</v>
      </c>
      <c r="H143" s="292" t="s">
        <v>641</v>
      </c>
    </row>
    <row r="144" spans="7:8" ht="12.75" hidden="1">
      <c r="G144" s="292">
        <v>280</v>
      </c>
      <c r="H144" s="292" t="s">
        <v>3062</v>
      </c>
    </row>
    <row r="145" spans="7:8" ht="12.75" hidden="1">
      <c r="G145" s="292">
        <v>279</v>
      </c>
      <c r="H145" s="292" t="s">
        <v>3062</v>
      </c>
    </row>
    <row r="146" spans="7:8" ht="12.75" hidden="1">
      <c r="G146" s="292">
        <v>278</v>
      </c>
      <c r="H146" s="292" t="s">
        <v>3062</v>
      </c>
    </row>
    <row r="147" spans="7:8" ht="12.95" hidden="1" customHeight="1">
      <c r="G147" s="292">
        <v>277</v>
      </c>
      <c r="H147" s="292" t="s">
        <v>642</v>
      </c>
    </row>
    <row r="148" spans="7:8" ht="12.95" hidden="1" customHeight="1">
      <c r="G148" s="292">
        <v>276</v>
      </c>
      <c r="H148" s="292" t="s">
        <v>642</v>
      </c>
    </row>
    <row r="149" spans="7:8" ht="12.95" hidden="1" customHeight="1">
      <c r="G149" s="292">
        <v>275</v>
      </c>
      <c r="H149" s="292" t="s">
        <v>642</v>
      </c>
    </row>
    <row r="150" spans="7:8" ht="12.95" hidden="1" customHeight="1">
      <c r="G150" s="292">
        <v>274</v>
      </c>
      <c r="H150" s="292" t="s">
        <v>643</v>
      </c>
    </row>
    <row r="151" spans="7:8" ht="12.95" hidden="1" customHeight="1">
      <c r="G151" s="292">
        <v>273</v>
      </c>
      <c r="H151" s="292" t="s">
        <v>643</v>
      </c>
    </row>
    <row r="152" spans="7:8" ht="12.95" hidden="1" customHeight="1">
      <c r="G152" s="292">
        <v>272</v>
      </c>
      <c r="H152" s="292" t="s">
        <v>643</v>
      </c>
    </row>
    <row r="153" spans="7:8" ht="12.95" hidden="1" customHeight="1">
      <c r="G153" s="292">
        <v>271</v>
      </c>
      <c r="H153" s="292" t="s">
        <v>3446</v>
      </c>
    </row>
    <row r="154" spans="7:8" ht="12.95" hidden="1" customHeight="1">
      <c r="G154" s="292">
        <v>270</v>
      </c>
      <c r="H154" s="292" t="s">
        <v>3446</v>
      </c>
    </row>
    <row r="155" spans="7:8" ht="12.95" hidden="1" customHeight="1">
      <c r="G155" s="292">
        <v>269</v>
      </c>
      <c r="H155" s="292" t="s">
        <v>3446</v>
      </c>
    </row>
    <row r="156" spans="7:8" ht="12.95" hidden="1" customHeight="1">
      <c r="G156" s="292">
        <v>268</v>
      </c>
      <c r="H156" s="292" t="s">
        <v>3455</v>
      </c>
    </row>
    <row r="157" spans="7:8" ht="12.95" hidden="1" customHeight="1">
      <c r="G157" s="292">
        <v>267</v>
      </c>
      <c r="H157" s="292" t="s">
        <v>3455</v>
      </c>
    </row>
    <row r="158" spans="7:8" ht="12.95" hidden="1" customHeight="1">
      <c r="G158" s="292">
        <v>266</v>
      </c>
      <c r="H158" s="292" t="s">
        <v>3455</v>
      </c>
    </row>
    <row r="159" spans="7:8" ht="12.95" hidden="1" customHeight="1">
      <c r="G159" s="292">
        <v>265</v>
      </c>
      <c r="H159" s="292" t="s">
        <v>2534</v>
      </c>
    </row>
    <row r="160" spans="7:8" ht="12.95" hidden="1" customHeight="1">
      <c r="G160" s="292">
        <v>264</v>
      </c>
      <c r="H160" s="292" t="s">
        <v>2534</v>
      </c>
    </row>
    <row r="161" spans="7:8" ht="12.95" hidden="1" customHeight="1">
      <c r="G161" s="292">
        <v>263</v>
      </c>
      <c r="H161" s="292" t="s">
        <v>2534</v>
      </c>
    </row>
    <row r="162" spans="7:8" ht="12.95" hidden="1" customHeight="1">
      <c r="G162" s="292">
        <v>262</v>
      </c>
      <c r="H162" s="292" t="s">
        <v>1520</v>
      </c>
    </row>
    <row r="163" spans="7:8" ht="12.95" hidden="1" customHeight="1">
      <c r="G163" s="292">
        <v>261</v>
      </c>
      <c r="H163" s="292" t="s">
        <v>1520</v>
      </c>
    </row>
    <row r="164" spans="7:8" ht="12.95" hidden="1" customHeight="1">
      <c r="G164" s="292">
        <v>260</v>
      </c>
      <c r="H164" s="292" t="s">
        <v>1520</v>
      </c>
    </row>
    <row r="165" spans="7:8" ht="12.95" hidden="1" customHeight="1">
      <c r="G165" s="292">
        <v>259</v>
      </c>
      <c r="H165" s="292" t="s">
        <v>1644</v>
      </c>
    </row>
    <row r="166" spans="7:8" ht="12.95" hidden="1" customHeight="1">
      <c r="G166" s="292">
        <v>258</v>
      </c>
      <c r="H166" s="292" t="s">
        <v>1644</v>
      </c>
    </row>
    <row r="167" spans="7:8" ht="12.95" hidden="1" customHeight="1">
      <c r="G167" s="292">
        <v>257</v>
      </c>
      <c r="H167" s="292" t="s">
        <v>1644</v>
      </c>
    </row>
    <row r="168" spans="7:8" ht="12.95" hidden="1" customHeight="1">
      <c r="G168" s="292">
        <v>256</v>
      </c>
      <c r="H168" s="292" t="s">
        <v>2545</v>
      </c>
    </row>
    <row r="169" spans="7:8" ht="12.95" hidden="1" customHeight="1">
      <c r="G169" s="292">
        <v>255</v>
      </c>
      <c r="H169" s="292" t="s">
        <v>2545</v>
      </c>
    </row>
    <row r="170" spans="7:8" ht="12.95" hidden="1" customHeight="1">
      <c r="G170" s="292">
        <v>254</v>
      </c>
      <c r="H170" s="292" t="s">
        <v>2545</v>
      </c>
    </row>
    <row r="171" spans="7:8" ht="12.95" hidden="1" customHeight="1">
      <c r="G171" s="292">
        <v>253</v>
      </c>
      <c r="H171" s="292" t="s">
        <v>3451</v>
      </c>
    </row>
    <row r="172" spans="7:8" ht="12.95" hidden="1" customHeight="1">
      <c r="G172" s="292">
        <v>252</v>
      </c>
      <c r="H172" s="292" t="s">
        <v>3451</v>
      </c>
    </row>
    <row r="173" spans="7:8" ht="12.95" hidden="1" customHeight="1">
      <c r="G173" s="292">
        <v>251</v>
      </c>
      <c r="H173" s="292" t="s">
        <v>3451</v>
      </c>
    </row>
    <row r="174" spans="7:8" ht="12.95" hidden="1" customHeight="1">
      <c r="G174" s="292">
        <v>250</v>
      </c>
      <c r="H174" s="292" t="s">
        <v>3470</v>
      </c>
    </row>
    <row r="175" spans="7:8" ht="12.95" hidden="1" customHeight="1">
      <c r="G175" s="292">
        <v>249</v>
      </c>
      <c r="H175" s="292" t="s">
        <v>3470</v>
      </c>
    </row>
    <row r="176" spans="7:8" ht="12.95" hidden="1" customHeight="1">
      <c r="G176" s="292">
        <v>248</v>
      </c>
      <c r="H176" s="292" t="s">
        <v>3470</v>
      </c>
    </row>
    <row r="177" spans="7:8" ht="12.95" hidden="1" customHeight="1">
      <c r="G177" s="292">
        <v>247</v>
      </c>
      <c r="H177" s="292" t="s">
        <v>1984</v>
      </c>
    </row>
    <row r="178" spans="7:8" ht="12.95" hidden="1" customHeight="1">
      <c r="G178" s="292">
        <v>246</v>
      </c>
      <c r="H178" s="292" t="s">
        <v>1984</v>
      </c>
    </row>
    <row r="179" spans="7:8" ht="12.95" hidden="1" customHeight="1">
      <c r="G179" s="292">
        <v>245</v>
      </c>
      <c r="H179" s="292" t="s">
        <v>1984</v>
      </c>
    </row>
    <row r="180" spans="7:8" ht="12.95" hidden="1" customHeight="1">
      <c r="G180" s="292">
        <v>244</v>
      </c>
      <c r="H180" s="292" t="s">
        <v>1645</v>
      </c>
    </row>
    <row r="181" spans="7:8" ht="12.95" hidden="1" customHeight="1">
      <c r="G181" s="292">
        <v>243</v>
      </c>
      <c r="H181" s="292" t="s">
        <v>1645</v>
      </c>
    </row>
    <row r="182" spans="7:8" ht="12.95" hidden="1" customHeight="1">
      <c r="G182" s="292">
        <v>242</v>
      </c>
      <c r="H182" s="292" t="s">
        <v>1645</v>
      </c>
    </row>
    <row r="183" spans="7:8" ht="12.95" hidden="1" customHeight="1">
      <c r="G183" s="292">
        <v>241</v>
      </c>
      <c r="H183" s="292" t="s">
        <v>3460</v>
      </c>
    </row>
    <row r="184" spans="7:8" ht="12.95" hidden="1" customHeight="1">
      <c r="G184" s="292">
        <v>240</v>
      </c>
      <c r="H184" s="292" t="s">
        <v>3460</v>
      </c>
    </row>
    <row r="185" spans="7:8" ht="12.95" hidden="1" customHeight="1">
      <c r="G185" s="292">
        <v>239</v>
      </c>
      <c r="H185" s="292" t="s">
        <v>3460</v>
      </c>
    </row>
    <row r="186" spans="7:8" ht="12.95" hidden="1" customHeight="1">
      <c r="G186" s="292">
        <v>238</v>
      </c>
      <c r="H186" s="292" t="s">
        <v>1817</v>
      </c>
    </row>
    <row r="187" spans="7:8" ht="12.95" hidden="1" customHeight="1">
      <c r="G187" s="292">
        <v>237</v>
      </c>
      <c r="H187" s="292" t="s">
        <v>1817</v>
      </c>
    </row>
    <row r="188" spans="7:8" ht="12.95" hidden="1" customHeight="1">
      <c r="G188" s="292">
        <v>236</v>
      </c>
      <c r="H188" s="292" t="s">
        <v>1817</v>
      </c>
    </row>
    <row r="189" spans="7:8" ht="12.95" hidden="1" customHeight="1">
      <c r="G189" s="292">
        <v>235</v>
      </c>
      <c r="H189" s="292" t="s">
        <v>895</v>
      </c>
    </row>
    <row r="190" spans="7:8" ht="12.95" hidden="1" customHeight="1">
      <c r="G190" s="292">
        <v>234</v>
      </c>
      <c r="H190" s="292" t="s">
        <v>895</v>
      </c>
    </row>
    <row r="191" spans="7:8" ht="12.95" hidden="1" customHeight="1">
      <c r="G191" s="292">
        <v>233</v>
      </c>
      <c r="H191" s="292" t="s">
        <v>895</v>
      </c>
    </row>
    <row r="192" spans="7:8" ht="12.95" hidden="1" customHeight="1">
      <c r="G192" s="292">
        <v>232</v>
      </c>
      <c r="H192" s="292" t="s">
        <v>1947</v>
      </c>
    </row>
    <row r="193" spans="7:8" ht="12.95" hidden="1" customHeight="1">
      <c r="G193" s="292">
        <v>231</v>
      </c>
      <c r="H193" s="292" t="s">
        <v>1947</v>
      </c>
    </row>
    <row r="194" spans="7:8" ht="12.95" hidden="1" customHeight="1">
      <c r="G194" s="292">
        <v>230</v>
      </c>
      <c r="H194" s="292" t="s">
        <v>1947</v>
      </c>
    </row>
    <row r="195" spans="7:8" ht="12.95" hidden="1" customHeight="1">
      <c r="G195" s="292">
        <v>229</v>
      </c>
      <c r="H195" s="292" t="s">
        <v>900</v>
      </c>
    </row>
    <row r="196" spans="7:8" ht="12.95" hidden="1" customHeight="1">
      <c r="G196" s="292">
        <v>228</v>
      </c>
      <c r="H196" s="292" t="s">
        <v>900</v>
      </c>
    </row>
    <row r="197" spans="7:8" ht="12.95" hidden="1" customHeight="1">
      <c r="G197" s="292">
        <v>227</v>
      </c>
      <c r="H197" s="292" t="s">
        <v>900</v>
      </c>
    </row>
    <row r="198" spans="7:8" ht="12.95" hidden="1" customHeight="1">
      <c r="G198" s="292">
        <v>226</v>
      </c>
      <c r="H198" s="292" t="s">
        <v>1949</v>
      </c>
    </row>
    <row r="199" spans="7:8" ht="12.95" hidden="1" customHeight="1">
      <c r="G199" s="292">
        <v>225</v>
      </c>
      <c r="H199" s="292" t="s">
        <v>1949</v>
      </c>
    </row>
    <row r="200" spans="7:8" ht="12.95" hidden="1" customHeight="1">
      <c r="G200" s="292">
        <v>224</v>
      </c>
      <c r="H200" s="292" t="s">
        <v>1949</v>
      </c>
    </row>
    <row r="201" spans="7:8" ht="12.95" hidden="1" customHeight="1">
      <c r="G201" s="292">
        <v>223</v>
      </c>
      <c r="H201" s="292" t="s">
        <v>490</v>
      </c>
    </row>
    <row r="202" spans="7:8" ht="12.95" hidden="1" customHeight="1">
      <c r="G202" s="292">
        <v>222</v>
      </c>
      <c r="H202" s="292" t="s">
        <v>490</v>
      </c>
    </row>
    <row r="203" spans="7:8" ht="12.95" hidden="1" customHeight="1">
      <c r="G203" s="292">
        <v>221</v>
      </c>
      <c r="H203" s="292" t="s">
        <v>490</v>
      </c>
    </row>
    <row r="204" spans="7:8" ht="12.95" hidden="1" customHeight="1">
      <c r="G204" s="292">
        <v>220</v>
      </c>
      <c r="H204" s="292" t="s">
        <v>3445</v>
      </c>
    </row>
    <row r="205" spans="7:8" ht="12.95" hidden="1" customHeight="1">
      <c r="G205" s="292">
        <v>219</v>
      </c>
      <c r="H205" s="292" t="s">
        <v>3445</v>
      </c>
    </row>
    <row r="206" spans="7:8" ht="12.95" hidden="1" customHeight="1">
      <c r="G206" s="292">
        <v>218</v>
      </c>
      <c r="H206" s="292" t="s">
        <v>3445</v>
      </c>
    </row>
    <row r="207" spans="7:8" ht="12.95" hidden="1" customHeight="1">
      <c r="G207" s="292">
        <v>217</v>
      </c>
      <c r="H207" s="292" t="s">
        <v>1948</v>
      </c>
    </row>
    <row r="208" spans="7:8" ht="12.95" hidden="1" customHeight="1">
      <c r="G208" s="292">
        <v>216</v>
      </c>
      <c r="H208" s="292" t="s">
        <v>1948</v>
      </c>
    </row>
    <row r="209" spans="7:8" ht="12.95" hidden="1" customHeight="1">
      <c r="G209" s="292">
        <v>215</v>
      </c>
      <c r="H209" s="292" t="s">
        <v>1948</v>
      </c>
    </row>
    <row r="210" spans="7:8" ht="12.95" hidden="1" customHeight="1">
      <c r="G210" s="292">
        <v>214</v>
      </c>
      <c r="H210" s="292" t="s">
        <v>1519</v>
      </c>
    </row>
    <row r="211" spans="7:8" ht="12.95" hidden="1" customHeight="1">
      <c r="G211" s="292">
        <v>213</v>
      </c>
      <c r="H211" s="292" t="s">
        <v>1519</v>
      </c>
    </row>
    <row r="212" spans="7:8" ht="12.95" hidden="1" customHeight="1">
      <c r="G212" s="292">
        <v>212</v>
      </c>
      <c r="H212" s="292" t="s">
        <v>1519</v>
      </c>
    </row>
    <row r="213" spans="7:8" ht="12.95" hidden="1" customHeight="1">
      <c r="G213" s="292">
        <v>211</v>
      </c>
      <c r="H213" s="292" t="s">
        <v>344</v>
      </c>
    </row>
    <row r="214" spans="7:8" ht="12.95" hidden="1" customHeight="1">
      <c r="G214" s="292">
        <v>210</v>
      </c>
      <c r="H214" s="292" t="s">
        <v>344</v>
      </c>
    </row>
    <row r="215" spans="7:8" ht="12.95" hidden="1" customHeight="1">
      <c r="G215" s="292">
        <v>209</v>
      </c>
      <c r="H215" s="292" t="s">
        <v>344</v>
      </c>
    </row>
    <row r="216" spans="7:8" ht="12.95" hidden="1" customHeight="1">
      <c r="G216" s="292">
        <v>208</v>
      </c>
      <c r="H216" s="292" t="s">
        <v>1686</v>
      </c>
    </row>
    <row r="217" spans="7:8" ht="12.95" hidden="1" customHeight="1">
      <c r="G217" s="292">
        <v>207</v>
      </c>
      <c r="H217" s="292" t="s">
        <v>1686</v>
      </c>
    </row>
    <row r="218" spans="7:8" ht="12.95" hidden="1" customHeight="1">
      <c r="G218" s="292">
        <v>206</v>
      </c>
      <c r="H218" s="292" t="s">
        <v>1686</v>
      </c>
    </row>
    <row r="219" spans="7:8" ht="12.95" hidden="1" customHeight="1">
      <c r="G219" s="292">
        <v>205</v>
      </c>
      <c r="H219" s="292" t="s">
        <v>2152</v>
      </c>
    </row>
    <row r="220" spans="7:8" ht="12.95" hidden="1" customHeight="1">
      <c r="G220" s="292">
        <v>204</v>
      </c>
      <c r="H220" s="292" t="s">
        <v>2152</v>
      </c>
    </row>
    <row r="221" spans="7:8" ht="12.95" hidden="1" customHeight="1">
      <c r="G221" s="292">
        <v>203</v>
      </c>
      <c r="H221" s="292" t="s">
        <v>2152</v>
      </c>
    </row>
    <row r="222" spans="7:8" ht="12.95" hidden="1" customHeight="1">
      <c r="G222" s="292">
        <v>202</v>
      </c>
      <c r="H222" s="292" t="s">
        <v>2322</v>
      </c>
    </row>
    <row r="223" spans="7:8" ht="12.95" hidden="1" customHeight="1">
      <c r="G223" s="292">
        <v>201</v>
      </c>
      <c r="H223" s="292" t="s">
        <v>2322</v>
      </c>
    </row>
    <row r="224" spans="7:8" ht="12.95" hidden="1" customHeight="1">
      <c r="G224" s="292">
        <v>200</v>
      </c>
      <c r="H224" s="292" t="s">
        <v>2322</v>
      </c>
    </row>
    <row r="225" spans="7:8" ht="12.95" hidden="1" customHeight="1">
      <c r="G225" s="292">
        <v>199</v>
      </c>
      <c r="H225" s="292" t="s">
        <v>3450</v>
      </c>
    </row>
    <row r="226" spans="7:8" ht="12.95" hidden="1" customHeight="1">
      <c r="G226" s="292">
        <v>198</v>
      </c>
      <c r="H226" s="292" t="s">
        <v>3450</v>
      </c>
    </row>
    <row r="227" spans="7:8" ht="12.95" hidden="1" customHeight="1">
      <c r="G227" s="292">
        <v>197</v>
      </c>
      <c r="H227" s="292" t="s">
        <v>3450</v>
      </c>
    </row>
    <row r="228" spans="7:8" ht="12.95" hidden="1" customHeight="1">
      <c r="G228" s="292">
        <v>196</v>
      </c>
      <c r="H228" s="292" t="s">
        <v>2323</v>
      </c>
    </row>
    <row r="229" spans="7:8" ht="12.95" hidden="1" customHeight="1">
      <c r="G229" s="292">
        <v>195</v>
      </c>
      <c r="H229" s="292" t="s">
        <v>2323</v>
      </c>
    </row>
    <row r="230" spans="7:8" ht="12.95" hidden="1" customHeight="1">
      <c r="G230" s="292">
        <v>194</v>
      </c>
      <c r="H230" s="292" t="s">
        <v>2323</v>
      </c>
    </row>
    <row r="231" spans="7:8" ht="12.95" hidden="1" customHeight="1">
      <c r="G231" s="292">
        <v>193</v>
      </c>
      <c r="H231" s="292" t="s">
        <v>3459</v>
      </c>
    </row>
    <row r="232" spans="7:8" ht="12.95" hidden="1" customHeight="1">
      <c r="G232" s="292">
        <v>192</v>
      </c>
      <c r="H232" s="292" t="s">
        <v>3459</v>
      </c>
    </row>
    <row r="233" spans="7:8" ht="12.95" hidden="1" customHeight="1">
      <c r="G233" s="292">
        <v>191</v>
      </c>
      <c r="H233" s="292" t="s">
        <v>3459</v>
      </c>
    </row>
    <row r="234" spans="7:8" ht="12.95" hidden="1" customHeight="1">
      <c r="G234" s="292">
        <v>190</v>
      </c>
      <c r="H234" s="292" t="s">
        <v>1518</v>
      </c>
    </row>
    <row r="235" spans="7:8" ht="12.95" hidden="1" customHeight="1">
      <c r="G235" s="292">
        <v>189</v>
      </c>
      <c r="H235" s="292" t="s">
        <v>1518</v>
      </c>
    </row>
    <row r="236" spans="7:8" ht="12.95" hidden="1" customHeight="1">
      <c r="G236" s="292">
        <v>188</v>
      </c>
      <c r="H236" s="292" t="s">
        <v>1518</v>
      </c>
    </row>
    <row r="237" spans="7:8" ht="12.95" hidden="1" customHeight="1">
      <c r="G237" s="292">
        <v>187</v>
      </c>
      <c r="H237" s="292" t="s">
        <v>3372</v>
      </c>
    </row>
    <row r="238" spans="7:8" ht="12.95" hidden="1" customHeight="1">
      <c r="G238" s="292">
        <v>186</v>
      </c>
      <c r="H238" s="292" t="s">
        <v>3372</v>
      </c>
    </row>
    <row r="239" spans="7:8" ht="12.95" hidden="1" customHeight="1">
      <c r="G239" s="292">
        <v>185</v>
      </c>
      <c r="H239" s="292" t="s">
        <v>3372</v>
      </c>
    </row>
    <row r="240" spans="7:8" ht="12.95" hidden="1" customHeight="1">
      <c r="G240" s="292">
        <v>184</v>
      </c>
      <c r="H240" s="292" t="s">
        <v>2324</v>
      </c>
    </row>
    <row r="241" spans="7:8" ht="12.95" hidden="1" customHeight="1">
      <c r="G241" s="292">
        <v>183</v>
      </c>
      <c r="H241" s="292" t="s">
        <v>2324</v>
      </c>
    </row>
    <row r="242" spans="7:8" ht="12.95" hidden="1" customHeight="1">
      <c r="G242" s="292">
        <v>182</v>
      </c>
      <c r="H242" s="292" t="s">
        <v>2324</v>
      </c>
    </row>
    <row r="243" spans="7:8" ht="12.95" hidden="1" customHeight="1">
      <c r="G243" s="292">
        <v>181</v>
      </c>
      <c r="H243" s="292" t="s">
        <v>2324</v>
      </c>
    </row>
    <row r="244" spans="7:8" ht="12.75" hidden="1" customHeight="1">
      <c r="G244" s="292">
        <v>180</v>
      </c>
      <c r="H244" s="292" t="s">
        <v>100</v>
      </c>
    </row>
    <row r="245" spans="7:8" ht="12.75" hidden="1" customHeight="1">
      <c r="G245" s="292">
        <v>179</v>
      </c>
      <c r="H245" s="292" t="s">
        <v>100</v>
      </c>
    </row>
    <row r="246" spans="7:8" ht="12.75" hidden="1" customHeight="1">
      <c r="G246" s="292">
        <v>178</v>
      </c>
      <c r="H246" s="292" t="s">
        <v>100</v>
      </c>
    </row>
    <row r="247" spans="7:8" ht="12.75" hidden="1" customHeight="1">
      <c r="G247" s="292">
        <v>177</v>
      </c>
      <c r="H247" s="292" t="s">
        <v>100</v>
      </c>
    </row>
    <row r="248" spans="7:8" ht="12.95" hidden="1" customHeight="1">
      <c r="G248" s="292">
        <v>176</v>
      </c>
      <c r="H248" s="292" t="s">
        <v>2325</v>
      </c>
    </row>
    <row r="249" spans="7:8" ht="12.95" hidden="1" customHeight="1">
      <c r="G249" s="292">
        <v>175</v>
      </c>
      <c r="H249" s="292" t="s">
        <v>2325</v>
      </c>
    </row>
    <row r="250" spans="7:8" ht="12.95" hidden="1" customHeight="1">
      <c r="G250" s="292">
        <v>174</v>
      </c>
      <c r="H250" s="292" t="s">
        <v>2325</v>
      </c>
    </row>
    <row r="251" spans="7:8" ht="12.95" hidden="1" customHeight="1">
      <c r="G251" s="292">
        <v>173</v>
      </c>
      <c r="H251" s="292" t="s">
        <v>2325</v>
      </c>
    </row>
    <row r="252" spans="7:8" ht="12.95" hidden="1" customHeight="1">
      <c r="G252" s="292">
        <v>172</v>
      </c>
      <c r="H252" s="292" t="s">
        <v>840</v>
      </c>
    </row>
    <row r="253" spans="7:8" ht="12.95" hidden="1" customHeight="1">
      <c r="G253" s="292">
        <v>171</v>
      </c>
      <c r="H253" s="292" t="s">
        <v>840</v>
      </c>
    </row>
    <row r="254" spans="7:8" ht="12.95" hidden="1" customHeight="1">
      <c r="G254" s="292">
        <v>170</v>
      </c>
      <c r="H254" s="292" t="s">
        <v>840</v>
      </c>
    </row>
    <row r="255" spans="7:8" ht="12.95" hidden="1" customHeight="1">
      <c r="G255" s="292">
        <v>169</v>
      </c>
      <c r="H255" s="292" t="s">
        <v>840</v>
      </c>
    </row>
    <row r="256" spans="7:8" ht="12.95" hidden="1" customHeight="1">
      <c r="G256" s="292">
        <v>168</v>
      </c>
      <c r="H256" s="292" t="s">
        <v>2667</v>
      </c>
    </row>
    <row r="257" spans="7:8" ht="12.95" hidden="1" customHeight="1">
      <c r="G257" s="292">
        <v>167</v>
      </c>
      <c r="H257" s="292" t="s">
        <v>2667</v>
      </c>
    </row>
    <row r="258" spans="7:8" ht="12.95" hidden="1" customHeight="1">
      <c r="G258" s="292">
        <v>166</v>
      </c>
      <c r="H258" s="292" t="s">
        <v>2667</v>
      </c>
    </row>
    <row r="259" spans="7:8" ht="12.95" hidden="1" customHeight="1">
      <c r="G259" s="292">
        <v>165</v>
      </c>
      <c r="H259" s="292" t="s">
        <v>2667</v>
      </c>
    </row>
    <row r="260" spans="7:8" ht="12.95" hidden="1" customHeight="1">
      <c r="G260" s="292">
        <v>164</v>
      </c>
      <c r="H260" s="292" t="s">
        <v>2664</v>
      </c>
    </row>
    <row r="261" spans="7:8" ht="12.95" hidden="1" customHeight="1">
      <c r="G261" s="292">
        <v>163</v>
      </c>
      <c r="H261" s="292" t="s">
        <v>2664</v>
      </c>
    </row>
    <row r="262" spans="7:8" ht="12.95" hidden="1" customHeight="1">
      <c r="G262" s="292">
        <v>162</v>
      </c>
      <c r="H262" s="292" t="s">
        <v>2664</v>
      </c>
    </row>
    <row r="263" spans="7:8" ht="12.95" hidden="1" customHeight="1">
      <c r="G263" s="292">
        <v>161</v>
      </c>
      <c r="H263" s="292" t="s">
        <v>2664</v>
      </c>
    </row>
    <row r="264" spans="7:8" ht="12.95" hidden="1" customHeight="1">
      <c r="G264" s="292">
        <v>160</v>
      </c>
      <c r="H264" s="292" t="s">
        <v>55</v>
      </c>
    </row>
    <row r="265" spans="7:8" ht="12.95" hidden="1" customHeight="1">
      <c r="G265" s="292">
        <v>159</v>
      </c>
      <c r="H265" s="292" t="s">
        <v>55</v>
      </c>
    </row>
    <row r="266" spans="7:8" ht="12.95" hidden="1" customHeight="1">
      <c r="G266" s="292">
        <v>158</v>
      </c>
      <c r="H266" s="292" t="s">
        <v>55</v>
      </c>
    </row>
    <row r="267" spans="7:8" ht="12.95" hidden="1" customHeight="1">
      <c r="G267" s="292">
        <v>157</v>
      </c>
      <c r="H267" s="292" t="s">
        <v>55</v>
      </c>
    </row>
    <row r="268" spans="7:8" ht="12.95" hidden="1" customHeight="1">
      <c r="G268" s="292">
        <v>156</v>
      </c>
      <c r="H268" s="292" t="s">
        <v>612</v>
      </c>
    </row>
    <row r="269" spans="7:8" ht="12.95" hidden="1" customHeight="1">
      <c r="G269" s="292">
        <v>155</v>
      </c>
      <c r="H269" s="292" t="s">
        <v>612</v>
      </c>
    </row>
    <row r="270" spans="7:8" ht="12.95" hidden="1" customHeight="1">
      <c r="G270" s="292">
        <v>154</v>
      </c>
      <c r="H270" s="292" t="s">
        <v>612</v>
      </c>
    </row>
    <row r="271" spans="7:8" ht="12.95" hidden="1" customHeight="1">
      <c r="G271" s="292">
        <v>153</v>
      </c>
      <c r="H271" s="292" t="s">
        <v>612</v>
      </c>
    </row>
    <row r="272" spans="7:8" ht="12.95" hidden="1" customHeight="1">
      <c r="G272" s="292">
        <v>152</v>
      </c>
      <c r="H272" s="292" t="s">
        <v>1595</v>
      </c>
    </row>
    <row r="273" spans="7:8" ht="12.95" hidden="1" customHeight="1">
      <c r="G273" s="292">
        <v>151</v>
      </c>
      <c r="H273" s="292" t="s">
        <v>1595</v>
      </c>
    </row>
    <row r="274" spans="7:8" ht="12.95" hidden="1" customHeight="1">
      <c r="G274" s="292">
        <v>150</v>
      </c>
      <c r="H274" s="292" t="s">
        <v>1595</v>
      </c>
    </row>
    <row r="275" spans="7:8" ht="12.95" hidden="1" customHeight="1">
      <c r="G275" s="292">
        <v>149</v>
      </c>
      <c r="H275" s="292" t="s">
        <v>1595</v>
      </c>
    </row>
    <row r="276" spans="7:8" ht="12.95" hidden="1" customHeight="1">
      <c r="G276" s="292">
        <v>148</v>
      </c>
      <c r="H276" s="292" t="s">
        <v>1594</v>
      </c>
    </row>
    <row r="277" spans="7:8" ht="12.95" hidden="1" customHeight="1">
      <c r="G277" s="292">
        <v>147</v>
      </c>
      <c r="H277" s="292" t="s">
        <v>1594</v>
      </c>
    </row>
    <row r="278" spans="7:8" ht="12.95" hidden="1" customHeight="1">
      <c r="G278" s="292">
        <v>146</v>
      </c>
      <c r="H278" s="292" t="s">
        <v>1594</v>
      </c>
    </row>
    <row r="279" spans="7:8" ht="12.95" hidden="1" customHeight="1">
      <c r="G279" s="292">
        <v>145</v>
      </c>
      <c r="H279" s="292" t="s">
        <v>1594</v>
      </c>
    </row>
    <row r="280" spans="7:8" ht="12.95" hidden="1" customHeight="1">
      <c r="G280" s="292">
        <v>144</v>
      </c>
      <c r="H280" s="292" t="s">
        <v>2260</v>
      </c>
    </row>
    <row r="281" spans="7:8" ht="12.95" hidden="1" customHeight="1">
      <c r="G281" s="292">
        <v>143</v>
      </c>
      <c r="H281" s="292" t="s">
        <v>2260</v>
      </c>
    </row>
    <row r="282" spans="7:8" ht="12.95" hidden="1" customHeight="1">
      <c r="G282" s="292">
        <v>142</v>
      </c>
      <c r="H282" s="292" t="s">
        <v>2260</v>
      </c>
    </row>
    <row r="283" spans="7:8" ht="12.95" hidden="1" customHeight="1">
      <c r="G283" s="292">
        <v>141</v>
      </c>
      <c r="H283" s="292" t="s">
        <v>2260</v>
      </c>
    </row>
    <row r="284" spans="7:8" ht="12.95" hidden="1" customHeight="1">
      <c r="G284" s="292">
        <v>140</v>
      </c>
      <c r="H284" s="292" t="s">
        <v>3469</v>
      </c>
    </row>
    <row r="285" spans="7:8" ht="12.95" hidden="1" customHeight="1">
      <c r="G285" s="292">
        <v>139</v>
      </c>
      <c r="H285" s="292" t="s">
        <v>3469</v>
      </c>
    </row>
    <row r="286" spans="7:8" ht="12.95" hidden="1" customHeight="1">
      <c r="G286" s="292">
        <v>138</v>
      </c>
      <c r="H286" s="292" t="s">
        <v>3469</v>
      </c>
    </row>
    <row r="287" spans="7:8" ht="12.95" hidden="1" customHeight="1">
      <c r="G287" s="292">
        <v>137</v>
      </c>
      <c r="H287" s="292" t="s">
        <v>3469</v>
      </c>
    </row>
    <row r="288" spans="7:8" ht="12.95" hidden="1" customHeight="1">
      <c r="G288" s="292">
        <v>136</v>
      </c>
      <c r="H288" s="292" t="s">
        <v>1593</v>
      </c>
    </row>
    <row r="289" spans="7:8" ht="12.95" hidden="1" customHeight="1">
      <c r="G289" s="292">
        <v>135</v>
      </c>
      <c r="H289" s="292" t="s">
        <v>1593</v>
      </c>
    </row>
    <row r="290" spans="7:8" ht="12.95" hidden="1" customHeight="1">
      <c r="G290" s="292">
        <v>134</v>
      </c>
      <c r="H290" s="292" t="s">
        <v>1593</v>
      </c>
    </row>
    <row r="291" spans="7:8" ht="12.95" hidden="1" customHeight="1">
      <c r="G291" s="292">
        <v>133</v>
      </c>
      <c r="H291" s="292" t="s">
        <v>1593</v>
      </c>
    </row>
    <row r="292" spans="7:8" ht="12.95" hidden="1" customHeight="1">
      <c r="G292" s="292">
        <v>132</v>
      </c>
      <c r="H292" s="292" t="s">
        <v>3458</v>
      </c>
    </row>
    <row r="293" spans="7:8" ht="12.95" hidden="1" customHeight="1">
      <c r="G293" s="292">
        <v>131</v>
      </c>
      <c r="H293" s="292" t="s">
        <v>3458</v>
      </c>
    </row>
    <row r="294" spans="7:8" ht="12.95" hidden="1" customHeight="1">
      <c r="G294" s="292">
        <v>130</v>
      </c>
      <c r="H294" s="292" t="s">
        <v>3458</v>
      </c>
    </row>
    <row r="295" spans="7:8" ht="12.95" hidden="1" customHeight="1">
      <c r="G295" s="292">
        <v>129</v>
      </c>
      <c r="H295" s="292" t="s">
        <v>3458</v>
      </c>
    </row>
    <row r="296" spans="7:8" ht="12.95" hidden="1" customHeight="1">
      <c r="G296" s="292">
        <v>128</v>
      </c>
      <c r="H296" s="292" t="s">
        <v>2844</v>
      </c>
    </row>
    <row r="297" spans="7:8" ht="12.95" hidden="1" customHeight="1">
      <c r="G297" s="292">
        <v>127</v>
      </c>
      <c r="H297" s="292" t="s">
        <v>2844</v>
      </c>
    </row>
    <row r="298" spans="7:8" ht="12.95" hidden="1" customHeight="1">
      <c r="G298" s="292">
        <v>126</v>
      </c>
      <c r="H298" s="292" t="s">
        <v>2844</v>
      </c>
    </row>
    <row r="299" spans="7:8" ht="12.95" hidden="1" customHeight="1">
      <c r="G299" s="292">
        <v>125</v>
      </c>
      <c r="H299" s="292" t="s">
        <v>2844</v>
      </c>
    </row>
    <row r="300" spans="7:8" ht="12.95" hidden="1" customHeight="1">
      <c r="G300" s="292">
        <v>124</v>
      </c>
      <c r="H300" s="292" t="s">
        <v>1597</v>
      </c>
    </row>
    <row r="301" spans="7:8" ht="12.95" hidden="1" customHeight="1">
      <c r="G301" s="292">
        <v>123</v>
      </c>
      <c r="H301" s="292" t="s">
        <v>1597</v>
      </c>
    </row>
    <row r="302" spans="7:8" ht="12.95" hidden="1" customHeight="1">
      <c r="G302" s="292">
        <v>122</v>
      </c>
      <c r="H302" s="292" t="s">
        <v>1597</v>
      </c>
    </row>
    <row r="303" spans="7:8" ht="12.95" hidden="1" customHeight="1">
      <c r="G303" s="292">
        <v>121</v>
      </c>
      <c r="H303" s="292" t="s">
        <v>1597</v>
      </c>
    </row>
    <row r="304" spans="7:8" ht="12.95" hidden="1" customHeight="1">
      <c r="G304" s="292">
        <v>120</v>
      </c>
      <c r="H304" s="292" t="s">
        <v>3468</v>
      </c>
    </row>
    <row r="305" spans="7:8" ht="12.95" hidden="1" customHeight="1">
      <c r="G305" s="292">
        <v>119</v>
      </c>
      <c r="H305" s="292" t="s">
        <v>3468</v>
      </c>
    </row>
    <row r="306" spans="7:8" ht="12.95" hidden="1" customHeight="1">
      <c r="G306" s="292">
        <v>118</v>
      </c>
      <c r="H306" s="292" t="s">
        <v>3468</v>
      </c>
    </row>
    <row r="307" spans="7:8" ht="12.95" hidden="1" customHeight="1">
      <c r="G307" s="292">
        <v>117</v>
      </c>
      <c r="H307" s="292" t="s">
        <v>3468</v>
      </c>
    </row>
    <row r="308" spans="7:8" ht="12.95" hidden="1" customHeight="1">
      <c r="G308" s="292">
        <v>116</v>
      </c>
      <c r="H308" s="292" t="s">
        <v>3449</v>
      </c>
    </row>
    <row r="309" spans="7:8" ht="12.95" hidden="1" customHeight="1">
      <c r="G309" s="292">
        <v>115</v>
      </c>
      <c r="H309" s="292" t="s">
        <v>3449</v>
      </c>
    </row>
    <row r="310" spans="7:8" ht="12.95" hidden="1" customHeight="1">
      <c r="G310" s="292">
        <v>114</v>
      </c>
      <c r="H310" s="292" t="s">
        <v>3449</v>
      </c>
    </row>
    <row r="311" spans="7:8" ht="12.95" hidden="1" customHeight="1">
      <c r="G311" s="292">
        <v>113</v>
      </c>
      <c r="H311" s="292" t="s">
        <v>3449</v>
      </c>
    </row>
    <row r="312" spans="7:8" ht="12.95" hidden="1" customHeight="1">
      <c r="G312" s="292">
        <v>112</v>
      </c>
      <c r="H312" s="292" t="s">
        <v>372</v>
      </c>
    </row>
    <row r="313" spans="7:8" ht="12.95" hidden="1" customHeight="1">
      <c r="G313" s="292">
        <v>111</v>
      </c>
      <c r="H313" s="292" t="s">
        <v>372</v>
      </c>
    </row>
    <row r="314" spans="7:8" ht="12.95" hidden="1" customHeight="1">
      <c r="G314" s="292">
        <v>110</v>
      </c>
      <c r="H314" s="292" t="s">
        <v>372</v>
      </c>
    </row>
    <row r="315" spans="7:8" ht="12.95" hidden="1" customHeight="1">
      <c r="G315" s="292">
        <v>109</v>
      </c>
      <c r="H315" s="292" t="s">
        <v>372</v>
      </c>
    </row>
    <row r="316" spans="7:8" ht="12.95" hidden="1" customHeight="1">
      <c r="G316" s="292">
        <v>108</v>
      </c>
      <c r="H316" s="292" t="s">
        <v>343</v>
      </c>
    </row>
    <row r="317" spans="7:8" ht="12.95" hidden="1" customHeight="1">
      <c r="G317" s="292">
        <v>107</v>
      </c>
      <c r="H317" s="292" t="s">
        <v>343</v>
      </c>
    </row>
    <row r="318" spans="7:8" ht="12.95" hidden="1" customHeight="1">
      <c r="G318" s="292">
        <v>106</v>
      </c>
      <c r="H318" s="292" t="s">
        <v>343</v>
      </c>
    </row>
    <row r="319" spans="7:8" ht="12.95" hidden="1" customHeight="1">
      <c r="G319" s="292">
        <v>105</v>
      </c>
      <c r="H319" s="292" t="s">
        <v>343</v>
      </c>
    </row>
    <row r="320" spans="7:8" ht="12.95" hidden="1" customHeight="1">
      <c r="G320" s="292">
        <v>104</v>
      </c>
      <c r="H320" s="292" t="s">
        <v>3448</v>
      </c>
    </row>
    <row r="321" spans="7:8" ht="12.95" hidden="1" customHeight="1">
      <c r="G321" s="292">
        <v>103</v>
      </c>
      <c r="H321" s="292" t="s">
        <v>3448</v>
      </c>
    </row>
    <row r="322" spans="7:8" ht="12.95" hidden="1" customHeight="1">
      <c r="G322" s="292">
        <v>102</v>
      </c>
      <c r="H322" s="292" t="s">
        <v>3448</v>
      </c>
    </row>
    <row r="323" spans="7:8" ht="12.95" hidden="1" customHeight="1">
      <c r="G323" s="292">
        <v>101</v>
      </c>
      <c r="H323" s="292" t="s">
        <v>3448</v>
      </c>
    </row>
    <row r="324" spans="7:8" ht="12.95" hidden="1" customHeight="1">
      <c r="G324" s="292">
        <v>100</v>
      </c>
      <c r="H324" s="292" t="s">
        <v>375</v>
      </c>
    </row>
    <row r="325" spans="7:8" ht="12.95" hidden="1" customHeight="1">
      <c r="G325" s="292">
        <v>99</v>
      </c>
      <c r="H325" s="292" t="s">
        <v>375</v>
      </c>
    </row>
    <row r="326" spans="7:8" ht="12.95" hidden="1" customHeight="1">
      <c r="G326" s="292">
        <v>98</v>
      </c>
      <c r="H326" s="292" t="s">
        <v>375</v>
      </c>
    </row>
    <row r="327" spans="7:8" ht="12.95" hidden="1" customHeight="1">
      <c r="G327" s="292">
        <v>97</v>
      </c>
      <c r="H327" s="292" t="s">
        <v>375</v>
      </c>
    </row>
    <row r="328" spans="7:8" ht="12.95" hidden="1" customHeight="1">
      <c r="G328" s="292">
        <v>96</v>
      </c>
      <c r="H328" s="292" t="s">
        <v>3465</v>
      </c>
    </row>
    <row r="329" spans="7:8" ht="12.95" hidden="1" customHeight="1">
      <c r="G329" s="292">
        <v>95</v>
      </c>
      <c r="H329" s="292" t="s">
        <v>3465</v>
      </c>
    </row>
    <row r="330" spans="7:8" ht="12.95" hidden="1" customHeight="1">
      <c r="G330" s="292">
        <v>94</v>
      </c>
      <c r="H330" s="292" t="s">
        <v>3465</v>
      </c>
    </row>
    <row r="331" spans="7:8" ht="12.95" hidden="1" customHeight="1">
      <c r="G331" s="292">
        <v>93</v>
      </c>
      <c r="H331" s="292" t="s">
        <v>3465</v>
      </c>
    </row>
    <row r="332" spans="7:8" ht="12.95" hidden="1" customHeight="1">
      <c r="G332" s="292">
        <v>92</v>
      </c>
      <c r="H332" s="292" t="s">
        <v>377</v>
      </c>
    </row>
    <row r="333" spans="7:8" ht="12.95" hidden="1" customHeight="1">
      <c r="G333" s="292">
        <v>91</v>
      </c>
      <c r="H333" s="292" t="s">
        <v>377</v>
      </c>
    </row>
    <row r="334" spans="7:8" ht="12.95" hidden="1" customHeight="1">
      <c r="G334" s="292">
        <v>90</v>
      </c>
      <c r="H334" s="292" t="s">
        <v>377</v>
      </c>
    </row>
    <row r="335" spans="7:8" ht="12.95" hidden="1" customHeight="1">
      <c r="G335" s="292">
        <v>89</v>
      </c>
      <c r="H335" s="292" t="s">
        <v>377</v>
      </c>
    </row>
    <row r="336" spans="7:8" ht="12.95" hidden="1" customHeight="1">
      <c r="G336" s="292">
        <v>88</v>
      </c>
      <c r="H336" s="292" t="s">
        <v>374</v>
      </c>
    </row>
    <row r="337" spans="7:8" ht="12.95" hidden="1" customHeight="1">
      <c r="G337" s="292">
        <v>87</v>
      </c>
      <c r="H337" s="292" t="s">
        <v>374</v>
      </c>
    </row>
    <row r="338" spans="7:8" ht="12.95" hidden="1" customHeight="1">
      <c r="G338" s="292">
        <v>86</v>
      </c>
      <c r="H338" s="292" t="s">
        <v>374</v>
      </c>
    </row>
    <row r="339" spans="7:8" ht="12.95" hidden="1" customHeight="1">
      <c r="G339" s="292">
        <v>85</v>
      </c>
      <c r="H339" s="292" t="s">
        <v>374</v>
      </c>
    </row>
    <row r="340" spans="7:8" ht="12.95" hidden="1" customHeight="1">
      <c r="G340" s="292">
        <v>84</v>
      </c>
      <c r="H340" s="292" t="s">
        <v>3444</v>
      </c>
    </row>
    <row r="341" spans="7:8" ht="12.95" hidden="1" customHeight="1">
      <c r="G341" s="292">
        <v>83</v>
      </c>
      <c r="H341" s="292" t="s">
        <v>3444</v>
      </c>
    </row>
    <row r="342" spans="7:8" ht="12.95" hidden="1" customHeight="1">
      <c r="G342" s="292">
        <v>82</v>
      </c>
      <c r="H342" s="292" t="s">
        <v>3444</v>
      </c>
    </row>
    <row r="343" spans="7:8" ht="12.95" hidden="1" customHeight="1">
      <c r="G343" s="292">
        <v>81</v>
      </c>
      <c r="H343" s="292" t="s">
        <v>3444</v>
      </c>
    </row>
    <row r="344" spans="7:8" ht="12.95" hidden="1" customHeight="1">
      <c r="G344" s="292">
        <v>80</v>
      </c>
      <c r="H344" s="292" t="s">
        <v>3467</v>
      </c>
    </row>
    <row r="345" spans="7:8" ht="12.95" hidden="1" customHeight="1">
      <c r="G345" s="292">
        <v>79</v>
      </c>
      <c r="H345" s="292" t="s">
        <v>3467</v>
      </c>
    </row>
    <row r="346" spans="7:8" ht="12.95" hidden="1" customHeight="1">
      <c r="G346" s="292">
        <v>78</v>
      </c>
      <c r="H346" s="292" t="s">
        <v>3467</v>
      </c>
    </row>
    <row r="347" spans="7:8" ht="12.95" hidden="1" customHeight="1">
      <c r="G347" s="292">
        <v>77</v>
      </c>
      <c r="H347" s="292" t="s">
        <v>3467</v>
      </c>
    </row>
    <row r="348" spans="7:8" ht="12.95" hidden="1" customHeight="1">
      <c r="G348" s="292">
        <v>76</v>
      </c>
      <c r="H348" s="292" t="s">
        <v>376</v>
      </c>
    </row>
    <row r="349" spans="7:8" ht="12.95" hidden="1" customHeight="1">
      <c r="G349" s="292">
        <v>75</v>
      </c>
      <c r="H349" s="292" t="s">
        <v>376</v>
      </c>
    </row>
    <row r="350" spans="7:8" ht="12.95" hidden="1" customHeight="1">
      <c r="G350" s="292">
        <v>74</v>
      </c>
      <c r="H350" s="292" t="s">
        <v>376</v>
      </c>
    </row>
    <row r="351" spans="7:8" ht="12.95" hidden="1" customHeight="1">
      <c r="G351" s="292">
        <v>73</v>
      </c>
      <c r="H351" s="292" t="s">
        <v>376</v>
      </c>
    </row>
    <row r="352" spans="7:8" ht="12.95" hidden="1" customHeight="1">
      <c r="G352" s="292">
        <v>72</v>
      </c>
      <c r="H352" s="292" t="s">
        <v>378</v>
      </c>
    </row>
    <row r="353" spans="7:8" ht="12.95" hidden="1" customHeight="1">
      <c r="G353" s="292">
        <v>71</v>
      </c>
      <c r="H353" s="292" t="s">
        <v>378</v>
      </c>
    </row>
    <row r="354" spans="7:8" ht="12.95" hidden="1" customHeight="1">
      <c r="G354" s="292">
        <v>70</v>
      </c>
      <c r="H354" s="292" t="s">
        <v>378</v>
      </c>
    </row>
    <row r="355" spans="7:8" ht="12.95" hidden="1" customHeight="1">
      <c r="G355" s="292">
        <v>69</v>
      </c>
      <c r="H355" s="292" t="s">
        <v>378</v>
      </c>
    </row>
    <row r="356" spans="7:8" ht="12.95" hidden="1" customHeight="1">
      <c r="G356" s="292">
        <v>68</v>
      </c>
      <c r="H356" s="292" t="s">
        <v>373</v>
      </c>
    </row>
    <row r="357" spans="7:8" ht="12.95" hidden="1" customHeight="1">
      <c r="G357" s="292">
        <v>67</v>
      </c>
      <c r="H357" s="292" t="s">
        <v>373</v>
      </c>
    </row>
    <row r="358" spans="7:8" ht="12.95" hidden="1" customHeight="1">
      <c r="G358" s="292">
        <v>66</v>
      </c>
      <c r="H358" s="292" t="s">
        <v>373</v>
      </c>
    </row>
    <row r="359" spans="7:8" ht="12.95" hidden="1" customHeight="1">
      <c r="G359" s="292">
        <v>65</v>
      </c>
      <c r="H359" s="292" t="s">
        <v>373</v>
      </c>
    </row>
    <row r="360" spans="7:8" ht="12.95" hidden="1" customHeight="1">
      <c r="G360" s="292">
        <v>64</v>
      </c>
      <c r="H360" s="292" t="s">
        <v>2233</v>
      </c>
    </row>
    <row r="361" spans="7:8" ht="12.95" hidden="1" customHeight="1">
      <c r="G361" s="292">
        <v>63</v>
      </c>
      <c r="H361" s="292" t="s">
        <v>2233</v>
      </c>
    </row>
    <row r="362" spans="7:8" ht="12.95" hidden="1" customHeight="1">
      <c r="G362" s="292">
        <v>62</v>
      </c>
      <c r="H362" s="292" t="s">
        <v>2233</v>
      </c>
    </row>
    <row r="363" spans="7:8" ht="12.95" hidden="1" customHeight="1">
      <c r="G363" s="292">
        <v>61</v>
      </c>
      <c r="H363" s="292" t="s">
        <v>2233</v>
      </c>
    </row>
    <row r="364" spans="7:8" ht="12.95" hidden="1" customHeight="1">
      <c r="G364" s="292">
        <v>60</v>
      </c>
      <c r="H364" s="292" t="s">
        <v>2234</v>
      </c>
    </row>
    <row r="365" spans="7:8" ht="12.95" hidden="1" customHeight="1">
      <c r="G365" s="292">
        <v>59</v>
      </c>
      <c r="H365" s="292" t="s">
        <v>2234</v>
      </c>
    </row>
    <row r="366" spans="7:8" ht="12.95" hidden="1" customHeight="1">
      <c r="G366" s="292">
        <v>58</v>
      </c>
      <c r="H366" s="292" t="s">
        <v>2234</v>
      </c>
    </row>
    <row r="367" spans="7:8" ht="12.95" hidden="1" customHeight="1">
      <c r="G367" s="292">
        <v>57</v>
      </c>
      <c r="H367" s="292" t="s">
        <v>2234</v>
      </c>
    </row>
    <row r="368" spans="7:8" ht="12.95" hidden="1" customHeight="1">
      <c r="G368" s="292">
        <v>56</v>
      </c>
      <c r="H368" s="292" t="s">
        <v>2528</v>
      </c>
    </row>
    <row r="369" spans="7:8" ht="12.95" hidden="1" customHeight="1">
      <c r="G369" s="292">
        <v>55</v>
      </c>
      <c r="H369" s="292" t="s">
        <v>2528</v>
      </c>
    </row>
    <row r="370" spans="7:8" ht="12.95" hidden="1" customHeight="1">
      <c r="G370" s="292">
        <v>54</v>
      </c>
      <c r="H370" s="292" t="s">
        <v>2528</v>
      </c>
    </row>
    <row r="371" spans="7:8" ht="12.95" hidden="1" customHeight="1">
      <c r="G371" s="292">
        <v>53</v>
      </c>
      <c r="H371" s="292" t="s">
        <v>2528</v>
      </c>
    </row>
    <row r="372" spans="7:8" ht="12.95" hidden="1" customHeight="1">
      <c r="G372" s="292">
        <v>52</v>
      </c>
      <c r="H372" s="292" t="s">
        <v>3464</v>
      </c>
    </row>
    <row r="373" spans="7:8" ht="12.95" hidden="1" customHeight="1">
      <c r="G373" s="292">
        <v>51</v>
      </c>
      <c r="H373" s="292" t="s">
        <v>3464</v>
      </c>
    </row>
    <row r="374" spans="7:8" ht="12.95" hidden="1" customHeight="1">
      <c r="G374" s="292">
        <v>50</v>
      </c>
      <c r="H374" s="292" t="s">
        <v>3464</v>
      </c>
    </row>
    <row r="375" spans="7:8" ht="12.95" hidden="1" customHeight="1">
      <c r="G375" s="292">
        <v>49</v>
      </c>
      <c r="H375" s="292" t="s">
        <v>3464</v>
      </c>
    </row>
    <row r="376" spans="7:8" ht="12.75" hidden="1" customHeight="1">
      <c r="G376" s="292">
        <v>48</v>
      </c>
      <c r="H376" s="292" t="s">
        <v>3454</v>
      </c>
    </row>
    <row r="377" spans="7:8" ht="12.75" hidden="1" customHeight="1">
      <c r="G377" s="292">
        <v>47</v>
      </c>
      <c r="H377" s="292" t="s">
        <v>3454</v>
      </c>
    </row>
    <row r="378" spans="7:8" ht="12.75" hidden="1" customHeight="1">
      <c r="G378" s="292">
        <v>46</v>
      </c>
      <c r="H378" s="292" t="s">
        <v>3454</v>
      </c>
    </row>
    <row r="379" spans="7:8" ht="12.75" hidden="1" customHeight="1">
      <c r="G379" s="292">
        <v>45</v>
      </c>
      <c r="H379" s="292" t="s">
        <v>3454</v>
      </c>
    </row>
    <row r="380" spans="7:8" ht="12.95" hidden="1" customHeight="1">
      <c r="G380" s="292">
        <v>44</v>
      </c>
      <c r="H380" s="292" t="s">
        <v>1721</v>
      </c>
    </row>
    <row r="381" spans="7:8" ht="12.95" hidden="1" customHeight="1">
      <c r="G381" s="292">
        <v>43</v>
      </c>
      <c r="H381" s="292" t="s">
        <v>1721</v>
      </c>
    </row>
    <row r="382" spans="7:8" ht="12.95" hidden="1" customHeight="1">
      <c r="G382" s="292">
        <v>42</v>
      </c>
      <c r="H382" s="292" t="s">
        <v>1721</v>
      </c>
    </row>
    <row r="383" spans="7:8" ht="12.95" hidden="1" customHeight="1">
      <c r="G383" s="292">
        <v>41</v>
      </c>
      <c r="H383" s="292" t="s">
        <v>1721</v>
      </c>
    </row>
    <row r="384" spans="7:8" ht="12.95" hidden="1" customHeight="1">
      <c r="G384" s="292">
        <v>40</v>
      </c>
      <c r="H384" s="292" t="s">
        <v>2232</v>
      </c>
    </row>
    <row r="385" spans="7:8" ht="12.95" hidden="1" customHeight="1">
      <c r="G385" s="292">
        <v>39</v>
      </c>
      <c r="H385" s="292" t="s">
        <v>2232</v>
      </c>
    </row>
    <row r="386" spans="7:8" ht="12.95" hidden="1" customHeight="1">
      <c r="G386" s="292">
        <v>38</v>
      </c>
      <c r="H386" s="292" t="s">
        <v>2232</v>
      </c>
    </row>
    <row r="387" spans="7:8" ht="12.95" hidden="1" customHeight="1">
      <c r="G387" s="292">
        <v>37</v>
      </c>
      <c r="H387" s="292" t="s">
        <v>2232</v>
      </c>
    </row>
    <row r="388" spans="7:8" ht="12.95" hidden="1" customHeight="1">
      <c r="G388" s="292">
        <v>36</v>
      </c>
      <c r="H388" s="292" t="s">
        <v>1539</v>
      </c>
    </row>
    <row r="389" spans="7:8" ht="12.95" hidden="1" customHeight="1">
      <c r="G389" s="292">
        <v>35</v>
      </c>
      <c r="H389" s="292" t="s">
        <v>1539</v>
      </c>
    </row>
    <row r="390" spans="7:8" ht="12.95" hidden="1" customHeight="1">
      <c r="G390" s="292">
        <v>34</v>
      </c>
      <c r="H390" s="292" t="s">
        <v>1539</v>
      </c>
    </row>
    <row r="391" spans="7:8" ht="12.95" hidden="1" customHeight="1">
      <c r="G391" s="292">
        <v>33</v>
      </c>
      <c r="H391" s="292" t="s">
        <v>1539</v>
      </c>
    </row>
    <row r="392" spans="7:8" ht="12.95" hidden="1" customHeight="1">
      <c r="G392" s="292">
        <v>32</v>
      </c>
      <c r="H392" s="292" t="s">
        <v>1533</v>
      </c>
    </row>
    <row r="393" spans="7:8" ht="12.95" hidden="1" customHeight="1">
      <c r="G393" s="292">
        <v>31</v>
      </c>
      <c r="H393" s="292" t="s">
        <v>1533</v>
      </c>
    </row>
    <row r="394" spans="7:8" ht="12.95" hidden="1" customHeight="1">
      <c r="G394" s="292">
        <v>30</v>
      </c>
      <c r="H394" s="292" t="s">
        <v>1533</v>
      </c>
    </row>
    <row r="395" spans="7:8" ht="12.95" hidden="1" customHeight="1">
      <c r="G395" s="292">
        <v>29</v>
      </c>
      <c r="H395" s="292" t="s">
        <v>1533</v>
      </c>
    </row>
    <row r="396" spans="7:8" ht="12.95" hidden="1" customHeight="1">
      <c r="G396" s="292">
        <v>28</v>
      </c>
      <c r="H396" s="292" t="s">
        <v>1538</v>
      </c>
    </row>
    <row r="397" spans="7:8" ht="12.95" hidden="1" customHeight="1">
      <c r="G397" s="292">
        <v>27</v>
      </c>
      <c r="H397" s="292" t="s">
        <v>1538</v>
      </c>
    </row>
    <row r="398" spans="7:8" ht="12.95" hidden="1" customHeight="1">
      <c r="G398" s="292">
        <v>26</v>
      </c>
      <c r="H398" s="292" t="s">
        <v>1538</v>
      </c>
    </row>
    <row r="399" spans="7:8" ht="12.95" hidden="1" customHeight="1">
      <c r="G399" s="292">
        <v>25</v>
      </c>
      <c r="H399" s="292" t="s">
        <v>1538</v>
      </c>
    </row>
    <row r="400" spans="7:8" ht="12.95" hidden="1" customHeight="1">
      <c r="G400" s="292">
        <v>24</v>
      </c>
      <c r="H400" s="292" t="s">
        <v>1536</v>
      </c>
    </row>
    <row r="401" spans="7:8" ht="12.95" hidden="1" customHeight="1">
      <c r="G401" s="292">
        <v>23</v>
      </c>
      <c r="H401" s="292" t="s">
        <v>1536</v>
      </c>
    </row>
    <row r="402" spans="7:8" ht="12.95" hidden="1" customHeight="1">
      <c r="G402" s="292">
        <v>22</v>
      </c>
      <c r="H402" s="292" t="s">
        <v>1536</v>
      </c>
    </row>
    <row r="403" spans="7:8" ht="12.95" hidden="1" customHeight="1">
      <c r="G403" s="292">
        <v>21</v>
      </c>
      <c r="H403" s="292" t="s">
        <v>1536</v>
      </c>
    </row>
    <row r="404" spans="7:8" ht="12.95" hidden="1" customHeight="1">
      <c r="G404" s="292">
        <v>20</v>
      </c>
      <c r="H404" s="292" t="s">
        <v>1535</v>
      </c>
    </row>
    <row r="405" spans="7:8" ht="12.95" hidden="1" customHeight="1">
      <c r="G405" s="292">
        <v>19</v>
      </c>
      <c r="H405" s="292" t="s">
        <v>1535</v>
      </c>
    </row>
    <row r="406" spans="7:8" ht="12.95" hidden="1" customHeight="1">
      <c r="G406" s="292">
        <v>18</v>
      </c>
      <c r="H406" s="292" t="s">
        <v>1535</v>
      </c>
    </row>
    <row r="407" spans="7:8" ht="12.95" hidden="1" customHeight="1">
      <c r="G407" s="292">
        <v>17</v>
      </c>
      <c r="H407" s="292" t="s">
        <v>1535</v>
      </c>
    </row>
    <row r="408" spans="7:8" ht="12.95" hidden="1" customHeight="1">
      <c r="G408" s="292">
        <v>16</v>
      </c>
      <c r="H408" s="292" t="s">
        <v>1537</v>
      </c>
    </row>
    <row r="409" spans="7:8" ht="12.95" hidden="1" customHeight="1">
      <c r="G409" s="292">
        <v>15</v>
      </c>
      <c r="H409" s="292" t="s">
        <v>1537</v>
      </c>
    </row>
    <row r="410" spans="7:8" ht="12.95" hidden="1" customHeight="1">
      <c r="G410" s="292">
        <v>14</v>
      </c>
      <c r="H410" s="292" t="s">
        <v>1537</v>
      </c>
    </row>
    <row r="411" spans="7:8" ht="12.95" hidden="1" customHeight="1">
      <c r="G411" s="292">
        <v>13</v>
      </c>
      <c r="H411" s="292" t="s">
        <v>1537</v>
      </c>
    </row>
    <row r="412" spans="7:8" ht="12.95" hidden="1" customHeight="1">
      <c r="G412" s="292">
        <v>12</v>
      </c>
      <c r="H412" s="292" t="s">
        <v>1540</v>
      </c>
    </row>
    <row r="413" spans="7:8" ht="12.95" hidden="1" customHeight="1">
      <c r="G413" s="292">
        <v>11</v>
      </c>
      <c r="H413" s="292" t="s">
        <v>1540</v>
      </c>
    </row>
    <row r="414" spans="7:8" ht="12.95" hidden="1" customHeight="1">
      <c r="G414" s="292">
        <v>10</v>
      </c>
      <c r="H414" s="292" t="s">
        <v>1540</v>
      </c>
    </row>
    <row r="415" spans="7:8" ht="12.95" hidden="1" customHeight="1">
      <c r="G415" s="292">
        <v>9</v>
      </c>
      <c r="H415" s="292" t="s">
        <v>1540</v>
      </c>
    </row>
    <row r="416" spans="7:8" ht="12.95" hidden="1" customHeight="1">
      <c r="G416" s="292">
        <v>8</v>
      </c>
      <c r="H416" s="292" t="s">
        <v>1532</v>
      </c>
    </row>
    <row r="417" spans="7:8" ht="12.95" hidden="1" customHeight="1">
      <c r="G417" s="292">
        <v>7</v>
      </c>
      <c r="H417" s="292" t="s">
        <v>1532</v>
      </c>
    </row>
    <row r="418" spans="7:8" ht="12.95" hidden="1" customHeight="1">
      <c r="G418" s="292">
        <v>6</v>
      </c>
      <c r="H418" s="292" t="s">
        <v>1532</v>
      </c>
    </row>
    <row r="419" spans="7:8" ht="12.95" hidden="1" customHeight="1">
      <c r="G419" s="292">
        <v>5</v>
      </c>
      <c r="H419" s="292" t="s">
        <v>1532</v>
      </c>
    </row>
    <row r="420" spans="7:8" ht="12.95" hidden="1" customHeight="1">
      <c r="G420" s="292">
        <v>4</v>
      </c>
      <c r="H420" s="292" t="s">
        <v>1534</v>
      </c>
    </row>
  </sheetData>
  <sheetProtection autoFilter="0"/>
  <mergeCells count="13">
    <mergeCell ref="B1:C1"/>
    <mergeCell ref="D1:H1"/>
    <mergeCell ref="B3:H3"/>
    <mergeCell ref="B5:H5"/>
    <mergeCell ref="B18:D18"/>
    <mergeCell ref="E7:E8"/>
    <mergeCell ref="B12:F12"/>
    <mergeCell ref="B7:D7"/>
    <mergeCell ref="G12:H12"/>
    <mergeCell ref="F7:F8"/>
    <mergeCell ref="G7:G8"/>
    <mergeCell ref="H7:H8"/>
    <mergeCell ref="B11:F11"/>
  </mergeCells>
  <dataValidations count="7">
    <dataValidation type="list" allowBlank="1" showInputMessage="1" showErrorMessage="1" sqref="B9">
      <formula1>$B$19:$B$117</formula1>
    </dataValidation>
    <dataValidation type="list" allowBlank="1" showInputMessage="1" showErrorMessage="1" sqref="C9">
      <formula1>$C$19:$C$22</formula1>
    </dataValidation>
    <dataValidation type="list" allowBlank="1" showInputMessage="1" showErrorMessage="1" sqref="D9">
      <formula1>$D$19:$D$25</formula1>
    </dataValidation>
    <dataValidation type="list" allowBlank="1" showInputMessage="1" showErrorMessage="1" sqref="E9">
      <formula1>$E$19:$E$68</formula1>
    </dataValidation>
    <dataValidation type="list" allowBlank="1" showInputMessage="1" showErrorMessage="1" sqref="F9">
      <formula1>$F$19:$F$21</formula1>
    </dataValidation>
    <dataValidation type="list" allowBlank="1" showInputMessage="1" showErrorMessage="1" sqref="G9">
      <formula1>$G$19:$G$20</formula1>
    </dataValidation>
    <dataValidation type="list" allowBlank="1" showInputMessage="1" showErrorMessage="1" sqref="H9">
      <formula1>$H$19:$H$23</formula1>
    </dataValidation>
  </dataValidation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1" manualBreakCount="1">
    <brk id="32" max="7" man="1"/>
  </rowBreaks>
</worksheet>
</file>

<file path=xl/worksheets/sheet111.xml><?xml version="1.0" encoding="utf-8"?>
<worksheet xmlns="http://schemas.openxmlformats.org/spreadsheetml/2006/main" xmlns:r="http://schemas.openxmlformats.org/officeDocument/2006/relationships">
  <dimension ref="B1:R66"/>
  <sheetViews>
    <sheetView zoomScaleNormal="100" workbookViewId="0">
      <pane ySplit="7" topLeftCell="A8" activePane="bottomLeft" state="frozen"/>
      <selection pane="bottomLeft"/>
    </sheetView>
  </sheetViews>
  <sheetFormatPr defaultRowHeight="12.95" customHeight="1"/>
  <cols>
    <col min="1" max="1" width="3.7109375" style="292" customWidth="1"/>
    <col min="2" max="2" width="3" style="292" bestFit="1" customWidth="1"/>
    <col min="3" max="3" width="21.7109375" style="292" bestFit="1" customWidth="1"/>
    <col min="4" max="4" width="3.85546875" style="292" bestFit="1" customWidth="1"/>
    <col min="5" max="5" width="13.5703125" style="292" bestFit="1" customWidth="1"/>
    <col min="6" max="6" width="1.7109375" style="292" customWidth="1"/>
    <col min="7" max="7" width="4" style="292" bestFit="1" customWidth="1"/>
    <col min="8" max="8" width="23.7109375" style="292" bestFit="1" customWidth="1"/>
    <col min="9" max="9" width="3.85546875" style="292" bestFit="1" customWidth="1"/>
    <col min="10" max="10" width="13.5703125" style="292" bestFit="1" customWidth="1"/>
    <col min="11" max="11" width="1.7109375" style="292" customWidth="1"/>
    <col min="12" max="12" width="37.7109375" style="292" customWidth="1"/>
    <col min="13" max="16384" width="9.140625" style="292"/>
  </cols>
  <sheetData>
    <row r="1" spans="2:18" ht="12.95" customHeight="1">
      <c r="B1" s="3129" t="s">
        <v>2706</v>
      </c>
      <c r="C1" s="3129"/>
      <c r="D1" s="2973" t="s">
        <v>8269</v>
      </c>
      <c r="E1" s="2973"/>
      <c r="F1" s="2973"/>
      <c r="G1" s="2973"/>
      <c r="H1" s="2973"/>
    </row>
    <row r="2" spans="2:18" ht="5.0999999999999996" customHeight="1"/>
    <row r="3" spans="2:18" ht="5.0999999999999996" customHeight="1">
      <c r="B3" s="2748"/>
      <c r="C3" s="2754"/>
      <c r="D3" s="2748"/>
      <c r="E3" s="2748"/>
      <c r="G3" s="2748"/>
      <c r="H3" s="2754"/>
      <c r="I3" s="2748"/>
      <c r="J3" s="2748"/>
      <c r="L3" s="2754"/>
    </row>
    <row r="4" spans="2:18" ht="12.95" customHeight="1">
      <c r="B4" s="3075" t="s">
        <v>6129</v>
      </c>
      <c r="C4" s="3075"/>
      <c r="D4" s="3075"/>
      <c r="E4" s="3075"/>
      <c r="F4" s="3075"/>
      <c r="G4" s="3075"/>
      <c r="H4" s="3075"/>
      <c r="I4" s="3075"/>
      <c r="J4" s="3075"/>
      <c r="K4" s="3075"/>
      <c r="L4" s="3075"/>
    </row>
    <row r="5" spans="2:18" s="387" customFormat="1" ht="11.25" customHeight="1">
      <c r="B5" s="3463" t="s">
        <v>9914</v>
      </c>
      <c r="C5" s="3463"/>
      <c r="D5" s="3463"/>
      <c r="E5" s="3463"/>
      <c r="F5" s="3463"/>
      <c r="G5" s="3463"/>
      <c r="H5" s="3463"/>
      <c r="I5" s="3463"/>
      <c r="J5" s="3463"/>
      <c r="K5" s="3463"/>
      <c r="L5" s="3463"/>
    </row>
    <row r="6" spans="2:18" s="377" customFormat="1" ht="5.0999999999999996" customHeight="1" thickBot="1">
      <c r="B6" s="379"/>
      <c r="C6" s="1693"/>
      <c r="D6" s="379"/>
      <c r="E6" s="379"/>
      <c r="G6" s="379"/>
      <c r="H6" s="1693"/>
      <c r="I6" s="379"/>
      <c r="J6" s="379"/>
      <c r="L6" s="2771"/>
    </row>
    <row r="7" spans="2:18" s="377" customFormat="1" ht="12.95" customHeight="1" thickBot="1">
      <c r="B7" s="2772" t="s">
        <v>9848</v>
      </c>
      <c r="C7" s="2773" t="s">
        <v>3476</v>
      </c>
      <c r="D7" s="2774" t="s">
        <v>1051</v>
      </c>
      <c r="E7" s="2749" t="s">
        <v>9849</v>
      </c>
      <c r="G7" s="2772" t="s">
        <v>9848</v>
      </c>
      <c r="H7" s="2773" t="s">
        <v>3476</v>
      </c>
      <c r="I7" s="2774" t="s">
        <v>1051</v>
      </c>
      <c r="J7" s="2749" t="s">
        <v>9849</v>
      </c>
    </row>
    <row r="8" spans="2:18" s="2762" customFormat="1" ht="12.95" customHeight="1">
      <c r="B8" s="2763">
        <v>1</v>
      </c>
      <c r="C8" s="1694" t="s">
        <v>1220</v>
      </c>
      <c r="D8" s="2764">
        <v>7</v>
      </c>
      <c r="E8" s="1836" t="s">
        <v>9850</v>
      </c>
      <c r="G8" s="2763">
        <v>60</v>
      </c>
      <c r="H8" s="1694" t="s">
        <v>490</v>
      </c>
      <c r="I8" s="2764">
        <v>4</v>
      </c>
      <c r="J8" s="1836" t="s">
        <v>9909</v>
      </c>
      <c r="L8" s="2984" t="s">
        <v>9968</v>
      </c>
    </row>
    <row r="9" spans="2:18" s="2762" customFormat="1" ht="12.95" customHeight="1">
      <c r="B9" s="2765">
        <v>2</v>
      </c>
      <c r="C9" s="2769" t="s">
        <v>3462</v>
      </c>
      <c r="D9" s="2766">
        <v>7</v>
      </c>
      <c r="E9" s="464" t="s">
        <v>9853</v>
      </c>
      <c r="G9" s="2765">
        <v>61</v>
      </c>
      <c r="H9" s="2769" t="s">
        <v>3445</v>
      </c>
      <c r="I9" s="2766">
        <v>5</v>
      </c>
      <c r="J9" s="464" t="s">
        <v>9910</v>
      </c>
      <c r="L9" s="2984"/>
    </row>
    <row r="10" spans="2:18" s="2762" customFormat="1" ht="12.95" customHeight="1">
      <c r="B10" s="2767">
        <v>3</v>
      </c>
      <c r="C10" s="2770" t="s">
        <v>842</v>
      </c>
      <c r="D10" s="2768">
        <v>7</v>
      </c>
      <c r="E10" s="456" t="s">
        <v>9856</v>
      </c>
      <c r="G10" s="2767">
        <v>62</v>
      </c>
      <c r="H10" s="2770" t="s">
        <v>1948</v>
      </c>
      <c r="I10" s="2768">
        <v>5</v>
      </c>
      <c r="J10" s="456" t="s">
        <v>9911</v>
      </c>
      <c r="L10" s="2984"/>
      <c r="M10" s="377"/>
      <c r="N10" s="377"/>
      <c r="O10" s="377"/>
      <c r="P10" s="377"/>
      <c r="Q10" s="377"/>
      <c r="R10" s="377"/>
    </row>
    <row r="11" spans="2:18" s="2762" customFormat="1" ht="12.95" customHeight="1">
      <c r="B11" s="2765">
        <v>4</v>
      </c>
      <c r="C11" s="2769" t="s">
        <v>1221</v>
      </c>
      <c r="D11" s="2766">
        <v>7</v>
      </c>
      <c r="E11" s="464" t="s">
        <v>9859</v>
      </c>
      <c r="G11" s="2765">
        <v>63</v>
      </c>
      <c r="H11" s="2769" t="s">
        <v>1519</v>
      </c>
      <c r="I11" s="2766">
        <v>4</v>
      </c>
      <c r="J11" s="464" t="s">
        <v>9912</v>
      </c>
      <c r="L11" s="2925"/>
    </row>
    <row r="12" spans="2:18" s="2762" customFormat="1" ht="12.95" customHeight="1">
      <c r="B12" s="2767">
        <v>5</v>
      </c>
      <c r="C12" s="2770" t="s">
        <v>1222</v>
      </c>
      <c r="D12" s="2768">
        <v>7</v>
      </c>
      <c r="E12" s="456" t="s">
        <v>9862</v>
      </c>
      <c r="G12" s="2767">
        <v>64</v>
      </c>
      <c r="H12" s="2770" t="s">
        <v>344</v>
      </c>
      <c r="I12" s="2768">
        <v>3</v>
      </c>
      <c r="J12" s="456" t="s">
        <v>9913</v>
      </c>
      <c r="L12" s="2984" t="s">
        <v>9969</v>
      </c>
    </row>
    <row r="13" spans="2:18" s="2762" customFormat="1" ht="12.95" customHeight="1">
      <c r="B13" s="2765">
        <v>6</v>
      </c>
      <c r="C13" s="2769" t="s">
        <v>151</v>
      </c>
      <c r="D13" s="2766">
        <v>7</v>
      </c>
      <c r="E13" s="464" t="s">
        <v>9865</v>
      </c>
      <c r="G13" s="2765">
        <v>65</v>
      </c>
      <c r="H13" s="2769" t="s">
        <v>1686</v>
      </c>
      <c r="I13" s="2766">
        <v>4</v>
      </c>
      <c r="J13" s="464" t="s">
        <v>9915</v>
      </c>
      <c r="L13" s="2984"/>
      <c r="M13" s="377"/>
      <c r="N13" s="377"/>
      <c r="O13" s="377"/>
      <c r="P13" s="377"/>
      <c r="Q13" s="377"/>
      <c r="R13" s="377"/>
    </row>
    <row r="14" spans="2:18" s="2762" customFormat="1" ht="12.95" customHeight="1">
      <c r="B14" s="2767">
        <v>7</v>
      </c>
      <c r="C14" s="2770" t="s">
        <v>2611</v>
      </c>
      <c r="D14" s="2768">
        <v>7</v>
      </c>
      <c r="E14" s="456" t="s">
        <v>9868</v>
      </c>
      <c r="G14" s="2767">
        <v>66</v>
      </c>
      <c r="H14" s="2770" t="s">
        <v>2152</v>
      </c>
      <c r="I14" s="2768">
        <v>4</v>
      </c>
      <c r="J14" s="456" t="s">
        <v>9916</v>
      </c>
      <c r="L14" s="2984"/>
    </row>
    <row r="15" spans="2:18" s="2762" customFormat="1" ht="12.95" customHeight="1">
      <c r="B15" s="2765">
        <v>8</v>
      </c>
      <c r="C15" s="2769" t="s">
        <v>1941</v>
      </c>
      <c r="D15" s="2766">
        <v>7</v>
      </c>
      <c r="E15" s="464" t="s">
        <v>9871</v>
      </c>
      <c r="G15" s="2765">
        <v>67</v>
      </c>
      <c r="H15" s="2769" t="s">
        <v>2322</v>
      </c>
      <c r="I15" s="2766">
        <v>4</v>
      </c>
      <c r="J15" s="464" t="s">
        <v>9917</v>
      </c>
      <c r="L15" s="2984"/>
    </row>
    <row r="16" spans="2:18" s="2762" customFormat="1" ht="12.95" customHeight="1">
      <c r="B16" s="2767">
        <v>9</v>
      </c>
      <c r="C16" s="2770" t="s">
        <v>650</v>
      </c>
      <c r="D16" s="2768">
        <v>7</v>
      </c>
      <c r="E16" s="456" t="s">
        <v>9874</v>
      </c>
      <c r="G16" s="2767">
        <v>68</v>
      </c>
      <c r="H16" s="2770" t="s">
        <v>3450</v>
      </c>
      <c r="I16" s="2768">
        <v>3</v>
      </c>
      <c r="J16" s="456" t="s">
        <v>9918</v>
      </c>
      <c r="L16" s="2925"/>
    </row>
    <row r="17" spans="2:12" s="2762" customFormat="1" ht="12.95" customHeight="1">
      <c r="B17" s="2765">
        <v>10</v>
      </c>
      <c r="C17" s="2769" t="s">
        <v>3447</v>
      </c>
      <c r="D17" s="2766">
        <v>7</v>
      </c>
      <c r="E17" s="464" t="s">
        <v>9877</v>
      </c>
      <c r="G17" s="2765">
        <v>69</v>
      </c>
      <c r="H17" s="2769" t="s">
        <v>2323</v>
      </c>
      <c r="I17" s="2766">
        <v>3</v>
      </c>
      <c r="J17" s="464" t="s">
        <v>9919</v>
      </c>
      <c r="L17" s="2984" t="s">
        <v>9970</v>
      </c>
    </row>
    <row r="18" spans="2:12" s="2762" customFormat="1" ht="12.95" customHeight="1">
      <c r="B18" s="2767">
        <v>11</v>
      </c>
      <c r="C18" s="2770" t="s">
        <v>1100</v>
      </c>
      <c r="D18" s="2768">
        <v>7</v>
      </c>
      <c r="E18" s="456" t="s">
        <v>9880</v>
      </c>
      <c r="G18" s="2767">
        <v>70</v>
      </c>
      <c r="H18" s="2770" t="s">
        <v>3459</v>
      </c>
      <c r="I18" s="2768">
        <v>3</v>
      </c>
      <c r="J18" s="456" t="s">
        <v>9920</v>
      </c>
      <c r="L18" s="2984"/>
    </row>
    <row r="19" spans="2:12" s="2762" customFormat="1" ht="12.95" customHeight="1">
      <c r="B19" s="2765">
        <v>12</v>
      </c>
      <c r="C19" s="2769" t="s">
        <v>3457</v>
      </c>
      <c r="D19" s="2766">
        <v>7</v>
      </c>
      <c r="E19" s="464" t="s">
        <v>9883</v>
      </c>
      <c r="G19" s="2765">
        <v>71</v>
      </c>
      <c r="H19" s="2769" t="s">
        <v>1518</v>
      </c>
      <c r="I19" s="2766">
        <v>3</v>
      </c>
      <c r="J19" s="464" t="s">
        <v>9921</v>
      </c>
      <c r="L19" s="2984"/>
    </row>
    <row r="20" spans="2:12" s="2762" customFormat="1" ht="12.95" customHeight="1">
      <c r="B20" s="2767">
        <v>13</v>
      </c>
      <c r="C20" s="2770" t="s">
        <v>651</v>
      </c>
      <c r="D20" s="2768">
        <v>7</v>
      </c>
      <c r="E20" s="456" t="s">
        <v>9886</v>
      </c>
      <c r="G20" s="2767">
        <v>72</v>
      </c>
      <c r="H20" s="2770" t="s">
        <v>3372</v>
      </c>
      <c r="I20" s="2768">
        <v>2</v>
      </c>
      <c r="J20" s="456" t="s">
        <v>9922</v>
      </c>
      <c r="L20" s="2925"/>
    </row>
    <row r="21" spans="2:12" s="2762" customFormat="1" ht="12.95" customHeight="1">
      <c r="B21" s="2765">
        <v>14</v>
      </c>
      <c r="C21" s="2769" t="s">
        <v>652</v>
      </c>
      <c r="D21" s="2766">
        <v>7</v>
      </c>
      <c r="E21" s="464" t="s">
        <v>9889</v>
      </c>
      <c r="G21" s="2765">
        <v>73</v>
      </c>
      <c r="H21" s="2769" t="s">
        <v>2324</v>
      </c>
      <c r="I21" s="2766">
        <v>3</v>
      </c>
      <c r="J21" s="464" t="s">
        <v>9923</v>
      </c>
      <c r="L21" s="2984" t="s">
        <v>9971</v>
      </c>
    </row>
    <row r="22" spans="2:12" s="2762" customFormat="1" ht="12.95" customHeight="1">
      <c r="B22" s="2767">
        <v>15</v>
      </c>
      <c r="C22" s="2770" t="s">
        <v>899</v>
      </c>
      <c r="D22" s="2768">
        <v>7</v>
      </c>
      <c r="E22" s="456" t="s">
        <v>9892</v>
      </c>
      <c r="G22" s="2767">
        <v>74</v>
      </c>
      <c r="H22" s="2770" t="s">
        <v>100</v>
      </c>
      <c r="I22" s="2768">
        <v>4</v>
      </c>
      <c r="J22" s="456" t="s">
        <v>9924</v>
      </c>
      <c r="L22" s="2984"/>
    </row>
    <row r="23" spans="2:12" s="2762" customFormat="1" ht="12.95" customHeight="1">
      <c r="B23" s="2765">
        <v>16</v>
      </c>
      <c r="C23" s="2769" t="s">
        <v>653</v>
      </c>
      <c r="D23" s="2766">
        <v>7</v>
      </c>
      <c r="E23" s="464" t="s">
        <v>9895</v>
      </c>
      <c r="G23" s="2765">
        <v>75</v>
      </c>
      <c r="H23" s="2769" t="s">
        <v>2325</v>
      </c>
      <c r="I23" s="2766">
        <v>3</v>
      </c>
      <c r="J23" s="464" t="s">
        <v>9925</v>
      </c>
      <c r="L23" s="2984"/>
    </row>
    <row r="24" spans="2:12" s="377" customFormat="1" ht="12.95" customHeight="1">
      <c r="B24" s="2767">
        <v>17</v>
      </c>
      <c r="C24" s="2770" t="s">
        <v>3453</v>
      </c>
      <c r="D24" s="457">
        <v>6</v>
      </c>
      <c r="E24" s="456" t="s">
        <v>9851</v>
      </c>
      <c r="G24" s="2767">
        <v>76</v>
      </c>
      <c r="H24" s="2770" t="s">
        <v>840</v>
      </c>
      <c r="I24" s="2768">
        <v>3</v>
      </c>
      <c r="J24" s="456" t="s">
        <v>9926</v>
      </c>
      <c r="K24" s="419"/>
      <c r="L24" s="2984"/>
    </row>
    <row r="25" spans="2:12" s="377" customFormat="1" ht="12.95" customHeight="1">
      <c r="B25" s="2765">
        <v>18</v>
      </c>
      <c r="C25" s="2769" t="s">
        <v>2607</v>
      </c>
      <c r="D25" s="463">
        <v>6</v>
      </c>
      <c r="E25" s="464" t="s">
        <v>9854</v>
      </c>
      <c r="G25" s="2765">
        <v>77</v>
      </c>
      <c r="H25" s="2769" t="s">
        <v>2667</v>
      </c>
      <c r="I25" s="2766">
        <v>5</v>
      </c>
      <c r="J25" s="464" t="s">
        <v>9927</v>
      </c>
      <c r="K25" s="419"/>
      <c r="L25" s="2984"/>
    </row>
    <row r="26" spans="2:12" s="377" customFormat="1" ht="12.95" customHeight="1">
      <c r="B26" s="2767">
        <v>19</v>
      </c>
      <c r="C26" s="2770" t="s">
        <v>654</v>
      </c>
      <c r="D26" s="457">
        <v>6</v>
      </c>
      <c r="E26" s="456" t="s">
        <v>9857</v>
      </c>
      <c r="G26" s="2767">
        <v>78</v>
      </c>
      <c r="H26" s="2770" t="s">
        <v>2664</v>
      </c>
      <c r="I26" s="2768">
        <v>3</v>
      </c>
      <c r="J26" s="456" t="s">
        <v>9928</v>
      </c>
      <c r="K26" s="419"/>
      <c r="L26" s="2984"/>
    </row>
    <row r="27" spans="2:12" s="377" customFormat="1" ht="12.95" customHeight="1">
      <c r="B27" s="2765">
        <v>20</v>
      </c>
      <c r="C27" s="2769" t="s">
        <v>3456</v>
      </c>
      <c r="D27" s="463">
        <v>6</v>
      </c>
      <c r="E27" s="464" t="s">
        <v>9860</v>
      </c>
      <c r="G27" s="2765">
        <v>79</v>
      </c>
      <c r="H27" s="2769" t="s">
        <v>1619</v>
      </c>
      <c r="I27" s="2766">
        <v>3</v>
      </c>
      <c r="J27" s="464" t="s">
        <v>9929</v>
      </c>
      <c r="K27" s="419"/>
      <c r="L27" s="392"/>
    </row>
    <row r="28" spans="2:12" s="377" customFormat="1" ht="12.95" customHeight="1">
      <c r="B28" s="2767">
        <v>21</v>
      </c>
      <c r="C28" s="2770" t="s">
        <v>841</v>
      </c>
      <c r="D28" s="457">
        <v>6</v>
      </c>
      <c r="E28" s="456" t="s">
        <v>9863</v>
      </c>
      <c r="G28" s="2767">
        <v>80</v>
      </c>
      <c r="H28" s="2770" t="s">
        <v>612</v>
      </c>
      <c r="I28" s="2768">
        <v>3</v>
      </c>
      <c r="J28" s="456" t="s">
        <v>9930</v>
      </c>
      <c r="K28" s="419"/>
      <c r="L28" s="2987" t="s">
        <v>9972</v>
      </c>
    </row>
    <row r="29" spans="2:12" s="377" customFormat="1" ht="12.95" customHeight="1">
      <c r="B29" s="2765">
        <v>22</v>
      </c>
      <c r="C29" s="2769" t="s">
        <v>566</v>
      </c>
      <c r="D29" s="463">
        <v>6</v>
      </c>
      <c r="E29" s="464" t="s">
        <v>9866</v>
      </c>
      <c r="G29" s="2765">
        <v>81</v>
      </c>
      <c r="H29" s="2769" t="s">
        <v>1595</v>
      </c>
      <c r="I29" s="2766">
        <v>3</v>
      </c>
      <c r="J29" s="464" t="s">
        <v>9931</v>
      </c>
      <c r="K29" s="419"/>
      <c r="L29" s="2987"/>
    </row>
    <row r="30" spans="2:12" s="377" customFormat="1" ht="12.95" customHeight="1">
      <c r="B30" s="2767">
        <v>23</v>
      </c>
      <c r="C30" s="2770" t="s">
        <v>567</v>
      </c>
      <c r="D30" s="457">
        <v>6</v>
      </c>
      <c r="E30" s="456" t="s">
        <v>9869</v>
      </c>
      <c r="G30" s="2767">
        <v>82</v>
      </c>
      <c r="H30" s="2770" t="s">
        <v>1594</v>
      </c>
      <c r="I30" s="2768">
        <v>3</v>
      </c>
      <c r="J30" s="456" t="s">
        <v>9932</v>
      </c>
      <c r="K30" s="419"/>
      <c r="L30" s="2987"/>
    </row>
    <row r="31" spans="2:12" s="377" customFormat="1" ht="12.95" customHeight="1">
      <c r="B31" s="2765">
        <v>24</v>
      </c>
      <c r="C31" s="2769" t="s">
        <v>3463</v>
      </c>
      <c r="D31" s="463">
        <v>6</v>
      </c>
      <c r="E31" s="464" t="s">
        <v>9872</v>
      </c>
      <c r="G31" s="2765">
        <v>83</v>
      </c>
      <c r="H31" s="2751" t="s">
        <v>2260</v>
      </c>
      <c r="I31" s="2766">
        <v>3</v>
      </c>
      <c r="J31" s="464" t="s">
        <v>9933</v>
      </c>
      <c r="K31" s="419"/>
      <c r="L31" s="2987"/>
    </row>
    <row r="32" spans="2:12" s="377" customFormat="1" ht="12.95" customHeight="1">
      <c r="B32" s="2767">
        <v>25</v>
      </c>
      <c r="C32" s="2770" t="s">
        <v>1052</v>
      </c>
      <c r="D32" s="457">
        <v>6</v>
      </c>
      <c r="E32" s="456" t="s">
        <v>9875</v>
      </c>
      <c r="G32" s="2767">
        <v>84</v>
      </c>
      <c r="H32" s="2750" t="s">
        <v>3469</v>
      </c>
      <c r="I32" s="2768">
        <v>3</v>
      </c>
      <c r="J32" s="456" t="s">
        <v>9934</v>
      </c>
      <c r="K32" s="419"/>
      <c r="L32" s="2987"/>
    </row>
    <row r="33" spans="2:12" s="377" customFormat="1" ht="12.95" customHeight="1">
      <c r="B33" s="2765">
        <v>26</v>
      </c>
      <c r="C33" s="2769" t="s">
        <v>3063</v>
      </c>
      <c r="D33" s="463">
        <v>6</v>
      </c>
      <c r="E33" s="464" t="s">
        <v>9878</v>
      </c>
      <c r="G33" s="2765">
        <v>85</v>
      </c>
      <c r="H33" s="2751" t="s">
        <v>1593</v>
      </c>
      <c r="I33" s="2766">
        <v>2</v>
      </c>
      <c r="J33" s="464" t="s">
        <v>9935</v>
      </c>
      <c r="K33" s="419"/>
      <c r="L33" s="2987"/>
    </row>
    <row r="34" spans="2:12" s="377" customFormat="1" ht="12.95" customHeight="1">
      <c r="B34" s="2767">
        <v>27</v>
      </c>
      <c r="C34" s="2770" t="s">
        <v>1053</v>
      </c>
      <c r="D34" s="457">
        <v>6</v>
      </c>
      <c r="E34" s="456" t="s">
        <v>9881</v>
      </c>
      <c r="G34" s="2767">
        <v>86</v>
      </c>
      <c r="H34" s="2750" t="s">
        <v>3458</v>
      </c>
      <c r="I34" s="2768">
        <v>2</v>
      </c>
      <c r="J34" s="456" t="s">
        <v>9936</v>
      </c>
      <c r="K34" s="419"/>
      <c r="L34" s="2925"/>
    </row>
    <row r="35" spans="2:12" s="377" customFormat="1" ht="12.95" customHeight="1">
      <c r="B35" s="2765">
        <v>28</v>
      </c>
      <c r="C35" s="2769" t="s">
        <v>1054</v>
      </c>
      <c r="D35" s="463">
        <v>6</v>
      </c>
      <c r="E35" s="464" t="s">
        <v>9884</v>
      </c>
      <c r="G35" s="2765">
        <v>87</v>
      </c>
      <c r="H35" s="2751" t="s">
        <v>2844</v>
      </c>
      <c r="I35" s="2766">
        <v>3</v>
      </c>
      <c r="J35" s="464" t="s">
        <v>9937</v>
      </c>
      <c r="K35" s="419"/>
      <c r="L35" s="2984" t="s">
        <v>9973</v>
      </c>
    </row>
    <row r="36" spans="2:12" s="377" customFormat="1" ht="12.95" customHeight="1">
      <c r="B36" s="2767">
        <v>29</v>
      </c>
      <c r="C36" s="2770" t="s">
        <v>3466</v>
      </c>
      <c r="D36" s="457">
        <v>6</v>
      </c>
      <c r="E36" s="456" t="s">
        <v>9887</v>
      </c>
      <c r="G36" s="2767">
        <v>88</v>
      </c>
      <c r="H36" s="2750" t="s">
        <v>1597</v>
      </c>
      <c r="I36" s="2768">
        <v>2</v>
      </c>
      <c r="J36" s="456" t="s">
        <v>9938</v>
      </c>
      <c r="K36" s="419"/>
      <c r="L36" s="2984"/>
    </row>
    <row r="37" spans="2:12" s="377" customFormat="1" ht="12.95" customHeight="1">
      <c r="B37" s="2765">
        <v>30</v>
      </c>
      <c r="C37" s="2769" t="s">
        <v>150</v>
      </c>
      <c r="D37" s="463">
        <v>6</v>
      </c>
      <c r="E37" s="464" t="s">
        <v>9890</v>
      </c>
      <c r="G37" s="2765">
        <v>89</v>
      </c>
      <c r="H37" s="2751" t="s">
        <v>3468</v>
      </c>
      <c r="I37" s="2766">
        <v>2</v>
      </c>
      <c r="J37" s="464" t="s">
        <v>9939</v>
      </c>
      <c r="L37" s="2984"/>
    </row>
    <row r="38" spans="2:12" s="377" customFormat="1" ht="12.95" customHeight="1">
      <c r="B38" s="2767">
        <v>31</v>
      </c>
      <c r="C38" s="2770" t="s">
        <v>614</v>
      </c>
      <c r="D38" s="457">
        <v>6</v>
      </c>
      <c r="E38" s="456" t="s">
        <v>9893</v>
      </c>
      <c r="G38" s="2767">
        <v>90</v>
      </c>
      <c r="H38" s="2750" t="s">
        <v>3449</v>
      </c>
      <c r="I38" s="2768">
        <v>2</v>
      </c>
      <c r="J38" s="456" t="s">
        <v>9940</v>
      </c>
      <c r="L38" s="2984"/>
    </row>
    <row r="39" spans="2:12" s="377" customFormat="1" ht="12.95" customHeight="1">
      <c r="B39" s="2765">
        <v>32</v>
      </c>
      <c r="C39" s="2769" t="s">
        <v>1062</v>
      </c>
      <c r="D39" s="463">
        <v>6</v>
      </c>
      <c r="E39" s="464" t="s">
        <v>9896</v>
      </c>
      <c r="G39" s="2765">
        <v>91</v>
      </c>
      <c r="H39" s="2751" t="s">
        <v>372</v>
      </c>
      <c r="I39" s="2766">
        <v>3</v>
      </c>
      <c r="J39" s="464" t="s">
        <v>9941</v>
      </c>
      <c r="L39" s="2984"/>
    </row>
    <row r="40" spans="2:12" ht="12.95" customHeight="1">
      <c r="B40" s="2767">
        <v>33</v>
      </c>
      <c r="C40" s="2750" t="s">
        <v>1521</v>
      </c>
      <c r="D40" s="2755">
        <v>5</v>
      </c>
      <c r="E40" s="2753" t="s">
        <v>9852</v>
      </c>
      <c r="G40" s="2767">
        <v>92</v>
      </c>
      <c r="H40" s="2750" t="s">
        <v>343</v>
      </c>
      <c r="I40" s="2755">
        <v>2</v>
      </c>
      <c r="J40" s="2753" t="s">
        <v>9942</v>
      </c>
      <c r="L40" s="2984"/>
    </row>
    <row r="41" spans="2:12" ht="12.95" customHeight="1">
      <c r="B41" s="2765">
        <v>34</v>
      </c>
      <c r="C41" s="2751" t="s">
        <v>149</v>
      </c>
      <c r="D41" s="2756">
        <v>5</v>
      </c>
      <c r="E41" s="2752" t="s">
        <v>9855</v>
      </c>
      <c r="G41" s="2765">
        <v>93</v>
      </c>
      <c r="H41" s="2751" t="s">
        <v>3448</v>
      </c>
      <c r="I41" s="2756">
        <v>2</v>
      </c>
      <c r="J41" s="2752" t="s">
        <v>9943</v>
      </c>
      <c r="L41" s="2984"/>
    </row>
    <row r="42" spans="2:12" ht="12.95" customHeight="1">
      <c r="B42" s="2767">
        <v>35</v>
      </c>
      <c r="C42" s="2750" t="s">
        <v>898</v>
      </c>
      <c r="D42" s="2755">
        <v>5</v>
      </c>
      <c r="E42" s="2753" t="s">
        <v>9858</v>
      </c>
      <c r="G42" s="2767">
        <v>94</v>
      </c>
      <c r="H42" s="2750" t="s">
        <v>375</v>
      </c>
      <c r="I42" s="2755">
        <v>2</v>
      </c>
      <c r="J42" s="2753" t="s">
        <v>9944</v>
      </c>
      <c r="L42" s="2984"/>
    </row>
    <row r="43" spans="2:12" ht="12.95" customHeight="1">
      <c r="B43" s="2765">
        <v>36</v>
      </c>
      <c r="C43" s="2751" t="s">
        <v>3461</v>
      </c>
      <c r="D43" s="2756">
        <v>5</v>
      </c>
      <c r="E43" s="2752" t="s">
        <v>9861</v>
      </c>
      <c r="G43" s="2765">
        <v>95</v>
      </c>
      <c r="H43" s="2751" t="s">
        <v>3465</v>
      </c>
      <c r="I43" s="2756">
        <v>2</v>
      </c>
      <c r="J43" s="2752" t="s">
        <v>9945</v>
      </c>
      <c r="L43" s="2984"/>
    </row>
    <row r="44" spans="2:12" ht="12.95" customHeight="1">
      <c r="B44" s="2767">
        <v>37</v>
      </c>
      <c r="C44" s="2750" t="s">
        <v>613</v>
      </c>
      <c r="D44" s="2755">
        <v>5</v>
      </c>
      <c r="E44" s="2753" t="s">
        <v>9864</v>
      </c>
      <c r="G44" s="2767">
        <v>96</v>
      </c>
      <c r="H44" s="2750" t="s">
        <v>377</v>
      </c>
      <c r="I44" s="2755">
        <v>2</v>
      </c>
      <c r="J44" s="2753" t="s">
        <v>9946</v>
      </c>
      <c r="L44" s="2984"/>
    </row>
    <row r="45" spans="2:12" ht="12.95" customHeight="1">
      <c r="B45" s="2765">
        <v>38</v>
      </c>
      <c r="C45" s="2751" t="s">
        <v>1309</v>
      </c>
      <c r="D45" s="2756">
        <v>5</v>
      </c>
      <c r="E45" s="2752" t="s">
        <v>9867</v>
      </c>
      <c r="G45" s="2765">
        <v>97</v>
      </c>
      <c r="H45" s="2751" t="s">
        <v>374</v>
      </c>
      <c r="I45" s="2756">
        <v>2</v>
      </c>
      <c r="J45" s="2752" t="s">
        <v>9947</v>
      </c>
      <c r="L45" s="2984"/>
    </row>
    <row r="46" spans="2:12" ht="12.95" customHeight="1">
      <c r="B46" s="2767">
        <v>39</v>
      </c>
      <c r="C46" s="2750" t="s">
        <v>3452</v>
      </c>
      <c r="D46" s="2755">
        <v>5</v>
      </c>
      <c r="E46" s="2753" t="s">
        <v>9870</v>
      </c>
      <c r="G46" s="2767">
        <v>98</v>
      </c>
      <c r="H46" s="2750" t="s">
        <v>3444</v>
      </c>
      <c r="I46" s="2755">
        <v>1</v>
      </c>
      <c r="J46" s="2753" t="s">
        <v>9948</v>
      </c>
      <c r="L46" s="2925"/>
    </row>
    <row r="47" spans="2:12" ht="12.95" customHeight="1">
      <c r="B47" s="2765">
        <v>40</v>
      </c>
      <c r="C47" s="2751" t="s">
        <v>641</v>
      </c>
      <c r="D47" s="2756">
        <v>5</v>
      </c>
      <c r="E47" s="2752" t="s">
        <v>9873</v>
      </c>
      <c r="G47" s="2765">
        <v>99</v>
      </c>
      <c r="H47" s="2751" t="s">
        <v>3467</v>
      </c>
      <c r="I47" s="2756">
        <v>2</v>
      </c>
      <c r="J47" s="2752" t="s">
        <v>9949</v>
      </c>
      <c r="L47" s="2925"/>
    </row>
    <row r="48" spans="2:12" ht="12.95" customHeight="1">
      <c r="B48" s="2767">
        <v>41</v>
      </c>
      <c r="C48" s="2750" t="s">
        <v>3062</v>
      </c>
      <c r="D48" s="2755">
        <v>5</v>
      </c>
      <c r="E48" s="2753" t="s">
        <v>9876</v>
      </c>
      <c r="G48" s="2767">
        <v>100</v>
      </c>
      <c r="H48" s="2750" t="s">
        <v>376</v>
      </c>
      <c r="I48" s="2755">
        <v>2</v>
      </c>
      <c r="J48" s="2753" t="s">
        <v>9950</v>
      </c>
      <c r="L48" s="2925"/>
    </row>
    <row r="49" spans="2:12" ht="12.95" customHeight="1">
      <c r="B49" s="2765">
        <v>42</v>
      </c>
      <c r="C49" s="2751" t="s">
        <v>642</v>
      </c>
      <c r="D49" s="2756">
        <v>5</v>
      </c>
      <c r="E49" s="2752" t="s">
        <v>9879</v>
      </c>
      <c r="G49" s="2765">
        <v>101</v>
      </c>
      <c r="H49" s="2751" t="s">
        <v>378</v>
      </c>
      <c r="I49" s="2756">
        <v>2</v>
      </c>
      <c r="J49" s="2752" t="s">
        <v>9951</v>
      </c>
      <c r="L49" s="2925"/>
    </row>
    <row r="50" spans="2:12" ht="12.95" customHeight="1">
      <c r="B50" s="2767">
        <v>43</v>
      </c>
      <c r="C50" s="2750" t="s">
        <v>643</v>
      </c>
      <c r="D50" s="2755">
        <v>5</v>
      </c>
      <c r="E50" s="2753" t="s">
        <v>9882</v>
      </c>
      <c r="G50" s="2767">
        <v>102</v>
      </c>
      <c r="H50" s="2750" t="s">
        <v>373</v>
      </c>
      <c r="I50" s="2755">
        <v>2</v>
      </c>
      <c r="J50" s="2753" t="s">
        <v>9952</v>
      </c>
    </row>
    <row r="51" spans="2:12" ht="12.95" customHeight="1">
      <c r="B51" s="2765">
        <v>44</v>
      </c>
      <c r="C51" s="2751" t="s">
        <v>3446</v>
      </c>
      <c r="D51" s="2756">
        <v>5</v>
      </c>
      <c r="E51" s="2752" t="s">
        <v>9885</v>
      </c>
      <c r="G51" s="2765">
        <v>103</v>
      </c>
      <c r="H51" s="2751" t="s">
        <v>2233</v>
      </c>
      <c r="I51" s="2756">
        <v>1</v>
      </c>
      <c r="J51" s="2752" t="s">
        <v>9953</v>
      </c>
    </row>
    <row r="52" spans="2:12" ht="12.95" customHeight="1">
      <c r="B52" s="2767">
        <v>45</v>
      </c>
      <c r="C52" s="2750" t="s">
        <v>3455</v>
      </c>
      <c r="D52" s="2755">
        <v>4</v>
      </c>
      <c r="E52" s="2753" t="s">
        <v>9888</v>
      </c>
      <c r="G52" s="2767">
        <v>104</v>
      </c>
      <c r="H52" s="2750" t="s">
        <v>2234</v>
      </c>
      <c r="I52" s="2755">
        <v>1</v>
      </c>
      <c r="J52" s="2753" t="s">
        <v>9954</v>
      </c>
    </row>
    <row r="53" spans="2:12" ht="12.95" customHeight="1">
      <c r="B53" s="2765">
        <v>46</v>
      </c>
      <c r="C53" s="2751" t="s">
        <v>2534</v>
      </c>
      <c r="D53" s="2756">
        <v>6</v>
      </c>
      <c r="E53" s="2752" t="s">
        <v>9891</v>
      </c>
      <c r="G53" s="2765">
        <v>105</v>
      </c>
      <c r="H53" s="2751" t="s">
        <v>2528</v>
      </c>
      <c r="I53" s="2756">
        <v>2</v>
      </c>
      <c r="J53" s="2752" t="s">
        <v>9955</v>
      </c>
    </row>
    <row r="54" spans="2:12" ht="12.95" customHeight="1">
      <c r="B54" s="2767">
        <v>47</v>
      </c>
      <c r="C54" s="2750" t="s">
        <v>1520</v>
      </c>
      <c r="D54" s="2755">
        <v>5</v>
      </c>
      <c r="E54" s="2753" t="s">
        <v>9894</v>
      </c>
      <c r="G54" s="2767">
        <v>106</v>
      </c>
      <c r="H54" s="2750" t="s">
        <v>3464</v>
      </c>
      <c r="I54" s="2755">
        <v>1</v>
      </c>
      <c r="J54" s="2753" t="s">
        <v>9956</v>
      </c>
    </row>
    <row r="55" spans="2:12" ht="12.95" customHeight="1">
      <c r="B55" s="2765">
        <v>48</v>
      </c>
      <c r="C55" s="2751" t="s">
        <v>1644</v>
      </c>
      <c r="D55" s="2756">
        <v>5</v>
      </c>
      <c r="E55" s="2752" t="s">
        <v>9897</v>
      </c>
      <c r="G55" s="2765">
        <v>107</v>
      </c>
      <c r="H55" s="2751" t="s">
        <v>3454</v>
      </c>
      <c r="I55" s="2756">
        <v>1</v>
      </c>
      <c r="J55" s="2752" t="s">
        <v>9957</v>
      </c>
    </row>
    <row r="56" spans="2:12" ht="12.95" customHeight="1">
      <c r="B56" s="2767">
        <v>49</v>
      </c>
      <c r="C56" s="2750" t="s">
        <v>2545</v>
      </c>
      <c r="D56" s="2755">
        <v>4</v>
      </c>
      <c r="E56" s="2753" t="s">
        <v>9898</v>
      </c>
      <c r="G56" s="2767">
        <v>108</v>
      </c>
      <c r="H56" s="2750" t="s">
        <v>1721</v>
      </c>
      <c r="I56" s="2755">
        <v>1</v>
      </c>
      <c r="J56" s="2753" t="s">
        <v>9958</v>
      </c>
    </row>
    <row r="57" spans="2:12" ht="12.95" customHeight="1">
      <c r="B57" s="2765">
        <v>50</v>
      </c>
      <c r="C57" s="2751" t="s">
        <v>3451</v>
      </c>
      <c r="D57" s="2756">
        <v>4</v>
      </c>
      <c r="E57" s="2752" t="s">
        <v>9899</v>
      </c>
      <c r="G57" s="2765">
        <v>109</v>
      </c>
      <c r="H57" s="2751" t="s">
        <v>2232</v>
      </c>
      <c r="I57" s="2756">
        <v>1</v>
      </c>
      <c r="J57" s="2752" t="s">
        <v>9959</v>
      </c>
    </row>
    <row r="58" spans="2:12" ht="12.95" customHeight="1">
      <c r="B58" s="2767">
        <v>51</v>
      </c>
      <c r="C58" s="2770" t="s">
        <v>3470</v>
      </c>
      <c r="D58" s="2755">
        <v>4</v>
      </c>
      <c r="E58" s="2753" t="s">
        <v>9900</v>
      </c>
      <c r="G58" s="2767">
        <v>110</v>
      </c>
      <c r="H58" s="2750" t="s">
        <v>1539</v>
      </c>
      <c r="I58" s="2755">
        <v>1</v>
      </c>
      <c r="J58" s="2753" t="s">
        <v>9960</v>
      </c>
    </row>
    <row r="59" spans="2:12" ht="12.95" customHeight="1">
      <c r="B59" s="2765">
        <v>52</v>
      </c>
      <c r="C59" s="2769" t="s">
        <v>1984</v>
      </c>
      <c r="D59" s="2756">
        <v>5</v>
      </c>
      <c r="E59" s="2752" t="s">
        <v>9901</v>
      </c>
      <c r="G59" s="2765">
        <v>111</v>
      </c>
      <c r="H59" s="2751" t="s">
        <v>1533</v>
      </c>
      <c r="I59" s="2756">
        <v>1</v>
      </c>
      <c r="J59" s="2752" t="s">
        <v>9961</v>
      </c>
    </row>
    <row r="60" spans="2:12" ht="12.95" customHeight="1">
      <c r="B60" s="2767">
        <v>53</v>
      </c>
      <c r="C60" s="2770" t="s">
        <v>1645</v>
      </c>
      <c r="D60" s="2755">
        <v>4</v>
      </c>
      <c r="E60" s="2753" t="s">
        <v>9902</v>
      </c>
      <c r="G60" s="2767">
        <v>112</v>
      </c>
      <c r="H60" s="2750" t="s">
        <v>1538</v>
      </c>
      <c r="I60" s="2755">
        <v>1</v>
      </c>
      <c r="J60" s="2753" t="s">
        <v>9962</v>
      </c>
    </row>
    <row r="61" spans="2:12" ht="12.95" customHeight="1">
      <c r="B61" s="2765">
        <v>54</v>
      </c>
      <c r="C61" s="2769" t="s">
        <v>3460</v>
      </c>
      <c r="D61" s="2756">
        <v>4</v>
      </c>
      <c r="E61" s="2752" t="s">
        <v>9903</v>
      </c>
      <c r="G61" s="2765">
        <v>113</v>
      </c>
      <c r="H61" s="2751" t="s">
        <v>1536</v>
      </c>
      <c r="I61" s="2756">
        <v>1</v>
      </c>
      <c r="J61" s="2752" t="s">
        <v>9963</v>
      </c>
    </row>
    <row r="62" spans="2:12" ht="12.95" customHeight="1">
      <c r="B62" s="2767">
        <v>55</v>
      </c>
      <c r="C62" s="2770" t="s">
        <v>1817</v>
      </c>
      <c r="D62" s="2755">
        <v>4</v>
      </c>
      <c r="E62" s="2753" t="s">
        <v>9904</v>
      </c>
      <c r="G62" s="2767">
        <v>114</v>
      </c>
      <c r="H62" s="2750" t="s">
        <v>1535</v>
      </c>
      <c r="I62" s="2755">
        <v>1</v>
      </c>
      <c r="J62" s="2753" t="s">
        <v>9964</v>
      </c>
    </row>
    <row r="63" spans="2:12" ht="12.95" customHeight="1">
      <c r="B63" s="2765">
        <v>56</v>
      </c>
      <c r="C63" s="2769" t="s">
        <v>895</v>
      </c>
      <c r="D63" s="2756">
        <v>4</v>
      </c>
      <c r="E63" s="2752" t="s">
        <v>9905</v>
      </c>
      <c r="G63" s="2765">
        <v>115</v>
      </c>
      <c r="H63" s="2751" t="s">
        <v>1537</v>
      </c>
      <c r="I63" s="2756">
        <v>1</v>
      </c>
      <c r="J63" s="2752" t="s">
        <v>9965</v>
      </c>
    </row>
    <row r="64" spans="2:12" ht="12.95" customHeight="1">
      <c r="B64" s="2767">
        <v>57</v>
      </c>
      <c r="C64" s="2770" t="s">
        <v>1947</v>
      </c>
      <c r="D64" s="2755">
        <v>4</v>
      </c>
      <c r="E64" s="2753" t="s">
        <v>9906</v>
      </c>
      <c r="G64" s="2767">
        <v>116</v>
      </c>
      <c r="H64" s="2750" t="s">
        <v>1540</v>
      </c>
      <c r="I64" s="2755">
        <v>1</v>
      </c>
      <c r="J64" s="2753" t="s">
        <v>9966</v>
      </c>
    </row>
    <row r="65" spans="2:10" ht="12.95" customHeight="1">
      <c r="B65" s="2765">
        <v>58</v>
      </c>
      <c r="C65" s="2769" t="s">
        <v>900</v>
      </c>
      <c r="D65" s="2756">
        <v>4</v>
      </c>
      <c r="E65" s="2752" t="s">
        <v>9907</v>
      </c>
      <c r="G65" s="2765">
        <v>117</v>
      </c>
      <c r="H65" s="2751" t="s">
        <v>1532</v>
      </c>
      <c r="I65" s="2756">
        <v>1</v>
      </c>
      <c r="J65" s="2752" t="s">
        <v>3769</v>
      </c>
    </row>
    <row r="66" spans="2:10" ht="12.95" customHeight="1" thickBot="1">
      <c r="B66" s="2776">
        <v>59</v>
      </c>
      <c r="C66" s="2775" t="s">
        <v>1949</v>
      </c>
      <c r="D66" s="2757">
        <v>4</v>
      </c>
      <c r="E66" s="2758" t="s">
        <v>9908</v>
      </c>
      <c r="G66" s="2776">
        <v>118</v>
      </c>
      <c r="H66" s="2302" t="s">
        <v>1534</v>
      </c>
      <c r="I66" s="2757">
        <v>1</v>
      </c>
      <c r="J66" s="2758" t="s">
        <v>9967</v>
      </c>
    </row>
  </sheetData>
  <sheetProtection autoFilter="0"/>
  <mergeCells count="10">
    <mergeCell ref="B1:C1"/>
    <mergeCell ref="D1:H1"/>
    <mergeCell ref="L28:L33"/>
    <mergeCell ref="L35:L45"/>
    <mergeCell ref="L8:L10"/>
    <mergeCell ref="L12:L15"/>
    <mergeCell ref="L17:L19"/>
    <mergeCell ref="L21:L26"/>
    <mergeCell ref="B4:L4"/>
    <mergeCell ref="B5:L5"/>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1" manualBreakCount="1">
    <brk id="30" max="11" man="1"/>
  </rowBreaks>
</worksheet>
</file>

<file path=xl/worksheets/sheet112.xml><?xml version="1.0" encoding="utf-8"?>
<worksheet xmlns="http://schemas.openxmlformats.org/spreadsheetml/2006/main" xmlns:r="http://schemas.openxmlformats.org/officeDocument/2006/relationships">
  <dimension ref="B1:C104"/>
  <sheetViews>
    <sheetView zoomScaleNormal="100" workbookViewId="0">
      <pane ySplit="4" topLeftCell="A5" activePane="bottomLeft" state="frozen"/>
      <selection pane="bottomLeft"/>
    </sheetView>
  </sheetViews>
  <sheetFormatPr defaultRowHeight="12.95" customHeight="1"/>
  <cols>
    <col min="1" max="1" width="3.7109375" style="377" customWidth="1"/>
    <col min="2" max="2" width="8.7109375" style="379" customWidth="1"/>
    <col min="3" max="3" width="132.7109375" style="1693" customWidth="1"/>
    <col min="4" max="8" width="4" style="377" bestFit="1" customWidth="1"/>
    <col min="9" max="9" width="7" style="377" bestFit="1" customWidth="1"/>
    <col min="10" max="12" width="4" style="377" bestFit="1" customWidth="1"/>
    <col min="13" max="16384" width="9.140625" style="377"/>
  </cols>
  <sheetData>
    <row r="1" spans="2:3" s="1691" customFormat="1" ht="12.95" customHeight="1">
      <c r="B1" s="2631" t="s">
        <v>2706</v>
      </c>
      <c r="C1" s="2636" t="s">
        <v>8269</v>
      </c>
    </row>
    <row r="2" spans="2:3" s="292" customFormat="1" ht="5.0999999999999996" customHeight="1">
      <c r="B2" s="1692"/>
      <c r="C2" s="318"/>
    </row>
    <row r="3" spans="2:3" s="292" customFormat="1" ht="12.95" customHeight="1">
      <c r="B3" s="3075" t="s">
        <v>8703</v>
      </c>
      <c r="C3" s="3075"/>
    </row>
    <row r="4" spans="2:3" ht="5.0999999999999996" customHeight="1"/>
    <row r="5" spans="2:3" s="1835" customFormat="1" ht="12.95" customHeight="1">
      <c r="C5" s="2987" t="s">
        <v>8704</v>
      </c>
    </row>
    <row r="6" spans="2:3" s="1835" customFormat="1" ht="12.95" customHeight="1">
      <c r="C6" s="2987"/>
    </row>
    <row r="7" spans="2:3" s="1835" customFormat="1" ht="12.95" customHeight="1">
      <c r="C7" s="2987"/>
    </row>
    <row r="8" spans="2:3" ht="12.95" customHeight="1">
      <c r="B8" s="377"/>
      <c r="C8" s="2987"/>
    </row>
    <row r="9" spans="2:3" ht="12.95" customHeight="1">
      <c r="B9" s="377"/>
      <c r="C9" s="2987" t="s">
        <v>8705</v>
      </c>
    </row>
    <row r="10" spans="2:3" ht="12.95" customHeight="1">
      <c r="B10" s="377"/>
      <c r="C10" s="2987"/>
    </row>
    <row r="11" spans="2:3" ht="12.95" customHeight="1">
      <c r="B11" s="377"/>
      <c r="C11" s="2987"/>
    </row>
    <row r="12" spans="2:3" ht="12.95" customHeight="1">
      <c r="B12" s="377"/>
      <c r="C12" s="2987"/>
    </row>
    <row r="13" spans="2:3" ht="12.95" customHeight="1">
      <c r="B13" s="377"/>
      <c r="C13" s="2987" t="s">
        <v>8706</v>
      </c>
    </row>
    <row r="14" spans="2:3" ht="12.95" customHeight="1">
      <c r="B14" s="377"/>
      <c r="C14" s="2987"/>
    </row>
    <row r="15" spans="2:3" ht="12.95" customHeight="1">
      <c r="B15" s="377"/>
      <c r="C15" s="2987"/>
    </row>
    <row r="16" spans="2:3" ht="12.95" customHeight="1">
      <c r="B16" s="377"/>
      <c r="C16" s="2987"/>
    </row>
    <row r="17" spans="2:3" ht="12.95" customHeight="1">
      <c r="B17" s="377"/>
      <c r="C17" s="2987" t="s">
        <v>9770</v>
      </c>
    </row>
    <row r="18" spans="2:3" ht="12.95" customHeight="1">
      <c r="B18" s="377"/>
      <c r="C18" s="2987"/>
    </row>
    <row r="19" spans="2:3" ht="12.95" customHeight="1">
      <c r="B19" s="377"/>
      <c r="C19" s="2987"/>
    </row>
    <row r="20" spans="2:3" ht="12.95" customHeight="1">
      <c r="B20" s="377"/>
      <c r="C20" s="2987"/>
    </row>
    <row r="21" spans="2:3" ht="12.95" customHeight="1">
      <c r="B21" s="377"/>
      <c r="C21" s="2987" t="s">
        <v>8707</v>
      </c>
    </row>
    <row r="22" spans="2:3" ht="12.95" customHeight="1">
      <c r="B22" s="377"/>
      <c r="C22" s="2987"/>
    </row>
    <row r="23" spans="2:3" ht="12.95" customHeight="1">
      <c r="B23" s="377"/>
      <c r="C23" s="2987"/>
    </row>
    <row r="24" spans="2:3" ht="12.95" customHeight="1">
      <c r="C24" s="2987"/>
    </row>
    <row r="25" spans="2:3" ht="12.95" customHeight="1">
      <c r="B25" s="377"/>
      <c r="C25" s="2984" t="s">
        <v>8708</v>
      </c>
    </row>
    <row r="26" spans="2:3" ht="12.95" customHeight="1">
      <c r="B26" s="377"/>
      <c r="C26" s="2984"/>
    </row>
    <row r="27" spans="2:3" ht="12.95" customHeight="1">
      <c r="B27" s="377"/>
      <c r="C27" s="2984"/>
    </row>
    <row r="28" spans="2:3" ht="12.95" customHeight="1">
      <c r="C28" s="2984"/>
    </row>
    <row r="29" spans="2:3" ht="12.95" customHeight="1">
      <c r="C29" s="2984" t="s">
        <v>9771</v>
      </c>
    </row>
    <row r="30" spans="2:3" ht="12.95" customHeight="1">
      <c r="C30" s="2984"/>
    </row>
    <row r="31" spans="2:3" ht="12.95" customHeight="1">
      <c r="C31" s="2984"/>
    </row>
    <row r="32" spans="2:3" ht="12.95" customHeight="1">
      <c r="C32" s="2984"/>
    </row>
    <row r="33" spans="3:3" ht="12.95" customHeight="1">
      <c r="C33" s="2984" t="s">
        <v>8709</v>
      </c>
    </row>
    <row r="34" spans="3:3" ht="12.95" customHeight="1">
      <c r="C34" s="2984"/>
    </row>
    <row r="35" spans="3:3" ht="12.95" customHeight="1">
      <c r="C35" s="2984"/>
    </row>
    <row r="36" spans="3:3" ht="12.95" customHeight="1">
      <c r="C36" s="2984"/>
    </row>
    <row r="37" spans="3:3" ht="12.95" customHeight="1">
      <c r="C37" s="2984" t="s">
        <v>8710</v>
      </c>
    </row>
    <row r="38" spans="3:3" ht="12.95" customHeight="1">
      <c r="C38" s="2984"/>
    </row>
    <row r="39" spans="3:3" ht="12.95" customHeight="1">
      <c r="C39" s="2984"/>
    </row>
    <row r="40" spans="3:3" ht="12.95" customHeight="1">
      <c r="C40" s="2984"/>
    </row>
    <row r="41" spans="3:3" ht="12.95" customHeight="1">
      <c r="C41" s="2984" t="s">
        <v>8711</v>
      </c>
    </row>
    <row r="42" spans="3:3" ht="12.95" customHeight="1">
      <c r="C42" s="2984"/>
    </row>
    <row r="43" spans="3:3" ht="12.95" customHeight="1">
      <c r="C43" s="2984"/>
    </row>
    <row r="44" spans="3:3" ht="12.95" customHeight="1">
      <c r="C44" s="2984"/>
    </row>
    <row r="45" spans="3:3" ht="12.95" customHeight="1">
      <c r="C45" s="2984" t="s">
        <v>8712</v>
      </c>
    </row>
    <row r="46" spans="3:3" ht="12.95" customHeight="1">
      <c r="C46" s="2984"/>
    </row>
    <row r="47" spans="3:3" ht="12.95" customHeight="1">
      <c r="C47" s="2984"/>
    </row>
    <row r="48" spans="3:3" ht="12.95" customHeight="1">
      <c r="C48" s="2984"/>
    </row>
    <row r="49" spans="3:3" ht="12.95" customHeight="1">
      <c r="C49" s="2984" t="s">
        <v>8713</v>
      </c>
    </row>
    <row r="50" spans="3:3" ht="12.95" customHeight="1">
      <c r="C50" s="2984"/>
    </row>
    <row r="51" spans="3:3" ht="12.95" customHeight="1">
      <c r="C51" s="2984"/>
    </row>
    <row r="52" spans="3:3" ht="12.95" customHeight="1">
      <c r="C52" s="2984"/>
    </row>
    <row r="53" spans="3:3" ht="12.95" customHeight="1">
      <c r="C53" s="2984" t="s">
        <v>9772</v>
      </c>
    </row>
    <row r="54" spans="3:3" ht="12.95" customHeight="1">
      <c r="C54" s="2984"/>
    </row>
    <row r="55" spans="3:3" ht="12.95" customHeight="1">
      <c r="C55" s="2984"/>
    </row>
    <row r="56" spans="3:3" ht="12.95" customHeight="1">
      <c r="C56" s="2984"/>
    </row>
    <row r="57" spans="3:3" ht="12.95" customHeight="1">
      <c r="C57" s="2984" t="s">
        <v>8715</v>
      </c>
    </row>
    <row r="58" spans="3:3" ht="12.95" customHeight="1">
      <c r="C58" s="2984"/>
    </row>
    <row r="59" spans="3:3" ht="12.95" customHeight="1">
      <c r="C59" s="2984"/>
    </row>
    <row r="60" spans="3:3" ht="12.95" customHeight="1">
      <c r="C60" s="2984"/>
    </row>
    <row r="61" spans="3:3" ht="12.95" customHeight="1">
      <c r="C61" s="2984" t="s">
        <v>9773</v>
      </c>
    </row>
    <row r="62" spans="3:3" ht="12.95" customHeight="1">
      <c r="C62" s="2984"/>
    </row>
    <row r="63" spans="3:3" ht="12.95" customHeight="1">
      <c r="C63" s="2984"/>
    </row>
    <row r="64" spans="3:3" ht="12.95" customHeight="1">
      <c r="C64" s="2984"/>
    </row>
    <row r="65" spans="3:3" ht="12.95" customHeight="1">
      <c r="C65" s="2984" t="s">
        <v>8718</v>
      </c>
    </row>
    <row r="66" spans="3:3" ht="12.95" customHeight="1">
      <c r="C66" s="2984"/>
    </row>
    <row r="67" spans="3:3" ht="12.95" customHeight="1">
      <c r="C67" s="2984"/>
    </row>
    <row r="68" spans="3:3" ht="12.95" customHeight="1">
      <c r="C68" s="2984"/>
    </row>
    <row r="69" spans="3:3" ht="12.95" customHeight="1">
      <c r="C69" s="2984" t="s">
        <v>8717</v>
      </c>
    </row>
    <row r="70" spans="3:3" ht="12.95" customHeight="1">
      <c r="C70" s="2984"/>
    </row>
    <row r="71" spans="3:3" ht="12.95" customHeight="1">
      <c r="C71" s="2984"/>
    </row>
    <row r="72" spans="3:3" ht="12.95" customHeight="1">
      <c r="C72" s="2984"/>
    </row>
    <row r="73" spans="3:3" ht="12.95" customHeight="1">
      <c r="C73" s="2984" t="s">
        <v>8719</v>
      </c>
    </row>
    <row r="74" spans="3:3" ht="12.95" customHeight="1">
      <c r="C74" s="2984"/>
    </row>
    <row r="75" spans="3:3" ht="12.95" customHeight="1">
      <c r="C75" s="2984"/>
    </row>
    <row r="76" spans="3:3" ht="12.95" customHeight="1">
      <c r="C76" s="2984"/>
    </row>
    <row r="77" spans="3:3" ht="12.95" customHeight="1">
      <c r="C77" s="2984" t="s">
        <v>8720</v>
      </c>
    </row>
    <row r="78" spans="3:3" ht="12.95" customHeight="1">
      <c r="C78" s="2984"/>
    </row>
    <row r="79" spans="3:3" ht="12.95" customHeight="1">
      <c r="C79" s="2984"/>
    </row>
    <row r="80" spans="3:3" ht="12.95" customHeight="1">
      <c r="C80" s="2984"/>
    </row>
    <row r="81" spans="3:3" ht="12.95" customHeight="1">
      <c r="C81" s="2984" t="s">
        <v>8721</v>
      </c>
    </row>
    <row r="82" spans="3:3" ht="12.95" customHeight="1">
      <c r="C82" s="2984"/>
    </row>
    <row r="83" spans="3:3" ht="12.95" customHeight="1">
      <c r="C83" s="2984"/>
    </row>
    <row r="84" spans="3:3" ht="12.95" customHeight="1">
      <c r="C84" s="2984"/>
    </row>
    <row r="85" spans="3:3" ht="12.95" customHeight="1">
      <c r="C85" s="2984" t="s">
        <v>8722</v>
      </c>
    </row>
    <row r="86" spans="3:3" ht="12.95" customHeight="1">
      <c r="C86" s="2984"/>
    </row>
    <row r="87" spans="3:3" ht="12.95" customHeight="1">
      <c r="C87" s="2984"/>
    </row>
    <row r="88" spans="3:3" ht="12.95" customHeight="1">
      <c r="C88" s="2984"/>
    </row>
    <row r="89" spans="3:3" ht="12.95" customHeight="1">
      <c r="C89" s="2984" t="s">
        <v>8723</v>
      </c>
    </row>
    <row r="90" spans="3:3" ht="12.95" customHeight="1">
      <c r="C90" s="2984"/>
    </row>
    <row r="91" spans="3:3" ht="12.95" customHeight="1">
      <c r="C91" s="2984"/>
    </row>
    <row r="92" spans="3:3" ht="12.95" customHeight="1">
      <c r="C92" s="2984"/>
    </row>
    <row r="93" spans="3:3" ht="12.95" customHeight="1">
      <c r="C93" s="2984" t="s">
        <v>10160</v>
      </c>
    </row>
    <row r="94" spans="3:3" ht="12.95" customHeight="1">
      <c r="C94" s="2984"/>
    </row>
    <row r="95" spans="3:3" ht="12.95" customHeight="1">
      <c r="C95" s="2984"/>
    </row>
    <row r="96" spans="3:3" ht="12.95" customHeight="1">
      <c r="C96" s="2984"/>
    </row>
    <row r="97" spans="3:3" ht="12.95" customHeight="1">
      <c r="C97" s="2984" t="s">
        <v>8724</v>
      </c>
    </row>
    <row r="98" spans="3:3" ht="12.95" customHeight="1">
      <c r="C98" s="2984"/>
    </row>
    <row r="99" spans="3:3" ht="12.95" customHeight="1">
      <c r="C99" s="2984"/>
    </row>
    <row r="100" spans="3:3" ht="12.95" customHeight="1">
      <c r="C100" s="2984"/>
    </row>
    <row r="101" spans="3:3" ht="12.95" customHeight="1">
      <c r="C101" s="2984" t="s">
        <v>9774</v>
      </c>
    </row>
    <row r="102" spans="3:3" ht="12.95" customHeight="1">
      <c r="C102" s="2984"/>
    </row>
    <row r="103" spans="3:3" ht="12.95" customHeight="1">
      <c r="C103" s="2984"/>
    </row>
    <row r="104" spans="3:3" ht="12.95" customHeight="1">
      <c r="C104" s="2984"/>
    </row>
  </sheetData>
  <sheetProtection autoFilter="0"/>
  <mergeCells count="26">
    <mergeCell ref="C17:C20"/>
    <mergeCell ref="C21:C24"/>
    <mergeCell ref="C25:C28"/>
    <mergeCell ref="C29:C32"/>
    <mergeCell ref="B3:C3"/>
    <mergeCell ref="C5:C8"/>
    <mergeCell ref="C9:C12"/>
    <mergeCell ref="C13:C16"/>
    <mergeCell ref="C53:C56"/>
    <mergeCell ref="C57:C60"/>
    <mergeCell ref="C61:C64"/>
    <mergeCell ref="C33:C36"/>
    <mergeCell ref="C37:C40"/>
    <mergeCell ref="C41:C44"/>
    <mergeCell ref="C45:C48"/>
    <mergeCell ref="C49:C52"/>
    <mergeCell ref="C65:C68"/>
    <mergeCell ref="C69:C72"/>
    <mergeCell ref="C73:C76"/>
    <mergeCell ref="C77:C80"/>
    <mergeCell ref="C81:C84"/>
    <mergeCell ref="C85:C88"/>
    <mergeCell ref="C89:C92"/>
    <mergeCell ref="C93:C96"/>
    <mergeCell ref="C97:C100"/>
    <mergeCell ref="C101:C104"/>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1" orientation="landscape" r:id="rId1"/>
  <headerFooter alignWithMargins="0"/>
  <rowBreaks count="2" manualBreakCount="2">
    <brk id="36" max="16383" man="1"/>
    <brk id="72" max="16383" man="1"/>
  </rowBreaks>
  <drawing r:id="rId2"/>
</worksheet>
</file>

<file path=xl/worksheets/sheet113.xml><?xml version="1.0" encoding="utf-8"?>
<worksheet xmlns="http://schemas.openxmlformats.org/spreadsheetml/2006/main" xmlns:r="http://schemas.openxmlformats.org/officeDocument/2006/relationships">
  <sheetPr>
    <outlinePr summaryBelow="0"/>
  </sheetPr>
  <dimension ref="B1:V253"/>
  <sheetViews>
    <sheetView zoomScaleNormal="100" workbookViewId="0">
      <pane ySplit="9" topLeftCell="A10" activePane="bottomLeft" state="frozen"/>
      <selection pane="bottomLeft" activeCell="B1" sqref="B1"/>
    </sheetView>
  </sheetViews>
  <sheetFormatPr defaultRowHeight="12.75" outlineLevelRow="1"/>
  <cols>
    <col min="1" max="1" width="3.7109375" style="1893" customWidth="1"/>
    <col min="2" max="2" width="29.140625" style="292" customWidth="1"/>
    <col min="3" max="3" width="10" style="1897" bestFit="1" customWidth="1"/>
    <col min="4" max="4" width="4" style="1897" bestFit="1" customWidth="1"/>
    <col min="5" max="5" width="11" style="1897" bestFit="1" customWidth="1"/>
    <col min="6" max="6" width="4" style="1897" bestFit="1" customWidth="1"/>
    <col min="7" max="7" width="6.42578125" style="1897" bestFit="1" customWidth="1"/>
    <col min="8" max="8" width="4" style="1897" bestFit="1" customWidth="1"/>
    <col min="9" max="9" width="8" style="1897" bestFit="1" customWidth="1"/>
    <col min="10" max="10" width="4" style="1897" bestFit="1" customWidth="1"/>
    <col min="11" max="11" width="10.42578125" style="1897" bestFit="1" customWidth="1"/>
    <col min="12" max="12" width="4" style="1897" bestFit="1" customWidth="1"/>
    <col min="13" max="13" width="9.85546875" style="1897" bestFit="1" customWidth="1"/>
    <col min="14" max="14" width="4" style="1897" bestFit="1" customWidth="1"/>
    <col min="15" max="15" width="9" style="1897" bestFit="1" customWidth="1"/>
    <col min="16" max="16" width="4" style="1897" bestFit="1" customWidth="1"/>
    <col min="17" max="17" width="6.5703125" style="1897" bestFit="1" customWidth="1"/>
    <col min="18" max="18" width="4" style="1897" bestFit="1" customWidth="1"/>
    <col min="19" max="19" width="13.7109375" style="1897" bestFit="1" customWidth="1"/>
    <col min="20" max="20" width="4" style="1897" bestFit="1" customWidth="1"/>
    <col min="21" max="21" width="10.42578125" style="2148" bestFit="1" customWidth="1"/>
    <col min="22" max="22" width="5.5703125" style="1893" bestFit="1" customWidth="1"/>
    <col min="23" max="16384" width="9.140625" style="1893"/>
  </cols>
  <sheetData>
    <row r="1" spans="2:22" ht="12.95" customHeight="1">
      <c r="B1" s="2149" t="s">
        <v>2706</v>
      </c>
      <c r="C1" s="2983" t="s">
        <v>8269</v>
      </c>
      <c r="D1" s="2983"/>
      <c r="E1" s="2983"/>
      <c r="F1" s="2983"/>
      <c r="G1" s="2983"/>
      <c r="H1" s="2983"/>
      <c r="I1" s="2983"/>
      <c r="J1" s="2983"/>
      <c r="K1" s="2983"/>
      <c r="L1" s="2983"/>
      <c r="M1" s="2983"/>
      <c r="N1" s="2983"/>
      <c r="O1" s="2983"/>
      <c r="P1" s="2983"/>
      <c r="Q1" s="2983"/>
      <c r="R1" s="2983"/>
      <c r="S1" s="2983"/>
      <c r="T1" s="2983"/>
      <c r="U1" s="2983"/>
    </row>
    <row r="2" spans="2:22" ht="5.0999999999999996" customHeight="1">
      <c r="B2" s="1895"/>
      <c r="C2" s="377"/>
      <c r="D2" s="377"/>
      <c r="E2" s="377"/>
      <c r="F2" s="377"/>
      <c r="G2" s="377"/>
      <c r="H2" s="377"/>
      <c r="I2" s="377"/>
      <c r="J2" s="377"/>
    </row>
    <row r="3" spans="2:22" ht="12.95" customHeight="1">
      <c r="B3" s="3266" t="s">
        <v>7288</v>
      </c>
      <c r="C3" s="3266"/>
      <c r="D3" s="3266"/>
      <c r="E3" s="3266"/>
      <c r="F3" s="3266"/>
      <c r="G3" s="3266"/>
      <c r="H3" s="3266"/>
      <c r="I3" s="3266"/>
      <c r="J3" s="3266"/>
      <c r="K3" s="3266"/>
      <c r="L3" s="3266"/>
      <c r="M3" s="3266"/>
      <c r="N3" s="3266"/>
      <c r="O3" s="3266"/>
      <c r="P3" s="3266"/>
      <c r="Q3" s="3266"/>
      <c r="R3" s="3266"/>
      <c r="S3" s="3266"/>
      <c r="T3" s="3266"/>
      <c r="U3" s="3266"/>
    </row>
    <row r="4" spans="2:22" ht="5.0999999999999996" customHeight="1"/>
    <row r="5" spans="2:22" ht="12.95" customHeight="1">
      <c r="B5" s="4242" t="s">
        <v>9706</v>
      </c>
      <c r="C5" s="4242"/>
      <c r="D5" s="4242"/>
      <c r="E5" s="4242"/>
      <c r="F5" s="4242"/>
      <c r="G5" s="4242"/>
      <c r="H5" s="4242"/>
      <c r="I5" s="4242"/>
      <c r="J5" s="4242"/>
      <c r="K5" s="4242"/>
      <c r="L5" s="4242"/>
      <c r="M5" s="4242"/>
      <c r="N5" s="4242"/>
      <c r="O5" s="4242"/>
      <c r="P5" s="4242"/>
      <c r="Q5" s="4242"/>
      <c r="R5" s="4242"/>
      <c r="S5" s="4242"/>
      <c r="T5" s="4242"/>
      <c r="U5" s="4242"/>
    </row>
    <row r="6" spans="2:22" ht="12.95" customHeight="1">
      <c r="B6" s="4241" t="s">
        <v>9707</v>
      </c>
      <c r="C6" s="4241"/>
      <c r="D6" s="4241"/>
      <c r="E6" s="4241"/>
      <c r="F6" s="4241"/>
      <c r="G6" s="4241"/>
      <c r="H6" s="4241"/>
      <c r="I6" s="4241"/>
      <c r="J6" s="4241"/>
      <c r="K6" s="4241"/>
      <c r="L6" s="4241"/>
      <c r="M6" s="4241"/>
      <c r="N6" s="4241"/>
      <c r="O6" s="4241"/>
      <c r="P6" s="4241"/>
      <c r="Q6" s="4241"/>
      <c r="R6" s="4241"/>
      <c r="S6" s="4241"/>
      <c r="T6" s="4241"/>
      <c r="U6" s="4241"/>
    </row>
    <row r="7" spans="2:22" ht="5.0999999999999996" customHeight="1"/>
    <row r="8" spans="2:22" ht="12.95" customHeight="1" thickBot="1">
      <c r="B8" s="4280" t="s">
        <v>7289</v>
      </c>
      <c r="C8" s="4280"/>
      <c r="D8" s="4280"/>
      <c r="E8" s="4280"/>
      <c r="F8" s="4280"/>
      <c r="G8" s="4280"/>
      <c r="H8" s="4280"/>
      <c r="I8" s="4280"/>
      <c r="J8" s="4280"/>
      <c r="K8" s="4280"/>
      <c r="L8" s="4280"/>
      <c r="M8" s="4280"/>
      <c r="N8" s="4280"/>
      <c r="O8" s="4280"/>
      <c r="P8" s="4280"/>
      <c r="Q8" s="4280"/>
      <c r="R8" s="4280"/>
      <c r="S8" s="4280"/>
      <c r="T8" s="4280"/>
      <c r="U8" s="4280"/>
    </row>
    <row r="9" spans="2:22" s="2150" customFormat="1" ht="12.95" customHeight="1" outlineLevel="1" thickBot="1">
      <c r="B9" s="2266" t="s">
        <v>3476</v>
      </c>
      <c r="C9" s="2151" t="s">
        <v>7290</v>
      </c>
      <c r="D9" s="1898" t="s">
        <v>7291</v>
      </c>
      <c r="E9" s="2152" t="s">
        <v>7292</v>
      </c>
      <c r="F9" s="1899" t="s">
        <v>7291</v>
      </c>
      <c r="G9" s="2151" t="s">
        <v>119</v>
      </c>
      <c r="H9" s="1898" t="s">
        <v>7291</v>
      </c>
      <c r="I9" s="2152" t="s">
        <v>120</v>
      </c>
      <c r="J9" s="1899" t="s">
        <v>7291</v>
      </c>
      <c r="K9" s="2151" t="s">
        <v>1926</v>
      </c>
      <c r="L9" s="1898" t="s">
        <v>7291</v>
      </c>
      <c r="M9" s="2152" t="s">
        <v>1648</v>
      </c>
      <c r="N9" s="1899" t="s">
        <v>7291</v>
      </c>
      <c r="O9" s="2151" t="s">
        <v>4</v>
      </c>
      <c r="P9" s="1898" t="s">
        <v>7291</v>
      </c>
      <c r="Q9" s="2152" t="s">
        <v>1570</v>
      </c>
      <c r="R9" s="1899" t="s">
        <v>7291</v>
      </c>
      <c r="S9" s="2151" t="s">
        <v>3486</v>
      </c>
      <c r="T9" s="1898" t="s">
        <v>7291</v>
      </c>
      <c r="U9" s="163" t="s">
        <v>7293</v>
      </c>
    </row>
    <row r="10" spans="2:22" ht="12.95" customHeight="1" outlineLevel="1">
      <c r="B10" s="2153" t="s">
        <v>2232</v>
      </c>
      <c r="C10" s="2154">
        <v>1</v>
      </c>
      <c r="D10" s="2155">
        <f t="shared" ref="D10:D20" si="0">C10/C$21*100</f>
        <v>84.615384615384613</v>
      </c>
      <c r="E10" s="2156">
        <v>3</v>
      </c>
      <c r="F10" s="2157">
        <f t="shared" ref="F10:F20" si="1">E10/E$21*100</f>
        <v>122.22222222222221</v>
      </c>
      <c r="G10" s="2154">
        <v>4</v>
      </c>
      <c r="H10" s="2155">
        <f t="shared" ref="H10:H20" si="2">G10/G$21*100</f>
        <v>118.91891891891892</v>
      </c>
      <c r="I10" s="2158">
        <v>5</v>
      </c>
      <c r="J10" s="2157">
        <f t="shared" ref="J10:J20" si="3">I10/I$21*100</f>
        <v>166.66666666666669</v>
      </c>
      <c r="K10" s="2159">
        <v>10</v>
      </c>
      <c r="L10" s="2155">
        <f t="shared" ref="L10:L20" si="4">K10/K$21*100</f>
        <v>196.42857142857144</v>
      </c>
      <c r="M10" s="2158">
        <v>4</v>
      </c>
      <c r="N10" s="2157">
        <f t="shared" ref="N10:N20" si="5">M10/M$21*100</f>
        <v>86.274509803921561</v>
      </c>
      <c r="O10" s="2159">
        <v>14</v>
      </c>
      <c r="P10" s="2155">
        <f t="shared" ref="P10:P20" si="6">O10/O$21*100</f>
        <v>89.534883720930239</v>
      </c>
      <c r="Q10" s="2158">
        <v>60</v>
      </c>
      <c r="R10" s="2157">
        <f t="shared" ref="R10:R20" si="7">100/Q10*Q$21</f>
        <v>73.484848484848499</v>
      </c>
      <c r="S10" s="2159">
        <v>10</v>
      </c>
      <c r="T10" s="2155">
        <f t="shared" ref="T10:T20" si="8">S10/S$21*100</f>
        <v>57.894736842105267</v>
      </c>
      <c r="U10" s="2160">
        <f>AVERAGE(D10,F10,H10,J10,L10,N10,P10,R10,T10)</f>
        <v>110.67119363372994</v>
      </c>
      <c r="V10" s="2161">
        <f>LARGE(U10:U20,1)</f>
        <v>116.20131721770908</v>
      </c>
    </row>
    <row r="11" spans="2:22" ht="12.95" customHeight="1" outlineLevel="1">
      <c r="B11" s="2180" t="s">
        <v>2234</v>
      </c>
      <c r="C11" s="2163">
        <v>2</v>
      </c>
      <c r="D11" s="2164">
        <f t="shared" si="0"/>
        <v>169.23076923076923</v>
      </c>
      <c r="E11" s="2165">
        <v>3</v>
      </c>
      <c r="F11" s="2166">
        <f t="shared" si="1"/>
        <v>122.22222222222221</v>
      </c>
      <c r="G11" s="2163">
        <v>5</v>
      </c>
      <c r="H11" s="2164">
        <f t="shared" si="2"/>
        <v>148.64864864864865</v>
      </c>
      <c r="I11" s="2167">
        <v>3</v>
      </c>
      <c r="J11" s="2166">
        <f t="shared" si="3"/>
        <v>100</v>
      </c>
      <c r="K11" s="2168">
        <v>8</v>
      </c>
      <c r="L11" s="2164">
        <f t="shared" si="4"/>
        <v>157.14285714285714</v>
      </c>
      <c r="M11" s="2167">
        <v>6</v>
      </c>
      <c r="N11" s="2166">
        <f t="shared" si="5"/>
        <v>129.41176470588235</v>
      </c>
      <c r="O11" s="2168">
        <v>14</v>
      </c>
      <c r="P11" s="2164">
        <f t="shared" si="6"/>
        <v>89.534883720930239</v>
      </c>
      <c r="Q11" s="2167">
        <v>70</v>
      </c>
      <c r="R11" s="2166">
        <f t="shared" si="7"/>
        <v>62.987012987012989</v>
      </c>
      <c r="S11" s="2168">
        <v>10</v>
      </c>
      <c r="T11" s="2164">
        <f t="shared" si="8"/>
        <v>57.894736842105267</v>
      </c>
      <c r="U11" s="2169">
        <f t="shared" ref="U11:U20" si="9">AVERAGE(D11,F11,H11,J11,L11,N11,P11,R11,T11)</f>
        <v>115.23032172226979</v>
      </c>
      <c r="V11" s="2161">
        <f>SMALL(U10:U20,1)</f>
        <v>83.775297662746567</v>
      </c>
    </row>
    <row r="12" spans="2:22" ht="12.95" customHeight="1" outlineLevel="1">
      <c r="B12" s="2170" t="s">
        <v>1532</v>
      </c>
      <c r="C12" s="2171">
        <v>1</v>
      </c>
      <c r="D12" s="2172">
        <f t="shared" si="0"/>
        <v>84.615384615384613</v>
      </c>
      <c r="E12" s="2173">
        <v>2</v>
      </c>
      <c r="F12" s="2174">
        <f t="shared" si="1"/>
        <v>81.481481481481481</v>
      </c>
      <c r="G12" s="2171">
        <v>3</v>
      </c>
      <c r="H12" s="2172">
        <f t="shared" si="2"/>
        <v>89.189189189189193</v>
      </c>
      <c r="I12" s="2175">
        <v>3</v>
      </c>
      <c r="J12" s="2174">
        <f t="shared" si="3"/>
        <v>100</v>
      </c>
      <c r="K12" s="2176">
        <v>4</v>
      </c>
      <c r="L12" s="2172">
        <f t="shared" si="4"/>
        <v>78.571428571428569</v>
      </c>
      <c r="M12" s="2175">
        <v>4</v>
      </c>
      <c r="N12" s="2174">
        <f t="shared" si="5"/>
        <v>86.274509803921561</v>
      </c>
      <c r="O12" s="2176">
        <v>16</v>
      </c>
      <c r="P12" s="2172">
        <f t="shared" si="6"/>
        <v>102.32558139534885</v>
      </c>
      <c r="Q12" s="2175">
        <v>30</v>
      </c>
      <c r="R12" s="2174">
        <f t="shared" si="7"/>
        <v>146.969696969697</v>
      </c>
      <c r="S12" s="2176">
        <v>10</v>
      </c>
      <c r="T12" s="2172">
        <f t="shared" si="8"/>
        <v>57.894736842105267</v>
      </c>
      <c r="U12" s="2177">
        <f t="shared" si="9"/>
        <v>91.924667652061842</v>
      </c>
      <c r="V12" s="2178"/>
    </row>
    <row r="13" spans="2:22" ht="12.95" customHeight="1" outlineLevel="1">
      <c r="B13" s="2162" t="s">
        <v>1536</v>
      </c>
      <c r="C13" s="2163">
        <v>1</v>
      </c>
      <c r="D13" s="2164">
        <f t="shared" si="0"/>
        <v>84.615384615384613</v>
      </c>
      <c r="E13" s="2165">
        <v>3</v>
      </c>
      <c r="F13" s="2166">
        <f t="shared" si="1"/>
        <v>122.22222222222221</v>
      </c>
      <c r="G13" s="2163">
        <v>5</v>
      </c>
      <c r="H13" s="2164">
        <f t="shared" si="2"/>
        <v>148.64864864864865</v>
      </c>
      <c r="I13" s="2167">
        <v>4</v>
      </c>
      <c r="J13" s="2166">
        <f t="shared" si="3"/>
        <v>133.33333333333331</v>
      </c>
      <c r="K13" s="2168">
        <v>6</v>
      </c>
      <c r="L13" s="2164">
        <f t="shared" si="4"/>
        <v>117.85714285714286</v>
      </c>
      <c r="M13" s="2167">
        <v>4</v>
      </c>
      <c r="N13" s="2166">
        <f t="shared" si="5"/>
        <v>86.274509803921561</v>
      </c>
      <c r="O13" s="2168">
        <v>12</v>
      </c>
      <c r="P13" s="2164">
        <f t="shared" si="6"/>
        <v>76.744186046511629</v>
      </c>
      <c r="Q13" s="2167">
        <v>60</v>
      </c>
      <c r="R13" s="2166">
        <f t="shared" si="7"/>
        <v>73.484848484848499</v>
      </c>
      <c r="S13" s="2168">
        <v>35</v>
      </c>
      <c r="T13" s="2164">
        <f t="shared" si="8"/>
        <v>202.63157894736841</v>
      </c>
      <c r="U13" s="2169">
        <f t="shared" si="9"/>
        <v>116.20131721770908</v>
      </c>
      <c r="V13" s="2178"/>
    </row>
    <row r="14" spans="2:22" ht="12.95" customHeight="1" outlineLevel="1">
      <c r="B14" s="2179" t="s">
        <v>1534</v>
      </c>
      <c r="C14" s="2171">
        <v>1</v>
      </c>
      <c r="D14" s="2172">
        <f t="shared" si="0"/>
        <v>84.615384615384613</v>
      </c>
      <c r="E14" s="2173">
        <v>2</v>
      </c>
      <c r="F14" s="2174">
        <f t="shared" si="1"/>
        <v>81.481481481481481</v>
      </c>
      <c r="G14" s="2171">
        <v>2</v>
      </c>
      <c r="H14" s="2172">
        <f t="shared" si="2"/>
        <v>59.45945945945946</v>
      </c>
      <c r="I14" s="2175">
        <v>3</v>
      </c>
      <c r="J14" s="2174">
        <f t="shared" si="3"/>
        <v>100</v>
      </c>
      <c r="K14" s="2176">
        <v>4</v>
      </c>
      <c r="L14" s="2172">
        <f t="shared" si="4"/>
        <v>78.571428571428569</v>
      </c>
      <c r="M14" s="2175">
        <v>5</v>
      </c>
      <c r="N14" s="2174">
        <f t="shared" si="5"/>
        <v>107.84313725490196</v>
      </c>
      <c r="O14" s="2176">
        <v>15</v>
      </c>
      <c r="P14" s="2172">
        <f t="shared" si="6"/>
        <v>95.930232558139522</v>
      </c>
      <c r="Q14" s="2175">
        <v>50</v>
      </c>
      <c r="R14" s="2174">
        <f t="shared" si="7"/>
        <v>88.181818181818187</v>
      </c>
      <c r="S14" s="2176">
        <v>10</v>
      </c>
      <c r="T14" s="2172">
        <f t="shared" si="8"/>
        <v>57.894736842105267</v>
      </c>
      <c r="U14" s="2177">
        <f t="shared" si="9"/>
        <v>83.775297662746567</v>
      </c>
      <c r="V14" s="2178"/>
    </row>
    <row r="15" spans="2:22" ht="12.95" customHeight="1" outlineLevel="1">
      <c r="B15" s="2180" t="s">
        <v>1537</v>
      </c>
      <c r="C15" s="2163">
        <v>1</v>
      </c>
      <c r="D15" s="2164">
        <f t="shared" si="0"/>
        <v>84.615384615384613</v>
      </c>
      <c r="E15" s="2165">
        <v>3</v>
      </c>
      <c r="F15" s="2166">
        <f t="shared" si="1"/>
        <v>122.22222222222221</v>
      </c>
      <c r="G15" s="2163">
        <v>4</v>
      </c>
      <c r="H15" s="2164">
        <f t="shared" si="2"/>
        <v>118.91891891891892</v>
      </c>
      <c r="I15" s="2167">
        <v>3</v>
      </c>
      <c r="J15" s="2166">
        <f t="shared" si="3"/>
        <v>100</v>
      </c>
      <c r="K15" s="2168">
        <v>5</v>
      </c>
      <c r="L15" s="2164">
        <f t="shared" si="4"/>
        <v>98.214285714285722</v>
      </c>
      <c r="M15" s="2167">
        <v>4</v>
      </c>
      <c r="N15" s="2166">
        <f t="shared" si="5"/>
        <v>86.274509803921561</v>
      </c>
      <c r="O15" s="2168">
        <v>14</v>
      </c>
      <c r="P15" s="2164">
        <f t="shared" si="6"/>
        <v>89.534883720930239</v>
      </c>
      <c r="Q15" s="2167">
        <v>50</v>
      </c>
      <c r="R15" s="2166">
        <f t="shared" si="7"/>
        <v>88.181818181818187</v>
      </c>
      <c r="S15" s="2168">
        <v>15</v>
      </c>
      <c r="T15" s="2164">
        <f t="shared" si="8"/>
        <v>86.84210526315789</v>
      </c>
      <c r="U15" s="2169">
        <f t="shared" si="9"/>
        <v>97.200458715626581</v>
      </c>
      <c r="V15" s="2178"/>
    </row>
    <row r="16" spans="2:22" ht="12.95" customHeight="1" outlineLevel="1">
      <c r="B16" s="2170" t="s">
        <v>1538</v>
      </c>
      <c r="C16" s="2171">
        <v>1</v>
      </c>
      <c r="D16" s="2172">
        <f t="shared" si="0"/>
        <v>84.615384615384613</v>
      </c>
      <c r="E16" s="2173">
        <v>2</v>
      </c>
      <c r="F16" s="2174">
        <f t="shared" si="1"/>
        <v>81.481481481481481</v>
      </c>
      <c r="G16" s="2171">
        <v>4</v>
      </c>
      <c r="H16" s="2172">
        <f t="shared" si="2"/>
        <v>118.91891891891892</v>
      </c>
      <c r="I16" s="2175">
        <v>2</v>
      </c>
      <c r="J16" s="2174">
        <f t="shared" si="3"/>
        <v>66.666666666666657</v>
      </c>
      <c r="K16" s="2176">
        <v>5</v>
      </c>
      <c r="L16" s="2172">
        <f t="shared" si="4"/>
        <v>98.214285714285722</v>
      </c>
      <c r="M16" s="2175">
        <v>5</v>
      </c>
      <c r="N16" s="2174">
        <f t="shared" si="5"/>
        <v>107.84313725490196</v>
      </c>
      <c r="O16" s="2176">
        <v>15</v>
      </c>
      <c r="P16" s="2172">
        <f t="shared" si="6"/>
        <v>95.930232558139522</v>
      </c>
      <c r="Q16" s="2175">
        <v>40</v>
      </c>
      <c r="R16" s="2174">
        <f t="shared" si="7"/>
        <v>110.22727272727273</v>
      </c>
      <c r="S16" s="2176">
        <v>10</v>
      </c>
      <c r="T16" s="2172">
        <f t="shared" si="8"/>
        <v>57.894736842105267</v>
      </c>
      <c r="U16" s="2177">
        <f t="shared" si="9"/>
        <v>91.310235197684108</v>
      </c>
      <c r="V16" s="2178"/>
    </row>
    <row r="17" spans="2:22" ht="12.95" customHeight="1" outlineLevel="1">
      <c r="B17" s="2180" t="s">
        <v>1540</v>
      </c>
      <c r="C17" s="2163">
        <v>2</v>
      </c>
      <c r="D17" s="2164">
        <f t="shared" si="0"/>
        <v>169.23076923076923</v>
      </c>
      <c r="E17" s="2165">
        <v>3</v>
      </c>
      <c r="F17" s="2166">
        <f t="shared" si="1"/>
        <v>122.22222222222221</v>
      </c>
      <c r="G17" s="2163">
        <v>3</v>
      </c>
      <c r="H17" s="2164">
        <f t="shared" si="2"/>
        <v>89.189189189189193</v>
      </c>
      <c r="I17" s="2167">
        <v>5</v>
      </c>
      <c r="J17" s="2166">
        <f t="shared" si="3"/>
        <v>166.66666666666669</v>
      </c>
      <c r="K17" s="2168">
        <v>6</v>
      </c>
      <c r="L17" s="2164">
        <f t="shared" si="4"/>
        <v>117.85714285714286</v>
      </c>
      <c r="M17" s="2167">
        <v>4</v>
      </c>
      <c r="N17" s="2166">
        <f t="shared" si="5"/>
        <v>86.274509803921561</v>
      </c>
      <c r="O17" s="2168">
        <v>12</v>
      </c>
      <c r="P17" s="2164">
        <f t="shared" si="6"/>
        <v>76.744186046511629</v>
      </c>
      <c r="Q17" s="2167">
        <v>50</v>
      </c>
      <c r="R17" s="2166">
        <f t="shared" si="7"/>
        <v>88.181818181818187</v>
      </c>
      <c r="S17" s="2168">
        <v>10</v>
      </c>
      <c r="T17" s="2164">
        <f t="shared" si="8"/>
        <v>57.894736842105267</v>
      </c>
      <c r="U17" s="2169">
        <f t="shared" si="9"/>
        <v>108.251249004483</v>
      </c>
      <c r="V17" s="2178"/>
    </row>
    <row r="18" spans="2:22" ht="12.95" customHeight="1" outlineLevel="1">
      <c r="B18" s="2170" t="s">
        <v>2663</v>
      </c>
      <c r="C18" s="2171">
        <v>1</v>
      </c>
      <c r="D18" s="2172">
        <f t="shared" si="0"/>
        <v>84.615384615384613</v>
      </c>
      <c r="E18" s="2173">
        <v>2</v>
      </c>
      <c r="F18" s="2174">
        <f t="shared" si="1"/>
        <v>81.481481481481481</v>
      </c>
      <c r="G18" s="2171">
        <v>2</v>
      </c>
      <c r="H18" s="2172">
        <f t="shared" si="2"/>
        <v>59.45945945945946</v>
      </c>
      <c r="I18" s="2175">
        <v>2</v>
      </c>
      <c r="J18" s="2174">
        <f t="shared" si="3"/>
        <v>66.666666666666657</v>
      </c>
      <c r="K18" s="2176">
        <v>3</v>
      </c>
      <c r="L18" s="2172">
        <f t="shared" si="4"/>
        <v>58.928571428571431</v>
      </c>
      <c r="M18" s="2175">
        <v>7</v>
      </c>
      <c r="N18" s="2174">
        <f t="shared" si="5"/>
        <v>150.98039215686273</v>
      </c>
      <c r="O18" s="2176">
        <v>20</v>
      </c>
      <c r="P18" s="2172">
        <f t="shared" si="6"/>
        <v>127.90697674418605</v>
      </c>
      <c r="Q18" s="2175">
        <v>25</v>
      </c>
      <c r="R18" s="2174">
        <f t="shared" si="7"/>
        <v>176.36363636363637</v>
      </c>
      <c r="S18" s="2176">
        <v>25</v>
      </c>
      <c r="T18" s="2172">
        <f t="shared" si="8"/>
        <v>144.73684210526315</v>
      </c>
      <c r="U18" s="2177">
        <f t="shared" si="9"/>
        <v>105.68215678016799</v>
      </c>
      <c r="V18" s="2178"/>
    </row>
    <row r="19" spans="2:22" ht="12.95" customHeight="1" outlineLevel="1">
      <c r="B19" s="2180" t="s">
        <v>2015</v>
      </c>
      <c r="C19" s="2163">
        <v>1</v>
      </c>
      <c r="D19" s="2164">
        <f t="shared" si="0"/>
        <v>84.615384615384613</v>
      </c>
      <c r="E19" s="2165">
        <v>1</v>
      </c>
      <c r="F19" s="2166">
        <f t="shared" si="1"/>
        <v>40.74074074074074</v>
      </c>
      <c r="G19" s="2163">
        <v>1</v>
      </c>
      <c r="H19" s="2164">
        <f t="shared" si="2"/>
        <v>29.72972972972973</v>
      </c>
      <c r="I19" s="2167">
        <v>1</v>
      </c>
      <c r="J19" s="2166">
        <f t="shared" si="3"/>
        <v>33.333333333333329</v>
      </c>
      <c r="K19" s="2168">
        <v>1</v>
      </c>
      <c r="L19" s="2164">
        <f t="shared" si="4"/>
        <v>19.642857142857142</v>
      </c>
      <c r="M19" s="2167">
        <v>3</v>
      </c>
      <c r="N19" s="2166">
        <f t="shared" si="5"/>
        <v>64.705882352941174</v>
      </c>
      <c r="O19" s="2168">
        <v>25</v>
      </c>
      <c r="P19" s="2164">
        <f t="shared" si="6"/>
        <v>159.88372093023256</v>
      </c>
      <c r="Q19" s="2167">
        <v>10</v>
      </c>
      <c r="R19" s="2166">
        <f t="shared" si="7"/>
        <v>440.90909090909093</v>
      </c>
      <c r="S19" s="2168">
        <v>10</v>
      </c>
      <c r="T19" s="2164">
        <f t="shared" si="8"/>
        <v>57.894736842105267</v>
      </c>
      <c r="U19" s="2169">
        <f t="shared" si="9"/>
        <v>103.49505295515728</v>
      </c>
      <c r="V19" s="2178"/>
    </row>
    <row r="20" spans="2:22" ht="12.95" customHeight="1" outlineLevel="1" thickBot="1">
      <c r="B20" s="2191" t="s">
        <v>2014</v>
      </c>
      <c r="C20" s="2171">
        <v>1</v>
      </c>
      <c r="D20" s="2172">
        <f t="shared" si="0"/>
        <v>84.615384615384613</v>
      </c>
      <c r="E20" s="2173">
        <v>3</v>
      </c>
      <c r="F20" s="2174">
        <f t="shared" si="1"/>
        <v>122.22222222222221</v>
      </c>
      <c r="G20" s="2171">
        <v>4</v>
      </c>
      <c r="H20" s="2172">
        <f t="shared" si="2"/>
        <v>118.91891891891892</v>
      </c>
      <c r="I20" s="2175">
        <v>2</v>
      </c>
      <c r="J20" s="2174">
        <f t="shared" si="3"/>
        <v>66.666666666666657</v>
      </c>
      <c r="K20" s="2176">
        <v>4</v>
      </c>
      <c r="L20" s="2172">
        <f t="shared" si="4"/>
        <v>78.571428571428569</v>
      </c>
      <c r="M20" s="2175">
        <v>5</v>
      </c>
      <c r="N20" s="2174">
        <f t="shared" si="5"/>
        <v>107.84313725490196</v>
      </c>
      <c r="O20" s="2176">
        <v>15</v>
      </c>
      <c r="P20" s="2172">
        <f t="shared" si="6"/>
        <v>95.930232558139522</v>
      </c>
      <c r="Q20" s="2175">
        <v>40</v>
      </c>
      <c r="R20" s="2174">
        <f t="shared" si="7"/>
        <v>110.22727272727273</v>
      </c>
      <c r="S20" s="2176">
        <v>45</v>
      </c>
      <c r="T20" s="2172">
        <f t="shared" si="8"/>
        <v>260.5263157894737</v>
      </c>
      <c r="U20" s="2177">
        <f t="shared" si="9"/>
        <v>116.16906436937877</v>
      </c>
      <c r="V20" s="2178"/>
    </row>
    <row r="21" spans="2:22" s="2181" customFormat="1" ht="12.95" customHeight="1" thickBot="1">
      <c r="B21" s="2267" t="s">
        <v>7294</v>
      </c>
      <c r="C21" s="2182">
        <f>AVERAGE(C10:C20)</f>
        <v>1.1818181818181819</v>
      </c>
      <c r="D21" s="2183"/>
      <c r="E21" s="2182">
        <f>AVERAGE(E10:E20)</f>
        <v>2.4545454545454546</v>
      </c>
      <c r="F21" s="2184"/>
      <c r="G21" s="2185">
        <f>AVERAGE(G10:G20)</f>
        <v>3.3636363636363638</v>
      </c>
      <c r="H21" s="2183"/>
      <c r="I21" s="2182">
        <f>AVERAGE(I10:I20)</f>
        <v>3</v>
      </c>
      <c r="J21" s="2184"/>
      <c r="K21" s="2185">
        <f>AVERAGE(K10:K20)</f>
        <v>5.0909090909090908</v>
      </c>
      <c r="L21" s="2183"/>
      <c r="M21" s="2182">
        <f>AVERAGE(M10:M20)</f>
        <v>4.6363636363636367</v>
      </c>
      <c r="N21" s="2184"/>
      <c r="O21" s="2185">
        <f>AVERAGE(O10:O20)</f>
        <v>15.636363636363637</v>
      </c>
      <c r="P21" s="2183"/>
      <c r="Q21" s="2182">
        <f>AVERAGE(Q10:Q20)</f>
        <v>44.090909090909093</v>
      </c>
      <c r="R21" s="2184"/>
      <c r="S21" s="2185">
        <f>AVERAGE(S10:S20)</f>
        <v>17.272727272727273</v>
      </c>
      <c r="T21" s="2184"/>
      <c r="U21" s="2186">
        <f>AVERAGE(U10:U20)</f>
        <v>103.62827408281954</v>
      </c>
      <c r="V21" s="2187"/>
    </row>
    <row r="22" spans="2:22" ht="12.95" customHeight="1">
      <c r="V22" s="2178"/>
    </row>
    <row r="23" spans="2:22" ht="12.95" customHeight="1" thickBot="1">
      <c r="B23" s="4280" t="s">
        <v>7295</v>
      </c>
      <c r="C23" s="4280"/>
      <c r="D23" s="4280"/>
      <c r="E23" s="4280"/>
      <c r="F23" s="4280"/>
      <c r="G23" s="4280"/>
      <c r="H23" s="4280"/>
      <c r="I23" s="4280"/>
      <c r="J23" s="4280"/>
      <c r="K23" s="4280"/>
      <c r="L23" s="4280"/>
      <c r="M23" s="4280"/>
      <c r="N23" s="4280"/>
      <c r="O23" s="4280"/>
      <c r="P23" s="4280"/>
      <c r="Q23" s="4280"/>
      <c r="R23" s="4280"/>
      <c r="S23" s="4280"/>
      <c r="T23" s="4280"/>
      <c r="U23" s="4280"/>
      <c r="V23" s="2178"/>
    </row>
    <row r="24" spans="2:22" s="2150" customFormat="1" ht="12.95" customHeight="1" outlineLevel="1" thickBot="1">
      <c r="B24" s="2266" t="s">
        <v>3476</v>
      </c>
      <c r="C24" s="2151" t="s">
        <v>7290</v>
      </c>
      <c r="D24" s="1898" t="s">
        <v>7291</v>
      </c>
      <c r="E24" s="2152" t="s">
        <v>7292</v>
      </c>
      <c r="F24" s="1899" t="s">
        <v>7291</v>
      </c>
      <c r="G24" s="2151" t="s">
        <v>119</v>
      </c>
      <c r="H24" s="1898" t="s">
        <v>7291</v>
      </c>
      <c r="I24" s="2152" t="s">
        <v>120</v>
      </c>
      <c r="J24" s="1899" t="s">
        <v>7291</v>
      </c>
      <c r="K24" s="2151" t="s">
        <v>1926</v>
      </c>
      <c r="L24" s="1898" t="s">
        <v>7291</v>
      </c>
      <c r="M24" s="2152" t="s">
        <v>1648</v>
      </c>
      <c r="N24" s="1899" t="s">
        <v>7291</v>
      </c>
      <c r="O24" s="2151" t="s">
        <v>4</v>
      </c>
      <c r="P24" s="1898" t="s">
        <v>7291</v>
      </c>
      <c r="Q24" s="2152" t="s">
        <v>1570</v>
      </c>
      <c r="R24" s="1899" t="s">
        <v>7291</v>
      </c>
      <c r="S24" s="2151" t="s">
        <v>3486</v>
      </c>
      <c r="T24" s="1898" t="s">
        <v>7291</v>
      </c>
      <c r="U24" s="163" t="s">
        <v>7293</v>
      </c>
      <c r="V24" s="2188"/>
    </row>
    <row r="25" spans="2:22" ht="12.95" customHeight="1" outlineLevel="1">
      <c r="B25" s="2153" t="s">
        <v>2233</v>
      </c>
      <c r="C25" s="2154">
        <v>2</v>
      </c>
      <c r="D25" s="2155">
        <f t="shared" ref="D25:D33" si="10">C25/C$34*100</f>
        <v>150</v>
      </c>
      <c r="E25" s="2156">
        <v>3</v>
      </c>
      <c r="F25" s="2157">
        <f t="shared" ref="F25:F33" si="11">E25/E$34*100</f>
        <v>112.5</v>
      </c>
      <c r="G25" s="2154">
        <v>6</v>
      </c>
      <c r="H25" s="2155">
        <f t="shared" ref="H25:H33" si="12">G25/G$34*100</f>
        <v>128.57142857142856</v>
      </c>
      <c r="I25" s="2158">
        <v>5</v>
      </c>
      <c r="J25" s="2157">
        <f t="shared" ref="J25:J33" si="13">I25/I$34*100</f>
        <v>121.62162162162163</v>
      </c>
      <c r="K25" s="2159">
        <v>10</v>
      </c>
      <c r="L25" s="2155">
        <f t="shared" ref="L25:L33" si="14">K25/K$34*100</f>
        <v>166.66666666666669</v>
      </c>
      <c r="M25" s="2158">
        <v>5</v>
      </c>
      <c r="N25" s="2157">
        <f t="shared" ref="N25:N33" si="15">M25/M$34*100</f>
        <v>80.357142857142861</v>
      </c>
      <c r="O25" s="2159">
        <v>14</v>
      </c>
      <c r="P25" s="2155">
        <f t="shared" ref="P25:P33" si="16">O25/O$34*100</f>
        <v>95.454545454545453</v>
      </c>
      <c r="Q25" s="2158">
        <v>75</v>
      </c>
      <c r="R25" s="2157">
        <f t="shared" ref="R25:R33" si="17">100/Q25*Q$34</f>
        <v>81.481481481481481</v>
      </c>
      <c r="S25" s="2159">
        <v>13</v>
      </c>
      <c r="T25" s="2155">
        <f t="shared" ref="T25:T33" si="18">S25/S$34*100</f>
        <v>59.090909090909093</v>
      </c>
      <c r="U25" s="2160">
        <f>AVERAGE(D25,F25,H25,J25,L25,N25,P25,R25,T25)</f>
        <v>110.63819952708843</v>
      </c>
      <c r="V25" s="2161">
        <f>LARGE(U25:U33,1)</f>
        <v>115.66541288763511</v>
      </c>
    </row>
    <row r="26" spans="2:22" ht="12.95" customHeight="1" outlineLevel="1">
      <c r="B26" s="2180" t="s">
        <v>3444</v>
      </c>
      <c r="C26" s="2163">
        <v>2</v>
      </c>
      <c r="D26" s="2189">
        <f t="shared" si="10"/>
        <v>150</v>
      </c>
      <c r="E26" s="2165">
        <v>3</v>
      </c>
      <c r="F26" s="2190">
        <f t="shared" si="11"/>
        <v>112.5</v>
      </c>
      <c r="G26" s="2163">
        <v>6</v>
      </c>
      <c r="H26" s="2189">
        <f t="shared" si="12"/>
        <v>128.57142857142856</v>
      </c>
      <c r="I26" s="2167">
        <v>3</v>
      </c>
      <c r="J26" s="2190">
        <f t="shared" si="13"/>
        <v>72.972972972972983</v>
      </c>
      <c r="K26" s="2168">
        <v>10</v>
      </c>
      <c r="L26" s="2189">
        <f t="shared" si="14"/>
        <v>166.66666666666669</v>
      </c>
      <c r="M26" s="2167">
        <v>8</v>
      </c>
      <c r="N26" s="2190">
        <f t="shared" si="15"/>
        <v>128.57142857142856</v>
      </c>
      <c r="O26" s="2168">
        <v>14</v>
      </c>
      <c r="P26" s="2189">
        <f t="shared" si="16"/>
        <v>95.454545454545453</v>
      </c>
      <c r="Q26" s="2167">
        <v>90</v>
      </c>
      <c r="R26" s="2190">
        <f t="shared" si="17"/>
        <v>67.901234567901241</v>
      </c>
      <c r="S26" s="2168">
        <v>10</v>
      </c>
      <c r="T26" s="2155">
        <f t="shared" si="18"/>
        <v>45.454545454545453</v>
      </c>
      <c r="U26" s="2169">
        <f t="shared" ref="U26:U33" si="19">AVERAGE(D26,F26,H26,J26,L26,N26,P26,R26,T26)</f>
        <v>107.56586913994323</v>
      </c>
      <c r="V26" s="2161">
        <f>SMALL(U25:U33,1)</f>
        <v>88.4331842665176</v>
      </c>
    </row>
    <row r="27" spans="2:22" ht="12.95" customHeight="1" outlineLevel="1">
      <c r="B27" s="2170" t="s">
        <v>1533</v>
      </c>
      <c r="C27" s="2171">
        <v>1</v>
      </c>
      <c r="D27" s="2155">
        <f t="shared" si="10"/>
        <v>75</v>
      </c>
      <c r="E27" s="2173">
        <v>2</v>
      </c>
      <c r="F27" s="2157">
        <f t="shared" si="11"/>
        <v>75</v>
      </c>
      <c r="G27" s="2171">
        <v>4</v>
      </c>
      <c r="H27" s="2155">
        <f t="shared" si="12"/>
        <v>85.714285714285708</v>
      </c>
      <c r="I27" s="2175">
        <v>4</v>
      </c>
      <c r="J27" s="2157">
        <f t="shared" si="13"/>
        <v>97.297297297297305</v>
      </c>
      <c r="K27" s="2176">
        <v>4</v>
      </c>
      <c r="L27" s="2155">
        <f t="shared" si="14"/>
        <v>66.666666666666657</v>
      </c>
      <c r="M27" s="2175">
        <v>5</v>
      </c>
      <c r="N27" s="2157">
        <f t="shared" si="15"/>
        <v>80.357142857142861</v>
      </c>
      <c r="O27" s="2176">
        <v>16</v>
      </c>
      <c r="P27" s="2155">
        <f t="shared" si="16"/>
        <v>109.09090909090911</v>
      </c>
      <c r="Q27" s="2175">
        <v>40</v>
      </c>
      <c r="R27" s="2157">
        <f t="shared" si="17"/>
        <v>152.77777777777777</v>
      </c>
      <c r="S27" s="2176">
        <v>40</v>
      </c>
      <c r="T27" s="2155">
        <f t="shared" si="18"/>
        <v>181.81818181818181</v>
      </c>
      <c r="U27" s="2177">
        <f t="shared" si="19"/>
        <v>102.63580680247348</v>
      </c>
      <c r="V27" s="2178"/>
    </row>
    <row r="28" spans="2:22" ht="12.95" customHeight="1" outlineLevel="1">
      <c r="B28" s="2180" t="s">
        <v>3454</v>
      </c>
      <c r="C28" s="2163">
        <v>1</v>
      </c>
      <c r="D28" s="2189">
        <f t="shared" si="10"/>
        <v>75</v>
      </c>
      <c r="E28" s="2165">
        <v>3</v>
      </c>
      <c r="F28" s="2190">
        <f t="shared" si="11"/>
        <v>112.5</v>
      </c>
      <c r="G28" s="2163">
        <v>6</v>
      </c>
      <c r="H28" s="2189">
        <f t="shared" si="12"/>
        <v>128.57142857142856</v>
      </c>
      <c r="I28" s="2167">
        <v>6</v>
      </c>
      <c r="J28" s="2190">
        <f t="shared" si="13"/>
        <v>145.94594594594597</v>
      </c>
      <c r="K28" s="2168">
        <v>6</v>
      </c>
      <c r="L28" s="2189">
        <f t="shared" si="14"/>
        <v>100</v>
      </c>
      <c r="M28" s="2167">
        <v>5</v>
      </c>
      <c r="N28" s="2190">
        <f t="shared" si="15"/>
        <v>80.357142857142861</v>
      </c>
      <c r="O28" s="2168">
        <v>12</v>
      </c>
      <c r="P28" s="2189">
        <f t="shared" si="16"/>
        <v>81.818181818181827</v>
      </c>
      <c r="Q28" s="2167">
        <v>70</v>
      </c>
      <c r="R28" s="2190">
        <f t="shared" si="17"/>
        <v>87.301587301587304</v>
      </c>
      <c r="S28" s="2168">
        <v>30</v>
      </c>
      <c r="T28" s="2155">
        <f t="shared" si="18"/>
        <v>136.36363636363635</v>
      </c>
      <c r="U28" s="2169">
        <f t="shared" si="19"/>
        <v>105.31754698421366</v>
      </c>
      <c r="V28" s="2178"/>
    </row>
    <row r="29" spans="2:22" ht="12.95" customHeight="1" outlineLevel="1">
      <c r="B29" s="2170" t="s">
        <v>1535</v>
      </c>
      <c r="C29" s="2171">
        <v>1</v>
      </c>
      <c r="D29" s="2155">
        <f t="shared" si="10"/>
        <v>75</v>
      </c>
      <c r="E29" s="2173">
        <v>2</v>
      </c>
      <c r="F29" s="2157">
        <f t="shared" si="11"/>
        <v>75</v>
      </c>
      <c r="G29" s="2171">
        <v>4</v>
      </c>
      <c r="H29" s="2155">
        <f t="shared" si="12"/>
        <v>85.714285714285708</v>
      </c>
      <c r="I29" s="2175">
        <v>4</v>
      </c>
      <c r="J29" s="2157">
        <f t="shared" si="13"/>
        <v>97.297297297297305</v>
      </c>
      <c r="K29" s="2176">
        <v>4</v>
      </c>
      <c r="L29" s="2155">
        <f t="shared" si="14"/>
        <v>66.666666666666657</v>
      </c>
      <c r="M29" s="2175">
        <v>7</v>
      </c>
      <c r="N29" s="2157">
        <f t="shared" si="15"/>
        <v>112.5</v>
      </c>
      <c r="O29" s="2176">
        <v>15</v>
      </c>
      <c r="P29" s="2155">
        <f t="shared" si="16"/>
        <v>102.27272727272727</v>
      </c>
      <c r="Q29" s="2175">
        <v>60</v>
      </c>
      <c r="R29" s="2157">
        <f t="shared" si="17"/>
        <v>101.85185185185186</v>
      </c>
      <c r="S29" s="2176">
        <v>20</v>
      </c>
      <c r="T29" s="2155">
        <f t="shared" si="18"/>
        <v>90.909090909090907</v>
      </c>
      <c r="U29" s="2177">
        <f t="shared" si="19"/>
        <v>89.690213301324405</v>
      </c>
      <c r="V29" s="2178"/>
    </row>
    <row r="30" spans="2:22" ht="12.95" customHeight="1" outlineLevel="1">
      <c r="B30" s="2180" t="s">
        <v>1721</v>
      </c>
      <c r="C30" s="2163">
        <v>1</v>
      </c>
      <c r="D30" s="2189">
        <f t="shared" si="10"/>
        <v>75</v>
      </c>
      <c r="E30" s="2165">
        <v>3</v>
      </c>
      <c r="F30" s="2190">
        <f t="shared" si="11"/>
        <v>112.5</v>
      </c>
      <c r="G30" s="2163">
        <v>5</v>
      </c>
      <c r="H30" s="2189">
        <f t="shared" si="12"/>
        <v>107.14285714285714</v>
      </c>
      <c r="I30" s="2167">
        <v>4</v>
      </c>
      <c r="J30" s="2190">
        <f t="shared" si="13"/>
        <v>97.297297297297305</v>
      </c>
      <c r="K30" s="2168">
        <v>6</v>
      </c>
      <c r="L30" s="2189">
        <f t="shared" si="14"/>
        <v>100</v>
      </c>
      <c r="M30" s="2167">
        <v>5</v>
      </c>
      <c r="N30" s="2190">
        <f t="shared" si="15"/>
        <v>80.357142857142861</v>
      </c>
      <c r="O30" s="2168">
        <v>14</v>
      </c>
      <c r="P30" s="2189">
        <f t="shared" si="16"/>
        <v>95.454545454545453</v>
      </c>
      <c r="Q30" s="2167">
        <v>65</v>
      </c>
      <c r="R30" s="2190">
        <f t="shared" si="17"/>
        <v>94.017094017094024</v>
      </c>
      <c r="S30" s="2168">
        <v>15</v>
      </c>
      <c r="T30" s="2155">
        <f t="shared" si="18"/>
        <v>68.181818181818173</v>
      </c>
      <c r="U30" s="2169">
        <f t="shared" si="19"/>
        <v>92.216750550083873</v>
      </c>
      <c r="V30" s="2178"/>
    </row>
    <row r="31" spans="2:22" ht="12.95" customHeight="1" outlineLevel="1">
      <c r="B31" s="2179" t="s">
        <v>1539</v>
      </c>
      <c r="C31" s="2171">
        <v>1</v>
      </c>
      <c r="D31" s="2155">
        <f t="shared" si="10"/>
        <v>75</v>
      </c>
      <c r="E31" s="2173">
        <v>2</v>
      </c>
      <c r="F31" s="2157">
        <f t="shared" si="11"/>
        <v>75</v>
      </c>
      <c r="G31" s="2171">
        <v>5</v>
      </c>
      <c r="H31" s="2155">
        <f t="shared" si="12"/>
        <v>107.14285714285714</v>
      </c>
      <c r="I31" s="2175">
        <v>3</v>
      </c>
      <c r="J31" s="2157">
        <f t="shared" si="13"/>
        <v>72.972972972972983</v>
      </c>
      <c r="K31" s="2176">
        <v>5</v>
      </c>
      <c r="L31" s="2155">
        <f t="shared" si="14"/>
        <v>83.333333333333343</v>
      </c>
      <c r="M31" s="2175">
        <v>7</v>
      </c>
      <c r="N31" s="2157">
        <f t="shared" si="15"/>
        <v>112.5</v>
      </c>
      <c r="O31" s="2176">
        <v>15</v>
      </c>
      <c r="P31" s="2155">
        <f t="shared" si="16"/>
        <v>102.27272727272727</v>
      </c>
      <c r="Q31" s="2175">
        <v>50</v>
      </c>
      <c r="R31" s="2157">
        <f t="shared" si="17"/>
        <v>122.22222222222223</v>
      </c>
      <c r="S31" s="2176">
        <v>10</v>
      </c>
      <c r="T31" s="2155">
        <f t="shared" si="18"/>
        <v>45.454545454545453</v>
      </c>
      <c r="U31" s="2177">
        <f t="shared" si="19"/>
        <v>88.4331842665176</v>
      </c>
      <c r="V31" s="2178"/>
    </row>
    <row r="32" spans="2:22" ht="12.95" customHeight="1" outlineLevel="1">
      <c r="B32" s="2180" t="s">
        <v>3464</v>
      </c>
      <c r="C32" s="2163">
        <v>2</v>
      </c>
      <c r="D32" s="2189">
        <f t="shared" si="10"/>
        <v>150</v>
      </c>
      <c r="E32" s="2165">
        <v>3</v>
      </c>
      <c r="F32" s="2190">
        <f t="shared" si="11"/>
        <v>112.5</v>
      </c>
      <c r="G32" s="2163">
        <v>4</v>
      </c>
      <c r="H32" s="2189">
        <f t="shared" si="12"/>
        <v>85.714285714285708</v>
      </c>
      <c r="I32" s="2167">
        <v>6</v>
      </c>
      <c r="J32" s="2190">
        <f t="shared" si="13"/>
        <v>145.94594594594597</v>
      </c>
      <c r="K32" s="2168">
        <v>6</v>
      </c>
      <c r="L32" s="2189">
        <f t="shared" si="14"/>
        <v>100</v>
      </c>
      <c r="M32" s="2167">
        <v>5</v>
      </c>
      <c r="N32" s="2190">
        <f t="shared" si="15"/>
        <v>80.357142857142861</v>
      </c>
      <c r="O32" s="2168">
        <v>12</v>
      </c>
      <c r="P32" s="2189">
        <f t="shared" si="16"/>
        <v>81.818181818181827</v>
      </c>
      <c r="Q32" s="2167">
        <v>70</v>
      </c>
      <c r="R32" s="2190">
        <f t="shared" si="17"/>
        <v>87.301587301587304</v>
      </c>
      <c r="S32" s="2168">
        <v>10</v>
      </c>
      <c r="T32" s="2155">
        <f t="shared" si="18"/>
        <v>45.454545454545453</v>
      </c>
      <c r="U32" s="2169">
        <f t="shared" si="19"/>
        <v>98.787965454632143</v>
      </c>
      <c r="V32" s="2178"/>
    </row>
    <row r="33" spans="2:22" ht="12.95" customHeight="1" outlineLevel="1" thickBot="1">
      <c r="B33" s="2191" t="s">
        <v>1531</v>
      </c>
      <c r="C33" s="2171">
        <v>1</v>
      </c>
      <c r="D33" s="2155">
        <f t="shared" si="10"/>
        <v>75</v>
      </c>
      <c r="E33" s="2173">
        <v>3</v>
      </c>
      <c r="F33" s="2157">
        <f t="shared" si="11"/>
        <v>112.5</v>
      </c>
      <c r="G33" s="2171">
        <v>2</v>
      </c>
      <c r="H33" s="2155">
        <f t="shared" si="12"/>
        <v>42.857142857142854</v>
      </c>
      <c r="I33" s="2175">
        <v>2</v>
      </c>
      <c r="J33" s="2157">
        <f t="shared" si="13"/>
        <v>48.648648648648653</v>
      </c>
      <c r="K33" s="2176">
        <v>3</v>
      </c>
      <c r="L33" s="2155">
        <f t="shared" si="14"/>
        <v>50</v>
      </c>
      <c r="M33" s="2175">
        <v>9</v>
      </c>
      <c r="N33" s="2157">
        <f t="shared" si="15"/>
        <v>144.64285714285714</v>
      </c>
      <c r="O33" s="2176">
        <v>20</v>
      </c>
      <c r="P33" s="2155">
        <f t="shared" si="16"/>
        <v>136.36363636363637</v>
      </c>
      <c r="Q33" s="2175">
        <v>30</v>
      </c>
      <c r="R33" s="2157">
        <f t="shared" si="17"/>
        <v>203.70370370370372</v>
      </c>
      <c r="S33" s="2176">
        <v>50</v>
      </c>
      <c r="T33" s="2155">
        <f t="shared" si="18"/>
        <v>227.27272727272728</v>
      </c>
      <c r="U33" s="2177">
        <f t="shared" si="19"/>
        <v>115.66541288763511</v>
      </c>
      <c r="V33" s="2178"/>
    </row>
    <row r="34" spans="2:22" ht="12.95" customHeight="1" thickBot="1">
      <c r="B34" s="2268" t="s">
        <v>7294</v>
      </c>
      <c r="C34" s="2185">
        <f>AVERAGE(C25:C33)</f>
        <v>1.3333333333333333</v>
      </c>
      <c r="D34" s="2183"/>
      <c r="E34" s="2182">
        <f>AVERAGE(E25:E33)</f>
        <v>2.6666666666666665</v>
      </c>
      <c r="F34" s="2184"/>
      <c r="G34" s="2185">
        <f>AVERAGE(G25:G33)</f>
        <v>4.666666666666667</v>
      </c>
      <c r="H34" s="2183"/>
      <c r="I34" s="2182">
        <f>AVERAGE(I25:I33)</f>
        <v>4.1111111111111107</v>
      </c>
      <c r="J34" s="2184"/>
      <c r="K34" s="2185">
        <f>AVERAGE(K25:K33)</f>
        <v>6</v>
      </c>
      <c r="L34" s="2183"/>
      <c r="M34" s="2182">
        <f>AVERAGE(M25:M33)</f>
        <v>6.2222222222222223</v>
      </c>
      <c r="N34" s="2184"/>
      <c r="O34" s="2185">
        <f>AVERAGE(O25:O33)</f>
        <v>14.666666666666666</v>
      </c>
      <c r="P34" s="2183"/>
      <c r="Q34" s="2182">
        <f>AVERAGE(Q25:Q33)</f>
        <v>61.111111111111114</v>
      </c>
      <c r="R34" s="2184"/>
      <c r="S34" s="2185">
        <f>AVERAGE(S25:S33)</f>
        <v>22</v>
      </c>
      <c r="T34" s="2183"/>
      <c r="U34" s="2192">
        <f>AVERAGE(U25:U33)</f>
        <v>101.21677210154579</v>
      </c>
      <c r="V34" s="2178"/>
    </row>
    <row r="35" spans="2:22" ht="12.95" customHeight="1">
      <c r="V35" s="2178"/>
    </row>
    <row r="36" spans="2:22" ht="12.95" customHeight="1" thickBot="1">
      <c r="B36" s="4280" t="s">
        <v>7296</v>
      </c>
      <c r="C36" s="4280"/>
      <c r="D36" s="4280"/>
      <c r="E36" s="4280"/>
      <c r="F36" s="4280"/>
      <c r="G36" s="4280"/>
      <c r="H36" s="4280"/>
      <c r="I36" s="4280"/>
      <c r="J36" s="4280"/>
      <c r="K36" s="4280"/>
      <c r="L36" s="4280"/>
      <c r="M36" s="4280"/>
      <c r="N36" s="4280"/>
      <c r="O36" s="4280"/>
      <c r="P36" s="4280"/>
      <c r="Q36" s="4280"/>
      <c r="R36" s="4280"/>
      <c r="S36" s="4280"/>
      <c r="T36" s="4280"/>
      <c r="U36" s="4280"/>
      <c r="V36" s="2178"/>
    </row>
    <row r="37" spans="2:22" s="2150" customFormat="1" ht="12.95" customHeight="1" outlineLevel="1" thickBot="1">
      <c r="B37" s="2266" t="s">
        <v>3476</v>
      </c>
      <c r="C37" s="2151" t="s">
        <v>7290</v>
      </c>
      <c r="D37" s="1898" t="s">
        <v>7291</v>
      </c>
      <c r="E37" s="2152" t="s">
        <v>7292</v>
      </c>
      <c r="F37" s="1899" t="s">
        <v>7291</v>
      </c>
      <c r="G37" s="2151" t="s">
        <v>119</v>
      </c>
      <c r="H37" s="1898" t="s">
        <v>7291</v>
      </c>
      <c r="I37" s="2152" t="s">
        <v>120</v>
      </c>
      <c r="J37" s="1899" t="s">
        <v>7291</v>
      </c>
      <c r="K37" s="2151" t="s">
        <v>1926</v>
      </c>
      <c r="L37" s="1898" t="s">
        <v>7291</v>
      </c>
      <c r="M37" s="2152" t="s">
        <v>1648</v>
      </c>
      <c r="N37" s="1899" t="s">
        <v>7291</v>
      </c>
      <c r="O37" s="2151" t="s">
        <v>4</v>
      </c>
      <c r="P37" s="1898" t="s">
        <v>7291</v>
      </c>
      <c r="Q37" s="2152" t="s">
        <v>1570</v>
      </c>
      <c r="R37" s="1899" t="s">
        <v>7291</v>
      </c>
      <c r="S37" s="2151" t="s">
        <v>3486</v>
      </c>
      <c r="T37" s="1898" t="s">
        <v>7291</v>
      </c>
      <c r="U37" s="163" t="s">
        <v>7293</v>
      </c>
      <c r="V37" s="2188"/>
    </row>
    <row r="38" spans="2:22" ht="12.95" customHeight="1" outlineLevel="1">
      <c r="B38" s="2153" t="s">
        <v>373</v>
      </c>
      <c r="C38" s="2154">
        <v>2</v>
      </c>
      <c r="D38" s="2155">
        <f t="shared" ref="D38:D48" si="20">C38/C$49*100</f>
        <v>104.76190476190477</v>
      </c>
      <c r="E38" s="2156">
        <v>3</v>
      </c>
      <c r="F38" s="2157">
        <f t="shared" ref="F38:F48" si="21">E38/E$49*100</f>
        <v>76.744186046511629</v>
      </c>
      <c r="G38" s="2154">
        <v>6</v>
      </c>
      <c r="H38" s="2155">
        <f t="shared" ref="H38:H48" si="22">G38/G$49*100</f>
        <v>95.652173913043484</v>
      </c>
      <c r="I38" s="2156">
        <v>3</v>
      </c>
      <c r="J38" s="2157">
        <f t="shared" ref="J38:J48" si="23">I38/I$49*100</f>
        <v>55.932203389830512</v>
      </c>
      <c r="K38" s="2154">
        <v>10</v>
      </c>
      <c r="L38" s="2155">
        <f t="shared" ref="L38:L48" si="24">K38/K$49*100</f>
        <v>67.901234567901241</v>
      </c>
      <c r="M38" s="2156">
        <v>4</v>
      </c>
      <c r="N38" s="2157">
        <f t="shared" ref="N38:N48" si="25">M38/M$49*100</f>
        <v>80</v>
      </c>
      <c r="O38" s="2154">
        <v>9</v>
      </c>
      <c r="P38" s="2155">
        <f t="shared" ref="P38:P48" si="26">O38/O$49*100</f>
        <v>110.00000000000001</v>
      </c>
      <c r="Q38" s="2156">
        <v>100</v>
      </c>
      <c r="R38" s="2157">
        <f t="shared" ref="R38:R48" si="27">100/Q38*Q$49</f>
        <v>128.63636363636363</v>
      </c>
      <c r="S38" s="2154">
        <v>65</v>
      </c>
      <c r="T38" s="2155">
        <f t="shared" ref="T38:T48" si="28">S38/S$49*100</f>
        <v>162.5</v>
      </c>
      <c r="U38" s="2160">
        <f>AVERAGE(D38,F38,H38,J38,L38,N38,P38,R38,T38)</f>
        <v>98.014229590617262</v>
      </c>
      <c r="V38" s="2161">
        <f>LARGE(U38:U48,1)</f>
        <v>122.80321153325457</v>
      </c>
    </row>
    <row r="39" spans="2:22" ht="12.95" customHeight="1" outlineLevel="1">
      <c r="B39" s="2180" t="s">
        <v>374</v>
      </c>
      <c r="C39" s="2163">
        <v>2</v>
      </c>
      <c r="D39" s="2189">
        <f t="shared" si="20"/>
        <v>104.76190476190477</v>
      </c>
      <c r="E39" s="2165">
        <v>4</v>
      </c>
      <c r="F39" s="2190">
        <f t="shared" si="21"/>
        <v>102.32558139534885</v>
      </c>
      <c r="G39" s="2163">
        <v>6</v>
      </c>
      <c r="H39" s="2189">
        <f t="shared" si="22"/>
        <v>95.652173913043484</v>
      </c>
      <c r="I39" s="2165">
        <v>7</v>
      </c>
      <c r="J39" s="2190">
        <f t="shared" si="23"/>
        <v>130.5084745762712</v>
      </c>
      <c r="K39" s="2163">
        <v>20</v>
      </c>
      <c r="L39" s="2189">
        <f t="shared" si="24"/>
        <v>135.80246913580248</v>
      </c>
      <c r="M39" s="2165">
        <v>3</v>
      </c>
      <c r="N39" s="2190">
        <f t="shared" si="25"/>
        <v>60</v>
      </c>
      <c r="O39" s="2163">
        <v>8</v>
      </c>
      <c r="P39" s="2189">
        <f t="shared" si="26"/>
        <v>97.777777777777771</v>
      </c>
      <c r="Q39" s="2165">
        <v>120</v>
      </c>
      <c r="R39" s="2190">
        <f t="shared" si="27"/>
        <v>107.19696969696969</v>
      </c>
      <c r="S39" s="2163">
        <v>40</v>
      </c>
      <c r="T39" s="2189">
        <f t="shared" si="28"/>
        <v>100</v>
      </c>
      <c r="U39" s="2169">
        <f t="shared" ref="U39:U48" si="29">AVERAGE(D39,F39,H39,J39,L39,N39,P39,R39,T39)</f>
        <v>103.78059458412427</v>
      </c>
      <c r="V39" s="2161">
        <f>SMALL(U38:U48,1)</f>
        <v>88.973978787968463</v>
      </c>
    </row>
    <row r="40" spans="2:22" ht="12.95" customHeight="1" outlineLevel="1">
      <c r="B40" s="2170" t="s">
        <v>3448</v>
      </c>
      <c r="C40" s="2171">
        <v>2</v>
      </c>
      <c r="D40" s="2155">
        <f t="shared" si="20"/>
        <v>104.76190476190477</v>
      </c>
      <c r="E40" s="2173">
        <v>3</v>
      </c>
      <c r="F40" s="2157">
        <f t="shared" si="21"/>
        <v>76.744186046511629</v>
      </c>
      <c r="G40" s="2171">
        <v>6</v>
      </c>
      <c r="H40" s="2155">
        <f t="shared" si="22"/>
        <v>95.652173913043484</v>
      </c>
      <c r="I40" s="2173">
        <v>6</v>
      </c>
      <c r="J40" s="2157">
        <f t="shared" si="23"/>
        <v>111.86440677966102</v>
      </c>
      <c r="K40" s="2171">
        <v>16</v>
      </c>
      <c r="L40" s="2155">
        <f t="shared" si="24"/>
        <v>108.64197530864197</v>
      </c>
      <c r="M40" s="2173">
        <v>6</v>
      </c>
      <c r="N40" s="2157">
        <f t="shared" si="25"/>
        <v>120</v>
      </c>
      <c r="O40" s="2171">
        <v>9</v>
      </c>
      <c r="P40" s="2155">
        <f t="shared" si="26"/>
        <v>110.00000000000001</v>
      </c>
      <c r="Q40" s="2173">
        <v>130</v>
      </c>
      <c r="R40" s="2157">
        <f t="shared" si="27"/>
        <v>98.951048951048946</v>
      </c>
      <c r="S40" s="2171">
        <v>30</v>
      </c>
      <c r="T40" s="2155">
        <f t="shared" si="28"/>
        <v>75</v>
      </c>
      <c r="U40" s="2177">
        <f t="shared" si="29"/>
        <v>100.17952175120132</v>
      </c>
      <c r="V40" s="2178"/>
    </row>
    <row r="41" spans="2:22" ht="12.95" customHeight="1" outlineLevel="1">
      <c r="B41" s="2180" t="s">
        <v>2528</v>
      </c>
      <c r="C41" s="2163">
        <v>2</v>
      </c>
      <c r="D41" s="2189">
        <f t="shared" si="20"/>
        <v>104.76190476190477</v>
      </c>
      <c r="E41" s="2165">
        <v>3</v>
      </c>
      <c r="F41" s="2190">
        <f t="shared" si="21"/>
        <v>76.744186046511629</v>
      </c>
      <c r="G41" s="2163">
        <v>5</v>
      </c>
      <c r="H41" s="2189">
        <f t="shared" si="22"/>
        <v>79.710144927536234</v>
      </c>
      <c r="I41" s="2165">
        <v>5</v>
      </c>
      <c r="J41" s="2190">
        <f t="shared" si="23"/>
        <v>93.220338983050851</v>
      </c>
      <c r="K41" s="2163">
        <v>15</v>
      </c>
      <c r="L41" s="2189">
        <f t="shared" si="24"/>
        <v>101.85185185185186</v>
      </c>
      <c r="M41" s="2165">
        <v>3</v>
      </c>
      <c r="N41" s="2190">
        <f t="shared" si="25"/>
        <v>60</v>
      </c>
      <c r="O41" s="2163">
        <v>8</v>
      </c>
      <c r="P41" s="2189">
        <f t="shared" si="26"/>
        <v>97.777777777777771</v>
      </c>
      <c r="Q41" s="2165">
        <v>100</v>
      </c>
      <c r="R41" s="2190">
        <f t="shared" si="27"/>
        <v>128.63636363636363</v>
      </c>
      <c r="S41" s="2163">
        <v>35</v>
      </c>
      <c r="T41" s="2189">
        <f t="shared" si="28"/>
        <v>87.5</v>
      </c>
      <c r="U41" s="2169">
        <f t="shared" si="29"/>
        <v>92.244729776110759</v>
      </c>
      <c r="V41" s="2178"/>
    </row>
    <row r="42" spans="2:22" ht="12.95" customHeight="1" outlineLevel="1">
      <c r="B42" s="2170" t="s">
        <v>375</v>
      </c>
      <c r="C42" s="2171">
        <v>2</v>
      </c>
      <c r="D42" s="2155">
        <f t="shared" si="20"/>
        <v>104.76190476190477</v>
      </c>
      <c r="E42" s="2173">
        <v>4</v>
      </c>
      <c r="F42" s="2157">
        <f t="shared" si="21"/>
        <v>102.32558139534885</v>
      </c>
      <c r="G42" s="2171">
        <v>6</v>
      </c>
      <c r="H42" s="2155">
        <f t="shared" si="22"/>
        <v>95.652173913043484</v>
      </c>
      <c r="I42" s="2173">
        <v>4</v>
      </c>
      <c r="J42" s="2157">
        <f t="shared" si="23"/>
        <v>74.576271186440678</v>
      </c>
      <c r="K42" s="2171">
        <v>13</v>
      </c>
      <c r="L42" s="2155">
        <f t="shared" si="24"/>
        <v>88.271604938271608</v>
      </c>
      <c r="M42" s="2173">
        <v>4</v>
      </c>
      <c r="N42" s="2157">
        <f t="shared" si="25"/>
        <v>80</v>
      </c>
      <c r="O42" s="2171">
        <v>8</v>
      </c>
      <c r="P42" s="2155">
        <f t="shared" si="26"/>
        <v>97.777777777777771</v>
      </c>
      <c r="Q42" s="2173">
        <v>125</v>
      </c>
      <c r="R42" s="2157">
        <f t="shared" si="27"/>
        <v>102.90909090909091</v>
      </c>
      <c r="S42" s="2171">
        <v>65</v>
      </c>
      <c r="T42" s="2155">
        <f t="shared" si="28"/>
        <v>162.5</v>
      </c>
      <c r="U42" s="2177">
        <f t="shared" si="29"/>
        <v>100.97493387576422</v>
      </c>
      <c r="V42" s="2178"/>
    </row>
    <row r="43" spans="2:22" ht="12.95" customHeight="1" outlineLevel="1">
      <c r="B43" s="2180" t="s">
        <v>377</v>
      </c>
      <c r="C43" s="2163">
        <v>1</v>
      </c>
      <c r="D43" s="2189">
        <f t="shared" si="20"/>
        <v>52.380952380952387</v>
      </c>
      <c r="E43" s="2165">
        <v>4</v>
      </c>
      <c r="F43" s="2190">
        <f t="shared" si="21"/>
        <v>102.32558139534885</v>
      </c>
      <c r="G43" s="2163">
        <v>5</v>
      </c>
      <c r="H43" s="2189">
        <f t="shared" si="22"/>
        <v>79.710144927536234</v>
      </c>
      <c r="I43" s="2165">
        <v>6</v>
      </c>
      <c r="J43" s="2190">
        <f t="shared" si="23"/>
        <v>111.86440677966102</v>
      </c>
      <c r="K43" s="2163">
        <v>14</v>
      </c>
      <c r="L43" s="2189">
        <f t="shared" si="24"/>
        <v>95.061728395061735</v>
      </c>
      <c r="M43" s="2165">
        <v>6</v>
      </c>
      <c r="N43" s="2190">
        <f t="shared" si="25"/>
        <v>120</v>
      </c>
      <c r="O43" s="2163">
        <v>8</v>
      </c>
      <c r="P43" s="2189">
        <f t="shared" si="26"/>
        <v>97.777777777777771</v>
      </c>
      <c r="Q43" s="2165">
        <v>130</v>
      </c>
      <c r="R43" s="2190">
        <f t="shared" si="27"/>
        <v>98.951048951048946</v>
      </c>
      <c r="S43" s="2163">
        <v>55</v>
      </c>
      <c r="T43" s="2189">
        <f t="shared" si="28"/>
        <v>137.5</v>
      </c>
      <c r="U43" s="2169">
        <f t="shared" si="29"/>
        <v>99.507960067487446</v>
      </c>
      <c r="V43" s="2178"/>
    </row>
    <row r="44" spans="2:22" ht="12.95" customHeight="1" outlineLevel="1">
      <c r="B44" s="2170" t="s">
        <v>3467</v>
      </c>
      <c r="C44" s="2171">
        <v>2</v>
      </c>
      <c r="D44" s="2155">
        <f t="shared" si="20"/>
        <v>104.76190476190477</v>
      </c>
      <c r="E44" s="2173">
        <v>4</v>
      </c>
      <c r="F44" s="2157">
        <f t="shared" si="21"/>
        <v>102.32558139534885</v>
      </c>
      <c r="G44" s="2171">
        <v>7</v>
      </c>
      <c r="H44" s="2155">
        <f t="shared" si="22"/>
        <v>111.59420289855073</v>
      </c>
      <c r="I44" s="2173">
        <v>5</v>
      </c>
      <c r="J44" s="2157">
        <f t="shared" si="23"/>
        <v>93.220338983050851</v>
      </c>
      <c r="K44" s="2171">
        <v>10</v>
      </c>
      <c r="L44" s="2155">
        <f t="shared" si="24"/>
        <v>67.901234567901241</v>
      </c>
      <c r="M44" s="2173">
        <v>6</v>
      </c>
      <c r="N44" s="2157">
        <f t="shared" si="25"/>
        <v>120</v>
      </c>
      <c r="O44" s="2171">
        <v>9</v>
      </c>
      <c r="P44" s="2155">
        <f t="shared" si="26"/>
        <v>110.00000000000001</v>
      </c>
      <c r="Q44" s="2173">
        <v>100</v>
      </c>
      <c r="R44" s="2157">
        <f t="shared" si="27"/>
        <v>128.63636363636363</v>
      </c>
      <c r="S44" s="2171">
        <v>10</v>
      </c>
      <c r="T44" s="2155">
        <f t="shared" si="28"/>
        <v>25</v>
      </c>
      <c r="U44" s="2177">
        <f t="shared" si="29"/>
        <v>95.93773624923557</v>
      </c>
      <c r="V44" s="2178"/>
    </row>
    <row r="45" spans="2:22" ht="12.95" customHeight="1" outlineLevel="1">
      <c r="B45" s="2180" t="s">
        <v>378</v>
      </c>
      <c r="C45" s="2163">
        <v>2</v>
      </c>
      <c r="D45" s="2189">
        <f t="shared" si="20"/>
        <v>104.76190476190477</v>
      </c>
      <c r="E45" s="2165">
        <v>3</v>
      </c>
      <c r="F45" s="2190">
        <f t="shared" si="21"/>
        <v>76.744186046511629</v>
      </c>
      <c r="G45" s="2163">
        <v>5</v>
      </c>
      <c r="H45" s="2189">
        <f t="shared" si="22"/>
        <v>79.710144927536234</v>
      </c>
      <c r="I45" s="2165">
        <v>6</v>
      </c>
      <c r="J45" s="2190">
        <f t="shared" si="23"/>
        <v>111.86440677966102</v>
      </c>
      <c r="K45" s="2163">
        <v>14</v>
      </c>
      <c r="L45" s="2189">
        <f t="shared" si="24"/>
        <v>95.061728395061735</v>
      </c>
      <c r="M45" s="2165">
        <v>4</v>
      </c>
      <c r="N45" s="2190">
        <f t="shared" si="25"/>
        <v>80</v>
      </c>
      <c r="O45" s="2163">
        <v>9</v>
      </c>
      <c r="P45" s="2189">
        <f t="shared" si="26"/>
        <v>110.00000000000001</v>
      </c>
      <c r="Q45" s="2165">
        <v>110</v>
      </c>
      <c r="R45" s="2190">
        <f t="shared" si="27"/>
        <v>116.94214876033057</v>
      </c>
      <c r="S45" s="2163">
        <v>65</v>
      </c>
      <c r="T45" s="2189">
        <f t="shared" si="28"/>
        <v>162.5</v>
      </c>
      <c r="U45" s="2169">
        <f t="shared" si="29"/>
        <v>104.17605774122289</v>
      </c>
      <c r="V45" s="2178"/>
    </row>
    <row r="46" spans="2:22" ht="12.95" customHeight="1" outlineLevel="1">
      <c r="B46" s="2191" t="s">
        <v>3372</v>
      </c>
      <c r="C46" s="2171">
        <v>2</v>
      </c>
      <c r="D46" s="2155">
        <f t="shared" si="20"/>
        <v>104.76190476190477</v>
      </c>
      <c r="E46" s="2173">
        <v>8</v>
      </c>
      <c r="F46" s="2157">
        <f t="shared" si="21"/>
        <v>204.6511627906977</v>
      </c>
      <c r="G46" s="2171">
        <v>9</v>
      </c>
      <c r="H46" s="2155">
        <f t="shared" si="22"/>
        <v>143.47826086956525</v>
      </c>
      <c r="I46" s="2173">
        <v>9</v>
      </c>
      <c r="J46" s="2157">
        <f t="shared" si="23"/>
        <v>167.79661016949154</v>
      </c>
      <c r="K46" s="2171">
        <v>25</v>
      </c>
      <c r="L46" s="2155">
        <f t="shared" si="24"/>
        <v>169.75308641975309</v>
      </c>
      <c r="M46" s="2173">
        <v>7</v>
      </c>
      <c r="N46" s="2157">
        <f t="shared" si="25"/>
        <v>140</v>
      </c>
      <c r="O46" s="2171">
        <v>6</v>
      </c>
      <c r="P46" s="2155">
        <f t="shared" si="26"/>
        <v>73.333333333333343</v>
      </c>
      <c r="Q46" s="2173">
        <v>250</v>
      </c>
      <c r="R46" s="2157">
        <f t="shared" si="27"/>
        <v>51.454545454545453</v>
      </c>
      <c r="S46" s="2171">
        <v>20</v>
      </c>
      <c r="T46" s="2155">
        <f t="shared" si="28"/>
        <v>50</v>
      </c>
      <c r="U46" s="2177">
        <f t="shared" si="29"/>
        <v>122.80321153325457</v>
      </c>
      <c r="V46" s="2178"/>
    </row>
    <row r="47" spans="2:22" ht="12.95" customHeight="1" outlineLevel="1">
      <c r="B47" s="2180" t="s">
        <v>379</v>
      </c>
      <c r="C47" s="2163">
        <v>2</v>
      </c>
      <c r="D47" s="2189">
        <f t="shared" si="20"/>
        <v>104.76190476190477</v>
      </c>
      <c r="E47" s="2165">
        <v>4</v>
      </c>
      <c r="F47" s="2190">
        <f t="shared" si="21"/>
        <v>102.32558139534885</v>
      </c>
      <c r="G47" s="2163">
        <v>8</v>
      </c>
      <c r="H47" s="2189">
        <f t="shared" si="22"/>
        <v>127.53623188405798</v>
      </c>
      <c r="I47" s="2165">
        <v>3</v>
      </c>
      <c r="J47" s="2190">
        <f t="shared" si="23"/>
        <v>55.932203389830512</v>
      </c>
      <c r="K47" s="2163">
        <v>10</v>
      </c>
      <c r="L47" s="2189">
        <f t="shared" si="24"/>
        <v>67.901234567901241</v>
      </c>
      <c r="M47" s="2165">
        <v>6</v>
      </c>
      <c r="N47" s="2190">
        <f t="shared" si="25"/>
        <v>120</v>
      </c>
      <c r="O47" s="2163">
        <v>8</v>
      </c>
      <c r="P47" s="2189">
        <f t="shared" si="26"/>
        <v>97.777777777777771</v>
      </c>
      <c r="Q47" s="2165">
        <v>100</v>
      </c>
      <c r="R47" s="2190">
        <f t="shared" si="27"/>
        <v>128.63636363636363</v>
      </c>
      <c r="S47" s="2163">
        <v>45</v>
      </c>
      <c r="T47" s="2189">
        <f t="shared" si="28"/>
        <v>112.5</v>
      </c>
      <c r="U47" s="2169">
        <f t="shared" si="29"/>
        <v>101.93014415702054</v>
      </c>
      <c r="V47" s="2178"/>
    </row>
    <row r="48" spans="2:22" ht="12.95" customHeight="1" outlineLevel="1" thickBot="1">
      <c r="B48" s="2179" t="s">
        <v>3472</v>
      </c>
      <c r="C48" s="2171">
        <v>2</v>
      </c>
      <c r="D48" s="2155">
        <f t="shared" si="20"/>
        <v>104.76190476190477</v>
      </c>
      <c r="E48" s="2173">
        <v>3</v>
      </c>
      <c r="F48" s="2157">
        <f t="shared" si="21"/>
        <v>76.744186046511629</v>
      </c>
      <c r="G48" s="2171">
        <v>6</v>
      </c>
      <c r="H48" s="2155">
        <f t="shared" si="22"/>
        <v>95.652173913043484</v>
      </c>
      <c r="I48" s="2173">
        <v>5</v>
      </c>
      <c r="J48" s="2157">
        <f t="shared" si="23"/>
        <v>93.220338983050851</v>
      </c>
      <c r="K48" s="2171">
        <v>15</v>
      </c>
      <c r="L48" s="2155">
        <f t="shared" si="24"/>
        <v>101.85185185185186</v>
      </c>
      <c r="M48" s="2173">
        <v>6</v>
      </c>
      <c r="N48" s="2157">
        <f t="shared" si="25"/>
        <v>120</v>
      </c>
      <c r="O48" s="2171">
        <v>8</v>
      </c>
      <c r="P48" s="2155">
        <f t="shared" si="26"/>
        <v>97.777777777777771</v>
      </c>
      <c r="Q48" s="2173">
        <v>150</v>
      </c>
      <c r="R48" s="2157">
        <f t="shared" si="27"/>
        <v>85.757575757575751</v>
      </c>
      <c r="S48" s="2171">
        <v>10</v>
      </c>
      <c r="T48" s="2155">
        <f t="shared" si="28"/>
        <v>25</v>
      </c>
      <c r="U48" s="2177">
        <f t="shared" si="29"/>
        <v>88.973978787968463</v>
      </c>
      <c r="V48" s="2178"/>
    </row>
    <row r="49" spans="2:22" ht="12.95" customHeight="1" thickBot="1">
      <c r="B49" s="2268" t="s">
        <v>7294</v>
      </c>
      <c r="C49" s="2185">
        <f>AVERAGE(C38:C48)</f>
        <v>1.9090909090909092</v>
      </c>
      <c r="D49" s="2183"/>
      <c r="E49" s="2182">
        <f>AVERAGE(E38:E48)</f>
        <v>3.9090909090909092</v>
      </c>
      <c r="F49" s="2184"/>
      <c r="G49" s="2185">
        <f>AVERAGE(G38:G48)</f>
        <v>6.2727272727272725</v>
      </c>
      <c r="H49" s="2183"/>
      <c r="I49" s="2182">
        <f>AVERAGE(I38:I48)</f>
        <v>5.3636363636363633</v>
      </c>
      <c r="J49" s="2184"/>
      <c r="K49" s="2185">
        <f>AVERAGE(K38:K48)</f>
        <v>14.727272727272727</v>
      </c>
      <c r="L49" s="2183"/>
      <c r="M49" s="2182">
        <f>AVERAGE(M38:M48)</f>
        <v>5</v>
      </c>
      <c r="N49" s="2184"/>
      <c r="O49" s="2185">
        <f>AVERAGE(O38:O48)</f>
        <v>8.1818181818181817</v>
      </c>
      <c r="P49" s="2183"/>
      <c r="Q49" s="2182">
        <f>AVERAGE(Q38:Q48)</f>
        <v>128.63636363636363</v>
      </c>
      <c r="R49" s="2184"/>
      <c r="S49" s="2185">
        <f>AVERAGE(S38:S48)</f>
        <v>40</v>
      </c>
      <c r="T49" s="2183"/>
      <c r="U49" s="2192">
        <f>AVERAGE(U38:U48)</f>
        <v>100.77482710127339</v>
      </c>
      <c r="V49" s="2178"/>
    </row>
    <row r="50" spans="2:22" ht="12.95" customHeight="1">
      <c r="V50" s="2178"/>
    </row>
    <row r="51" spans="2:22" ht="12.95" customHeight="1" thickBot="1">
      <c r="B51" s="4280" t="s">
        <v>7297</v>
      </c>
      <c r="C51" s="4280"/>
      <c r="D51" s="4280"/>
      <c r="E51" s="4280"/>
      <c r="F51" s="4280"/>
      <c r="G51" s="4280"/>
      <c r="H51" s="4280"/>
      <c r="I51" s="4280"/>
      <c r="J51" s="4280"/>
      <c r="K51" s="4280"/>
      <c r="L51" s="4280"/>
      <c r="M51" s="4280"/>
      <c r="N51" s="4280"/>
      <c r="O51" s="4280"/>
      <c r="P51" s="4280"/>
      <c r="Q51" s="4280"/>
      <c r="R51" s="4280"/>
      <c r="S51" s="4280"/>
      <c r="T51" s="4280"/>
      <c r="U51" s="4280"/>
      <c r="V51" s="2178"/>
    </row>
    <row r="52" spans="2:22" s="2150" customFormat="1" ht="12.95" customHeight="1" outlineLevel="1" thickBot="1">
      <c r="B52" s="2266" t="s">
        <v>3476</v>
      </c>
      <c r="C52" s="2151" t="s">
        <v>7290</v>
      </c>
      <c r="D52" s="1898" t="s">
        <v>7291</v>
      </c>
      <c r="E52" s="2152" t="s">
        <v>7292</v>
      </c>
      <c r="F52" s="1899" t="s">
        <v>7291</v>
      </c>
      <c r="G52" s="2151" t="s">
        <v>119</v>
      </c>
      <c r="H52" s="1898" t="s">
        <v>7291</v>
      </c>
      <c r="I52" s="2152" t="s">
        <v>120</v>
      </c>
      <c r="J52" s="1899" t="s">
        <v>7291</v>
      </c>
      <c r="K52" s="2151" t="s">
        <v>1926</v>
      </c>
      <c r="L52" s="1898" t="s">
        <v>7291</v>
      </c>
      <c r="M52" s="2152" t="s">
        <v>1648</v>
      </c>
      <c r="N52" s="1899" t="s">
        <v>7291</v>
      </c>
      <c r="O52" s="2151" t="s">
        <v>4</v>
      </c>
      <c r="P52" s="1898" t="s">
        <v>7291</v>
      </c>
      <c r="Q52" s="2152" t="s">
        <v>1570</v>
      </c>
      <c r="R52" s="1899" t="s">
        <v>7291</v>
      </c>
      <c r="S52" s="2151" t="s">
        <v>3486</v>
      </c>
      <c r="T52" s="1898" t="s">
        <v>7291</v>
      </c>
      <c r="U52" s="163" t="s">
        <v>7293</v>
      </c>
      <c r="V52" s="2188"/>
    </row>
    <row r="53" spans="2:22" ht="12.95" customHeight="1" outlineLevel="1">
      <c r="B53" s="2153" t="s">
        <v>343</v>
      </c>
      <c r="C53" s="2154">
        <v>2</v>
      </c>
      <c r="D53" s="2193">
        <f t="shared" ref="D53:D61" si="30">C53/C$62*100</f>
        <v>100</v>
      </c>
      <c r="E53" s="2156">
        <v>3</v>
      </c>
      <c r="F53" s="2157">
        <f t="shared" ref="F53:F61" si="31">E53/E$62*100</f>
        <v>71.05263157894737</v>
      </c>
      <c r="G53" s="2154">
        <v>6</v>
      </c>
      <c r="H53" s="2155">
        <f t="shared" ref="H53:H61" si="32">G53/G$62*100</f>
        <v>88.52459016393442</v>
      </c>
      <c r="I53" s="2156">
        <v>3</v>
      </c>
      <c r="J53" s="2157">
        <f t="shared" ref="J53:J61" si="33">I53/I$62*100</f>
        <v>50</v>
      </c>
      <c r="K53" s="2154">
        <v>10</v>
      </c>
      <c r="L53" s="2155">
        <f t="shared" ref="L53:L61" si="34">K53/K$62*100</f>
        <v>62.93706293706294</v>
      </c>
      <c r="M53" s="2156">
        <v>6</v>
      </c>
      <c r="N53" s="2157">
        <f t="shared" ref="N53:N61" si="35">M53/M$62*100</f>
        <v>89.999999999999986</v>
      </c>
      <c r="O53" s="2154">
        <v>9</v>
      </c>
      <c r="P53" s="2155">
        <f t="shared" ref="P53:P61" si="36">O53/O$62*100</f>
        <v>109.45945945945948</v>
      </c>
      <c r="Q53" s="2156">
        <v>150</v>
      </c>
      <c r="R53" s="2157">
        <f t="shared" ref="R53:R61" si="37">100/Q53*Q$62</f>
        <v>110</v>
      </c>
      <c r="S53" s="2154">
        <v>60</v>
      </c>
      <c r="T53" s="2155">
        <f t="shared" ref="T53:T61" si="38">S53/S$62*100</f>
        <v>168.75</v>
      </c>
      <c r="U53" s="2160">
        <f>AVERAGE(D53,F53,H53,J53,L53,N53,P53,R53,T53)</f>
        <v>94.524860459933791</v>
      </c>
      <c r="V53" s="2161">
        <f>LARGE(U53:U61,1)</f>
        <v>120.11263330800648</v>
      </c>
    </row>
    <row r="54" spans="2:22" ht="12.95" customHeight="1" outlineLevel="1">
      <c r="B54" s="2180" t="s">
        <v>1597</v>
      </c>
      <c r="C54" s="2163">
        <v>2</v>
      </c>
      <c r="D54" s="2194">
        <f t="shared" si="30"/>
        <v>100</v>
      </c>
      <c r="E54" s="2165">
        <v>4</v>
      </c>
      <c r="F54" s="2190">
        <f t="shared" si="31"/>
        <v>94.73684210526315</v>
      </c>
      <c r="G54" s="2163">
        <v>7</v>
      </c>
      <c r="H54" s="2189">
        <f t="shared" si="32"/>
        <v>103.27868852459017</v>
      </c>
      <c r="I54" s="2165">
        <v>7</v>
      </c>
      <c r="J54" s="2190">
        <f t="shared" si="33"/>
        <v>116.66666666666667</v>
      </c>
      <c r="K54" s="2163">
        <v>20</v>
      </c>
      <c r="L54" s="2189">
        <f t="shared" si="34"/>
        <v>125.87412587412588</v>
      </c>
      <c r="M54" s="2165">
        <v>5</v>
      </c>
      <c r="N54" s="2190">
        <f t="shared" si="35"/>
        <v>75</v>
      </c>
      <c r="O54" s="2163">
        <v>8</v>
      </c>
      <c r="P54" s="2189">
        <f t="shared" si="36"/>
        <v>97.297297297297305</v>
      </c>
      <c r="Q54" s="2165">
        <v>150</v>
      </c>
      <c r="R54" s="2190">
        <f t="shared" si="37"/>
        <v>110</v>
      </c>
      <c r="S54" s="2163">
        <v>25</v>
      </c>
      <c r="T54" s="2189">
        <f t="shared" si="38"/>
        <v>70.3125</v>
      </c>
      <c r="U54" s="2169">
        <f t="shared" ref="U54:U61" si="39">AVERAGE(D54,F54,H54,J54,L54,N54,P54,R54,T54)</f>
        <v>99.240680051993692</v>
      </c>
      <c r="V54" s="2161">
        <f>SMALL(U53:U61,1)</f>
        <v>88.841986654109178</v>
      </c>
    </row>
    <row r="55" spans="2:22" ht="12.95" customHeight="1" outlineLevel="1">
      <c r="B55" s="2170" t="s">
        <v>3449</v>
      </c>
      <c r="C55" s="2171">
        <v>2</v>
      </c>
      <c r="D55" s="2193">
        <f t="shared" si="30"/>
        <v>100</v>
      </c>
      <c r="E55" s="2173">
        <v>3</v>
      </c>
      <c r="F55" s="2157">
        <f t="shared" si="31"/>
        <v>71.05263157894737</v>
      </c>
      <c r="G55" s="2171">
        <v>7</v>
      </c>
      <c r="H55" s="2155">
        <f t="shared" si="32"/>
        <v>103.27868852459017</v>
      </c>
      <c r="I55" s="2173">
        <v>7</v>
      </c>
      <c r="J55" s="2157">
        <f t="shared" si="33"/>
        <v>116.66666666666667</v>
      </c>
      <c r="K55" s="2171">
        <v>16</v>
      </c>
      <c r="L55" s="2155">
        <f t="shared" si="34"/>
        <v>100.69930069930069</v>
      </c>
      <c r="M55" s="2173">
        <v>9</v>
      </c>
      <c r="N55" s="2157">
        <f t="shared" si="35"/>
        <v>135</v>
      </c>
      <c r="O55" s="2171">
        <v>9</v>
      </c>
      <c r="P55" s="2155">
        <f t="shared" si="36"/>
        <v>109.45945945945948</v>
      </c>
      <c r="Q55" s="2173">
        <v>160</v>
      </c>
      <c r="R55" s="2157">
        <f t="shared" si="37"/>
        <v>103.125</v>
      </c>
      <c r="S55" s="2171">
        <v>20</v>
      </c>
      <c r="T55" s="2155">
        <f t="shared" si="38"/>
        <v>56.25</v>
      </c>
      <c r="U55" s="2177">
        <f t="shared" si="39"/>
        <v>99.503527436551607</v>
      </c>
      <c r="V55" s="2178"/>
    </row>
    <row r="56" spans="2:22" ht="12.95" customHeight="1" outlineLevel="1">
      <c r="B56" s="2195" t="s">
        <v>376</v>
      </c>
      <c r="C56" s="2163">
        <v>2</v>
      </c>
      <c r="D56" s="2194">
        <f t="shared" si="30"/>
        <v>100</v>
      </c>
      <c r="E56" s="2165">
        <v>3</v>
      </c>
      <c r="F56" s="2190">
        <f t="shared" si="31"/>
        <v>71.05263157894737</v>
      </c>
      <c r="G56" s="2163">
        <v>5</v>
      </c>
      <c r="H56" s="2189">
        <f t="shared" si="32"/>
        <v>73.770491803278688</v>
      </c>
      <c r="I56" s="2165">
        <v>5</v>
      </c>
      <c r="J56" s="2190">
        <f t="shared" si="33"/>
        <v>83.333333333333343</v>
      </c>
      <c r="K56" s="2163">
        <v>20</v>
      </c>
      <c r="L56" s="2189">
        <f t="shared" si="34"/>
        <v>125.87412587412588</v>
      </c>
      <c r="M56" s="2165">
        <v>4</v>
      </c>
      <c r="N56" s="2190">
        <f t="shared" si="35"/>
        <v>60</v>
      </c>
      <c r="O56" s="2163">
        <v>8</v>
      </c>
      <c r="P56" s="2189">
        <f t="shared" si="36"/>
        <v>97.297297297297305</v>
      </c>
      <c r="Q56" s="2165">
        <v>125</v>
      </c>
      <c r="R56" s="2190">
        <f t="shared" si="37"/>
        <v>132</v>
      </c>
      <c r="S56" s="2163">
        <v>20</v>
      </c>
      <c r="T56" s="2189">
        <f t="shared" si="38"/>
        <v>56.25</v>
      </c>
      <c r="U56" s="2169">
        <f t="shared" si="39"/>
        <v>88.841986654109178</v>
      </c>
      <c r="V56" s="2178"/>
    </row>
    <row r="57" spans="2:22" ht="12.95" customHeight="1" outlineLevel="1">
      <c r="B57" s="2170" t="s">
        <v>1593</v>
      </c>
      <c r="C57" s="2171">
        <v>2</v>
      </c>
      <c r="D57" s="2193">
        <f t="shared" si="30"/>
        <v>100</v>
      </c>
      <c r="E57" s="2173">
        <v>4</v>
      </c>
      <c r="F57" s="2157">
        <f t="shared" si="31"/>
        <v>94.73684210526315</v>
      </c>
      <c r="G57" s="2171">
        <v>7</v>
      </c>
      <c r="H57" s="2155">
        <f t="shared" si="32"/>
        <v>103.27868852459017</v>
      </c>
      <c r="I57" s="2173">
        <v>4</v>
      </c>
      <c r="J57" s="2157">
        <f t="shared" si="33"/>
        <v>66.666666666666657</v>
      </c>
      <c r="K57" s="2171">
        <v>13</v>
      </c>
      <c r="L57" s="2155">
        <f t="shared" si="34"/>
        <v>81.818181818181813</v>
      </c>
      <c r="M57" s="2173">
        <v>6</v>
      </c>
      <c r="N57" s="2157">
        <f t="shared" si="35"/>
        <v>89.999999999999986</v>
      </c>
      <c r="O57" s="2171">
        <v>8</v>
      </c>
      <c r="P57" s="2155">
        <f t="shared" si="36"/>
        <v>97.297297297297305</v>
      </c>
      <c r="Q57" s="2173">
        <v>175</v>
      </c>
      <c r="R57" s="2157">
        <f t="shared" si="37"/>
        <v>94.285714285714278</v>
      </c>
      <c r="S57" s="2171">
        <v>40</v>
      </c>
      <c r="T57" s="2155">
        <f t="shared" si="38"/>
        <v>112.5</v>
      </c>
      <c r="U57" s="2177">
        <f t="shared" si="39"/>
        <v>93.398154521968138</v>
      </c>
      <c r="V57" s="2178"/>
    </row>
    <row r="58" spans="2:22" ht="12.95" customHeight="1" outlineLevel="1">
      <c r="B58" s="2180" t="s">
        <v>3458</v>
      </c>
      <c r="C58" s="2163">
        <v>1</v>
      </c>
      <c r="D58" s="2194">
        <f t="shared" si="30"/>
        <v>50</v>
      </c>
      <c r="E58" s="2165">
        <v>4</v>
      </c>
      <c r="F58" s="2190">
        <f t="shared" si="31"/>
        <v>94.73684210526315</v>
      </c>
      <c r="G58" s="2163">
        <v>6</v>
      </c>
      <c r="H58" s="2189">
        <f t="shared" si="32"/>
        <v>88.52459016393442</v>
      </c>
      <c r="I58" s="2165">
        <v>6</v>
      </c>
      <c r="J58" s="2190">
        <f t="shared" si="33"/>
        <v>100</v>
      </c>
      <c r="K58" s="2163">
        <v>14</v>
      </c>
      <c r="L58" s="2189">
        <f t="shared" si="34"/>
        <v>88.111888111888121</v>
      </c>
      <c r="M58" s="2165">
        <v>9</v>
      </c>
      <c r="N58" s="2190">
        <f t="shared" si="35"/>
        <v>135</v>
      </c>
      <c r="O58" s="2163">
        <v>8</v>
      </c>
      <c r="P58" s="2189">
        <f t="shared" si="36"/>
        <v>97.297297297297305</v>
      </c>
      <c r="Q58" s="2165">
        <v>170</v>
      </c>
      <c r="R58" s="2190">
        <f t="shared" si="37"/>
        <v>97.058823529411768</v>
      </c>
      <c r="S58" s="2163">
        <v>50</v>
      </c>
      <c r="T58" s="2189">
        <f t="shared" si="38"/>
        <v>140.625</v>
      </c>
      <c r="U58" s="2169">
        <f t="shared" si="39"/>
        <v>99.03938235642164</v>
      </c>
      <c r="V58" s="2178"/>
    </row>
    <row r="59" spans="2:22" ht="12.95" customHeight="1" outlineLevel="1">
      <c r="B59" s="2170" t="s">
        <v>3468</v>
      </c>
      <c r="C59" s="2171">
        <v>3</v>
      </c>
      <c r="D59" s="2193">
        <f t="shared" si="30"/>
        <v>150</v>
      </c>
      <c r="E59" s="2173">
        <v>4</v>
      </c>
      <c r="F59" s="2157">
        <f t="shared" si="31"/>
        <v>94.73684210526315</v>
      </c>
      <c r="G59" s="2171">
        <v>8</v>
      </c>
      <c r="H59" s="2155">
        <f t="shared" si="32"/>
        <v>118.0327868852459</v>
      </c>
      <c r="I59" s="2173">
        <v>5</v>
      </c>
      <c r="J59" s="2157">
        <f t="shared" si="33"/>
        <v>83.333333333333343</v>
      </c>
      <c r="K59" s="2171">
        <v>10</v>
      </c>
      <c r="L59" s="2155">
        <f t="shared" si="34"/>
        <v>62.93706293706294</v>
      </c>
      <c r="M59" s="2173">
        <v>8</v>
      </c>
      <c r="N59" s="2157">
        <f t="shared" si="35"/>
        <v>120</v>
      </c>
      <c r="O59" s="2171">
        <v>9</v>
      </c>
      <c r="P59" s="2155">
        <f t="shared" si="36"/>
        <v>109.45945945945948</v>
      </c>
      <c r="Q59" s="2173">
        <v>140</v>
      </c>
      <c r="R59" s="2157">
        <f t="shared" si="37"/>
        <v>117.85714285714286</v>
      </c>
      <c r="S59" s="2171">
        <v>40</v>
      </c>
      <c r="T59" s="2155">
        <f t="shared" si="38"/>
        <v>112.5</v>
      </c>
      <c r="U59" s="2177">
        <f t="shared" si="39"/>
        <v>107.65073639750085</v>
      </c>
      <c r="V59" s="2178"/>
    </row>
    <row r="60" spans="2:22" ht="12.95" customHeight="1" outlineLevel="1">
      <c r="B60" s="2180" t="s">
        <v>3465</v>
      </c>
      <c r="C60" s="2163">
        <v>2</v>
      </c>
      <c r="D60" s="2194">
        <f t="shared" si="30"/>
        <v>100</v>
      </c>
      <c r="E60" s="2165">
        <v>5</v>
      </c>
      <c r="F60" s="2190">
        <f t="shared" si="31"/>
        <v>118.42105263157893</v>
      </c>
      <c r="G60" s="2163">
        <v>6</v>
      </c>
      <c r="H60" s="2189">
        <f t="shared" si="32"/>
        <v>88.52459016393442</v>
      </c>
      <c r="I60" s="2165">
        <v>8</v>
      </c>
      <c r="J60" s="2190">
        <f t="shared" si="33"/>
        <v>133.33333333333331</v>
      </c>
      <c r="K60" s="2163">
        <v>15</v>
      </c>
      <c r="L60" s="2189">
        <f t="shared" si="34"/>
        <v>94.4055944055944</v>
      </c>
      <c r="M60" s="2165">
        <v>5</v>
      </c>
      <c r="N60" s="2190">
        <f t="shared" si="35"/>
        <v>75</v>
      </c>
      <c r="O60" s="2163">
        <v>9</v>
      </c>
      <c r="P60" s="2189">
        <f t="shared" si="36"/>
        <v>109.45945945945948</v>
      </c>
      <c r="Q60" s="2165">
        <v>140</v>
      </c>
      <c r="R60" s="2190">
        <f t="shared" si="37"/>
        <v>117.85714285714286</v>
      </c>
      <c r="S60" s="2163">
        <v>30</v>
      </c>
      <c r="T60" s="2189">
        <f t="shared" si="38"/>
        <v>84.375</v>
      </c>
      <c r="U60" s="2169">
        <f t="shared" si="39"/>
        <v>102.3751303167826</v>
      </c>
      <c r="V60" s="2178"/>
    </row>
    <row r="61" spans="2:22" ht="12.95" customHeight="1" outlineLevel="1" thickBot="1">
      <c r="B61" s="2191" t="s">
        <v>988</v>
      </c>
      <c r="C61" s="2171">
        <v>2</v>
      </c>
      <c r="D61" s="2193">
        <f t="shared" si="30"/>
        <v>100</v>
      </c>
      <c r="E61" s="2173">
        <v>8</v>
      </c>
      <c r="F61" s="2157">
        <f t="shared" si="31"/>
        <v>189.4736842105263</v>
      </c>
      <c r="G61" s="2171">
        <v>9</v>
      </c>
      <c r="H61" s="2155">
        <f t="shared" si="32"/>
        <v>132.78688524590163</v>
      </c>
      <c r="I61" s="2173">
        <v>9</v>
      </c>
      <c r="J61" s="2157">
        <f t="shared" si="33"/>
        <v>150</v>
      </c>
      <c r="K61" s="2171">
        <v>25</v>
      </c>
      <c r="L61" s="2155">
        <f t="shared" si="34"/>
        <v>157.34265734265733</v>
      </c>
      <c r="M61" s="2173">
        <v>8</v>
      </c>
      <c r="N61" s="2157">
        <f t="shared" si="35"/>
        <v>120</v>
      </c>
      <c r="O61" s="2171">
        <v>6</v>
      </c>
      <c r="P61" s="2155">
        <f t="shared" si="36"/>
        <v>72.972972972972983</v>
      </c>
      <c r="Q61" s="2173">
        <v>275</v>
      </c>
      <c r="R61" s="2157">
        <f t="shared" si="37"/>
        <v>60</v>
      </c>
      <c r="S61" s="2171">
        <v>35</v>
      </c>
      <c r="T61" s="2155">
        <f t="shared" si="38"/>
        <v>98.4375</v>
      </c>
      <c r="U61" s="2177">
        <f t="shared" si="39"/>
        <v>120.11263330800648</v>
      </c>
      <c r="V61" s="2178"/>
    </row>
    <row r="62" spans="2:22" ht="12.95" customHeight="1" thickBot="1">
      <c r="B62" s="2268" t="s">
        <v>7294</v>
      </c>
      <c r="C62" s="2185">
        <f>AVERAGE(C53:C61)</f>
        <v>2</v>
      </c>
      <c r="D62" s="2183"/>
      <c r="E62" s="2182">
        <f>AVERAGE(E53:E61)</f>
        <v>4.2222222222222223</v>
      </c>
      <c r="F62" s="2184"/>
      <c r="G62" s="2185">
        <f>AVERAGE(G53:G61)</f>
        <v>6.7777777777777777</v>
      </c>
      <c r="H62" s="2183"/>
      <c r="I62" s="2182">
        <f>AVERAGE(I53:I61)</f>
        <v>6</v>
      </c>
      <c r="J62" s="2184"/>
      <c r="K62" s="2185">
        <f>AVERAGE(K53:K61)</f>
        <v>15.888888888888889</v>
      </c>
      <c r="L62" s="2183"/>
      <c r="M62" s="2182">
        <f>AVERAGE(M53:M61)</f>
        <v>6.666666666666667</v>
      </c>
      <c r="N62" s="2184"/>
      <c r="O62" s="2185">
        <f>AVERAGE(O53:O61)</f>
        <v>8.2222222222222214</v>
      </c>
      <c r="P62" s="2183"/>
      <c r="Q62" s="2182">
        <f>AVERAGE(Q53:Q61)</f>
        <v>165</v>
      </c>
      <c r="R62" s="2184"/>
      <c r="S62" s="2185">
        <f>AVERAGE(S53:S61)</f>
        <v>35.555555555555557</v>
      </c>
      <c r="T62" s="2183"/>
      <c r="U62" s="2192">
        <f>AVERAGE(U53:U61)</f>
        <v>100.52078794480755</v>
      </c>
      <c r="V62" s="2178"/>
    </row>
    <row r="63" spans="2:22" ht="12.95" customHeight="1">
      <c r="V63" s="2178"/>
    </row>
    <row r="64" spans="2:22" ht="12.95" customHeight="1" thickBot="1">
      <c r="B64" s="4280" t="s">
        <v>7298</v>
      </c>
      <c r="C64" s="4280"/>
      <c r="D64" s="4280"/>
      <c r="E64" s="4280"/>
      <c r="F64" s="4280"/>
      <c r="G64" s="4280"/>
      <c r="H64" s="4280"/>
      <c r="I64" s="4280"/>
      <c r="J64" s="4280"/>
      <c r="K64" s="4280"/>
      <c r="L64" s="4280"/>
      <c r="M64" s="4280"/>
      <c r="N64" s="4280"/>
      <c r="O64" s="4280"/>
      <c r="P64" s="4280"/>
      <c r="Q64" s="4280"/>
      <c r="R64" s="4280"/>
      <c r="S64" s="4280"/>
      <c r="T64" s="4280"/>
      <c r="U64" s="4280"/>
      <c r="V64" s="2178"/>
    </row>
    <row r="65" spans="2:22" s="2150" customFormat="1" ht="12.95" customHeight="1" outlineLevel="1" thickBot="1">
      <c r="B65" s="2266" t="s">
        <v>3476</v>
      </c>
      <c r="C65" s="2151" t="s">
        <v>7290</v>
      </c>
      <c r="D65" s="1898" t="s">
        <v>7291</v>
      </c>
      <c r="E65" s="2152" t="s">
        <v>7292</v>
      </c>
      <c r="F65" s="1899" t="s">
        <v>7291</v>
      </c>
      <c r="G65" s="2151" t="s">
        <v>119</v>
      </c>
      <c r="H65" s="1898" t="s">
        <v>7291</v>
      </c>
      <c r="I65" s="2152" t="s">
        <v>120</v>
      </c>
      <c r="J65" s="1899" t="s">
        <v>7291</v>
      </c>
      <c r="K65" s="2151" t="s">
        <v>1926</v>
      </c>
      <c r="L65" s="1898" t="s">
        <v>7291</v>
      </c>
      <c r="M65" s="2152" t="s">
        <v>1648</v>
      </c>
      <c r="N65" s="1899" t="s">
        <v>7291</v>
      </c>
      <c r="O65" s="2151" t="s">
        <v>4</v>
      </c>
      <c r="P65" s="1898" t="s">
        <v>7291</v>
      </c>
      <c r="Q65" s="2152" t="s">
        <v>1570</v>
      </c>
      <c r="R65" s="1899" t="s">
        <v>7291</v>
      </c>
      <c r="S65" s="2151" t="s">
        <v>3486</v>
      </c>
      <c r="T65" s="1898" t="s">
        <v>7291</v>
      </c>
      <c r="U65" s="163" t="s">
        <v>7293</v>
      </c>
      <c r="V65" s="2188"/>
    </row>
    <row r="66" spans="2:22" ht="12.95" customHeight="1" outlineLevel="1">
      <c r="B66" s="2196" t="s">
        <v>2324</v>
      </c>
      <c r="C66" s="2154">
        <v>3</v>
      </c>
      <c r="D66" s="2155">
        <f t="shared" ref="D66:D76" si="40">C66/C$77*100</f>
        <v>110.00000000000001</v>
      </c>
      <c r="E66" s="2156">
        <v>6</v>
      </c>
      <c r="F66" s="2157">
        <f t="shared" ref="F66:F76" si="41">E66/E$77*100</f>
        <v>108.1967213114754</v>
      </c>
      <c r="G66" s="2154">
        <v>8</v>
      </c>
      <c r="H66" s="2155">
        <f t="shared" ref="H66:H76" si="42">G66/G$77*100</f>
        <v>98.876404494382015</v>
      </c>
      <c r="I66" s="2156">
        <v>8</v>
      </c>
      <c r="J66" s="2157">
        <f t="shared" ref="J66:J76" si="43">I66/I$77*100</f>
        <v>108.64197530864197</v>
      </c>
      <c r="K66" s="2154">
        <v>25</v>
      </c>
      <c r="L66" s="2155">
        <f t="shared" ref="L66:L76" si="44">K66/K$77*100</f>
        <v>105.76923076923077</v>
      </c>
      <c r="M66" s="2156">
        <v>6</v>
      </c>
      <c r="N66" s="2157">
        <f t="shared" ref="N66:N76" si="45">M66/M$77*100</f>
        <v>106.45161290322579</v>
      </c>
      <c r="O66" s="2154">
        <v>7</v>
      </c>
      <c r="P66" s="2155">
        <f t="shared" ref="P66:P76" si="46">O66/O$77*100</f>
        <v>104.05405405405406</v>
      </c>
      <c r="Q66" s="2156">
        <v>200</v>
      </c>
      <c r="R66" s="2157">
        <f t="shared" ref="R66:R76" si="47">100/Q66*Q$77</f>
        <v>107.72727272727273</v>
      </c>
      <c r="S66" s="2154">
        <v>50</v>
      </c>
      <c r="T66" s="2155">
        <f t="shared" ref="T66:T76" si="48">S66/S$77*100</f>
        <v>114.58333333333334</v>
      </c>
      <c r="U66" s="2160">
        <f>AVERAGE(D66,F66,H66,J66,L66,N66,P66,R66,T66)</f>
        <v>107.14451165573513</v>
      </c>
      <c r="V66" s="2161">
        <f>LARGE(U66:U76,1)</f>
        <v>107.14451165573513</v>
      </c>
    </row>
    <row r="67" spans="2:22" ht="12.95" customHeight="1" outlineLevel="1">
      <c r="B67" s="2180" t="s">
        <v>2844</v>
      </c>
      <c r="C67" s="2163">
        <v>3</v>
      </c>
      <c r="D67" s="2189">
        <f t="shared" si="40"/>
        <v>110.00000000000001</v>
      </c>
      <c r="E67" s="2165">
        <v>5</v>
      </c>
      <c r="F67" s="2190">
        <f t="shared" si="41"/>
        <v>90.163934426229503</v>
      </c>
      <c r="G67" s="2163">
        <v>9</v>
      </c>
      <c r="H67" s="2189">
        <f t="shared" si="42"/>
        <v>111.23595505617976</v>
      </c>
      <c r="I67" s="2165">
        <v>5</v>
      </c>
      <c r="J67" s="2190">
        <f t="shared" si="43"/>
        <v>67.901234567901241</v>
      </c>
      <c r="K67" s="2163">
        <v>15</v>
      </c>
      <c r="L67" s="2189">
        <f t="shared" si="44"/>
        <v>63.46153846153846</v>
      </c>
      <c r="M67" s="2165">
        <v>6</v>
      </c>
      <c r="N67" s="2190">
        <f t="shared" si="45"/>
        <v>106.45161290322579</v>
      </c>
      <c r="O67" s="2163">
        <v>7</v>
      </c>
      <c r="P67" s="2189">
        <f t="shared" si="46"/>
        <v>104.05405405405406</v>
      </c>
      <c r="Q67" s="2165">
        <v>200</v>
      </c>
      <c r="R67" s="2190">
        <f t="shared" si="47"/>
        <v>107.72727272727273</v>
      </c>
      <c r="S67" s="2163">
        <v>70</v>
      </c>
      <c r="T67" s="2189">
        <f t="shared" si="48"/>
        <v>160.41666666666669</v>
      </c>
      <c r="U67" s="2169">
        <f t="shared" ref="U67:U76" si="49">AVERAGE(D67,F67,H67,J67,L67,N67,P67,R67,T67)</f>
        <v>102.37914098478535</v>
      </c>
      <c r="V67" s="2161">
        <f>SMALL(U66:U76,1)</f>
        <v>93.285652389344989</v>
      </c>
    </row>
    <row r="68" spans="2:22" ht="12.95" customHeight="1" outlineLevel="1">
      <c r="B68" s="2170" t="s">
        <v>2260</v>
      </c>
      <c r="C68" s="2171">
        <v>4</v>
      </c>
      <c r="D68" s="2155">
        <f t="shared" si="40"/>
        <v>146.66666666666669</v>
      </c>
      <c r="E68" s="2173">
        <v>5</v>
      </c>
      <c r="F68" s="2157">
        <f t="shared" si="41"/>
        <v>90.163934426229503</v>
      </c>
      <c r="G68" s="2171">
        <v>7</v>
      </c>
      <c r="H68" s="2155">
        <f t="shared" si="42"/>
        <v>86.516853932584254</v>
      </c>
      <c r="I68" s="2173">
        <v>10</v>
      </c>
      <c r="J68" s="2157">
        <f t="shared" si="43"/>
        <v>135.80246913580248</v>
      </c>
      <c r="K68" s="2171">
        <v>30</v>
      </c>
      <c r="L68" s="2155">
        <f t="shared" si="44"/>
        <v>126.92307692307692</v>
      </c>
      <c r="M68" s="2173">
        <v>3</v>
      </c>
      <c r="N68" s="2157">
        <f t="shared" si="45"/>
        <v>53.225806451612897</v>
      </c>
      <c r="O68" s="2171">
        <v>6</v>
      </c>
      <c r="P68" s="2155">
        <f t="shared" si="46"/>
        <v>89.189189189189193</v>
      </c>
      <c r="Q68" s="2173">
        <v>150</v>
      </c>
      <c r="R68" s="2157">
        <f t="shared" si="47"/>
        <v>143.63636363636363</v>
      </c>
      <c r="S68" s="2171">
        <v>35</v>
      </c>
      <c r="T68" s="2155">
        <f t="shared" si="48"/>
        <v>80.208333333333343</v>
      </c>
      <c r="U68" s="2177">
        <f t="shared" si="49"/>
        <v>105.81474374387321</v>
      </c>
      <c r="V68" s="2178"/>
    </row>
    <row r="69" spans="2:22" ht="12.95" customHeight="1" outlineLevel="1">
      <c r="B69" s="2180" t="s">
        <v>1594</v>
      </c>
      <c r="C69" s="2163">
        <v>3</v>
      </c>
      <c r="D69" s="2189">
        <f t="shared" si="40"/>
        <v>110.00000000000001</v>
      </c>
      <c r="E69" s="2165">
        <v>5</v>
      </c>
      <c r="F69" s="2190">
        <f t="shared" si="41"/>
        <v>90.163934426229503</v>
      </c>
      <c r="G69" s="2163">
        <v>7</v>
      </c>
      <c r="H69" s="2189">
        <f t="shared" si="42"/>
        <v>86.516853932584254</v>
      </c>
      <c r="I69" s="2165">
        <v>7</v>
      </c>
      <c r="J69" s="2190">
        <f t="shared" si="43"/>
        <v>95.061728395061735</v>
      </c>
      <c r="K69" s="2163">
        <v>18</v>
      </c>
      <c r="L69" s="2189">
        <f t="shared" si="44"/>
        <v>76.153846153846146</v>
      </c>
      <c r="M69" s="2165">
        <v>5</v>
      </c>
      <c r="N69" s="2190">
        <f t="shared" si="45"/>
        <v>88.709677419354833</v>
      </c>
      <c r="O69" s="2163">
        <v>7</v>
      </c>
      <c r="P69" s="2189">
        <f t="shared" si="46"/>
        <v>104.05405405405406</v>
      </c>
      <c r="Q69" s="2165">
        <v>200</v>
      </c>
      <c r="R69" s="2190">
        <f t="shared" si="47"/>
        <v>107.72727272727273</v>
      </c>
      <c r="S69" s="2163">
        <v>60</v>
      </c>
      <c r="T69" s="2189">
        <f t="shared" si="48"/>
        <v>137.5</v>
      </c>
      <c r="U69" s="2169">
        <f t="shared" si="49"/>
        <v>99.543040789822584</v>
      </c>
      <c r="V69" s="2178"/>
    </row>
    <row r="70" spans="2:22" ht="12.95" customHeight="1" outlineLevel="1">
      <c r="B70" s="2179" t="s">
        <v>1518</v>
      </c>
      <c r="C70" s="2171">
        <v>2</v>
      </c>
      <c r="D70" s="2155">
        <f t="shared" si="40"/>
        <v>73.333333333333343</v>
      </c>
      <c r="E70" s="2173">
        <v>7</v>
      </c>
      <c r="F70" s="2157">
        <f t="shared" si="41"/>
        <v>126.2295081967213</v>
      </c>
      <c r="G70" s="2171">
        <v>10</v>
      </c>
      <c r="H70" s="2155">
        <f t="shared" si="42"/>
        <v>123.59550561797752</v>
      </c>
      <c r="I70" s="2173">
        <v>6</v>
      </c>
      <c r="J70" s="2157">
        <f t="shared" si="43"/>
        <v>81.481481481481495</v>
      </c>
      <c r="K70" s="2171">
        <v>25</v>
      </c>
      <c r="L70" s="2155">
        <f t="shared" si="44"/>
        <v>105.76923076923077</v>
      </c>
      <c r="M70" s="2173">
        <v>7</v>
      </c>
      <c r="N70" s="2157">
        <f t="shared" si="45"/>
        <v>124.19354838709677</v>
      </c>
      <c r="O70" s="2171">
        <v>5</v>
      </c>
      <c r="P70" s="2155">
        <f t="shared" si="46"/>
        <v>74.324324324324323</v>
      </c>
      <c r="Q70" s="2173">
        <v>200</v>
      </c>
      <c r="R70" s="2157">
        <f t="shared" si="47"/>
        <v>107.72727272727273</v>
      </c>
      <c r="S70" s="2171">
        <v>10</v>
      </c>
      <c r="T70" s="2155">
        <f t="shared" si="48"/>
        <v>22.916666666666668</v>
      </c>
      <c r="U70" s="2177">
        <f t="shared" si="49"/>
        <v>93.285652389344989</v>
      </c>
      <c r="V70" s="2178"/>
    </row>
    <row r="71" spans="2:22" ht="12.95" customHeight="1" outlineLevel="1">
      <c r="B71" s="2180" t="s">
        <v>2325</v>
      </c>
      <c r="C71" s="2163">
        <v>3</v>
      </c>
      <c r="D71" s="2189">
        <f t="shared" si="40"/>
        <v>110.00000000000001</v>
      </c>
      <c r="E71" s="2165">
        <v>5</v>
      </c>
      <c r="F71" s="2190">
        <f t="shared" si="41"/>
        <v>90.163934426229503</v>
      </c>
      <c r="G71" s="2163">
        <v>9</v>
      </c>
      <c r="H71" s="2189">
        <f t="shared" si="42"/>
        <v>111.23595505617976</v>
      </c>
      <c r="I71" s="2165">
        <v>7</v>
      </c>
      <c r="J71" s="2190">
        <f t="shared" si="43"/>
        <v>95.061728395061735</v>
      </c>
      <c r="K71" s="2163">
        <v>22</v>
      </c>
      <c r="L71" s="2189">
        <f t="shared" si="44"/>
        <v>93.07692307692308</v>
      </c>
      <c r="M71" s="2165">
        <v>5</v>
      </c>
      <c r="N71" s="2190">
        <f t="shared" si="45"/>
        <v>88.709677419354833</v>
      </c>
      <c r="O71" s="2163">
        <v>7</v>
      </c>
      <c r="P71" s="2189">
        <f t="shared" si="46"/>
        <v>104.05405405405406</v>
      </c>
      <c r="Q71" s="2165">
        <v>250</v>
      </c>
      <c r="R71" s="2190">
        <f t="shared" si="47"/>
        <v>86.181818181818187</v>
      </c>
      <c r="S71" s="2163">
        <v>70</v>
      </c>
      <c r="T71" s="2189">
        <f t="shared" si="48"/>
        <v>160.41666666666669</v>
      </c>
      <c r="U71" s="2169">
        <f t="shared" si="49"/>
        <v>104.322306364032</v>
      </c>
      <c r="V71" s="2178"/>
    </row>
    <row r="72" spans="2:22" ht="12.95" customHeight="1" outlineLevel="1">
      <c r="B72" s="2170" t="s">
        <v>372</v>
      </c>
      <c r="C72" s="2171">
        <v>2</v>
      </c>
      <c r="D72" s="2155">
        <f t="shared" si="40"/>
        <v>73.333333333333343</v>
      </c>
      <c r="E72" s="2173">
        <v>5</v>
      </c>
      <c r="F72" s="2157">
        <f t="shared" si="41"/>
        <v>90.163934426229503</v>
      </c>
      <c r="G72" s="2171">
        <v>8</v>
      </c>
      <c r="H72" s="2155">
        <f t="shared" si="42"/>
        <v>98.876404494382015</v>
      </c>
      <c r="I72" s="2173">
        <v>4</v>
      </c>
      <c r="J72" s="2157">
        <f t="shared" si="43"/>
        <v>54.320987654320987</v>
      </c>
      <c r="K72" s="2171">
        <v>15</v>
      </c>
      <c r="L72" s="2155">
        <f t="shared" si="44"/>
        <v>63.46153846153846</v>
      </c>
      <c r="M72" s="2173">
        <v>4</v>
      </c>
      <c r="N72" s="2157">
        <f t="shared" si="45"/>
        <v>70.967741935483858</v>
      </c>
      <c r="O72" s="2171">
        <v>7</v>
      </c>
      <c r="P72" s="2155">
        <f t="shared" si="46"/>
        <v>104.05405405405406</v>
      </c>
      <c r="Q72" s="2173">
        <v>150</v>
      </c>
      <c r="R72" s="2157">
        <f t="shared" si="47"/>
        <v>143.63636363636363</v>
      </c>
      <c r="S72" s="2171">
        <v>65</v>
      </c>
      <c r="T72" s="2155">
        <f t="shared" si="48"/>
        <v>148.95833333333334</v>
      </c>
      <c r="U72" s="2177">
        <f t="shared" si="49"/>
        <v>94.196965703226567</v>
      </c>
      <c r="V72" s="2178"/>
    </row>
    <row r="73" spans="2:22" ht="12.95" customHeight="1" outlineLevel="1">
      <c r="B73" s="2180" t="s">
        <v>1595</v>
      </c>
      <c r="C73" s="2163">
        <v>2</v>
      </c>
      <c r="D73" s="2189">
        <f t="shared" si="40"/>
        <v>73.333333333333343</v>
      </c>
      <c r="E73" s="2165">
        <v>5</v>
      </c>
      <c r="F73" s="2190">
        <f t="shared" si="41"/>
        <v>90.163934426229503</v>
      </c>
      <c r="G73" s="2163">
        <v>7</v>
      </c>
      <c r="H73" s="2189">
        <f t="shared" si="42"/>
        <v>86.516853932584254</v>
      </c>
      <c r="I73" s="2165">
        <v>9</v>
      </c>
      <c r="J73" s="2190">
        <f t="shared" si="43"/>
        <v>122.22222222222223</v>
      </c>
      <c r="K73" s="2163">
        <v>20</v>
      </c>
      <c r="L73" s="2189">
        <f t="shared" si="44"/>
        <v>84.615384615384613</v>
      </c>
      <c r="M73" s="2165">
        <v>9</v>
      </c>
      <c r="N73" s="2190">
        <f t="shared" si="45"/>
        <v>159.67741935483869</v>
      </c>
      <c r="O73" s="2163">
        <v>8</v>
      </c>
      <c r="P73" s="2189">
        <f t="shared" si="46"/>
        <v>118.91891891891892</v>
      </c>
      <c r="Q73" s="2165">
        <v>220</v>
      </c>
      <c r="R73" s="2190">
        <f t="shared" si="47"/>
        <v>97.933884297520663</v>
      </c>
      <c r="S73" s="2163">
        <v>45</v>
      </c>
      <c r="T73" s="2189">
        <f t="shared" si="48"/>
        <v>103.125</v>
      </c>
      <c r="U73" s="2169">
        <f t="shared" si="49"/>
        <v>104.0563279001147</v>
      </c>
      <c r="V73" s="2178"/>
    </row>
    <row r="74" spans="2:22" ht="12.95" customHeight="1" outlineLevel="1">
      <c r="B74" s="2170" t="s">
        <v>2664</v>
      </c>
      <c r="C74" s="2171">
        <v>3</v>
      </c>
      <c r="D74" s="2155">
        <f t="shared" si="40"/>
        <v>110.00000000000001</v>
      </c>
      <c r="E74" s="2173">
        <v>7</v>
      </c>
      <c r="F74" s="2157">
        <f t="shared" si="41"/>
        <v>126.2295081967213</v>
      </c>
      <c r="G74" s="2171">
        <v>8</v>
      </c>
      <c r="H74" s="2155">
        <f t="shared" si="42"/>
        <v>98.876404494382015</v>
      </c>
      <c r="I74" s="2173">
        <v>10</v>
      </c>
      <c r="J74" s="2157">
        <f t="shared" si="43"/>
        <v>135.80246913580248</v>
      </c>
      <c r="K74" s="2171">
        <v>30</v>
      </c>
      <c r="L74" s="2155">
        <f t="shared" si="44"/>
        <v>126.92307692307692</v>
      </c>
      <c r="M74" s="2173">
        <v>5</v>
      </c>
      <c r="N74" s="2157">
        <f t="shared" si="45"/>
        <v>88.709677419354833</v>
      </c>
      <c r="O74" s="2171">
        <v>6</v>
      </c>
      <c r="P74" s="2155">
        <f t="shared" si="46"/>
        <v>89.189189189189193</v>
      </c>
      <c r="Q74" s="2173">
        <v>300</v>
      </c>
      <c r="R74" s="2157">
        <f t="shared" si="47"/>
        <v>71.818181818181813</v>
      </c>
      <c r="S74" s="2171">
        <v>20</v>
      </c>
      <c r="T74" s="2155">
        <f t="shared" si="48"/>
        <v>45.833333333333336</v>
      </c>
      <c r="U74" s="2177">
        <f t="shared" si="49"/>
        <v>99.264648945560225</v>
      </c>
      <c r="V74" s="2178"/>
    </row>
    <row r="75" spans="2:22" ht="12.95" customHeight="1" outlineLevel="1">
      <c r="B75" s="2180" t="s">
        <v>1596</v>
      </c>
      <c r="C75" s="2163">
        <v>3</v>
      </c>
      <c r="D75" s="2189">
        <f t="shared" si="40"/>
        <v>110.00000000000001</v>
      </c>
      <c r="E75" s="2165">
        <v>5</v>
      </c>
      <c r="F75" s="2190">
        <f t="shared" si="41"/>
        <v>90.163934426229503</v>
      </c>
      <c r="G75" s="2163">
        <v>7</v>
      </c>
      <c r="H75" s="2189">
        <f t="shared" si="42"/>
        <v>86.516853932584254</v>
      </c>
      <c r="I75" s="2165">
        <v>7</v>
      </c>
      <c r="J75" s="2190">
        <f t="shared" si="43"/>
        <v>95.061728395061735</v>
      </c>
      <c r="K75" s="2163">
        <v>30</v>
      </c>
      <c r="L75" s="2189">
        <f t="shared" si="44"/>
        <v>126.92307692307692</v>
      </c>
      <c r="M75" s="2165">
        <v>5</v>
      </c>
      <c r="N75" s="2190">
        <f t="shared" si="45"/>
        <v>88.709677419354833</v>
      </c>
      <c r="O75" s="2163">
        <v>7</v>
      </c>
      <c r="P75" s="2189">
        <f t="shared" si="46"/>
        <v>104.05405405405406</v>
      </c>
      <c r="Q75" s="2165">
        <v>300</v>
      </c>
      <c r="R75" s="2190">
        <f t="shared" si="47"/>
        <v>71.818181818181813</v>
      </c>
      <c r="S75" s="2163">
        <v>30</v>
      </c>
      <c r="T75" s="2189">
        <f t="shared" si="48"/>
        <v>68.75</v>
      </c>
      <c r="U75" s="2169">
        <f t="shared" si="49"/>
        <v>93.555278552060344</v>
      </c>
      <c r="V75" s="2178"/>
    </row>
    <row r="76" spans="2:22" ht="12.95" customHeight="1" outlineLevel="1" thickBot="1">
      <c r="B76" s="2170" t="s">
        <v>901</v>
      </c>
      <c r="C76" s="2171">
        <v>2</v>
      </c>
      <c r="D76" s="2155">
        <f t="shared" si="40"/>
        <v>73.333333333333343</v>
      </c>
      <c r="E76" s="2173">
        <v>6</v>
      </c>
      <c r="F76" s="2157">
        <f t="shared" si="41"/>
        <v>108.1967213114754</v>
      </c>
      <c r="G76" s="2171">
        <v>9</v>
      </c>
      <c r="H76" s="2155">
        <f t="shared" si="42"/>
        <v>111.23595505617976</v>
      </c>
      <c r="I76" s="2173">
        <v>8</v>
      </c>
      <c r="J76" s="2157">
        <f t="shared" si="43"/>
        <v>108.64197530864197</v>
      </c>
      <c r="K76" s="2171">
        <v>30</v>
      </c>
      <c r="L76" s="2155">
        <f t="shared" si="44"/>
        <v>126.92307692307692</v>
      </c>
      <c r="M76" s="2173">
        <v>7</v>
      </c>
      <c r="N76" s="2157">
        <f t="shared" si="45"/>
        <v>124.19354838709677</v>
      </c>
      <c r="O76" s="2171">
        <v>7</v>
      </c>
      <c r="P76" s="2155">
        <f t="shared" si="46"/>
        <v>104.05405405405406</v>
      </c>
      <c r="Q76" s="2173">
        <v>200</v>
      </c>
      <c r="R76" s="2157">
        <f t="shared" si="47"/>
        <v>107.72727272727273</v>
      </c>
      <c r="S76" s="2171">
        <v>25</v>
      </c>
      <c r="T76" s="2155">
        <f t="shared" si="48"/>
        <v>57.291666666666671</v>
      </c>
      <c r="U76" s="2197">
        <f t="shared" si="49"/>
        <v>102.39973375197752</v>
      </c>
      <c r="V76" s="2178"/>
    </row>
    <row r="77" spans="2:22" ht="12.95" customHeight="1" thickBot="1">
      <c r="B77" s="2268" t="s">
        <v>7294</v>
      </c>
      <c r="C77" s="2185">
        <f>AVERAGE(C66:C76)</f>
        <v>2.7272727272727271</v>
      </c>
      <c r="D77" s="2183"/>
      <c r="E77" s="2182">
        <f>AVERAGE(E66:E76)</f>
        <v>5.5454545454545459</v>
      </c>
      <c r="F77" s="2184"/>
      <c r="G77" s="2185">
        <f>AVERAGE(G66:G76)</f>
        <v>8.0909090909090917</v>
      </c>
      <c r="H77" s="2183"/>
      <c r="I77" s="2182">
        <f>AVERAGE(I66:I76)</f>
        <v>7.3636363636363633</v>
      </c>
      <c r="J77" s="2184"/>
      <c r="K77" s="2185">
        <f>AVERAGE(K66:K76)</f>
        <v>23.636363636363637</v>
      </c>
      <c r="L77" s="2183"/>
      <c r="M77" s="2182">
        <f>AVERAGE(M66:M76)</f>
        <v>5.6363636363636367</v>
      </c>
      <c r="N77" s="2184"/>
      <c r="O77" s="2185">
        <f>AVERAGE(O66:O76)</f>
        <v>6.7272727272727275</v>
      </c>
      <c r="P77" s="2183"/>
      <c r="Q77" s="2182">
        <f>AVERAGE(Q66:Q76)</f>
        <v>215.45454545454547</v>
      </c>
      <c r="R77" s="2184"/>
      <c r="S77" s="2185">
        <f>AVERAGE(S66:S76)</f>
        <v>43.636363636363633</v>
      </c>
      <c r="T77" s="2183"/>
      <c r="U77" s="2192">
        <f>AVERAGE(U66:U76)</f>
        <v>100.54203188913934</v>
      </c>
      <c r="V77" s="2178"/>
    </row>
    <row r="78" spans="2:22" ht="12.95" customHeight="1">
      <c r="V78" s="2178"/>
    </row>
    <row r="79" spans="2:22" ht="12.95" customHeight="1" thickBot="1">
      <c r="B79" s="4280" t="s">
        <v>7299</v>
      </c>
      <c r="C79" s="4280"/>
      <c r="D79" s="4280"/>
      <c r="E79" s="4280"/>
      <c r="F79" s="4280"/>
      <c r="G79" s="4280"/>
      <c r="H79" s="4280"/>
      <c r="I79" s="4280"/>
      <c r="J79" s="4280"/>
      <c r="K79" s="4280"/>
      <c r="L79" s="4280"/>
      <c r="M79" s="4280"/>
      <c r="N79" s="4280"/>
      <c r="O79" s="4280"/>
      <c r="P79" s="4280"/>
      <c r="Q79" s="4280"/>
      <c r="R79" s="4280"/>
      <c r="S79" s="4280"/>
      <c r="T79" s="4280"/>
      <c r="U79" s="4280"/>
      <c r="V79" s="2178"/>
    </row>
    <row r="80" spans="2:22" s="2150" customFormat="1" ht="12.95" customHeight="1" outlineLevel="1" thickBot="1">
      <c r="B80" s="2266" t="s">
        <v>3476</v>
      </c>
      <c r="C80" s="2151" t="s">
        <v>7290</v>
      </c>
      <c r="D80" s="1898" t="s">
        <v>7291</v>
      </c>
      <c r="E80" s="2152" t="s">
        <v>7292</v>
      </c>
      <c r="F80" s="1899" t="s">
        <v>7291</v>
      </c>
      <c r="G80" s="2151" t="s">
        <v>119</v>
      </c>
      <c r="H80" s="1898" t="s">
        <v>7291</v>
      </c>
      <c r="I80" s="2152" t="s">
        <v>120</v>
      </c>
      <c r="J80" s="1899" t="s">
        <v>7291</v>
      </c>
      <c r="K80" s="2151" t="s">
        <v>1926</v>
      </c>
      <c r="L80" s="1898" t="s">
        <v>7291</v>
      </c>
      <c r="M80" s="2152" t="s">
        <v>1648</v>
      </c>
      <c r="N80" s="1899" t="s">
        <v>7291</v>
      </c>
      <c r="O80" s="2151" t="s">
        <v>4</v>
      </c>
      <c r="P80" s="1898" t="s">
        <v>7291</v>
      </c>
      <c r="Q80" s="2152" t="s">
        <v>1570</v>
      </c>
      <c r="R80" s="1899" t="s">
        <v>7291</v>
      </c>
      <c r="S80" s="2151" t="s">
        <v>3486</v>
      </c>
      <c r="T80" s="1898" t="s">
        <v>7291</v>
      </c>
      <c r="U80" s="163" t="s">
        <v>7293</v>
      </c>
      <c r="V80" s="2188"/>
    </row>
    <row r="81" spans="2:22" ht="12.95" customHeight="1" outlineLevel="1">
      <c r="B81" s="2196" t="s">
        <v>344</v>
      </c>
      <c r="C81" s="2154">
        <v>3</v>
      </c>
      <c r="D81" s="2155">
        <f t="shared" ref="D81:D89" si="50">C81/C$90*100</f>
        <v>108</v>
      </c>
      <c r="E81" s="2156">
        <v>6</v>
      </c>
      <c r="F81" s="2157">
        <f t="shared" ref="F81:F89" si="51">E81/E$90*100</f>
        <v>108</v>
      </c>
      <c r="G81" s="2154">
        <v>9</v>
      </c>
      <c r="H81" s="2193">
        <f t="shared" ref="H81:H89" si="52">G81/G$90*100</f>
        <v>103.84615384615385</v>
      </c>
      <c r="I81" s="2156">
        <v>9</v>
      </c>
      <c r="J81" s="2157">
        <f t="shared" ref="J81:J89" si="53">I81/I$90*100</f>
        <v>114.08450704225352</v>
      </c>
      <c r="K81" s="2154">
        <v>25</v>
      </c>
      <c r="L81" s="2155">
        <f t="shared" ref="L81:L89" si="54">K81/K$90*100</f>
        <v>107.14285714285714</v>
      </c>
      <c r="M81" s="2156">
        <v>9</v>
      </c>
      <c r="N81" s="2157">
        <f t="shared" ref="N81:N89" si="55">M81/M$90*100</f>
        <v>120.89552238805969</v>
      </c>
      <c r="O81" s="2154">
        <v>7</v>
      </c>
      <c r="P81" s="2155">
        <f t="shared" ref="P81:P89" si="56">O81/O$90*100</f>
        <v>105</v>
      </c>
      <c r="Q81" s="2156">
        <v>240</v>
      </c>
      <c r="R81" s="2157">
        <f t="shared" ref="R81:R89" si="57">100/Q81*Q$90</f>
        <v>102.08333333333334</v>
      </c>
      <c r="S81" s="2154">
        <v>50</v>
      </c>
      <c r="T81" s="2155">
        <f t="shared" ref="T81:T89" si="58">S81/S$90*100</f>
        <v>132.35294117647058</v>
      </c>
      <c r="U81" s="2160">
        <f>AVERAGE(D81,F81,H81,J81,L81,N81,P81,R81,T81)</f>
        <v>111.26725721434758</v>
      </c>
      <c r="V81" s="2161">
        <f>LARGE(U81:U89,1)</f>
        <v>111.26725721434758</v>
      </c>
    </row>
    <row r="82" spans="2:22" ht="12.95" customHeight="1" outlineLevel="1">
      <c r="B82" s="2180" t="s">
        <v>840</v>
      </c>
      <c r="C82" s="2163">
        <v>3</v>
      </c>
      <c r="D82" s="2189">
        <f t="shared" si="50"/>
        <v>108</v>
      </c>
      <c r="E82" s="2165">
        <v>5</v>
      </c>
      <c r="F82" s="2190">
        <f t="shared" si="51"/>
        <v>90</v>
      </c>
      <c r="G82" s="2163">
        <v>9</v>
      </c>
      <c r="H82" s="2194">
        <f t="shared" si="52"/>
        <v>103.84615384615385</v>
      </c>
      <c r="I82" s="2165">
        <v>5</v>
      </c>
      <c r="J82" s="2190">
        <f t="shared" si="53"/>
        <v>63.380281690140841</v>
      </c>
      <c r="K82" s="2163">
        <v>15</v>
      </c>
      <c r="L82" s="2189">
        <f t="shared" si="54"/>
        <v>64.285714285714292</v>
      </c>
      <c r="M82" s="2165">
        <v>7</v>
      </c>
      <c r="N82" s="2190">
        <f t="shared" si="55"/>
        <v>94.02985074626865</v>
      </c>
      <c r="O82" s="2163">
        <v>7</v>
      </c>
      <c r="P82" s="2189">
        <f t="shared" si="56"/>
        <v>105</v>
      </c>
      <c r="Q82" s="2165">
        <v>225</v>
      </c>
      <c r="R82" s="2190">
        <f t="shared" si="57"/>
        <v>108.88888888888889</v>
      </c>
      <c r="S82" s="2163">
        <v>65</v>
      </c>
      <c r="T82" s="2189">
        <f t="shared" si="58"/>
        <v>172.05882352941174</v>
      </c>
      <c r="U82" s="2169">
        <f t="shared" ref="U82:U89" si="59">AVERAGE(D82,F82,H82,J82,L82,N82,P82,R82,T82)</f>
        <v>101.05441255406426</v>
      </c>
      <c r="V82" s="2161">
        <f>SMALL(U81:U89,1)</f>
        <v>83.453457035150905</v>
      </c>
    </row>
    <row r="83" spans="2:22" ht="12.95" customHeight="1" outlineLevel="1">
      <c r="B83" s="2170" t="s">
        <v>3450</v>
      </c>
      <c r="C83" s="2171">
        <v>4</v>
      </c>
      <c r="D83" s="2155">
        <f t="shared" si="50"/>
        <v>144</v>
      </c>
      <c r="E83" s="2173">
        <v>5</v>
      </c>
      <c r="F83" s="2157">
        <f t="shared" si="51"/>
        <v>90</v>
      </c>
      <c r="G83" s="2171">
        <v>9</v>
      </c>
      <c r="H83" s="2193">
        <f t="shared" si="52"/>
        <v>103.84615384615385</v>
      </c>
      <c r="I83" s="2173">
        <v>10</v>
      </c>
      <c r="J83" s="2157">
        <f t="shared" si="53"/>
        <v>126.76056338028168</v>
      </c>
      <c r="K83" s="2171">
        <v>35</v>
      </c>
      <c r="L83" s="2155">
        <f t="shared" si="54"/>
        <v>150</v>
      </c>
      <c r="M83" s="2173">
        <v>5</v>
      </c>
      <c r="N83" s="2157">
        <f t="shared" si="55"/>
        <v>67.164179104477611</v>
      </c>
      <c r="O83" s="2171">
        <v>6</v>
      </c>
      <c r="P83" s="2155">
        <f t="shared" si="56"/>
        <v>89.999999999999986</v>
      </c>
      <c r="Q83" s="2173">
        <v>200</v>
      </c>
      <c r="R83" s="2157">
        <f t="shared" si="57"/>
        <v>122.5</v>
      </c>
      <c r="S83" s="2171">
        <v>25</v>
      </c>
      <c r="T83" s="2155">
        <f t="shared" si="58"/>
        <v>66.17647058823529</v>
      </c>
      <c r="U83" s="2177">
        <f t="shared" si="59"/>
        <v>106.7163741021276</v>
      </c>
      <c r="V83" s="2178"/>
    </row>
    <row r="84" spans="2:22" ht="12.95" customHeight="1" outlineLevel="1">
      <c r="B84" s="2180" t="s">
        <v>55</v>
      </c>
      <c r="C84" s="2163">
        <v>3</v>
      </c>
      <c r="D84" s="2189">
        <f t="shared" si="50"/>
        <v>108</v>
      </c>
      <c r="E84" s="2165">
        <v>5</v>
      </c>
      <c r="F84" s="2190">
        <f t="shared" si="51"/>
        <v>90</v>
      </c>
      <c r="G84" s="2163">
        <v>7</v>
      </c>
      <c r="H84" s="2194">
        <f t="shared" si="52"/>
        <v>80.769230769230774</v>
      </c>
      <c r="I84" s="2165">
        <v>7</v>
      </c>
      <c r="J84" s="2190">
        <f t="shared" si="53"/>
        <v>88.73239436619717</v>
      </c>
      <c r="K84" s="2163">
        <v>18</v>
      </c>
      <c r="L84" s="2189">
        <f t="shared" si="54"/>
        <v>77.142857142857153</v>
      </c>
      <c r="M84" s="2165">
        <v>7</v>
      </c>
      <c r="N84" s="2190">
        <f t="shared" si="55"/>
        <v>94.02985074626865</v>
      </c>
      <c r="O84" s="2163">
        <v>7</v>
      </c>
      <c r="P84" s="2189">
        <f t="shared" si="56"/>
        <v>105</v>
      </c>
      <c r="Q84" s="2165">
        <v>230</v>
      </c>
      <c r="R84" s="2190">
        <f t="shared" si="57"/>
        <v>106.52173913043478</v>
      </c>
      <c r="S84" s="2163">
        <v>40</v>
      </c>
      <c r="T84" s="2189">
        <f t="shared" si="58"/>
        <v>105.88235294117648</v>
      </c>
      <c r="U84" s="2169">
        <f t="shared" si="59"/>
        <v>95.119825010685005</v>
      </c>
      <c r="V84" s="2178"/>
    </row>
    <row r="85" spans="2:22" ht="12.95" customHeight="1" outlineLevel="1">
      <c r="B85" s="2170" t="s">
        <v>2323</v>
      </c>
      <c r="C85" s="2171">
        <v>2</v>
      </c>
      <c r="D85" s="2155">
        <f t="shared" si="50"/>
        <v>72</v>
      </c>
      <c r="E85" s="2173">
        <v>7</v>
      </c>
      <c r="F85" s="2157">
        <f t="shared" si="51"/>
        <v>126</v>
      </c>
      <c r="G85" s="2171">
        <v>10</v>
      </c>
      <c r="H85" s="2193">
        <f t="shared" si="52"/>
        <v>115.3846153846154</v>
      </c>
      <c r="I85" s="2173">
        <v>8</v>
      </c>
      <c r="J85" s="2157">
        <f t="shared" si="53"/>
        <v>101.40845070422534</v>
      </c>
      <c r="K85" s="2171">
        <v>25</v>
      </c>
      <c r="L85" s="2155">
        <f t="shared" si="54"/>
        <v>107.14285714285714</v>
      </c>
      <c r="M85" s="2173">
        <v>8</v>
      </c>
      <c r="N85" s="2157">
        <f t="shared" si="55"/>
        <v>107.46268656716418</v>
      </c>
      <c r="O85" s="2171">
        <v>5</v>
      </c>
      <c r="P85" s="2155">
        <f t="shared" si="56"/>
        <v>75</v>
      </c>
      <c r="Q85" s="2173">
        <v>250</v>
      </c>
      <c r="R85" s="2157">
        <f t="shared" si="57"/>
        <v>98</v>
      </c>
      <c r="S85" s="2171">
        <v>45</v>
      </c>
      <c r="T85" s="2155">
        <f t="shared" si="58"/>
        <v>119.11764705882352</v>
      </c>
      <c r="U85" s="2177">
        <f t="shared" si="59"/>
        <v>102.3906952064095</v>
      </c>
      <c r="V85" s="2178"/>
    </row>
    <row r="86" spans="2:22" ht="12.95" customHeight="1" outlineLevel="1">
      <c r="B86" s="2180" t="s">
        <v>3459</v>
      </c>
      <c r="C86" s="2163">
        <v>3</v>
      </c>
      <c r="D86" s="2189">
        <f t="shared" si="50"/>
        <v>108</v>
      </c>
      <c r="E86" s="2165">
        <v>5</v>
      </c>
      <c r="F86" s="2190">
        <f t="shared" si="51"/>
        <v>90</v>
      </c>
      <c r="G86" s="2163">
        <v>10</v>
      </c>
      <c r="H86" s="2194">
        <f t="shared" si="52"/>
        <v>115.3846153846154</v>
      </c>
      <c r="I86" s="2165">
        <v>8</v>
      </c>
      <c r="J86" s="2190">
        <f t="shared" si="53"/>
        <v>101.40845070422534</v>
      </c>
      <c r="K86" s="2163">
        <v>22</v>
      </c>
      <c r="L86" s="2189">
        <f t="shared" si="54"/>
        <v>94.285714285714292</v>
      </c>
      <c r="M86" s="2165">
        <v>7</v>
      </c>
      <c r="N86" s="2190">
        <f t="shared" si="55"/>
        <v>94.02985074626865</v>
      </c>
      <c r="O86" s="2163">
        <v>7</v>
      </c>
      <c r="P86" s="2189">
        <f t="shared" si="56"/>
        <v>105</v>
      </c>
      <c r="Q86" s="2165">
        <v>280</v>
      </c>
      <c r="R86" s="2190">
        <f t="shared" si="57"/>
        <v>87.5</v>
      </c>
      <c r="S86" s="2163">
        <v>35</v>
      </c>
      <c r="T86" s="2189">
        <f t="shared" si="58"/>
        <v>92.647058823529406</v>
      </c>
      <c r="U86" s="2169">
        <f t="shared" si="59"/>
        <v>98.695076660483679</v>
      </c>
      <c r="V86" s="2178"/>
    </row>
    <row r="87" spans="2:22" ht="12.95" customHeight="1" outlineLevel="1">
      <c r="B87" s="2179" t="s">
        <v>3469</v>
      </c>
      <c r="C87" s="2171">
        <v>2</v>
      </c>
      <c r="D87" s="2155">
        <f t="shared" si="50"/>
        <v>72</v>
      </c>
      <c r="E87" s="2173">
        <v>5</v>
      </c>
      <c r="F87" s="2157">
        <f t="shared" si="51"/>
        <v>90</v>
      </c>
      <c r="G87" s="2171">
        <v>8</v>
      </c>
      <c r="H87" s="2193">
        <f t="shared" si="52"/>
        <v>92.307692307692307</v>
      </c>
      <c r="I87" s="2173">
        <v>4</v>
      </c>
      <c r="J87" s="2157">
        <f t="shared" si="53"/>
        <v>50.704225352112672</v>
      </c>
      <c r="K87" s="2171">
        <v>20</v>
      </c>
      <c r="L87" s="2155">
        <f t="shared" si="54"/>
        <v>85.714285714285722</v>
      </c>
      <c r="M87" s="2173">
        <v>5</v>
      </c>
      <c r="N87" s="2157">
        <f t="shared" si="55"/>
        <v>67.164179104477611</v>
      </c>
      <c r="O87" s="2171">
        <v>7</v>
      </c>
      <c r="P87" s="2155">
        <f t="shared" si="56"/>
        <v>105</v>
      </c>
      <c r="Q87" s="2173">
        <v>165</v>
      </c>
      <c r="R87" s="2157">
        <f t="shared" si="57"/>
        <v>148.4848484848485</v>
      </c>
      <c r="S87" s="2171">
        <v>15</v>
      </c>
      <c r="T87" s="2155">
        <f t="shared" si="58"/>
        <v>39.705882352941174</v>
      </c>
      <c r="U87" s="2177">
        <f t="shared" si="59"/>
        <v>83.453457035150905</v>
      </c>
      <c r="V87" s="2178"/>
    </row>
    <row r="88" spans="2:22" ht="12.95" customHeight="1" outlineLevel="1">
      <c r="B88" s="2180" t="s">
        <v>612</v>
      </c>
      <c r="C88" s="2163">
        <v>2</v>
      </c>
      <c r="D88" s="2189">
        <f t="shared" si="50"/>
        <v>72</v>
      </c>
      <c r="E88" s="2165">
        <v>5</v>
      </c>
      <c r="F88" s="2190">
        <f t="shared" si="51"/>
        <v>90</v>
      </c>
      <c r="G88" s="2163">
        <v>8</v>
      </c>
      <c r="H88" s="2194">
        <f t="shared" si="52"/>
        <v>92.307692307692307</v>
      </c>
      <c r="I88" s="2165">
        <v>10</v>
      </c>
      <c r="J88" s="2190">
        <f t="shared" si="53"/>
        <v>126.76056338028168</v>
      </c>
      <c r="K88" s="2163">
        <v>20</v>
      </c>
      <c r="L88" s="2189">
        <f t="shared" si="54"/>
        <v>85.714285714285722</v>
      </c>
      <c r="M88" s="2165">
        <v>13</v>
      </c>
      <c r="N88" s="2190">
        <f t="shared" si="55"/>
        <v>174.62686567164178</v>
      </c>
      <c r="O88" s="2163">
        <v>8</v>
      </c>
      <c r="P88" s="2189">
        <f t="shared" si="56"/>
        <v>120</v>
      </c>
      <c r="Q88" s="2165">
        <v>240</v>
      </c>
      <c r="R88" s="2190">
        <f t="shared" si="57"/>
        <v>102.08333333333334</v>
      </c>
      <c r="S88" s="2163">
        <v>45</v>
      </c>
      <c r="T88" s="2189">
        <f t="shared" si="58"/>
        <v>119.11764705882352</v>
      </c>
      <c r="U88" s="2169">
        <f t="shared" si="59"/>
        <v>109.17893194067317</v>
      </c>
      <c r="V88" s="2178"/>
    </row>
    <row r="89" spans="2:22" ht="12.95" customHeight="1" outlineLevel="1" thickBot="1">
      <c r="B89" s="2170" t="s">
        <v>2665</v>
      </c>
      <c r="C89" s="2171">
        <v>3</v>
      </c>
      <c r="D89" s="2155">
        <f t="shared" si="50"/>
        <v>108</v>
      </c>
      <c r="E89" s="2173">
        <v>7</v>
      </c>
      <c r="F89" s="2157">
        <f t="shared" si="51"/>
        <v>126</v>
      </c>
      <c r="G89" s="2171">
        <v>8</v>
      </c>
      <c r="H89" s="2193">
        <f t="shared" si="52"/>
        <v>92.307692307692307</v>
      </c>
      <c r="I89" s="2173">
        <v>10</v>
      </c>
      <c r="J89" s="2157">
        <f t="shared" si="53"/>
        <v>126.76056338028168</v>
      </c>
      <c r="K89" s="2171">
        <v>30</v>
      </c>
      <c r="L89" s="2155">
        <f t="shared" si="54"/>
        <v>128.57142857142858</v>
      </c>
      <c r="M89" s="2173">
        <v>6</v>
      </c>
      <c r="N89" s="2157">
        <f t="shared" si="55"/>
        <v>80.597014925373131</v>
      </c>
      <c r="O89" s="2171">
        <v>6</v>
      </c>
      <c r="P89" s="2155">
        <f t="shared" si="56"/>
        <v>89.999999999999986</v>
      </c>
      <c r="Q89" s="2173">
        <v>375</v>
      </c>
      <c r="R89" s="2157">
        <f t="shared" si="57"/>
        <v>65.333333333333329</v>
      </c>
      <c r="S89" s="2171">
        <v>20</v>
      </c>
      <c r="T89" s="2155">
        <f t="shared" si="58"/>
        <v>52.941176470588239</v>
      </c>
      <c r="U89" s="2177">
        <f t="shared" si="59"/>
        <v>96.723467665410823</v>
      </c>
      <c r="V89" s="2178"/>
    </row>
    <row r="90" spans="2:22" ht="12.95" customHeight="1" thickBot="1">
      <c r="B90" s="2268" t="s">
        <v>7294</v>
      </c>
      <c r="C90" s="2185">
        <f>AVERAGE(C81:C89)</f>
        <v>2.7777777777777777</v>
      </c>
      <c r="D90" s="2183"/>
      <c r="E90" s="2182">
        <f>AVERAGE(E81:E89)</f>
        <v>5.5555555555555554</v>
      </c>
      <c r="F90" s="2184"/>
      <c r="G90" s="2185">
        <f>AVERAGE(G81:G89)</f>
        <v>8.6666666666666661</v>
      </c>
      <c r="H90" s="2183"/>
      <c r="I90" s="2182">
        <f>AVERAGE(I81:I89)</f>
        <v>7.8888888888888893</v>
      </c>
      <c r="J90" s="2184"/>
      <c r="K90" s="2185">
        <f>AVERAGE(K81:K89)</f>
        <v>23.333333333333332</v>
      </c>
      <c r="L90" s="2183"/>
      <c r="M90" s="2182">
        <f>AVERAGE(M81:M89)</f>
        <v>7.4444444444444446</v>
      </c>
      <c r="N90" s="2184"/>
      <c r="O90" s="2185">
        <f>AVERAGE(O81:O89)</f>
        <v>6.666666666666667</v>
      </c>
      <c r="P90" s="2183"/>
      <c r="Q90" s="2182">
        <f>AVERAGE(Q81:Q89)</f>
        <v>245</v>
      </c>
      <c r="R90" s="2184"/>
      <c r="S90" s="2185">
        <f>AVERAGE(S81:S89)</f>
        <v>37.777777777777779</v>
      </c>
      <c r="T90" s="2183"/>
      <c r="U90" s="2192">
        <f>AVERAGE(U81:U89)</f>
        <v>100.51105526548361</v>
      </c>
      <c r="V90" s="2178"/>
    </row>
    <row r="91" spans="2:22" ht="12.95" customHeight="1">
      <c r="V91" s="2178"/>
    </row>
    <row r="92" spans="2:22" ht="12.95" customHeight="1" thickBot="1">
      <c r="B92" s="4280" t="s">
        <v>7300</v>
      </c>
      <c r="C92" s="4280"/>
      <c r="D92" s="4280"/>
      <c r="E92" s="4280"/>
      <c r="F92" s="4280"/>
      <c r="G92" s="4280"/>
      <c r="H92" s="4280"/>
      <c r="I92" s="4280"/>
      <c r="J92" s="4280"/>
      <c r="K92" s="4280"/>
      <c r="L92" s="4280"/>
      <c r="M92" s="4280"/>
      <c r="N92" s="4280"/>
      <c r="O92" s="4280"/>
      <c r="P92" s="4280"/>
      <c r="Q92" s="4280"/>
      <c r="R92" s="4280"/>
      <c r="S92" s="4280"/>
      <c r="T92" s="4280"/>
      <c r="U92" s="4280"/>
      <c r="V92" s="2178"/>
    </row>
    <row r="93" spans="2:22" s="2150" customFormat="1" ht="12.95" customHeight="1" outlineLevel="1" thickBot="1">
      <c r="B93" s="2266" t="s">
        <v>3476</v>
      </c>
      <c r="C93" s="2151" t="s">
        <v>7290</v>
      </c>
      <c r="D93" s="1898" t="s">
        <v>7291</v>
      </c>
      <c r="E93" s="2152" t="s">
        <v>7292</v>
      </c>
      <c r="F93" s="1899" t="s">
        <v>7291</v>
      </c>
      <c r="G93" s="2151" t="s">
        <v>119</v>
      </c>
      <c r="H93" s="1898" t="s">
        <v>7291</v>
      </c>
      <c r="I93" s="2152" t="s">
        <v>120</v>
      </c>
      <c r="J93" s="1899" t="s">
        <v>7291</v>
      </c>
      <c r="K93" s="2151" t="s">
        <v>1926</v>
      </c>
      <c r="L93" s="1898" t="s">
        <v>7291</v>
      </c>
      <c r="M93" s="2152" t="s">
        <v>1648</v>
      </c>
      <c r="N93" s="1899" t="s">
        <v>7291</v>
      </c>
      <c r="O93" s="2151" t="s">
        <v>4</v>
      </c>
      <c r="P93" s="1898" t="s">
        <v>7291</v>
      </c>
      <c r="Q93" s="2152" t="s">
        <v>1570</v>
      </c>
      <c r="R93" s="1899" t="s">
        <v>7291</v>
      </c>
      <c r="S93" s="2151" t="s">
        <v>3486</v>
      </c>
      <c r="T93" s="1898" t="s">
        <v>7291</v>
      </c>
      <c r="U93" s="163" t="s">
        <v>7293</v>
      </c>
      <c r="V93" s="2188"/>
    </row>
    <row r="94" spans="2:22" ht="12.95" customHeight="1" outlineLevel="1">
      <c r="B94" s="2153" t="s">
        <v>2152</v>
      </c>
      <c r="C94" s="2154">
        <v>6</v>
      </c>
      <c r="D94" s="2155">
        <f t="shared" ref="D94:D103" si="60">C94/C$104*100</f>
        <v>100</v>
      </c>
      <c r="E94" s="2156">
        <v>9</v>
      </c>
      <c r="F94" s="2157">
        <f t="shared" ref="F94:F103" si="61">E94/E$104*100</f>
        <v>100</v>
      </c>
      <c r="G94" s="2154">
        <v>10</v>
      </c>
      <c r="H94" s="2155">
        <f t="shared" ref="H94:H103" si="62">G94/G$104*100</f>
        <v>95.238095238095227</v>
      </c>
      <c r="I94" s="2156">
        <v>12</v>
      </c>
      <c r="J94" s="2198">
        <f t="shared" ref="J94:J103" si="63">I94/I$104*100</f>
        <v>130.43478260869566</v>
      </c>
      <c r="K94" s="2154">
        <v>35</v>
      </c>
      <c r="L94" s="2155">
        <f t="shared" ref="L94:L103" si="64">K94/K$104*100</f>
        <v>114.75409836065573</v>
      </c>
      <c r="M94" s="2156">
        <v>5</v>
      </c>
      <c r="N94" s="2157">
        <f t="shared" ref="N94:N103" si="65">M94/M$104*100</f>
        <v>86.206896551724142</v>
      </c>
      <c r="O94" s="2154">
        <v>4</v>
      </c>
      <c r="P94" s="2155">
        <f t="shared" ref="P94:P103" si="66">O94/O$104*100</f>
        <v>95.238095238095227</v>
      </c>
      <c r="Q94" s="2156">
        <v>300</v>
      </c>
      <c r="R94" s="2157">
        <f t="shared" ref="R94:R103" si="67">100/Q94*Q$104</f>
        <v>106.16666666666666</v>
      </c>
      <c r="S94" s="2154">
        <v>10</v>
      </c>
      <c r="T94" s="2155">
        <f t="shared" ref="T94:T103" si="68">S94/S$104*100</f>
        <v>33.333333333333329</v>
      </c>
      <c r="U94" s="2160">
        <f>AVERAGE(D94,F94,H94,J94,L94,N94,P94,R94,T94)</f>
        <v>95.707996444140662</v>
      </c>
      <c r="V94" s="2161">
        <f>LARGE(U94:U103,1)</f>
        <v>116.29351642268031</v>
      </c>
    </row>
    <row r="95" spans="2:22" ht="12.95" customHeight="1" outlineLevel="1">
      <c r="B95" s="2180" t="s">
        <v>1949</v>
      </c>
      <c r="C95" s="2163">
        <v>5</v>
      </c>
      <c r="D95" s="2189">
        <f t="shared" si="60"/>
        <v>83.333333333333343</v>
      </c>
      <c r="E95" s="2165">
        <v>9</v>
      </c>
      <c r="F95" s="2190">
        <f t="shared" si="61"/>
        <v>100</v>
      </c>
      <c r="G95" s="2163">
        <v>9</v>
      </c>
      <c r="H95" s="2189">
        <f t="shared" si="62"/>
        <v>85.714285714285708</v>
      </c>
      <c r="I95" s="2165">
        <v>8</v>
      </c>
      <c r="J95" s="2199">
        <f t="shared" si="63"/>
        <v>86.956521739130437</v>
      </c>
      <c r="K95" s="2163">
        <v>30</v>
      </c>
      <c r="L95" s="2189">
        <f t="shared" si="64"/>
        <v>98.360655737704917</v>
      </c>
      <c r="M95" s="2165">
        <v>8</v>
      </c>
      <c r="N95" s="2190">
        <f t="shared" si="65"/>
        <v>137.93103448275863</v>
      </c>
      <c r="O95" s="2163">
        <v>5</v>
      </c>
      <c r="P95" s="2189">
        <f t="shared" si="66"/>
        <v>119.04761904761905</v>
      </c>
      <c r="Q95" s="2165">
        <v>250</v>
      </c>
      <c r="R95" s="2190">
        <f t="shared" si="67"/>
        <v>127.4</v>
      </c>
      <c r="S95" s="2163">
        <v>30</v>
      </c>
      <c r="T95" s="2189">
        <f t="shared" si="68"/>
        <v>100</v>
      </c>
      <c r="U95" s="2169">
        <f t="shared" ref="U95:U103" si="69">AVERAGE(D95,F95,H95,J95,L95,N95,P95,R95,T95)</f>
        <v>104.30482778387022</v>
      </c>
      <c r="V95" s="2161">
        <f>SMALL(U94:U103,1)</f>
        <v>90.049401138618819</v>
      </c>
    </row>
    <row r="96" spans="2:22" ht="12.95" customHeight="1" outlineLevel="1">
      <c r="B96" s="2170" t="s">
        <v>1817</v>
      </c>
      <c r="C96" s="2171">
        <v>7</v>
      </c>
      <c r="D96" s="2155">
        <f t="shared" si="60"/>
        <v>116.66666666666667</v>
      </c>
      <c r="E96" s="2173">
        <v>9</v>
      </c>
      <c r="F96" s="2157">
        <f t="shared" si="61"/>
        <v>100</v>
      </c>
      <c r="G96" s="2171">
        <v>11</v>
      </c>
      <c r="H96" s="2155">
        <f t="shared" si="62"/>
        <v>104.76190476190477</v>
      </c>
      <c r="I96" s="2173">
        <v>8</v>
      </c>
      <c r="J96" s="2198">
        <f t="shared" si="63"/>
        <v>86.956521739130437</v>
      </c>
      <c r="K96" s="2171">
        <v>25</v>
      </c>
      <c r="L96" s="2155">
        <f t="shared" si="64"/>
        <v>81.967213114754102</v>
      </c>
      <c r="M96" s="2173">
        <v>5</v>
      </c>
      <c r="N96" s="2157">
        <f t="shared" si="65"/>
        <v>86.206896551724142</v>
      </c>
      <c r="O96" s="2171">
        <v>4</v>
      </c>
      <c r="P96" s="2155">
        <f t="shared" si="66"/>
        <v>95.238095238095227</v>
      </c>
      <c r="Q96" s="2173">
        <v>350</v>
      </c>
      <c r="R96" s="2157">
        <f t="shared" si="67"/>
        <v>91</v>
      </c>
      <c r="S96" s="2171">
        <v>50</v>
      </c>
      <c r="T96" s="2155">
        <f t="shared" si="68"/>
        <v>166.66666666666669</v>
      </c>
      <c r="U96" s="2177">
        <f t="shared" si="69"/>
        <v>103.27377385988244</v>
      </c>
      <c r="V96" s="2178"/>
    </row>
    <row r="97" spans="2:22" ht="12.95" customHeight="1" outlineLevel="1">
      <c r="B97" s="2180" t="s">
        <v>895</v>
      </c>
      <c r="C97" s="2163">
        <v>5</v>
      </c>
      <c r="D97" s="2189">
        <f t="shared" si="60"/>
        <v>83.333333333333343</v>
      </c>
      <c r="E97" s="2165">
        <v>8</v>
      </c>
      <c r="F97" s="2190">
        <f t="shared" si="61"/>
        <v>88.888888888888886</v>
      </c>
      <c r="G97" s="2163">
        <v>10</v>
      </c>
      <c r="H97" s="2189">
        <f t="shared" si="62"/>
        <v>95.238095238095227</v>
      </c>
      <c r="I97" s="2165">
        <v>9</v>
      </c>
      <c r="J97" s="2199">
        <f t="shared" si="63"/>
        <v>97.826086956521749</v>
      </c>
      <c r="K97" s="2163">
        <v>30</v>
      </c>
      <c r="L97" s="2189">
        <f t="shared" si="64"/>
        <v>98.360655737704917</v>
      </c>
      <c r="M97" s="2165">
        <v>6</v>
      </c>
      <c r="N97" s="2190">
        <f t="shared" si="65"/>
        <v>103.44827586206897</v>
      </c>
      <c r="O97" s="2163">
        <v>4</v>
      </c>
      <c r="P97" s="2189">
        <f t="shared" si="66"/>
        <v>95.238095238095227</v>
      </c>
      <c r="Q97" s="2165">
        <v>360</v>
      </c>
      <c r="R97" s="2190">
        <f t="shared" si="67"/>
        <v>88.472222222222229</v>
      </c>
      <c r="S97" s="2163">
        <v>45</v>
      </c>
      <c r="T97" s="2189">
        <f t="shared" si="68"/>
        <v>150</v>
      </c>
      <c r="U97" s="2169">
        <f t="shared" si="69"/>
        <v>100.08951705299228</v>
      </c>
      <c r="V97" s="2178"/>
    </row>
    <row r="98" spans="2:22" ht="12.95" customHeight="1" outlineLevel="1">
      <c r="B98" s="2170" t="s">
        <v>1686</v>
      </c>
      <c r="C98" s="2171">
        <v>7</v>
      </c>
      <c r="D98" s="2155">
        <f t="shared" si="60"/>
        <v>116.66666666666667</v>
      </c>
      <c r="E98" s="2173">
        <v>9</v>
      </c>
      <c r="F98" s="2157">
        <f t="shared" si="61"/>
        <v>100</v>
      </c>
      <c r="G98" s="2171">
        <v>10</v>
      </c>
      <c r="H98" s="2155">
        <f t="shared" si="62"/>
        <v>95.238095238095227</v>
      </c>
      <c r="I98" s="2173">
        <v>10</v>
      </c>
      <c r="J98" s="2198">
        <f t="shared" si="63"/>
        <v>108.69565217391306</v>
      </c>
      <c r="K98" s="2171">
        <v>35</v>
      </c>
      <c r="L98" s="2155">
        <f t="shared" si="64"/>
        <v>114.75409836065573</v>
      </c>
      <c r="M98" s="2173">
        <v>5</v>
      </c>
      <c r="N98" s="2157">
        <f t="shared" si="65"/>
        <v>86.206896551724142</v>
      </c>
      <c r="O98" s="2171">
        <v>4</v>
      </c>
      <c r="P98" s="2155">
        <f t="shared" si="66"/>
        <v>95.238095238095227</v>
      </c>
      <c r="Q98" s="2173">
        <v>250</v>
      </c>
      <c r="R98" s="2157">
        <f t="shared" si="67"/>
        <v>127.4</v>
      </c>
      <c r="S98" s="2171">
        <v>10</v>
      </c>
      <c r="T98" s="2155">
        <f t="shared" si="68"/>
        <v>33.333333333333329</v>
      </c>
      <c r="U98" s="2177">
        <f t="shared" si="69"/>
        <v>97.503648618053717</v>
      </c>
      <c r="V98" s="2178"/>
    </row>
    <row r="99" spans="2:22" ht="12.95" customHeight="1" outlineLevel="1">
      <c r="B99" s="2180" t="s">
        <v>490</v>
      </c>
      <c r="C99" s="2163">
        <v>6</v>
      </c>
      <c r="D99" s="2189">
        <f t="shared" si="60"/>
        <v>100</v>
      </c>
      <c r="E99" s="2165">
        <v>8</v>
      </c>
      <c r="F99" s="2190">
        <f t="shared" si="61"/>
        <v>88.888888888888886</v>
      </c>
      <c r="G99" s="2163">
        <v>9</v>
      </c>
      <c r="H99" s="2189">
        <f t="shared" si="62"/>
        <v>85.714285714285708</v>
      </c>
      <c r="I99" s="2165">
        <v>9</v>
      </c>
      <c r="J99" s="2199">
        <f t="shared" si="63"/>
        <v>97.826086956521749</v>
      </c>
      <c r="K99" s="2163">
        <v>25</v>
      </c>
      <c r="L99" s="2189">
        <f t="shared" si="64"/>
        <v>81.967213114754102</v>
      </c>
      <c r="M99" s="2165">
        <v>5</v>
      </c>
      <c r="N99" s="2190">
        <f t="shared" si="65"/>
        <v>86.206896551724142</v>
      </c>
      <c r="O99" s="2163">
        <v>4</v>
      </c>
      <c r="P99" s="2189">
        <f t="shared" si="66"/>
        <v>95.238095238095227</v>
      </c>
      <c r="Q99" s="2165">
        <v>300</v>
      </c>
      <c r="R99" s="2190">
        <f t="shared" si="67"/>
        <v>106.16666666666666</v>
      </c>
      <c r="S99" s="2163">
        <v>40</v>
      </c>
      <c r="T99" s="2189">
        <f t="shared" si="68"/>
        <v>133.33333333333331</v>
      </c>
      <c r="U99" s="2169">
        <f t="shared" si="69"/>
        <v>97.260162940474402</v>
      </c>
      <c r="V99" s="2178"/>
    </row>
    <row r="100" spans="2:22" ht="12.95" customHeight="1" outlineLevel="1">
      <c r="B100" s="2170" t="s">
        <v>2322</v>
      </c>
      <c r="C100" s="2171">
        <v>6</v>
      </c>
      <c r="D100" s="2155">
        <f t="shared" si="60"/>
        <v>100</v>
      </c>
      <c r="E100" s="2173">
        <v>12</v>
      </c>
      <c r="F100" s="2157">
        <f t="shared" si="61"/>
        <v>133.33333333333331</v>
      </c>
      <c r="G100" s="2171">
        <v>13</v>
      </c>
      <c r="H100" s="2155">
        <f t="shared" si="62"/>
        <v>123.80952380952381</v>
      </c>
      <c r="I100" s="2173">
        <v>7</v>
      </c>
      <c r="J100" s="2198">
        <f t="shared" si="63"/>
        <v>76.08695652173914</v>
      </c>
      <c r="K100" s="2171">
        <v>40</v>
      </c>
      <c r="L100" s="2155">
        <f t="shared" si="64"/>
        <v>131.14754098360655</v>
      </c>
      <c r="M100" s="2173">
        <v>4</v>
      </c>
      <c r="N100" s="2157">
        <f t="shared" si="65"/>
        <v>68.965517241379317</v>
      </c>
      <c r="O100" s="2171">
        <v>4</v>
      </c>
      <c r="P100" s="2155">
        <f t="shared" si="66"/>
        <v>95.238095238095227</v>
      </c>
      <c r="Q100" s="2173">
        <v>300</v>
      </c>
      <c r="R100" s="2157">
        <f t="shared" si="67"/>
        <v>106.16666666666666</v>
      </c>
      <c r="S100" s="2171">
        <v>10</v>
      </c>
      <c r="T100" s="2155">
        <f t="shared" si="68"/>
        <v>33.333333333333329</v>
      </c>
      <c r="U100" s="2177">
        <f t="shared" si="69"/>
        <v>96.453440791964141</v>
      </c>
      <c r="V100" s="2178"/>
    </row>
    <row r="101" spans="2:22" ht="12.95" customHeight="1" outlineLevel="1">
      <c r="B101" s="2180" t="s">
        <v>1947</v>
      </c>
      <c r="C101" s="2163">
        <v>6</v>
      </c>
      <c r="D101" s="2189">
        <f t="shared" si="60"/>
        <v>100</v>
      </c>
      <c r="E101" s="2165">
        <v>10</v>
      </c>
      <c r="F101" s="2190">
        <f t="shared" si="61"/>
        <v>111.11111111111111</v>
      </c>
      <c r="G101" s="2163">
        <v>11</v>
      </c>
      <c r="H101" s="2189">
        <f t="shared" si="62"/>
        <v>104.76190476190477</v>
      </c>
      <c r="I101" s="2165">
        <v>11</v>
      </c>
      <c r="J101" s="2199">
        <f t="shared" si="63"/>
        <v>119.56521739130437</v>
      </c>
      <c r="K101" s="2163">
        <v>35</v>
      </c>
      <c r="L101" s="2189">
        <f t="shared" si="64"/>
        <v>114.75409836065573</v>
      </c>
      <c r="M101" s="2165">
        <v>5</v>
      </c>
      <c r="N101" s="2190">
        <f t="shared" si="65"/>
        <v>86.206896551724142</v>
      </c>
      <c r="O101" s="2163">
        <v>4</v>
      </c>
      <c r="P101" s="2189">
        <f t="shared" si="66"/>
        <v>95.238095238095227</v>
      </c>
      <c r="Q101" s="2165">
        <v>325</v>
      </c>
      <c r="R101" s="2190">
        <f t="shared" si="67"/>
        <v>98</v>
      </c>
      <c r="S101" s="2163">
        <v>25</v>
      </c>
      <c r="T101" s="2189">
        <f t="shared" si="68"/>
        <v>83.333333333333343</v>
      </c>
      <c r="U101" s="2169">
        <f t="shared" si="69"/>
        <v>101.44118408312541</v>
      </c>
      <c r="V101" s="2178"/>
    </row>
    <row r="102" spans="2:22" ht="12.95" customHeight="1" outlineLevel="1">
      <c r="B102" s="2179" t="s">
        <v>100</v>
      </c>
      <c r="C102" s="2171">
        <v>4</v>
      </c>
      <c r="D102" s="2155">
        <f t="shared" si="60"/>
        <v>66.666666666666657</v>
      </c>
      <c r="E102" s="2173">
        <v>6</v>
      </c>
      <c r="F102" s="2157">
        <f t="shared" si="61"/>
        <v>66.666666666666657</v>
      </c>
      <c r="G102" s="2171">
        <v>10</v>
      </c>
      <c r="H102" s="2155">
        <f t="shared" si="62"/>
        <v>95.238095238095227</v>
      </c>
      <c r="I102" s="2173">
        <v>8</v>
      </c>
      <c r="J102" s="2198">
        <f t="shared" si="63"/>
        <v>86.956521739130437</v>
      </c>
      <c r="K102" s="2171">
        <v>35</v>
      </c>
      <c r="L102" s="2155">
        <f t="shared" si="64"/>
        <v>114.75409836065573</v>
      </c>
      <c r="M102" s="2173">
        <v>6</v>
      </c>
      <c r="N102" s="2157">
        <f t="shared" si="65"/>
        <v>103.44827586206897</v>
      </c>
      <c r="O102" s="2171">
        <v>5</v>
      </c>
      <c r="P102" s="2155">
        <f t="shared" si="66"/>
        <v>119.04761904761905</v>
      </c>
      <c r="Q102" s="2173">
        <v>350</v>
      </c>
      <c r="R102" s="2157">
        <f t="shared" si="67"/>
        <v>91</v>
      </c>
      <c r="S102" s="2171">
        <v>20</v>
      </c>
      <c r="T102" s="2155">
        <f t="shared" si="68"/>
        <v>66.666666666666657</v>
      </c>
      <c r="U102" s="2177">
        <f t="shared" si="69"/>
        <v>90.049401138618819</v>
      </c>
      <c r="V102" s="2178"/>
    </row>
    <row r="103" spans="2:22" ht="12.95" customHeight="1" outlineLevel="1" thickBot="1">
      <c r="B103" s="2162" t="s">
        <v>644</v>
      </c>
      <c r="C103" s="2163">
        <v>8</v>
      </c>
      <c r="D103" s="2189">
        <f t="shared" si="60"/>
        <v>133.33333333333331</v>
      </c>
      <c r="E103" s="2165">
        <v>10</v>
      </c>
      <c r="F103" s="2190">
        <f t="shared" si="61"/>
        <v>111.11111111111111</v>
      </c>
      <c r="G103" s="2163">
        <v>12</v>
      </c>
      <c r="H103" s="2189">
        <f t="shared" si="62"/>
        <v>114.28571428571428</v>
      </c>
      <c r="I103" s="2165">
        <v>10</v>
      </c>
      <c r="J103" s="2199">
        <f t="shared" si="63"/>
        <v>108.69565217391306</v>
      </c>
      <c r="K103" s="2163">
        <v>15</v>
      </c>
      <c r="L103" s="2189">
        <f t="shared" si="64"/>
        <v>49.180327868852459</v>
      </c>
      <c r="M103" s="2165">
        <v>9</v>
      </c>
      <c r="N103" s="2190">
        <f t="shared" si="65"/>
        <v>155.17241379310346</v>
      </c>
      <c r="O103" s="2163">
        <v>4</v>
      </c>
      <c r="P103" s="2189">
        <f t="shared" si="66"/>
        <v>95.238095238095227</v>
      </c>
      <c r="Q103" s="2165">
        <v>400</v>
      </c>
      <c r="R103" s="2190">
        <f t="shared" si="67"/>
        <v>79.625</v>
      </c>
      <c r="S103" s="2163">
        <v>60</v>
      </c>
      <c r="T103" s="2189">
        <f t="shared" si="68"/>
        <v>200</v>
      </c>
      <c r="U103" s="2169">
        <f t="shared" si="69"/>
        <v>116.29351642268031</v>
      </c>
      <c r="V103" s="2178"/>
    </row>
    <row r="104" spans="2:22" ht="12.95" customHeight="1" thickBot="1">
      <c r="B104" s="2268" t="s">
        <v>7294</v>
      </c>
      <c r="C104" s="2185">
        <f>AVERAGE(C94:C103)</f>
        <v>6</v>
      </c>
      <c r="D104" s="2183"/>
      <c r="E104" s="2182">
        <f>AVERAGE(E94:E103)</f>
        <v>9</v>
      </c>
      <c r="F104" s="2184"/>
      <c r="G104" s="2185">
        <f>AVERAGE(G94:G103)</f>
        <v>10.5</v>
      </c>
      <c r="H104" s="2183"/>
      <c r="I104" s="2182">
        <f>AVERAGE(I94:I103)</f>
        <v>9.1999999999999993</v>
      </c>
      <c r="J104" s="2184"/>
      <c r="K104" s="2185">
        <f>AVERAGE(K94:K103)</f>
        <v>30.5</v>
      </c>
      <c r="L104" s="2183"/>
      <c r="M104" s="2182">
        <f>AVERAGE(M94:M103)</f>
        <v>5.8</v>
      </c>
      <c r="N104" s="2184"/>
      <c r="O104" s="2185">
        <f>AVERAGE(O94:O103)</f>
        <v>4.2</v>
      </c>
      <c r="P104" s="2183"/>
      <c r="Q104" s="2182">
        <f>AVERAGE(Q94:Q103)</f>
        <v>318.5</v>
      </c>
      <c r="R104" s="2184"/>
      <c r="S104" s="2185">
        <f>AVERAGE(S94:S103)</f>
        <v>30</v>
      </c>
      <c r="T104" s="2183"/>
      <c r="U104" s="2192">
        <f>AVERAGE(U94:U103)</f>
        <v>100.23774691358025</v>
      </c>
      <c r="V104" s="2178"/>
    </row>
    <row r="105" spans="2:22" ht="12.95" customHeight="1">
      <c r="V105" s="2178"/>
    </row>
    <row r="106" spans="2:22" ht="12.95" customHeight="1" thickBot="1">
      <c r="B106" s="4280" t="s">
        <v>7301</v>
      </c>
      <c r="C106" s="4280"/>
      <c r="D106" s="4280"/>
      <c r="E106" s="4280"/>
      <c r="F106" s="4280"/>
      <c r="G106" s="4280"/>
      <c r="H106" s="4280"/>
      <c r="I106" s="4280"/>
      <c r="J106" s="4280"/>
      <c r="K106" s="4280"/>
      <c r="L106" s="4280"/>
      <c r="M106" s="4280"/>
      <c r="N106" s="4280"/>
      <c r="O106" s="4280"/>
      <c r="P106" s="4280"/>
      <c r="Q106" s="4280"/>
      <c r="R106" s="4280"/>
      <c r="S106" s="4280"/>
      <c r="T106" s="4280"/>
      <c r="U106" s="4280"/>
      <c r="V106" s="2178"/>
    </row>
    <row r="107" spans="2:22" s="2150" customFormat="1" ht="12.95" customHeight="1" outlineLevel="1" thickBot="1">
      <c r="B107" s="2266" t="s">
        <v>3476</v>
      </c>
      <c r="C107" s="2151" t="s">
        <v>7290</v>
      </c>
      <c r="D107" s="1898" t="s">
        <v>7291</v>
      </c>
      <c r="E107" s="2152" t="s">
        <v>7292</v>
      </c>
      <c r="F107" s="1899" t="s">
        <v>7291</v>
      </c>
      <c r="G107" s="2151" t="s">
        <v>119</v>
      </c>
      <c r="H107" s="1898" t="s">
        <v>7291</v>
      </c>
      <c r="I107" s="2152" t="s">
        <v>120</v>
      </c>
      <c r="J107" s="1899" t="s">
        <v>7291</v>
      </c>
      <c r="K107" s="2151" t="s">
        <v>1926</v>
      </c>
      <c r="L107" s="1898" t="s">
        <v>7291</v>
      </c>
      <c r="M107" s="2152" t="s">
        <v>1648</v>
      </c>
      <c r="N107" s="1899" t="s">
        <v>7291</v>
      </c>
      <c r="O107" s="2151" t="s">
        <v>4</v>
      </c>
      <c r="P107" s="1898" t="s">
        <v>7291</v>
      </c>
      <c r="Q107" s="2152" t="s">
        <v>1570</v>
      </c>
      <c r="R107" s="1899" t="s">
        <v>7291</v>
      </c>
      <c r="S107" s="2151" t="s">
        <v>3486</v>
      </c>
      <c r="T107" s="1898" t="s">
        <v>7291</v>
      </c>
      <c r="U107" s="163" t="s">
        <v>7293</v>
      </c>
      <c r="V107" s="2188"/>
    </row>
    <row r="108" spans="2:22" ht="12.95" customHeight="1" outlineLevel="1">
      <c r="B108" s="2196" t="s">
        <v>1645</v>
      </c>
      <c r="C108" s="2154">
        <v>7</v>
      </c>
      <c r="D108" s="2155">
        <f t="shared" ref="D108:D116" si="70">C108/C$117*100</f>
        <v>118.86792452830188</v>
      </c>
      <c r="E108" s="2158">
        <v>10</v>
      </c>
      <c r="F108" s="2157">
        <f t="shared" ref="F108:F116" si="71">E108/E$117*100</f>
        <v>111.11111111111111</v>
      </c>
      <c r="G108" s="2159">
        <v>12</v>
      </c>
      <c r="H108" s="2155">
        <f t="shared" ref="H108:H116" si="72">G108/G$117*100</f>
        <v>108</v>
      </c>
      <c r="I108" s="2158">
        <v>12</v>
      </c>
      <c r="J108" s="2157">
        <f t="shared" ref="J108:J116" si="73">I108/I$117*100</f>
        <v>122.72727272727271</v>
      </c>
      <c r="K108" s="2159">
        <v>35</v>
      </c>
      <c r="L108" s="2155">
        <f t="shared" ref="L108:L116" si="74">K108/K$117*100</f>
        <v>92.647058823529406</v>
      </c>
      <c r="M108" s="2158">
        <v>6</v>
      </c>
      <c r="N108" s="2157">
        <f t="shared" ref="N108:N116" si="75">M108/M$117*100</f>
        <v>81.818181818181827</v>
      </c>
      <c r="O108" s="2159">
        <v>4</v>
      </c>
      <c r="P108" s="2155">
        <f t="shared" ref="P108:P116" si="76">O108/O$117*100</f>
        <v>94.73684210526315</v>
      </c>
      <c r="Q108" s="2158">
        <v>400</v>
      </c>
      <c r="R108" s="2157">
        <f t="shared" ref="R108:R116" si="77">100/Q108*Q$117</f>
        <v>95.138888888888886</v>
      </c>
      <c r="S108" s="2159">
        <v>50</v>
      </c>
      <c r="T108" s="2155">
        <f t="shared" ref="T108:T116" si="78">S108/S$117*100</f>
        <v>134.32835820895522</v>
      </c>
      <c r="U108" s="2160">
        <f>AVERAGE(D108,F108,H108,J108,L108,N108,P108,R108,T108)</f>
        <v>106.59729313461158</v>
      </c>
      <c r="V108" s="2161">
        <f>LARGE(U108:U116,1)</f>
        <v>106.59729313461158</v>
      </c>
    </row>
    <row r="109" spans="2:22" ht="12.95" customHeight="1" outlineLevel="1">
      <c r="B109" s="2180" t="s">
        <v>900</v>
      </c>
      <c r="C109" s="2163">
        <v>5</v>
      </c>
      <c r="D109" s="2189">
        <f t="shared" si="70"/>
        <v>84.905660377358487</v>
      </c>
      <c r="E109" s="2167">
        <v>9</v>
      </c>
      <c r="F109" s="2190">
        <f t="shared" si="71"/>
        <v>100</v>
      </c>
      <c r="G109" s="2168">
        <v>9</v>
      </c>
      <c r="H109" s="2189">
        <f t="shared" si="72"/>
        <v>81</v>
      </c>
      <c r="I109" s="2167">
        <v>10</v>
      </c>
      <c r="J109" s="2190">
        <f t="shared" si="73"/>
        <v>102.27272727272727</v>
      </c>
      <c r="K109" s="2168">
        <v>30</v>
      </c>
      <c r="L109" s="2189">
        <f t="shared" si="74"/>
        <v>79.411764705882348</v>
      </c>
      <c r="M109" s="2167">
        <v>12</v>
      </c>
      <c r="N109" s="2190">
        <f t="shared" si="75"/>
        <v>163.63636363636365</v>
      </c>
      <c r="O109" s="2168">
        <v>5</v>
      </c>
      <c r="P109" s="2189">
        <f t="shared" si="76"/>
        <v>118.42105263157893</v>
      </c>
      <c r="Q109" s="2167">
        <v>275</v>
      </c>
      <c r="R109" s="2190">
        <f t="shared" si="77"/>
        <v>138.38383838383839</v>
      </c>
      <c r="S109" s="2168">
        <v>25</v>
      </c>
      <c r="T109" s="2189">
        <f t="shared" si="78"/>
        <v>67.164179104477611</v>
      </c>
      <c r="U109" s="2169">
        <f t="shared" ref="U109:U116" si="79">AVERAGE(D109,F109,H109,J109,L109,N109,P109,R109,T109)</f>
        <v>103.9106206791363</v>
      </c>
      <c r="V109" s="2161">
        <f>SMALL(U108:U116,1)</f>
        <v>91.14492234966832</v>
      </c>
    </row>
    <row r="110" spans="2:22" ht="12.95" customHeight="1" outlineLevel="1">
      <c r="B110" s="2170" t="s">
        <v>3451</v>
      </c>
      <c r="C110" s="2171">
        <v>7</v>
      </c>
      <c r="D110" s="2155">
        <f t="shared" si="70"/>
        <v>118.86792452830188</v>
      </c>
      <c r="E110" s="2175">
        <v>9</v>
      </c>
      <c r="F110" s="2157">
        <f t="shared" si="71"/>
        <v>100</v>
      </c>
      <c r="G110" s="2176">
        <v>12</v>
      </c>
      <c r="H110" s="2155">
        <f t="shared" si="72"/>
        <v>108</v>
      </c>
      <c r="I110" s="2175">
        <v>9</v>
      </c>
      <c r="J110" s="2157">
        <f t="shared" si="73"/>
        <v>92.045454545454547</v>
      </c>
      <c r="K110" s="2176">
        <v>30</v>
      </c>
      <c r="L110" s="2155">
        <f t="shared" si="74"/>
        <v>79.411764705882348</v>
      </c>
      <c r="M110" s="2175">
        <v>7</v>
      </c>
      <c r="N110" s="2157">
        <f t="shared" si="75"/>
        <v>95.454545454545453</v>
      </c>
      <c r="O110" s="2176">
        <v>4</v>
      </c>
      <c r="P110" s="2155">
        <f t="shared" si="76"/>
        <v>94.73684210526315</v>
      </c>
      <c r="Q110" s="2175">
        <v>450</v>
      </c>
      <c r="R110" s="2157">
        <f t="shared" si="77"/>
        <v>84.567901234567898</v>
      </c>
      <c r="S110" s="2176">
        <v>55</v>
      </c>
      <c r="T110" s="2155">
        <f t="shared" si="78"/>
        <v>147.76119402985074</v>
      </c>
      <c r="U110" s="2177">
        <f t="shared" si="79"/>
        <v>102.31618073376291</v>
      </c>
      <c r="V110" s="2178"/>
    </row>
    <row r="111" spans="2:22" ht="12.95" customHeight="1" outlineLevel="1">
      <c r="B111" s="2180" t="s">
        <v>3455</v>
      </c>
      <c r="C111" s="2163">
        <v>5</v>
      </c>
      <c r="D111" s="2189">
        <f t="shared" si="70"/>
        <v>84.905660377358487</v>
      </c>
      <c r="E111" s="2167">
        <v>8</v>
      </c>
      <c r="F111" s="2190">
        <f t="shared" si="71"/>
        <v>88.888888888888886</v>
      </c>
      <c r="G111" s="2168">
        <v>10</v>
      </c>
      <c r="H111" s="2189">
        <f t="shared" si="72"/>
        <v>90</v>
      </c>
      <c r="I111" s="2167">
        <v>10</v>
      </c>
      <c r="J111" s="2190">
        <f t="shared" si="73"/>
        <v>102.27272727272727</v>
      </c>
      <c r="K111" s="2168">
        <v>40</v>
      </c>
      <c r="L111" s="2189">
        <f t="shared" si="74"/>
        <v>105.88235294117648</v>
      </c>
      <c r="M111" s="2167">
        <v>9</v>
      </c>
      <c r="N111" s="2190">
        <f t="shared" si="75"/>
        <v>122.72727272727273</v>
      </c>
      <c r="O111" s="2168">
        <v>4</v>
      </c>
      <c r="P111" s="2189">
        <f t="shared" si="76"/>
        <v>94.73684210526315</v>
      </c>
      <c r="Q111" s="2167">
        <v>500</v>
      </c>
      <c r="R111" s="2190">
        <f t="shared" si="77"/>
        <v>76.111111111111114</v>
      </c>
      <c r="S111" s="2168">
        <v>65</v>
      </c>
      <c r="T111" s="2189">
        <f t="shared" si="78"/>
        <v>174.62686567164178</v>
      </c>
      <c r="U111" s="2169">
        <f t="shared" si="79"/>
        <v>104.46130234393776</v>
      </c>
      <c r="V111" s="2178"/>
    </row>
    <row r="112" spans="2:22" ht="12.95" customHeight="1" outlineLevel="1">
      <c r="B112" s="2170" t="s">
        <v>1519</v>
      </c>
      <c r="C112" s="2171">
        <v>7</v>
      </c>
      <c r="D112" s="2155">
        <f t="shared" si="70"/>
        <v>118.86792452830188</v>
      </c>
      <c r="E112" s="2175">
        <v>9</v>
      </c>
      <c r="F112" s="2157">
        <f t="shared" si="71"/>
        <v>100</v>
      </c>
      <c r="G112" s="2176">
        <v>10</v>
      </c>
      <c r="H112" s="2155">
        <f t="shared" si="72"/>
        <v>90</v>
      </c>
      <c r="I112" s="2175">
        <v>10</v>
      </c>
      <c r="J112" s="2157">
        <f t="shared" si="73"/>
        <v>102.27272727272727</v>
      </c>
      <c r="K112" s="2176">
        <v>40</v>
      </c>
      <c r="L112" s="2155">
        <f t="shared" si="74"/>
        <v>105.88235294117648</v>
      </c>
      <c r="M112" s="2175">
        <v>6</v>
      </c>
      <c r="N112" s="2157">
        <f t="shared" si="75"/>
        <v>81.818181818181827</v>
      </c>
      <c r="O112" s="2176">
        <v>4</v>
      </c>
      <c r="P112" s="2155">
        <f t="shared" si="76"/>
        <v>94.73684210526315</v>
      </c>
      <c r="Q112" s="2175">
        <v>270</v>
      </c>
      <c r="R112" s="2157">
        <f t="shared" si="77"/>
        <v>140.94650205761315</v>
      </c>
      <c r="S112" s="2176">
        <v>10</v>
      </c>
      <c r="T112" s="2155">
        <f t="shared" si="78"/>
        <v>26.865671641791046</v>
      </c>
      <c r="U112" s="2177">
        <f t="shared" si="79"/>
        <v>95.710022485006093</v>
      </c>
      <c r="V112" s="2178"/>
    </row>
    <row r="113" spans="2:22" ht="12.95" customHeight="1" outlineLevel="1">
      <c r="B113" s="2180" t="s">
        <v>3460</v>
      </c>
      <c r="C113" s="2163">
        <v>6</v>
      </c>
      <c r="D113" s="2189">
        <f t="shared" si="70"/>
        <v>101.88679245283019</v>
      </c>
      <c r="E113" s="2167">
        <v>8</v>
      </c>
      <c r="F113" s="2190">
        <f t="shared" si="71"/>
        <v>88.888888888888886</v>
      </c>
      <c r="G113" s="2168">
        <v>10</v>
      </c>
      <c r="H113" s="2189">
        <f t="shared" si="72"/>
        <v>90</v>
      </c>
      <c r="I113" s="2167">
        <v>10</v>
      </c>
      <c r="J113" s="2190">
        <f t="shared" si="73"/>
        <v>102.27272727272727</v>
      </c>
      <c r="K113" s="2168">
        <v>30</v>
      </c>
      <c r="L113" s="2189">
        <f t="shared" si="74"/>
        <v>79.411764705882348</v>
      </c>
      <c r="M113" s="2167">
        <v>6</v>
      </c>
      <c r="N113" s="2190">
        <f t="shared" si="75"/>
        <v>81.818181818181827</v>
      </c>
      <c r="O113" s="2168">
        <v>4</v>
      </c>
      <c r="P113" s="2189">
        <f t="shared" si="76"/>
        <v>94.73684210526315</v>
      </c>
      <c r="Q113" s="2167">
        <v>330</v>
      </c>
      <c r="R113" s="2190">
        <f t="shared" si="77"/>
        <v>115.31986531986531</v>
      </c>
      <c r="S113" s="2168">
        <v>45</v>
      </c>
      <c r="T113" s="2189">
        <f t="shared" si="78"/>
        <v>120.89552238805969</v>
      </c>
      <c r="U113" s="2169">
        <f t="shared" si="79"/>
        <v>97.247842772410962</v>
      </c>
      <c r="V113" s="2178"/>
    </row>
    <row r="114" spans="2:22" ht="12.95" customHeight="1" outlineLevel="1">
      <c r="B114" s="2170" t="s">
        <v>3470</v>
      </c>
      <c r="C114" s="2171">
        <v>6</v>
      </c>
      <c r="D114" s="2155">
        <f t="shared" si="70"/>
        <v>101.88679245283019</v>
      </c>
      <c r="E114" s="2175">
        <v>12</v>
      </c>
      <c r="F114" s="2157">
        <f t="shared" si="71"/>
        <v>133.33333333333331</v>
      </c>
      <c r="G114" s="2176">
        <v>13</v>
      </c>
      <c r="H114" s="2155">
        <f t="shared" si="72"/>
        <v>117.00000000000001</v>
      </c>
      <c r="I114" s="2175">
        <v>7</v>
      </c>
      <c r="J114" s="2157">
        <f t="shared" si="73"/>
        <v>71.590909090909079</v>
      </c>
      <c r="K114" s="2176">
        <v>60</v>
      </c>
      <c r="L114" s="2155">
        <f t="shared" si="74"/>
        <v>158.8235294117647</v>
      </c>
      <c r="M114" s="2175">
        <v>5</v>
      </c>
      <c r="N114" s="2157">
        <f t="shared" si="75"/>
        <v>68.181818181818187</v>
      </c>
      <c r="O114" s="2176">
        <v>4</v>
      </c>
      <c r="P114" s="2155">
        <f t="shared" si="76"/>
        <v>94.73684210526315</v>
      </c>
      <c r="Q114" s="2175">
        <v>400</v>
      </c>
      <c r="R114" s="2157">
        <f t="shared" si="77"/>
        <v>95.138888888888886</v>
      </c>
      <c r="S114" s="2176">
        <v>15</v>
      </c>
      <c r="T114" s="2155">
        <f t="shared" si="78"/>
        <v>40.298507462686565</v>
      </c>
      <c r="U114" s="2177">
        <f t="shared" si="79"/>
        <v>97.887846769721563</v>
      </c>
      <c r="V114" s="2178"/>
    </row>
    <row r="115" spans="2:22" ht="12.95" customHeight="1" outlineLevel="1">
      <c r="B115" s="2180" t="s">
        <v>2545</v>
      </c>
      <c r="C115" s="2163">
        <v>6</v>
      </c>
      <c r="D115" s="2189">
        <f t="shared" si="70"/>
        <v>101.88679245283019</v>
      </c>
      <c r="E115" s="2167">
        <v>10</v>
      </c>
      <c r="F115" s="2190">
        <f t="shared" si="71"/>
        <v>111.11111111111111</v>
      </c>
      <c r="G115" s="2168">
        <v>12</v>
      </c>
      <c r="H115" s="2189">
        <f t="shared" si="72"/>
        <v>108</v>
      </c>
      <c r="I115" s="2167">
        <v>12</v>
      </c>
      <c r="J115" s="2190">
        <f t="shared" si="73"/>
        <v>122.72727272727271</v>
      </c>
      <c r="K115" s="2168">
        <v>40</v>
      </c>
      <c r="L115" s="2189">
        <f t="shared" si="74"/>
        <v>105.88235294117648</v>
      </c>
      <c r="M115" s="2167">
        <v>7</v>
      </c>
      <c r="N115" s="2190">
        <f t="shared" si="75"/>
        <v>95.454545454545453</v>
      </c>
      <c r="O115" s="2168">
        <v>4</v>
      </c>
      <c r="P115" s="2189">
        <f t="shared" si="76"/>
        <v>94.73684210526315</v>
      </c>
      <c r="Q115" s="2167">
        <v>400</v>
      </c>
      <c r="R115" s="2190">
        <f t="shared" si="77"/>
        <v>95.138888888888886</v>
      </c>
      <c r="S115" s="2168">
        <v>40</v>
      </c>
      <c r="T115" s="2189">
        <f t="shared" si="78"/>
        <v>107.46268656716418</v>
      </c>
      <c r="U115" s="2169">
        <f t="shared" si="79"/>
        <v>104.71116580536135</v>
      </c>
      <c r="V115" s="2178"/>
    </row>
    <row r="116" spans="2:22" ht="12.95" customHeight="1" outlineLevel="1" thickBot="1">
      <c r="B116" s="2179" t="s">
        <v>2666</v>
      </c>
      <c r="C116" s="2171">
        <v>4</v>
      </c>
      <c r="D116" s="2155">
        <f t="shared" si="70"/>
        <v>67.924528301886795</v>
      </c>
      <c r="E116" s="2175">
        <v>6</v>
      </c>
      <c r="F116" s="2157">
        <f t="shared" si="71"/>
        <v>66.666666666666657</v>
      </c>
      <c r="G116" s="2176">
        <v>12</v>
      </c>
      <c r="H116" s="2155">
        <f t="shared" si="72"/>
        <v>108</v>
      </c>
      <c r="I116" s="2175">
        <v>8</v>
      </c>
      <c r="J116" s="2157">
        <f t="shared" si="73"/>
        <v>81.818181818181813</v>
      </c>
      <c r="K116" s="2176">
        <v>35</v>
      </c>
      <c r="L116" s="2155">
        <f t="shared" si="74"/>
        <v>92.647058823529406</v>
      </c>
      <c r="M116" s="2175">
        <v>8</v>
      </c>
      <c r="N116" s="2157">
        <f t="shared" si="75"/>
        <v>109.09090909090911</v>
      </c>
      <c r="O116" s="2176">
        <v>5</v>
      </c>
      <c r="P116" s="2155">
        <f t="shared" si="76"/>
        <v>118.42105263157893</v>
      </c>
      <c r="Q116" s="2175">
        <v>400</v>
      </c>
      <c r="R116" s="2157">
        <f t="shared" si="77"/>
        <v>95.138888888888886</v>
      </c>
      <c r="S116" s="2176">
        <v>30</v>
      </c>
      <c r="T116" s="2155">
        <f t="shared" si="78"/>
        <v>80.597014925373131</v>
      </c>
      <c r="U116" s="2177">
        <f t="shared" si="79"/>
        <v>91.14492234966832</v>
      </c>
      <c r="V116" s="2178"/>
    </row>
    <row r="117" spans="2:22" ht="12.95" customHeight="1" thickBot="1">
      <c r="B117" s="2268" t="s">
        <v>7294</v>
      </c>
      <c r="C117" s="2185">
        <f>AVERAGE(C108:C116)</f>
        <v>5.8888888888888893</v>
      </c>
      <c r="D117" s="2183"/>
      <c r="E117" s="2182">
        <f>AVERAGE(E108:E116)</f>
        <v>9</v>
      </c>
      <c r="F117" s="2184"/>
      <c r="G117" s="2185">
        <f>AVERAGE(G108:G116)</f>
        <v>11.111111111111111</v>
      </c>
      <c r="H117" s="2183"/>
      <c r="I117" s="2182">
        <f>AVERAGE(I108:I116)</f>
        <v>9.7777777777777786</v>
      </c>
      <c r="J117" s="2184"/>
      <c r="K117" s="2185">
        <f>AVERAGE(K108:K116)</f>
        <v>37.777777777777779</v>
      </c>
      <c r="L117" s="2183"/>
      <c r="M117" s="2182">
        <f>AVERAGE(M108:M116)</f>
        <v>7.333333333333333</v>
      </c>
      <c r="N117" s="2184"/>
      <c r="O117" s="2185">
        <f>AVERAGE(O108:O116)</f>
        <v>4.2222222222222223</v>
      </c>
      <c r="P117" s="2183"/>
      <c r="Q117" s="2182">
        <f>AVERAGE(Q108:Q116)</f>
        <v>380.55555555555554</v>
      </c>
      <c r="R117" s="2184"/>
      <c r="S117" s="2185">
        <f>AVERAGE(S108:S116)</f>
        <v>37.222222222222221</v>
      </c>
      <c r="T117" s="2183"/>
      <c r="U117" s="2192">
        <f>AVERAGE(U108:U116)</f>
        <v>100.44302189706855</v>
      </c>
      <c r="V117" s="2178"/>
    </row>
    <row r="118" spans="2:22" ht="12.95" customHeight="1">
      <c r="V118" s="2178"/>
    </row>
    <row r="119" spans="2:22" ht="12.95" customHeight="1" thickBot="1">
      <c r="B119" s="4280" t="s">
        <v>7302</v>
      </c>
      <c r="C119" s="4280"/>
      <c r="D119" s="4280"/>
      <c r="E119" s="4280"/>
      <c r="F119" s="4280"/>
      <c r="G119" s="4280"/>
      <c r="H119" s="4280"/>
      <c r="I119" s="4280"/>
      <c r="J119" s="4280"/>
      <c r="K119" s="4280"/>
      <c r="L119" s="4280"/>
      <c r="M119" s="4280"/>
      <c r="N119" s="4280"/>
      <c r="O119" s="4280"/>
      <c r="P119" s="4280"/>
      <c r="Q119" s="4280"/>
      <c r="R119" s="4280"/>
      <c r="S119" s="4280"/>
      <c r="T119" s="4280"/>
      <c r="U119" s="4280"/>
      <c r="V119" s="2178"/>
    </row>
    <row r="120" spans="2:22" s="2150" customFormat="1" ht="12.95" customHeight="1" outlineLevel="1" thickBot="1">
      <c r="B120" s="2266" t="s">
        <v>3476</v>
      </c>
      <c r="C120" s="2151" t="s">
        <v>7290</v>
      </c>
      <c r="D120" s="1898" t="s">
        <v>7291</v>
      </c>
      <c r="E120" s="2152" t="s">
        <v>7292</v>
      </c>
      <c r="F120" s="1899" t="s">
        <v>7291</v>
      </c>
      <c r="G120" s="2151" t="s">
        <v>119</v>
      </c>
      <c r="H120" s="1898" t="s">
        <v>7291</v>
      </c>
      <c r="I120" s="2152" t="s">
        <v>120</v>
      </c>
      <c r="J120" s="1899" t="s">
        <v>7291</v>
      </c>
      <c r="K120" s="2151" t="s">
        <v>1926</v>
      </c>
      <c r="L120" s="1898" t="s">
        <v>7291</v>
      </c>
      <c r="M120" s="2152" t="s">
        <v>1648</v>
      </c>
      <c r="N120" s="1899" t="s">
        <v>7291</v>
      </c>
      <c r="O120" s="2151" t="s">
        <v>4</v>
      </c>
      <c r="P120" s="1898" t="s">
        <v>7291</v>
      </c>
      <c r="Q120" s="2152" t="s">
        <v>1570</v>
      </c>
      <c r="R120" s="1899" t="s">
        <v>7291</v>
      </c>
      <c r="S120" s="2151" t="s">
        <v>3486</v>
      </c>
      <c r="T120" s="1898" t="s">
        <v>7291</v>
      </c>
      <c r="U120" s="163" t="s">
        <v>7293</v>
      </c>
      <c r="V120" s="2188"/>
    </row>
    <row r="121" spans="2:22" ht="12.95" customHeight="1" outlineLevel="1">
      <c r="B121" s="2153" t="s">
        <v>1948</v>
      </c>
      <c r="C121" s="2154">
        <v>10</v>
      </c>
      <c r="D121" s="2155">
        <f t="shared" ref="D121:D131" si="80">C121/C$132*100</f>
        <v>96.491228070175438</v>
      </c>
      <c r="E121" s="2156">
        <v>12</v>
      </c>
      <c r="F121" s="2157">
        <f t="shared" ref="F121:F131" si="81">E121/E$132*100</f>
        <v>84.615384615384613</v>
      </c>
      <c r="G121" s="2154">
        <v>12</v>
      </c>
      <c r="H121" s="2155">
        <f t="shared" ref="H121:H131" si="82">G121/G$132*100</f>
        <v>100.76335877862597</v>
      </c>
      <c r="I121" s="2158">
        <v>7</v>
      </c>
      <c r="J121" s="2157">
        <f t="shared" ref="J121:J131" si="83">I121/I$132*100</f>
        <v>64.166666666666671</v>
      </c>
      <c r="K121" s="2159">
        <v>30</v>
      </c>
      <c r="L121" s="2155">
        <f t="shared" ref="L121:L131" si="84">K121/K$132*100</f>
        <v>64.705882352941174</v>
      </c>
      <c r="M121" s="2158">
        <v>5</v>
      </c>
      <c r="N121" s="2157">
        <f t="shared" ref="N121:N131" si="85">M121/M$132*100</f>
        <v>90.163934426229503</v>
      </c>
      <c r="O121" s="2159">
        <v>3</v>
      </c>
      <c r="P121" s="2155">
        <f t="shared" ref="P121:P131" si="86">O121/O$132*100</f>
        <v>97.058823529411768</v>
      </c>
      <c r="Q121" s="2158">
        <v>400</v>
      </c>
      <c r="R121" s="2157">
        <f t="shared" ref="R121:R131" si="87">100/Q121*Q$132</f>
        <v>122.15909090909091</v>
      </c>
      <c r="S121" s="2159">
        <v>40</v>
      </c>
      <c r="T121" s="2155">
        <f t="shared" ref="T121:T131" si="88">S121/S$132*100</f>
        <v>128.27988338192421</v>
      </c>
      <c r="U121" s="2160">
        <f>AVERAGE(D121,F121,H121,J121,L121,N121,P121,R121,T121)</f>
        <v>94.267139192272253</v>
      </c>
      <c r="V121" s="2161">
        <f>LARGE(U121:U131,1)</f>
        <v>110.15647044197262</v>
      </c>
    </row>
    <row r="122" spans="2:22" ht="12.95" customHeight="1" outlineLevel="1">
      <c r="B122" s="2180" t="s">
        <v>6819</v>
      </c>
      <c r="C122" s="2163">
        <v>10</v>
      </c>
      <c r="D122" s="2189">
        <f t="shared" si="80"/>
        <v>96.491228070175438</v>
      </c>
      <c r="E122" s="2165">
        <v>14</v>
      </c>
      <c r="F122" s="2190">
        <f t="shared" si="81"/>
        <v>98.71794871794873</v>
      </c>
      <c r="G122" s="2163">
        <v>9</v>
      </c>
      <c r="H122" s="2189">
        <f t="shared" si="82"/>
        <v>75.572519083969468</v>
      </c>
      <c r="I122" s="2167">
        <v>12</v>
      </c>
      <c r="J122" s="2190">
        <f t="shared" si="83"/>
        <v>110.00000000000001</v>
      </c>
      <c r="K122" s="2168">
        <v>55</v>
      </c>
      <c r="L122" s="2189">
        <f t="shared" si="84"/>
        <v>118.62745098039215</v>
      </c>
      <c r="M122" s="2167">
        <v>3</v>
      </c>
      <c r="N122" s="2190">
        <f t="shared" si="85"/>
        <v>54.0983606557377</v>
      </c>
      <c r="O122" s="2168">
        <v>3</v>
      </c>
      <c r="P122" s="2189">
        <f t="shared" si="86"/>
        <v>97.058823529411768</v>
      </c>
      <c r="Q122" s="2167">
        <v>350</v>
      </c>
      <c r="R122" s="2190">
        <f t="shared" si="87"/>
        <v>139.6103896103896</v>
      </c>
      <c r="S122" s="2168">
        <v>35</v>
      </c>
      <c r="T122" s="2189">
        <f t="shared" si="88"/>
        <v>112.24489795918366</v>
      </c>
      <c r="U122" s="2169">
        <f t="shared" ref="U122:U131" si="89">AVERAGE(D122,F122,H122,J122,L122,N122,P122,R122,T122)</f>
        <v>100.26906873413428</v>
      </c>
      <c r="V122" s="2161">
        <f>SMALL(U121:U131,1)</f>
        <v>82.751037178298759</v>
      </c>
    </row>
    <row r="123" spans="2:22" ht="12.95" customHeight="1" outlineLevel="1">
      <c r="B123" s="2170" t="s">
        <v>3062</v>
      </c>
      <c r="C123" s="2171">
        <v>13</v>
      </c>
      <c r="D123" s="2155">
        <f t="shared" si="80"/>
        <v>125.43859649122808</v>
      </c>
      <c r="E123" s="2173">
        <v>16</v>
      </c>
      <c r="F123" s="2157">
        <f t="shared" si="81"/>
        <v>112.82051282051282</v>
      </c>
      <c r="G123" s="2171">
        <v>12</v>
      </c>
      <c r="H123" s="2155">
        <f t="shared" si="82"/>
        <v>100.76335877862597</v>
      </c>
      <c r="I123" s="2175">
        <v>12</v>
      </c>
      <c r="J123" s="2157">
        <f t="shared" si="83"/>
        <v>110.00000000000001</v>
      </c>
      <c r="K123" s="2176">
        <v>40</v>
      </c>
      <c r="L123" s="2155">
        <f t="shared" si="84"/>
        <v>86.274509803921561</v>
      </c>
      <c r="M123" s="2175">
        <v>7</v>
      </c>
      <c r="N123" s="2157">
        <f t="shared" si="85"/>
        <v>126.2295081967213</v>
      </c>
      <c r="O123" s="2176">
        <v>3</v>
      </c>
      <c r="P123" s="2155">
        <f t="shared" si="86"/>
        <v>97.058823529411768</v>
      </c>
      <c r="Q123" s="2175">
        <v>550</v>
      </c>
      <c r="R123" s="2157">
        <f t="shared" si="87"/>
        <v>88.84297520661157</v>
      </c>
      <c r="S123" s="2176">
        <v>25</v>
      </c>
      <c r="T123" s="2155">
        <f t="shared" si="88"/>
        <v>80.174927113702623</v>
      </c>
      <c r="U123" s="2177">
        <f t="shared" si="89"/>
        <v>103.06702354897065</v>
      </c>
      <c r="V123" s="2178"/>
    </row>
    <row r="124" spans="2:22" ht="12.95" customHeight="1" outlineLevel="1">
      <c r="B124" s="2180" t="s">
        <v>642</v>
      </c>
      <c r="C124" s="2163">
        <v>11</v>
      </c>
      <c r="D124" s="2189">
        <f t="shared" si="80"/>
        <v>106.14035087719299</v>
      </c>
      <c r="E124" s="2165">
        <v>13</v>
      </c>
      <c r="F124" s="2190">
        <f t="shared" si="81"/>
        <v>91.666666666666657</v>
      </c>
      <c r="G124" s="2163">
        <v>13</v>
      </c>
      <c r="H124" s="2189">
        <f t="shared" si="82"/>
        <v>109.16030534351147</v>
      </c>
      <c r="I124" s="2167">
        <v>10</v>
      </c>
      <c r="J124" s="2190">
        <f t="shared" si="83"/>
        <v>91.666666666666671</v>
      </c>
      <c r="K124" s="2168">
        <v>30</v>
      </c>
      <c r="L124" s="2189">
        <f t="shared" si="84"/>
        <v>64.705882352941174</v>
      </c>
      <c r="M124" s="2167">
        <v>6</v>
      </c>
      <c r="N124" s="2190">
        <f t="shared" si="85"/>
        <v>108.1967213114754</v>
      </c>
      <c r="O124" s="2168">
        <v>3</v>
      </c>
      <c r="P124" s="2189">
        <f t="shared" si="86"/>
        <v>97.058823529411768</v>
      </c>
      <c r="Q124" s="2167">
        <v>550</v>
      </c>
      <c r="R124" s="2190">
        <f t="shared" si="87"/>
        <v>88.84297520661157</v>
      </c>
      <c r="S124" s="2168">
        <v>65</v>
      </c>
      <c r="T124" s="2189">
        <f t="shared" si="88"/>
        <v>208.45481049562679</v>
      </c>
      <c r="U124" s="2169">
        <f t="shared" si="89"/>
        <v>107.32146693890049</v>
      </c>
      <c r="V124" s="2178"/>
    </row>
    <row r="125" spans="2:22" ht="12.95" customHeight="1" outlineLevel="1">
      <c r="B125" s="2170" t="s">
        <v>1520</v>
      </c>
      <c r="C125" s="2171">
        <v>13</v>
      </c>
      <c r="D125" s="2155">
        <f t="shared" si="80"/>
        <v>125.43859649122808</v>
      </c>
      <c r="E125" s="2173">
        <v>17</v>
      </c>
      <c r="F125" s="2157">
        <f t="shared" si="81"/>
        <v>119.87179487179486</v>
      </c>
      <c r="G125" s="2171">
        <v>13</v>
      </c>
      <c r="H125" s="2155">
        <f t="shared" si="82"/>
        <v>109.16030534351147</v>
      </c>
      <c r="I125" s="2175">
        <v>13</v>
      </c>
      <c r="J125" s="2157">
        <f t="shared" si="83"/>
        <v>119.16666666666667</v>
      </c>
      <c r="K125" s="2176">
        <v>45</v>
      </c>
      <c r="L125" s="2155">
        <f t="shared" si="84"/>
        <v>97.058823529411754</v>
      </c>
      <c r="M125" s="2175">
        <v>6</v>
      </c>
      <c r="N125" s="2157">
        <f t="shared" si="85"/>
        <v>108.1967213114754</v>
      </c>
      <c r="O125" s="2176">
        <v>3</v>
      </c>
      <c r="P125" s="2155">
        <f t="shared" si="86"/>
        <v>97.058823529411768</v>
      </c>
      <c r="Q125" s="2175">
        <v>500</v>
      </c>
      <c r="R125" s="2157">
        <f t="shared" si="87"/>
        <v>97.727272727272734</v>
      </c>
      <c r="S125" s="2176">
        <v>10</v>
      </c>
      <c r="T125" s="2155">
        <f t="shared" si="88"/>
        <v>32.069970845481052</v>
      </c>
      <c r="U125" s="2177">
        <f t="shared" si="89"/>
        <v>100.6387750351393</v>
      </c>
      <c r="V125" s="2178"/>
    </row>
    <row r="126" spans="2:22" ht="12.95" customHeight="1" outlineLevel="1">
      <c r="B126" s="2162" t="s">
        <v>643</v>
      </c>
      <c r="C126" s="2163">
        <v>12</v>
      </c>
      <c r="D126" s="2189">
        <f t="shared" si="80"/>
        <v>115.78947368421053</v>
      </c>
      <c r="E126" s="2165">
        <v>20</v>
      </c>
      <c r="F126" s="2190">
        <f t="shared" si="81"/>
        <v>141.02564102564102</v>
      </c>
      <c r="G126" s="2163">
        <v>14</v>
      </c>
      <c r="H126" s="2189">
        <f t="shared" si="82"/>
        <v>117.55725190839696</v>
      </c>
      <c r="I126" s="2167">
        <v>12</v>
      </c>
      <c r="J126" s="2190">
        <f t="shared" si="83"/>
        <v>110.00000000000001</v>
      </c>
      <c r="K126" s="2168">
        <v>50</v>
      </c>
      <c r="L126" s="2189">
        <f t="shared" si="84"/>
        <v>107.84313725490196</v>
      </c>
      <c r="M126" s="2167">
        <v>6</v>
      </c>
      <c r="N126" s="2190">
        <f t="shared" si="85"/>
        <v>108.1967213114754</v>
      </c>
      <c r="O126" s="2168">
        <v>3</v>
      </c>
      <c r="P126" s="2189">
        <f t="shared" si="86"/>
        <v>97.058823529411768</v>
      </c>
      <c r="Q126" s="2167">
        <v>500</v>
      </c>
      <c r="R126" s="2190">
        <f t="shared" si="87"/>
        <v>97.727272727272734</v>
      </c>
      <c r="S126" s="2168">
        <v>30</v>
      </c>
      <c r="T126" s="2189">
        <f t="shared" si="88"/>
        <v>96.209912536443142</v>
      </c>
      <c r="U126" s="2169">
        <f t="shared" si="89"/>
        <v>110.15647044197262</v>
      </c>
      <c r="V126" s="2178"/>
    </row>
    <row r="127" spans="2:22" ht="12.95" customHeight="1" outlineLevel="1">
      <c r="B127" s="2170" t="s">
        <v>1309</v>
      </c>
      <c r="C127" s="2171">
        <v>11</v>
      </c>
      <c r="D127" s="2155">
        <f t="shared" si="80"/>
        <v>106.14035087719299</v>
      </c>
      <c r="E127" s="2173">
        <v>15</v>
      </c>
      <c r="F127" s="2157">
        <f t="shared" si="81"/>
        <v>105.76923076923077</v>
      </c>
      <c r="G127" s="2171">
        <v>13</v>
      </c>
      <c r="H127" s="2155">
        <f t="shared" si="82"/>
        <v>109.16030534351147</v>
      </c>
      <c r="I127" s="2175">
        <v>11</v>
      </c>
      <c r="J127" s="2157">
        <f t="shared" si="83"/>
        <v>100.83333333333333</v>
      </c>
      <c r="K127" s="2176">
        <v>60</v>
      </c>
      <c r="L127" s="2155">
        <f t="shared" si="84"/>
        <v>129.41176470588235</v>
      </c>
      <c r="M127" s="2175">
        <v>7</v>
      </c>
      <c r="N127" s="2157">
        <f t="shared" si="85"/>
        <v>126.2295081967213</v>
      </c>
      <c r="O127" s="2176">
        <v>3</v>
      </c>
      <c r="P127" s="2155">
        <f t="shared" si="86"/>
        <v>97.058823529411768</v>
      </c>
      <c r="Q127" s="2175">
        <v>600</v>
      </c>
      <c r="R127" s="2157">
        <f t="shared" si="87"/>
        <v>81.439393939393938</v>
      </c>
      <c r="S127" s="2176">
        <v>23</v>
      </c>
      <c r="T127" s="2155">
        <f t="shared" si="88"/>
        <v>73.760932944606409</v>
      </c>
      <c r="U127" s="2177">
        <f t="shared" si="89"/>
        <v>103.31151595992048</v>
      </c>
      <c r="V127" s="2178"/>
    </row>
    <row r="128" spans="2:22" ht="12.95" customHeight="1" outlineLevel="1">
      <c r="B128" s="2180" t="s">
        <v>641</v>
      </c>
      <c r="C128" s="2163">
        <v>12</v>
      </c>
      <c r="D128" s="2189">
        <f t="shared" si="80"/>
        <v>115.78947368421053</v>
      </c>
      <c r="E128" s="2165">
        <v>16</v>
      </c>
      <c r="F128" s="2190">
        <f t="shared" si="81"/>
        <v>112.82051282051282</v>
      </c>
      <c r="G128" s="2163">
        <v>10</v>
      </c>
      <c r="H128" s="2189">
        <f t="shared" si="82"/>
        <v>83.969465648854964</v>
      </c>
      <c r="I128" s="2167">
        <v>14</v>
      </c>
      <c r="J128" s="2190">
        <f t="shared" si="83"/>
        <v>128.33333333333334</v>
      </c>
      <c r="K128" s="2168">
        <v>70</v>
      </c>
      <c r="L128" s="2189">
        <f t="shared" si="84"/>
        <v>150.98039215686273</v>
      </c>
      <c r="M128" s="2167">
        <v>5</v>
      </c>
      <c r="N128" s="2190">
        <f t="shared" si="85"/>
        <v>90.163934426229503</v>
      </c>
      <c r="O128" s="2168">
        <v>3</v>
      </c>
      <c r="P128" s="2189">
        <f t="shared" si="86"/>
        <v>97.058823529411768</v>
      </c>
      <c r="Q128" s="2167">
        <v>525</v>
      </c>
      <c r="R128" s="2190">
        <f t="shared" si="87"/>
        <v>93.073593073593059</v>
      </c>
      <c r="S128" s="2168">
        <v>10</v>
      </c>
      <c r="T128" s="2189">
        <f t="shared" si="88"/>
        <v>32.069970845481052</v>
      </c>
      <c r="U128" s="2169">
        <f t="shared" si="89"/>
        <v>100.47327772427666</v>
      </c>
      <c r="V128" s="2178"/>
    </row>
    <row r="129" spans="2:22" ht="12.95" customHeight="1" outlineLevel="1">
      <c r="B129" s="2179" t="s">
        <v>2667</v>
      </c>
      <c r="C129" s="2171">
        <v>4</v>
      </c>
      <c r="D129" s="2155">
        <f t="shared" si="80"/>
        <v>38.596491228070178</v>
      </c>
      <c r="E129" s="2173">
        <v>8</v>
      </c>
      <c r="F129" s="2157">
        <f t="shared" si="81"/>
        <v>56.410256410256409</v>
      </c>
      <c r="G129" s="2171">
        <v>10</v>
      </c>
      <c r="H129" s="2155">
        <f t="shared" si="82"/>
        <v>83.969465648854964</v>
      </c>
      <c r="I129" s="2175">
        <v>10</v>
      </c>
      <c r="J129" s="2157">
        <f t="shared" si="83"/>
        <v>91.666666666666671</v>
      </c>
      <c r="K129" s="2176">
        <v>40</v>
      </c>
      <c r="L129" s="2155">
        <f t="shared" si="84"/>
        <v>86.274509803921561</v>
      </c>
      <c r="M129" s="2175">
        <v>4</v>
      </c>
      <c r="N129" s="2157">
        <f t="shared" si="85"/>
        <v>72.131147540983591</v>
      </c>
      <c r="O129" s="2176">
        <v>4</v>
      </c>
      <c r="P129" s="2155">
        <f t="shared" si="86"/>
        <v>129.41176470588235</v>
      </c>
      <c r="Q129" s="2175">
        <v>400</v>
      </c>
      <c r="R129" s="2157">
        <f t="shared" si="87"/>
        <v>122.15909090909091</v>
      </c>
      <c r="S129" s="2176">
        <v>20</v>
      </c>
      <c r="T129" s="2155">
        <f t="shared" si="88"/>
        <v>64.139941690962104</v>
      </c>
      <c r="U129" s="2177">
        <f t="shared" si="89"/>
        <v>82.751037178298759</v>
      </c>
      <c r="V129" s="2178"/>
    </row>
    <row r="130" spans="2:22" ht="12.95" customHeight="1" outlineLevel="1">
      <c r="B130" s="2180" t="s">
        <v>1984</v>
      </c>
      <c r="C130" s="2163">
        <v>8</v>
      </c>
      <c r="D130" s="2189">
        <f t="shared" si="80"/>
        <v>77.192982456140356</v>
      </c>
      <c r="E130" s="2165">
        <v>10</v>
      </c>
      <c r="F130" s="2190">
        <f t="shared" si="81"/>
        <v>70.512820512820511</v>
      </c>
      <c r="G130" s="2163">
        <v>11</v>
      </c>
      <c r="H130" s="2189">
        <f t="shared" si="82"/>
        <v>92.36641221374046</v>
      </c>
      <c r="I130" s="2167">
        <v>12</v>
      </c>
      <c r="J130" s="2190">
        <f t="shared" si="83"/>
        <v>110.00000000000001</v>
      </c>
      <c r="K130" s="2168">
        <v>50</v>
      </c>
      <c r="L130" s="2189">
        <f t="shared" si="84"/>
        <v>107.84313725490196</v>
      </c>
      <c r="M130" s="2167">
        <v>5</v>
      </c>
      <c r="N130" s="2190">
        <f t="shared" si="85"/>
        <v>90.163934426229503</v>
      </c>
      <c r="O130" s="2168">
        <v>3</v>
      </c>
      <c r="P130" s="2189">
        <f t="shared" si="86"/>
        <v>97.058823529411768</v>
      </c>
      <c r="Q130" s="2167">
        <v>500</v>
      </c>
      <c r="R130" s="2190">
        <f t="shared" si="87"/>
        <v>97.727272727272734</v>
      </c>
      <c r="S130" s="2168">
        <v>45</v>
      </c>
      <c r="T130" s="2189">
        <f t="shared" si="88"/>
        <v>144.31486880466471</v>
      </c>
      <c r="U130" s="2169">
        <f t="shared" si="89"/>
        <v>98.575583547242459</v>
      </c>
      <c r="V130" s="2178"/>
    </row>
    <row r="131" spans="2:22" ht="12.95" customHeight="1" outlineLevel="1" thickBot="1">
      <c r="B131" s="2170" t="s">
        <v>640</v>
      </c>
      <c r="C131" s="2171">
        <v>10</v>
      </c>
      <c r="D131" s="2155">
        <f t="shared" si="80"/>
        <v>96.491228070175438</v>
      </c>
      <c r="E131" s="2173">
        <v>15</v>
      </c>
      <c r="F131" s="2157">
        <f t="shared" si="81"/>
        <v>105.76923076923077</v>
      </c>
      <c r="G131" s="2171">
        <v>14</v>
      </c>
      <c r="H131" s="2155">
        <f t="shared" si="82"/>
        <v>117.55725190839696</v>
      </c>
      <c r="I131" s="2175">
        <v>7</v>
      </c>
      <c r="J131" s="2157">
        <f t="shared" si="83"/>
        <v>64.166666666666671</v>
      </c>
      <c r="K131" s="2176">
        <v>40</v>
      </c>
      <c r="L131" s="2155">
        <f t="shared" si="84"/>
        <v>86.274509803921561</v>
      </c>
      <c r="M131" s="2175">
        <v>7</v>
      </c>
      <c r="N131" s="2157">
        <f t="shared" si="85"/>
        <v>126.2295081967213</v>
      </c>
      <c r="O131" s="2176">
        <v>3</v>
      </c>
      <c r="P131" s="2155">
        <f t="shared" si="86"/>
        <v>97.058823529411768</v>
      </c>
      <c r="Q131" s="2175">
        <v>500</v>
      </c>
      <c r="R131" s="2157">
        <f t="shared" si="87"/>
        <v>97.727272727272734</v>
      </c>
      <c r="S131" s="2176">
        <v>40</v>
      </c>
      <c r="T131" s="2155">
        <f t="shared" si="88"/>
        <v>128.27988338192421</v>
      </c>
      <c r="U131" s="2177">
        <f t="shared" si="89"/>
        <v>102.17270833930239</v>
      </c>
      <c r="V131" s="2178"/>
    </row>
    <row r="132" spans="2:22" ht="12.95" customHeight="1" thickBot="1">
      <c r="B132" s="2268" t="s">
        <v>7294</v>
      </c>
      <c r="C132" s="2185">
        <f>AVERAGE(C121:C131)</f>
        <v>10.363636363636363</v>
      </c>
      <c r="D132" s="2183"/>
      <c r="E132" s="2182">
        <f>AVERAGE(E121:E131)</f>
        <v>14.181818181818182</v>
      </c>
      <c r="F132" s="2184"/>
      <c r="G132" s="2185">
        <f>AVERAGE(G121:G131)</f>
        <v>11.909090909090908</v>
      </c>
      <c r="H132" s="2183"/>
      <c r="I132" s="2182">
        <f>AVERAGE(I121:I131)</f>
        <v>10.909090909090908</v>
      </c>
      <c r="J132" s="2184"/>
      <c r="K132" s="2185">
        <f>AVERAGE(K121:K131)</f>
        <v>46.363636363636367</v>
      </c>
      <c r="L132" s="2183"/>
      <c r="M132" s="2182">
        <f>AVERAGE(M121:M131)</f>
        <v>5.5454545454545459</v>
      </c>
      <c r="N132" s="2184"/>
      <c r="O132" s="2185">
        <f>AVERAGE(O121:O131)</f>
        <v>3.0909090909090908</v>
      </c>
      <c r="P132" s="2183"/>
      <c r="Q132" s="2182">
        <f>AVERAGE(Q121:Q131)</f>
        <v>488.63636363636363</v>
      </c>
      <c r="R132" s="2184"/>
      <c r="S132" s="2185">
        <f>AVERAGE(S121:S131)</f>
        <v>31.181818181818183</v>
      </c>
      <c r="T132" s="2183"/>
      <c r="U132" s="2192">
        <f>AVERAGE(U121:U131)</f>
        <v>100.27309696731184</v>
      </c>
      <c r="V132" s="2178"/>
    </row>
    <row r="133" spans="2:22" ht="12.95" customHeight="1">
      <c r="V133" s="2178"/>
    </row>
    <row r="134" spans="2:22" ht="12.95" customHeight="1" thickBot="1">
      <c r="B134" s="4280" t="s">
        <v>7303</v>
      </c>
      <c r="C134" s="4280"/>
      <c r="D134" s="4280"/>
      <c r="E134" s="4280"/>
      <c r="F134" s="4280"/>
      <c r="G134" s="4280"/>
      <c r="H134" s="4280"/>
      <c r="I134" s="4280"/>
      <c r="J134" s="4280"/>
      <c r="K134" s="4280"/>
      <c r="L134" s="4280"/>
      <c r="M134" s="4280"/>
      <c r="N134" s="4280"/>
      <c r="O134" s="4280"/>
      <c r="P134" s="4280"/>
      <c r="Q134" s="4280"/>
      <c r="R134" s="4280"/>
      <c r="S134" s="4280"/>
      <c r="T134" s="4280"/>
      <c r="U134" s="4280"/>
      <c r="V134" s="2178"/>
    </row>
    <row r="135" spans="2:22" s="2150" customFormat="1" ht="12.95" customHeight="1" outlineLevel="1" thickBot="1">
      <c r="B135" s="2266" t="s">
        <v>3476</v>
      </c>
      <c r="C135" s="2151" t="s">
        <v>7290</v>
      </c>
      <c r="D135" s="1898" t="s">
        <v>7291</v>
      </c>
      <c r="E135" s="2152" t="s">
        <v>7292</v>
      </c>
      <c r="F135" s="1899" t="s">
        <v>7291</v>
      </c>
      <c r="G135" s="2151" t="s">
        <v>119</v>
      </c>
      <c r="H135" s="1898" t="s">
        <v>7291</v>
      </c>
      <c r="I135" s="2152" t="s">
        <v>120</v>
      </c>
      <c r="J135" s="1899" t="s">
        <v>7291</v>
      </c>
      <c r="K135" s="2151" t="s">
        <v>1926</v>
      </c>
      <c r="L135" s="1898" t="s">
        <v>7291</v>
      </c>
      <c r="M135" s="2152" t="s">
        <v>1648</v>
      </c>
      <c r="N135" s="1899" t="s">
        <v>7291</v>
      </c>
      <c r="O135" s="2151" t="s">
        <v>4</v>
      </c>
      <c r="P135" s="1898" t="s">
        <v>7291</v>
      </c>
      <c r="Q135" s="2152" t="s">
        <v>1570</v>
      </c>
      <c r="R135" s="1899" t="s">
        <v>7291</v>
      </c>
      <c r="S135" s="2151" t="s">
        <v>3486</v>
      </c>
      <c r="T135" s="1898" t="s">
        <v>7291</v>
      </c>
      <c r="U135" s="163" t="s">
        <v>7293</v>
      </c>
      <c r="V135" s="2188"/>
    </row>
    <row r="136" spans="2:22" ht="12.95" customHeight="1" outlineLevel="1">
      <c r="B136" s="2153" t="s">
        <v>1644</v>
      </c>
      <c r="C136" s="2154">
        <v>10</v>
      </c>
      <c r="D136" s="2155">
        <f t="shared" ref="D136:D144" si="90">C136/C$145*100</f>
        <v>91.83673469387756</v>
      </c>
      <c r="E136" s="2158">
        <v>12</v>
      </c>
      <c r="F136" s="2157">
        <f t="shared" ref="F136:F144" si="91">E136/E$145*100</f>
        <v>80</v>
      </c>
      <c r="G136" s="2159">
        <v>12</v>
      </c>
      <c r="H136" s="2155">
        <f t="shared" ref="H136:H144" si="92">G136/G$145*100</f>
        <v>99.082568807339456</v>
      </c>
      <c r="I136" s="2158">
        <v>10</v>
      </c>
      <c r="J136" s="2157">
        <f t="shared" ref="J136:J144" si="93">I136/I$145*100</f>
        <v>81.818181818181827</v>
      </c>
      <c r="K136" s="2159">
        <v>30</v>
      </c>
      <c r="L136" s="2155">
        <f t="shared" ref="L136:L144" si="94">K136/K$145*100</f>
        <v>61.363636363636367</v>
      </c>
      <c r="M136" s="2158">
        <v>7</v>
      </c>
      <c r="N136" s="2157">
        <f t="shared" ref="N136:N144" si="95">M136/M$145*100</f>
        <v>94.02985074626865</v>
      </c>
      <c r="O136" s="2159">
        <v>3</v>
      </c>
      <c r="P136" s="2155">
        <f t="shared" ref="P136:P144" si="96">O136/O$145*100</f>
        <v>96.428571428571431</v>
      </c>
      <c r="Q136" s="2158">
        <v>450</v>
      </c>
      <c r="R136" s="2157">
        <f t="shared" ref="R136:R144" si="97">100/Q136*Q$145</f>
        <v>127.16049382716048</v>
      </c>
      <c r="S136" s="2159">
        <v>55</v>
      </c>
      <c r="T136" s="2155">
        <f t="shared" ref="T136:T144" si="98">S136/S$145*100</f>
        <v>113.79310344827587</v>
      </c>
      <c r="U136" s="2160">
        <f>AVERAGE(D136,F136,H136,J136,L136,N136,P136,R136,T136)</f>
        <v>93.945904570367958</v>
      </c>
      <c r="V136" s="2161">
        <f>LARGE(U136:U144,1)</f>
        <v>113.30006039636095</v>
      </c>
    </row>
    <row r="137" spans="2:22" ht="12.95" customHeight="1" outlineLevel="1">
      <c r="B137" s="2180" t="s">
        <v>3445</v>
      </c>
      <c r="C137" s="2163">
        <v>10</v>
      </c>
      <c r="D137" s="2189">
        <f t="shared" si="90"/>
        <v>91.83673469387756</v>
      </c>
      <c r="E137" s="2167">
        <v>14</v>
      </c>
      <c r="F137" s="2190">
        <f t="shared" si="91"/>
        <v>93.333333333333329</v>
      </c>
      <c r="G137" s="2168">
        <v>9</v>
      </c>
      <c r="H137" s="2189">
        <f t="shared" si="92"/>
        <v>74.311926605504581</v>
      </c>
      <c r="I137" s="2167">
        <v>12</v>
      </c>
      <c r="J137" s="2190">
        <f t="shared" si="93"/>
        <v>98.181818181818187</v>
      </c>
      <c r="K137" s="2168">
        <v>65</v>
      </c>
      <c r="L137" s="2189">
        <f t="shared" si="94"/>
        <v>132.95454545454547</v>
      </c>
      <c r="M137" s="2167">
        <v>4</v>
      </c>
      <c r="N137" s="2190">
        <f t="shared" si="95"/>
        <v>53.731343283582092</v>
      </c>
      <c r="O137" s="2168">
        <v>3</v>
      </c>
      <c r="P137" s="2189">
        <f t="shared" si="96"/>
        <v>96.428571428571431</v>
      </c>
      <c r="Q137" s="2167">
        <v>425</v>
      </c>
      <c r="R137" s="2190">
        <f t="shared" si="97"/>
        <v>134.64052287581697</v>
      </c>
      <c r="S137" s="2168">
        <v>25</v>
      </c>
      <c r="T137" s="2189">
        <f t="shared" si="98"/>
        <v>51.724137931034477</v>
      </c>
      <c r="U137" s="2169">
        <f t="shared" ref="U137:U144" si="99">AVERAGE(D137,F137,H137,J137,L137,N137,P137,R137,T137)</f>
        <v>91.904770420898231</v>
      </c>
      <c r="V137" s="2161">
        <f>SMALL(U136:U144,1)</f>
        <v>83.267197295627014</v>
      </c>
    </row>
    <row r="138" spans="2:22" ht="12.95" customHeight="1" outlineLevel="1">
      <c r="B138" s="2170" t="s">
        <v>3452</v>
      </c>
      <c r="C138" s="2171">
        <v>13</v>
      </c>
      <c r="D138" s="2155">
        <f t="shared" si="90"/>
        <v>119.3877551020408</v>
      </c>
      <c r="E138" s="2175">
        <v>16</v>
      </c>
      <c r="F138" s="2157">
        <f t="shared" si="91"/>
        <v>106.66666666666667</v>
      </c>
      <c r="G138" s="2176">
        <v>12</v>
      </c>
      <c r="H138" s="2155">
        <f t="shared" si="92"/>
        <v>99.082568807339456</v>
      </c>
      <c r="I138" s="2175">
        <v>12</v>
      </c>
      <c r="J138" s="2157">
        <f t="shared" si="93"/>
        <v>98.181818181818187</v>
      </c>
      <c r="K138" s="2176">
        <v>40</v>
      </c>
      <c r="L138" s="2155">
        <f t="shared" si="94"/>
        <v>81.818181818181827</v>
      </c>
      <c r="M138" s="2175">
        <v>11</v>
      </c>
      <c r="N138" s="2157">
        <f t="shared" si="95"/>
        <v>147.76119402985074</v>
      </c>
      <c r="O138" s="2176">
        <v>3</v>
      </c>
      <c r="P138" s="2155">
        <f t="shared" si="96"/>
        <v>96.428571428571431</v>
      </c>
      <c r="Q138" s="2175">
        <v>600</v>
      </c>
      <c r="R138" s="2157">
        <f t="shared" si="97"/>
        <v>95.370370370370352</v>
      </c>
      <c r="S138" s="2176">
        <v>45</v>
      </c>
      <c r="T138" s="2155">
        <f t="shared" si="98"/>
        <v>93.103448275862064</v>
      </c>
      <c r="U138" s="2177">
        <f t="shared" si="99"/>
        <v>104.20006385341128</v>
      </c>
      <c r="V138" s="2178"/>
    </row>
    <row r="139" spans="2:22" ht="12.95" customHeight="1" outlineLevel="1">
      <c r="B139" s="2180" t="s">
        <v>898</v>
      </c>
      <c r="C139" s="2163">
        <v>11</v>
      </c>
      <c r="D139" s="2189">
        <f t="shared" si="90"/>
        <v>101.0204081632653</v>
      </c>
      <c r="E139" s="2167">
        <v>15</v>
      </c>
      <c r="F139" s="2190">
        <f t="shared" si="91"/>
        <v>100</v>
      </c>
      <c r="G139" s="2168">
        <v>13</v>
      </c>
      <c r="H139" s="2189">
        <f t="shared" si="92"/>
        <v>107.33944954128441</v>
      </c>
      <c r="I139" s="2167">
        <v>10</v>
      </c>
      <c r="J139" s="2190">
        <f t="shared" si="93"/>
        <v>81.818181818181827</v>
      </c>
      <c r="K139" s="2168">
        <v>40</v>
      </c>
      <c r="L139" s="2189">
        <f t="shared" si="94"/>
        <v>81.818181818181827</v>
      </c>
      <c r="M139" s="2167">
        <v>7</v>
      </c>
      <c r="N139" s="2190">
        <f t="shared" si="95"/>
        <v>94.02985074626865</v>
      </c>
      <c r="O139" s="2168">
        <v>3</v>
      </c>
      <c r="P139" s="2189">
        <f t="shared" si="96"/>
        <v>96.428571428571431</v>
      </c>
      <c r="Q139" s="2167">
        <v>600</v>
      </c>
      <c r="R139" s="2190">
        <f t="shared" si="97"/>
        <v>95.370370370370352</v>
      </c>
      <c r="S139" s="2168">
        <v>75</v>
      </c>
      <c r="T139" s="2189">
        <f t="shared" si="98"/>
        <v>155.17241379310346</v>
      </c>
      <c r="U139" s="2169">
        <f t="shared" si="99"/>
        <v>101.44415863102525</v>
      </c>
      <c r="V139" s="2178"/>
    </row>
    <row r="140" spans="2:22" ht="12.95" customHeight="1" outlineLevel="1">
      <c r="B140" s="2170" t="s">
        <v>1521</v>
      </c>
      <c r="C140" s="2171">
        <v>13</v>
      </c>
      <c r="D140" s="2155">
        <f t="shared" si="90"/>
        <v>119.3877551020408</v>
      </c>
      <c r="E140" s="2175">
        <v>17</v>
      </c>
      <c r="F140" s="2157">
        <f t="shared" si="91"/>
        <v>113.33333333333333</v>
      </c>
      <c r="G140" s="2176">
        <v>13</v>
      </c>
      <c r="H140" s="2155">
        <f t="shared" si="92"/>
        <v>107.33944954128441</v>
      </c>
      <c r="I140" s="2175">
        <v>13</v>
      </c>
      <c r="J140" s="2157">
        <f t="shared" si="93"/>
        <v>106.36363636363637</v>
      </c>
      <c r="K140" s="2176">
        <v>45</v>
      </c>
      <c r="L140" s="2155">
        <f t="shared" si="94"/>
        <v>92.045454545454547</v>
      </c>
      <c r="M140" s="2175">
        <v>7</v>
      </c>
      <c r="N140" s="2157">
        <f t="shared" si="95"/>
        <v>94.02985074626865</v>
      </c>
      <c r="O140" s="2176">
        <v>3</v>
      </c>
      <c r="P140" s="2155">
        <f t="shared" si="96"/>
        <v>96.428571428571431</v>
      </c>
      <c r="Q140" s="2175">
        <v>700</v>
      </c>
      <c r="R140" s="2157">
        <f t="shared" si="97"/>
        <v>81.746031746031733</v>
      </c>
      <c r="S140" s="2176">
        <v>40</v>
      </c>
      <c r="T140" s="2155">
        <f t="shared" si="98"/>
        <v>82.758620689655174</v>
      </c>
      <c r="U140" s="2177">
        <f t="shared" si="99"/>
        <v>99.270300388475164</v>
      </c>
      <c r="V140" s="2178"/>
    </row>
    <row r="141" spans="2:22" ht="12.95" customHeight="1" outlineLevel="1">
      <c r="B141" s="2180" t="s">
        <v>3461</v>
      </c>
      <c r="C141" s="2163">
        <v>12</v>
      </c>
      <c r="D141" s="2189">
        <f t="shared" si="90"/>
        <v>110.20408163265304</v>
      </c>
      <c r="E141" s="2167">
        <v>20</v>
      </c>
      <c r="F141" s="2190">
        <f t="shared" si="91"/>
        <v>133.33333333333331</v>
      </c>
      <c r="G141" s="2168">
        <v>15</v>
      </c>
      <c r="H141" s="2189">
        <f t="shared" si="92"/>
        <v>123.85321100917433</v>
      </c>
      <c r="I141" s="2167">
        <v>15</v>
      </c>
      <c r="J141" s="2190">
        <f t="shared" si="93"/>
        <v>122.72727272727273</v>
      </c>
      <c r="K141" s="2168">
        <v>50</v>
      </c>
      <c r="L141" s="2189">
        <f t="shared" si="94"/>
        <v>102.27272727272727</v>
      </c>
      <c r="M141" s="2167">
        <v>8</v>
      </c>
      <c r="N141" s="2190">
        <f t="shared" si="95"/>
        <v>107.46268656716418</v>
      </c>
      <c r="O141" s="2168">
        <v>3</v>
      </c>
      <c r="P141" s="2189">
        <f t="shared" si="96"/>
        <v>96.428571428571431</v>
      </c>
      <c r="Q141" s="2167">
        <v>575</v>
      </c>
      <c r="R141" s="2190">
        <f t="shared" si="97"/>
        <v>99.516908212560381</v>
      </c>
      <c r="S141" s="2168">
        <v>30</v>
      </c>
      <c r="T141" s="2189">
        <f t="shared" si="98"/>
        <v>62.068965517241381</v>
      </c>
      <c r="U141" s="2169">
        <f t="shared" si="99"/>
        <v>106.42975085563312</v>
      </c>
      <c r="V141" s="2178"/>
    </row>
    <row r="142" spans="2:22" ht="12.95" customHeight="1" outlineLevel="1">
      <c r="B142" s="2170" t="s">
        <v>149</v>
      </c>
      <c r="C142" s="2171">
        <v>11</v>
      </c>
      <c r="D142" s="2155">
        <f t="shared" si="90"/>
        <v>101.0204081632653</v>
      </c>
      <c r="E142" s="2175">
        <v>15</v>
      </c>
      <c r="F142" s="2157">
        <f t="shared" si="91"/>
        <v>100</v>
      </c>
      <c r="G142" s="2176">
        <v>13</v>
      </c>
      <c r="H142" s="2155">
        <f t="shared" si="92"/>
        <v>107.33944954128441</v>
      </c>
      <c r="I142" s="2175">
        <v>11</v>
      </c>
      <c r="J142" s="2157">
        <f t="shared" si="93"/>
        <v>90</v>
      </c>
      <c r="K142" s="2176">
        <v>60</v>
      </c>
      <c r="L142" s="2155">
        <f t="shared" si="94"/>
        <v>122.72727272727273</v>
      </c>
      <c r="M142" s="2175">
        <v>11</v>
      </c>
      <c r="N142" s="2157">
        <f t="shared" si="95"/>
        <v>147.76119402985074</v>
      </c>
      <c r="O142" s="2176">
        <v>3</v>
      </c>
      <c r="P142" s="2155">
        <f t="shared" si="96"/>
        <v>96.428571428571431</v>
      </c>
      <c r="Q142" s="2175">
        <v>700</v>
      </c>
      <c r="R142" s="2157">
        <f t="shared" si="97"/>
        <v>81.746031746031733</v>
      </c>
      <c r="S142" s="2176">
        <v>65</v>
      </c>
      <c r="T142" s="2155">
        <f t="shared" si="98"/>
        <v>134.48275862068965</v>
      </c>
      <c r="U142" s="2177">
        <f t="shared" si="99"/>
        <v>109.05618736188511</v>
      </c>
      <c r="V142" s="2178"/>
    </row>
    <row r="143" spans="2:22" ht="12.95" customHeight="1" outlineLevel="1">
      <c r="B143" s="2162" t="s">
        <v>613</v>
      </c>
      <c r="C143" s="2163">
        <v>12</v>
      </c>
      <c r="D143" s="2189">
        <f t="shared" si="90"/>
        <v>110.20408163265304</v>
      </c>
      <c r="E143" s="2167">
        <v>16</v>
      </c>
      <c r="F143" s="2190">
        <f t="shared" si="91"/>
        <v>106.66666666666667</v>
      </c>
      <c r="G143" s="2168">
        <v>11</v>
      </c>
      <c r="H143" s="2189">
        <f t="shared" si="92"/>
        <v>90.825688073394488</v>
      </c>
      <c r="I143" s="2167">
        <v>16</v>
      </c>
      <c r="J143" s="2190">
        <f t="shared" si="93"/>
        <v>130.90909090909091</v>
      </c>
      <c r="K143" s="2168">
        <v>70</v>
      </c>
      <c r="L143" s="2189">
        <f t="shared" si="94"/>
        <v>143.18181818181819</v>
      </c>
      <c r="M143" s="2167">
        <v>6</v>
      </c>
      <c r="N143" s="2190">
        <f t="shared" si="95"/>
        <v>80.597014925373131</v>
      </c>
      <c r="O143" s="2168">
        <v>3</v>
      </c>
      <c r="P143" s="2189">
        <f t="shared" si="96"/>
        <v>96.428571428571431</v>
      </c>
      <c r="Q143" s="2167">
        <v>600</v>
      </c>
      <c r="R143" s="2190">
        <f t="shared" si="97"/>
        <v>95.370370370370352</v>
      </c>
      <c r="S143" s="2168">
        <v>80</v>
      </c>
      <c r="T143" s="2189">
        <f t="shared" si="98"/>
        <v>165.51724137931035</v>
      </c>
      <c r="U143" s="2169">
        <f t="shared" si="99"/>
        <v>113.30006039636095</v>
      </c>
      <c r="V143" s="2178"/>
    </row>
    <row r="144" spans="2:22" ht="12.95" customHeight="1" outlineLevel="1" thickBot="1">
      <c r="B144" s="2179" t="s">
        <v>3471</v>
      </c>
      <c r="C144" s="2171">
        <v>6</v>
      </c>
      <c r="D144" s="2155">
        <f t="shared" si="90"/>
        <v>55.102040816326522</v>
      </c>
      <c r="E144" s="2175">
        <v>10</v>
      </c>
      <c r="F144" s="2157">
        <f t="shared" si="91"/>
        <v>66.666666666666657</v>
      </c>
      <c r="G144" s="2176">
        <v>11</v>
      </c>
      <c r="H144" s="2155">
        <f t="shared" si="92"/>
        <v>90.825688073394488</v>
      </c>
      <c r="I144" s="2175">
        <v>11</v>
      </c>
      <c r="J144" s="2157">
        <f t="shared" si="93"/>
        <v>90</v>
      </c>
      <c r="K144" s="2176">
        <v>40</v>
      </c>
      <c r="L144" s="2155">
        <f t="shared" si="94"/>
        <v>81.818181818181827</v>
      </c>
      <c r="M144" s="2175">
        <v>6</v>
      </c>
      <c r="N144" s="2157">
        <f t="shared" si="95"/>
        <v>80.597014925373131</v>
      </c>
      <c r="O144" s="2176">
        <v>4</v>
      </c>
      <c r="P144" s="2155">
        <f t="shared" si="96"/>
        <v>128.57142857142856</v>
      </c>
      <c r="Q144" s="2175">
        <v>500</v>
      </c>
      <c r="R144" s="2157">
        <f t="shared" si="97"/>
        <v>114.44444444444444</v>
      </c>
      <c r="S144" s="2176">
        <v>20</v>
      </c>
      <c r="T144" s="2155">
        <f t="shared" si="98"/>
        <v>41.379310344827587</v>
      </c>
      <c r="U144" s="2177">
        <f t="shared" si="99"/>
        <v>83.267197295627014</v>
      </c>
      <c r="V144" s="2178"/>
    </row>
    <row r="145" spans="2:22" ht="12.95" customHeight="1" thickBot="1">
      <c r="B145" s="2268" t="s">
        <v>7294</v>
      </c>
      <c r="C145" s="2185">
        <f>AVERAGE(C136:C144)</f>
        <v>10.888888888888889</v>
      </c>
      <c r="D145" s="2183"/>
      <c r="E145" s="2182">
        <f>AVERAGE(E136:E144)</f>
        <v>15</v>
      </c>
      <c r="F145" s="2184"/>
      <c r="G145" s="2185">
        <f>AVERAGE(G136:G144)</f>
        <v>12.111111111111111</v>
      </c>
      <c r="H145" s="2183"/>
      <c r="I145" s="2182">
        <f>AVERAGE(I136:I144)</f>
        <v>12.222222222222221</v>
      </c>
      <c r="J145" s="2184"/>
      <c r="K145" s="2185">
        <f>AVERAGE(K136:K144)</f>
        <v>48.888888888888886</v>
      </c>
      <c r="L145" s="2183"/>
      <c r="M145" s="2182">
        <f>AVERAGE(M136:M144)</f>
        <v>7.4444444444444446</v>
      </c>
      <c r="N145" s="2184"/>
      <c r="O145" s="2185">
        <f>AVERAGE(O136:O144)</f>
        <v>3.1111111111111112</v>
      </c>
      <c r="P145" s="2183"/>
      <c r="Q145" s="2182">
        <f>AVERAGE(Q136:Q144)</f>
        <v>572.22222222222217</v>
      </c>
      <c r="R145" s="2184"/>
      <c r="S145" s="2185">
        <f>AVERAGE(S136:S144)</f>
        <v>48.333333333333336</v>
      </c>
      <c r="T145" s="2183"/>
      <c r="U145" s="2192">
        <f>AVERAGE(U136:U144)</f>
        <v>100.31315486374268</v>
      </c>
      <c r="V145" s="2178"/>
    </row>
    <row r="146" spans="2:22" ht="12.95" customHeight="1">
      <c r="V146" s="2178"/>
    </row>
    <row r="147" spans="2:22" ht="12.95" customHeight="1" thickBot="1">
      <c r="B147" s="4280" t="s">
        <v>7304</v>
      </c>
      <c r="C147" s="4280"/>
      <c r="D147" s="4280"/>
      <c r="E147" s="4280"/>
      <c r="F147" s="4280"/>
      <c r="G147" s="4280"/>
      <c r="H147" s="4280"/>
      <c r="I147" s="4280"/>
      <c r="J147" s="4280"/>
      <c r="K147" s="4280"/>
      <c r="L147" s="4280"/>
      <c r="M147" s="4280"/>
      <c r="N147" s="4280"/>
      <c r="O147" s="4280"/>
      <c r="P147" s="4280"/>
      <c r="Q147" s="4280"/>
      <c r="R147" s="4280"/>
      <c r="S147" s="4280"/>
      <c r="T147" s="4280"/>
      <c r="U147" s="4280"/>
      <c r="V147" s="2178"/>
    </row>
    <row r="148" spans="2:22" s="2150" customFormat="1" ht="12.95" customHeight="1" outlineLevel="1" thickBot="1">
      <c r="B148" s="2266" t="s">
        <v>3476</v>
      </c>
      <c r="C148" s="2151" t="s">
        <v>7290</v>
      </c>
      <c r="D148" s="1898" t="s">
        <v>7291</v>
      </c>
      <c r="E148" s="2152" t="s">
        <v>7292</v>
      </c>
      <c r="F148" s="1899" t="s">
        <v>7291</v>
      </c>
      <c r="G148" s="2151" t="s">
        <v>119</v>
      </c>
      <c r="H148" s="1898" t="s">
        <v>7291</v>
      </c>
      <c r="I148" s="2152" t="s">
        <v>120</v>
      </c>
      <c r="J148" s="1899" t="s">
        <v>7291</v>
      </c>
      <c r="K148" s="2151" t="s">
        <v>1926</v>
      </c>
      <c r="L148" s="1898" t="s">
        <v>7291</v>
      </c>
      <c r="M148" s="2152" t="s">
        <v>1648</v>
      </c>
      <c r="N148" s="1899" t="s">
        <v>7291</v>
      </c>
      <c r="O148" s="2151" t="s">
        <v>4</v>
      </c>
      <c r="P148" s="1898" t="s">
        <v>7291</v>
      </c>
      <c r="Q148" s="2152" t="s">
        <v>1570</v>
      </c>
      <c r="R148" s="1899" t="s">
        <v>7291</v>
      </c>
      <c r="S148" s="2151" t="s">
        <v>3486</v>
      </c>
      <c r="T148" s="1898" t="s">
        <v>7291</v>
      </c>
      <c r="U148" s="163" t="s">
        <v>7293</v>
      </c>
      <c r="V148" s="2188"/>
    </row>
    <row r="149" spans="2:22" ht="12.95" customHeight="1" outlineLevel="1">
      <c r="B149" s="2153" t="s">
        <v>567</v>
      </c>
      <c r="C149" s="2154">
        <v>15</v>
      </c>
      <c r="D149" s="2155">
        <f t="shared" ref="D149:D159" si="100">C149/C$160*100</f>
        <v>101.85185185185186</v>
      </c>
      <c r="E149" s="2156">
        <v>25</v>
      </c>
      <c r="F149" s="2157">
        <f t="shared" ref="F149:F159" si="101">E149/E$160*100</f>
        <v>121.14537444933922</v>
      </c>
      <c r="G149" s="2154">
        <v>15</v>
      </c>
      <c r="H149" s="2155">
        <f t="shared" ref="H149:H159" si="102">G149/G$160*100</f>
        <v>98.802395209580837</v>
      </c>
      <c r="I149" s="2158">
        <v>15</v>
      </c>
      <c r="J149" s="2157">
        <f t="shared" ref="J149:J159" si="103">I149/I$160*100</f>
        <v>113.01369863013697</v>
      </c>
      <c r="K149" s="2159">
        <v>100</v>
      </c>
      <c r="L149" s="2155">
        <f t="shared" ref="L149:L159" si="104">K149/K$160*100</f>
        <v>122.90502793296089</v>
      </c>
      <c r="M149" s="2158">
        <v>7</v>
      </c>
      <c r="N149" s="2157">
        <f t="shared" ref="N149:N159" si="105">M149/M$160*100</f>
        <v>101.31578947368421</v>
      </c>
      <c r="O149" s="2159">
        <v>2</v>
      </c>
      <c r="P149" s="2155">
        <f t="shared" ref="P149:P159" si="106">O149/O$160*100</f>
        <v>100</v>
      </c>
      <c r="Q149" s="2158">
        <v>1000</v>
      </c>
      <c r="R149" s="2157">
        <f t="shared" ref="R149:R159" si="107">100/Q149*Q$160</f>
        <v>88.181818181818187</v>
      </c>
      <c r="S149" s="2159">
        <v>40</v>
      </c>
      <c r="T149" s="2155">
        <f t="shared" ref="T149:T159" si="108">S149/S$160*100</f>
        <v>86.105675146771048</v>
      </c>
      <c r="U149" s="2160">
        <f>AVERAGE(D149,F149,H149,J149,L149,N149,P149,R149,T149)</f>
        <v>103.70240343068258</v>
      </c>
      <c r="V149" s="2161">
        <f>LARGE(U149:U159,1)</f>
        <v>113.84540579462964</v>
      </c>
    </row>
    <row r="150" spans="2:22" ht="12.95" customHeight="1" outlineLevel="1">
      <c r="B150" s="2180" t="s">
        <v>1052</v>
      </c>
      <c r="C150" s="2163">
        <v>18</v>
      </c>
      <c r="D150" s="2189">
        <f t="shared" si="100"/>
        <v>122.22222222222223</v>
      </c>
      <c r="E150" s="2165">
        <v>22</v>
      </c>
      <c r="F150" s="2190">
        <f t="shared" si="101"/>
        <v>106.6079295154185</v>
      </c>
      <c r="G150" s="2163">
        <v>15</v>
      </c>
      <c r="H150" s="2189">
        <f t="shared" si="102"/>
        <v>98.802395209580837</v>
      </c>
      <c r="I150" s="2167">
        <v>14</v>
      </c>
      <c r="J150" s="2190">
        <f t="shared" si="103"/>
        <v>105.47945205479452</v>
      </c>
      <c r="K150" s="2168">
        <v>90</v>
      </c>
      <c r="L150" s="2189">
        <f t="shared" si="104"/>
        <v>110.61452513966481</v>
      </c>
      <c r="M150" s="2167">
        <v>7</v>
      </c>
      <c r="N150" s="2190">
        <f t="shared" si="105"/>
        <v>101.31578947368421</v>
      </c>
      <c r="O150" s="2168">
        <v>2</v>
      </c>
      <c r="P150" s="2189">
        <f t="shared" si="106"/>
        <v>100</v>
      </c>
      <c r="Q150" s="2167">
        <v>850</v>
      </c>
      <c r="R150" s="2190">
        <f t="shared" si="107"/>
        <v>103.7433155080214</v>
      </c>
      <c r="S150" s="2168">
        <v>55</v>
      </c>
      <c r="T150" s="2189">
        <f t="shared" si="108"/>
        <v>118.39530332681019</v>
      </c>
      <c r="U150" s="2169">
        <f t="shared" ref="U150:U159" si="109">AVERAGE(D150,F150,H150,J150,L150,N150,P150,R150,T150)</f>
        <v>107.46454805002185</v>
      </c>
      <c r="V150" s="2161">
        <f>SMALL(U149:U159,1)</f>
        <v>87.011292777804485</v>
      </c>
    </row>
    <row r="151" spans="2:22" ht="12.95" customHeight="1" outlineLevel="1">
      <c r="B151" s="2170" t="s">
        <v>566</v>
      </c>
      <c r="C151" s="2171">
        <v>20</v>
      </c>
      <c r="D151" s="2155">
        <f t="shared" si="100"/>
        <v>135.80246913580248</v>
      </c>
      <c r="E151" s="2173">
        <v>20</v>
      </c>
      <c r="F151" s="2157">
        <f t="shared" si="101"/>
        <v>96.916299559471369</v>
      </c>
      <c r="G151" s="2171">
        <v>16</v>
      </c>
      <c r="H151" s="2155">
        <f t="shared" si="102"/>
        <v>105.38922155688624</v>
      </c>
      <c r="I151" s="2175">
        <v>13</v>
      </c>
      <c r="J151" s="2157">
        <f t="shared" si="103"/>
        <v>97.945205479452042</v>
      </c>
      <c r="K151" s="2176">
        <v>110</v>
      </c>
      <c r="L151" s="2155">
        <f t="shared" si="104"/>
        <v>135.19553072625698</v>
      </c>
      <c r="M151" s="2175">
        <v>5</v>
      </c>
      <c r="N151" s="2157">
        <f t="shared" si="105"/>
        <v>72.368421052631575</v>
      </c>
      <c r="O151" s="2176">
        <v>2</v>
      </c>
      <c r="P151" s="2155">
        <f t="shared" si="106"/>
        <v>100</v>
      </c>
      <c r="Q151" s="2175">
        <v>1100</v>
      </c>
      <c r="R151" s="2157">
        <f t="shared" si="107"/>
        <v>80.165289256198349</v>
      </c>
      <c r="S151" s="2176">
        <v>70</v>
      </c>
      <c r="T151" s="2155">
        <f t="shared" si="108"/>
        <v>150.68493150684932</v>
      </c>
      <c r="U151" s="2177">
        <f t="shared" si="109"/>
        <v>108.27415203039426</v>
      </c>
      <c r="V151" s="2178"/>
    </row>
    <row r="152" spans="2:22" ht="12.95" customHeight="1" outlineLevel="1">
      <c r="B152" s="2162" t="s">
        <v>3456</v>
      </c>
      <c r="C152" s="2163">
        <v>15</v>
      </c>
      <c r="D152" s="2189">
        <f t="shared" si="100"/>
        <v>101.85185185185186</v>
      </c>
      <c r="E152" s="2165">
        <v>30</v>
      </c>
      <c r="F152" s="2190">
        <f t="shared" si="101"/>
        <v>145.37444933920705</v>
      </c>
      <c r="G152" s="2163">
        <v>16</v>
      </c>
      <c r="H152" s="2189">
        <f t="shared" si="102"/>
        <v>105.38922155688624</v>
      </c>
      <c r="I152" s="2167">
        <v>16</v>
      </c>
      <c r="J152" s="2190">
        <f t="shared" si="103"/>
        <v>120.54794520547945</v>
      </c>
      <c r="K152" s="2168">
        <v>120</v>
      </c>
      <c r="L152" s="2189">
        <f t="shared" si="104"/>
        <v>147.48603351955308</v>
      </c>
      <c r="M152" s="2167">
        <v>7</v>
      </c>
      <c r="N152" s="2190">
        <f t="shared" si="105"/>
        <v>101.31578947368421</v>
      </c>
      <c r="O152" s="2168">
        <v>2</v>
      </c>
      <c r="P152" s="2189">
        <f t="shared" si="106"/>
        <v>100</v>
      </c>
      <c r="Q152" s="2167">
        <v>1200</v>
      </c>
      <c r="R152" s="2190">
        <f t="shared" si="107"/>
        <v>73.484848484848484</v>
      </c>
      <c r="S152" s="2168">
        <v>60</v>
      </c>
      <c r="T152" s="2189">
        <f t="shared" si="108"/>
        <v>129.15851272015655</v>
      </c>
      <c r="U152" s="2169">
        <f t="shared" si="109"/>
        <v>113.84540579462964</v>
      </c>
      <c r="V152" s="2178"/>
    </row>
    <row r="153" spans="2:22" ht="12.95" customHeight="1" outlineLevel="1">
      <c r="B153" s="2170" t="s">
        <v>3063</v>
      </c>
      <c r="C153" s="2171">
        <v>16</v>
      </c>
      <c r="D153" s="2155">
        <f t="shared" si="100"/>
        <v>108.64197530864197</v>
      </c>
      <c r="E153" s="2173">
        <v>24</v>
      </c>
      <c r="F153" s="2157">
        <f t="shared" si="101"/>
        <v>116.29955947136563</v>
      </c>
      <c r="G153" s="2171">
        <v>16</v>
      </c>
      <c r="H153" s="2155">
        <f t="shared" si="102"/>
        <v>105.38922155688624</v>
      </c>
      <c r="I153" s="2175">
        <v>12</v>
      </c>
      <c r="J153" s="2157">
        <f t="shared" si="103"/>
        <v>90.410958904109577</v>
      </c>
      <c r="K153" s="2176">
        <v>90</v>
      </c>
      <c r="L153" s="2155">
        <f t="shared" si="104"/>
        <v>110.61452513966481</v>
      </c>
      <c r="M153" s="2175">
        <v>9</v>
      </c>
      <c r="N153" s="2157">
        <f t="shared" si="105"/>
        <v>130.26315789473685</v>
      </c>
      <c r="O153" s="2176">
        <v>2</v>
      </c>
      <c r="P153" s="2155">
        <f t="shared" si="106"/>
        <v>100</v>
      </c>
      <c r="Q153" s="2175">
        <v>900</v>
      </c>
      <c r="R153" s="2157">
        <f t="shared" si="107"/>
        <v>97.979797979797979</v>
      </c>
      <c r="S153" s="2176">
        <v>25</v>
      </c>
      <c r="T153" s="2155">
        <f t="shared" si="108"/>
        <v>53.816046966731903</v>
      </c>
      <c r="U153" s="2177">
        <f t="shared" si="109"/>
        <v>101.49058258021498</v>
      </c>
      <c r="V153" s="2178"/>
    </row>
    <row r="154" spans="2:22" ht="12.95" customHeight="1" outlineLevel="1">
      <c r="B154" s="2180" t="s">
        <v>1054</v>
      </c>
      <c r="C154" s="2163">
        <v>14</v>
      </c>
      <c r="D154" s="2189">
        <f t="shared" si="100"/>
        <v>95.061728395061735</v>
      </c>
      <c r="E154" s="2165">
        <v>20</v>
      </c>
      <c r="F154" s="2190">
        <f t="shared" si="101"/>
        <v>96.916299559471369</v>
      </c>
      <c r="G154" s="2163">
        <v>15</v>
      </c>
      <c r="H154" s="2189">
        <f t="shared" si="102"/>
        <v>98.802395209580837</v>
      </c>
      <c r="I154" s="2167">
        <v>13</v>
      </c>
      <c r="J154" s="2190">
        <f t="shared" si="103"/>
        <v>97.945205479452042</v>
      </c>
      <c r="K154" s="2168">
        <v>80</v>
      </c>
      <c r="L154" s="2189">
        <f t="shared" si="104"/>
        <v>98.324022346368722</v>
      </c>
      <c r="M154" s="2167">
        <v>7</v>
      </c>
      <c r="N154" s="2190">
        <f t="shared" si="105"/>
        <v>101.31578947368421</v>
      </c>
      <c r="O154" s="2168">
        <v>2</v>
      </c>
      <c r="P154" s="2189">
        <f t="shared" si="106"/>
        <v>100</v>
      </c>
      <c r="Q154" s="2167">
        <v>850</v>
      </c>
      <c r="R154" s="2190">
        <f t="shared" si="107"/>
        <v>103.7433155080214</v>
      </c>
      <c r="S154" s="2168">
        <v>23</v>
      </c>
      <c r="T154" s="2189">
        <f t="shared" si="108"/>
        <v>49.510763209393346</v>
      </c>
      <c r="U154" s="2169">
        <f t="shared" si="109"/>
        <v>93.513279909003742</v>
      </c>
      <c r="V154" s="2178"/>
    </row>
    <row r="155" spans="2:22" ht="12.95" customHeight="1" outlineLevel="1">
      <c r="B155" s="2170" t="s">
        <v>1062</v>
      </c>
      <c r="C155" s="2171">
        <v>16</v>
      </c>
      <c r="D155" s="2155">
        <f t="shared" si="100"/>
        <v>108.64197530864197</v>
      </c>
      <c r="E155" s="2173">
        <v>20</v>
      </c>
      <c r="F155" s="2157">
        <f t="shared" si="101"/>
        <v>96.916299559471369</v>
      </c>
      <c r="G155" s="2171">
        <v>15</v>
      </c>
      <c r="H155" s="2155">
        <f t="shared" si="102"/>
        <v>98.802395209580837</v>
      </c>
      <c r="I155" s="2175">
        <v>12</v>
      </c>
      <c r="J155" s="2157">
        <f t="shared" si="103"/>
        <v>90.410958904109577</v>
      </c>
      <c r="K155" s="2176">
        <v>70</v>
      </c>
      <c r="L155" s="2155">
        <f t="shared" si="104"/>
        <v>86.033519553072637</v>
      </c>
      <c r="M155" s="2175">
        <v>6</v>
      </c>
      <c r="N155" s="2157">
        <f t="shared" si="105"/>
        <v>86.842105263157904</v>
      </c>
      <c r="O155" s="2176">
        <v>2</v>
      </c>
      <c r="P155" s="2155">
        <f t="shared" si="106"/>
        <v>100</v>
      </c>
      <c r="Q155" s="2175">
        <v>750</v>
      </c>
      <c r="R155" s="2157">
        <f t="shared" si="107"/>
        <v>117.57575757575758</v>
      </c>
      <c r="S155" s="2176">
        <v>35</v>
      </c>
      <c r="T155" s="2155">
        <f t="shared" si="108"/>
        <v>75.342465753424662</v>
      </c>
      <c r="U155" s="2177">
        <f t="shared" si="109"/>
        <v>95.618386347468515</v>
      </c>
      <c r="V155" s="2178"/>
    </row>
    <row r="156" spans="2:22" ht="12.95" customHeight="1" outlineLevel="1">
      <c r="B156" s="2180" t="s">
        <v>614</v>
      </c>
      <c r="C156" s="2163">
        <v>14</v>
      </c>
      <c r="D156" s="2189">
        <f t="shared" si="100"/>
        <v>95.061728395061735</v>
      </c>
      <c r="E156" s="2165">
        <v>18</v>
      </c>
      <c r="F156" s="2190">
        <f t="shared" si="101"/>
        <v>87.224669603524234</v>
      </c>
      <c r="G156" s="2163">
        <v>14</v>
      </c>
      <c r="H156" s="2189">
        <f t="shared" si="102"/>
        <v>92.215568862275461</v>
      </c>
      <c r="I156" s="2167">
        <v>14</v>
      </c>
      <c r="J156" s="2190">
        <f t="shared" si="103"/>
        <v>105.47945205479452</v>
      </c>
      <c r="K156" s="2168">
        <v>70</v>
      </c>
      <c r="L156" s="2189">
        <f t="shared" si="104"/>
        <v>86.033519553072637</v>
      </c>
      <c r="M156" s="2167">
        <v>7</v>
      </c>
      <c r="N156" s="2190">
        <f t="shared" si="105"/>
        <v>101.31578947368421</v>
      </c>
      <c r="O156" s="2168">
        <v>2</v>
      </c>
      <c r="P156" s="2189">
        <f t="shared" si="106"/>
        <v>100</v>
      </c>
      <c r="Q156" s="2167">
        <v>800</v>
      </c>
      <c r="R156" s="2190">
        <f t="shared" si="107"/>
        <v>110.22727272727273</v>
      </c>
      <c r="S156" s="2168">
        <v>23</v>
      </c>
      <c r="T156" s="2189">
        <f t="shared" si="108"/>
        <v>49.510763209393346</v>
      </c>
      <c r="U156" s="2169">
        <f t="shared" si="109"/>
        <v>91.896529319897638</v>
      </c>
      <c r="V156" s="2178"/>
    </row>
    <row r="157" spans="2:22" ht="12.95" customHeight="1" outlineLevel="1">
      <c r="B157" s="2170" t="s">
        <v>2668</v>
      </c>
      <c r="C157" s="2171">
        <v>10</v>
      </c>
      <c r="D157" s="2155">
        <f t="shared" si="100"/>
        <v>67.901234567901241</v>
      </c>
      <c r="E157" s="2173">
        <v>20</v>
      </c>
      <c r="F157" s="2157">
        <f t="shared" si="101"/>
        <v>96.916299559471369</v>
      </c>
      <c r="G157" s="2171">
        <v>15</v>
      </c>
      <c r="H157" s="2155">
        <f t="shared" si="102"/>
        <v>98.802395209580837</v>
      </c>
      <c r="I157" s="2175">
        <v>13</v>
      </c>
      <c r="J157" s="2157">
        <f t="shared" si="103"/>
        <v>97.945205479452042</v>
      </c>
      <c r="K157" s="2176">
        <v>75</v>
      </c>
      <c r="L157" s="2155">
        <f t="shared" si="104"/>
        <v>92.178770949720672</v>
      </c>
      <c r="M157" s="2175">
        <v>7</v>
      </c>
      <c r="N157" s="2157">
        <f t="shared" si="105"/>
        <v>101.31578947368421</v>
      </c>
      <c r="O157" s="2176">
        <v>2</v>
      </c>
      <c r="P157" s="2155">
        <f t="shared" si="106"/>
        <v>100</v>
      </c>
      <c r="Q157" s="2175">
        <v>750</v>
      </c>
      <c r="R157" s="2157">
        <f t="shared" si="107"/>
        <v>117.57575757575758</v>
      </c>
      <c r="S157" s="2176">
        <v>50</v>
      </c>
      <c r="T157" s="2155">
        <f t="shared" si="108"/>
        <v>107.63209393346381</v>
      </c>
      <c r="U157" s="2177">
        <f t="shared" si="109"/>
        <v>97.807505194336869</v>
      </c>
      <c r="V157" s="2178"/>
    </row>
    <row r="158" spans="2:22" ht="12.95" customHeight="1" outlineLevel="1">
      <c r="B158" s="2195" t="s">
        <v>2534</v>
      </c>
      <c r="C158" s="2163">
        <v>10</v>
      </c>
      <c r="D158" s="2189">
        <f t="shared" si="100"/>
        <v>67.901234567901241</v>
      </c>
      <c r="E158" s="2165">
        <v>14</v>
      </c>
      <c r="F158" s="2190">
        <f t="shared" si="101"/>
        <v>67.841409691629948</v>
      </c>
      <c r="G158" s="2163">
        <v>13</v>
      </c>
      <c r="H158" s="2189">
        <f t="shared" si="102"/>
        <v>85.628742514970057</v>
      </c>
      <c r="I158" s="2167">
        <v>12</v>
      </c>
      <c r="J158" s="2190">
        <f t="shared" si="103"/>
        <v>90.410958904109577</v>
      </c>
      <c r="K158" s="2168">
        <v>60</v>
      </c>
      <c r="L158" s="2189">
        <f t="shared" si="104"/>
        <v>73.743016759776538</v>
      </c>
      <c r="M158" s="2167">
        <v>5</v>
      </c>
      <c r="N158" s="2190">
        <f t="shared" si="105"/>
        <v>72.368421052631575</v>
      </c>
      <c r="O158" s="2168">
        <v>2</v>
      </c>
      <c r="P158" s="2189">
        <f t="shared" si="106"/>
        <v>100</v>
      </c>
      <c r="Q158" s="2167">
        <v>750</v>
      </c>
      <c r="R158" s="2190">
        <f t="shared" si="107"/>
        <v>117.57575757575758</v>
      </c>
      <c r="S158" s="2168">
        <v>50</v>
      </c>
      <c r="T158" s="2189">
        <f t="shared" si="108"/>
        <v>107.63209393346381</v>
      </c>
      <c r="U158" s="2169">
        <f t="shared" si="109"/>
        <v>87.011292777804485</v>
      </c>
      <c r="V158" s="2178"/>
    </row>
    <row r="159" spans="2:22" ht="12.95" customHeight="1" outlineLevel="1" thickBot="1">
      <c r="B159" s="2170" t="s">
        <v>1063</v>
      </c>
      <c r="C159" s="2171">
        <v>14</v>
      </c>
      <c r="D159" s="2155">
        <f t="shared" si="100"/>
        <v>95.061728395061735</v>
      </c>
      <c r="E159" s="2173">
        <v>14</v>
      </c>
      <c r="F159" s="2157">
        <f t="shared" si="101"/>
        <v>67.841409691629948</v>
      </c>
      <c r="G159" s="2171">
        <v>17</v>
      </c>
      <c r="H159" s="2155">
        <f t="shared" si="102"/>
        <v>111.97604790419162</v>
      </c>
      <c r="I159" s="2175">
        <v>12</v>
      </c>
      <c r="J159" s="2157">
        <f t="shared" si="103"/>
        <v>90.410958904109577</v>
      </c>
      <c r="K159" s="2176">
        <v>30</v>
      </c>
      <c r="L159" s="2155">
        <f t="shared" si="104"/>
        <v>36.871508379888269</v>
      </c>
      <c r="M159" s="2175">
        <v>9</v>
      </c>
      <c r="N159" s="2157">
        <f t="shared" si="105"/>
        <v>130.26315789473685</v>
      </c>
      <c r="O159" s="2176">
        <v>2</v>
      </c>
      <c r="P159" s="2155">
        <f t="shared" si="106"/>
        <v>100</v>
      </c>
      <c r="Q159" s="2175">
        <v>750</v>
      </c>
      <c r="R159" s="2157">
        <f t="shared" si="107"/>
        <v>117.57575757575758</v>
      </c>
      <c r="S159" s="2176">
        <v>80</v>
      </c>
      <c r="T159" s="2155">
        <f t="shared" si="108"/>
        <v>172.2113502935421</v>
      </c>
      <c r="U159" s="2177">
        <f t="shared" si="109"/>
        <v>102.46799100432419</v>
      </c>
      <c r="V159" s="2178"/>
    </row>
    <row r="160" spans="2:22" ht="12.95" customHeight="1" thickBot="1">
      <c r="B160" s="2268" t="s">
        <v>7294</v>
      </c>
      <c r="C160" s="2185">
        <f>AVERAGE(C149:C159)</f>
        <v>14.727272727272727</v>
      </c>
      <c r="D160" s="2183"/>
      <c r="E160" s="2182">
        <f>AVERAGE(E149:E159)</f>
        <v>20.636363636363637</v>
      </c>
      <c r="F160" s="2184"/>
      <c r="G160" s="2185">
        <f>AVERAGE(G149:G159)</f>
        <v>15.181818181818182</v>
      </c>
      <c r="H160" s="2183"/>
      <c r="I160" s="2182">
        <f>AVERAGE(I149:I159)</f>
        <v>13.272727272727273</v>
      </c>
      <c r="J160" s="2184"/>
      <c r="K160" s="2185">
        <f>AVERAGE(K149:K159)</f>
        <v>81.36363636363636</v>
      </c>
      <c r="L160" s="2183"/>
      <c r="M160" s="2182">
        <f>AVERAGE(M149:M159)</f>
        <v>6.9090909090909092</v>
      </c>
      <c r="N160" s="2184"/>
      <c r="O160" s="2185">
        <f>AVERAGE(O149:O159)</f>
        <v>2</v>
      </c>
      <c r="P160" s="2183"/>
      <c r="Q160" s="2182">
        <f>AVERAGE(Q149:Q159)</f>
        <v>881.81818181818187</v>
      </c>
      <c r="R160" s="2184"/>
      <c r="S160" s="2185">
        <f>AVERAGE(S149:S159)</f>
        <v>46.454545454545453</v>
      </c>
      <c r="T160" s="2183"/>
      <c r="U160" s="2192">
        <f>AVERAGE(U149:U159)</f>
        <v>100.28109785807078</v>
      </c>
      <c r="V160" s="2178"/>
    </row>
    <row r="161" spans="2:22" ht="12.95" customHeight="1">
      <c r="V161" s="2178"/>
    </row>
    <row r="162" spans="2:22" ht="12.95" customHeight="1" thickBot="1">
      <c r="B162" s="4280" t="s">
        <v>7305</v>
      </c>
      <c r="C162" s="4280"/>
      <c r="D162" s="4280"/>
      <c r="E162" s="4280"/>
      <c r="F162" s="4280"/>
      <c r="G162" s="4280"/>
      <c r="H162" s="4280"/>
      <c r="I162" s="4280"/>
      <c r="J162" s="4280"/>
      <c r="K162" s="4280"/>
      <c r="L162" s="4280"/>
      <c r="M162" s="4280"/>
      <c r="N162" s="4280"/>
      <c r="O162" s="4280"/>
      <c r="P162" s="4280"/>
      <c r="Q162" s="4280"/>
      <c r="R162" s="4280"/>
      <c r="S162" s="4280"/>
      <c r="T162" s="4280"/>
      <c r="U162" s="4280"/>
      <c r="V162" s="2178"/>
    </row>
    <row r="163" spans="2:22" s="2150" customFormat="1" ht="12.95" customHeight="1" outlineLevel="1" thickBot="1">
      <c r="B163" s="2266" t="s">
        <v>3476</v>
      </c>
      <c r="C163" s="2151" t="s">
        <v>7290</v>
      </c>
      <c r="D163" s="1898" t="s">
        <v>7291</v>
      </c>
      <c r="E163" s="2152" t="s">
        <v>7292</v>
      </c>
      <c r="F163" s="1899" t="s">
        <v>7291</v>
      </c>
      <c r="G163" s="2151" t="s">
        <v>119</v>
      </c>
      <c r="H163" s="1898" t="s">
        <v>7291</v>
      </c>
      <c r="I163" s="2152" t="s">
        <v>120</v>
      </c>
      <c r="J163" s="1899" t="s">
        <v>7291</v>
      </c>
      <c r="K163" s="2151" t="s">
        <v>1926</v>
      </c>
      <c r="L163" s="1898" t="s">
        <v>7291</v>
      </c>
      <c r="M163" s="2152" t="s">
        <v>1648</v>
      </c>
      <c r="N163" s="1899" t="s">
        <v>7291</v>
      </c>
      <c r="O163" s="2151" t="s">
        <v>4</v>
      </c>
      <c r="P163" s="1898" t="s">
        <v>7291</v>
      </c>
      <c r="Q163" s="2152" t="s">
        <v>1570</v>
      </c>
      <c r="R163" s="1899" t="s">
        <v>7291</v>
      </c>
      <c r="S163" s="2151" t="s">
        <v>3486</v>
      </c>
      <c r="T163" s="1898" t="s">
        <v>7291</v>
      </c>
      <c r="U163" s="163" t="s">
        <v>7293</v>
      </c>
      <c r="V163" s="2188"/>
    </row>
    <row r="164" spans="2:22" ht="12.95" customHeight="1" outlineLevel="1">
      <c r="B164" s="2153" t="s">
        <v>654</v>
      </c>
      <c r="C164" s="2154">
        <v>20</v>
      </c>
      <c r="D164" s="2155">
        <f t="shared" ref="D164:D172" si="110">C164/C$173*100</f>
        <v>111.11111111111111</v>
      </c>
      <c r="E164" s="2158">
        <v>25</v>
      </c>
      <c r="F164" s="2157">
        <f t="shared" ref="F164:F172" si="111">E164/E$173*100</f>
        <v>103.21100917431194</v>
      </c>
      <c r="G164" s="2159">
        <v>16</v>
      </c>
      <c r="H164" s="2155">
        <f t="shared" ref="H164:H172" si="112">G164/G$173*100</f>
        <v>100.69930069930069</v>
      </c>
      <c r="I164" s="2158">
        <v>16</v>
      </c>
      <c r="J164" s="2157">
        <f t="shared" ref="J164:J172" si="113">I164/I$173*100</f>
        <v>111.62790697674419</v>
      </c>
      <c r="K164" s="2159">
        <v>100</v>
      </c>
      <c r="L164" s="2155">
        <f t="shared" ref="L164:L172" si="114">K164/K$173*100</f>
        <v>108.43373493975903</v>
      </c>
      <c r="M164" s="2158">
        <v>9</v>
      </c>
      <c r="N164" s="2157">
        <f t="shared" ref="N164:N172" si="115">M164/M$173*100</f>
        <v>94.186046511627907</v>
      </c>
      <c r="O164" s="2159">
        <v>2</v>
      </c>
      <c r="P164" s="2155">
        <f t="shared" ref="P164:P172" si="116">O164/O$173*100</f>
        <v>100</v>
      </c>
      <c r="Q164" s="2158">
        <v>1200</v>
      </c>
      <c r="R164" s="2157">
        <f t="shared" ref="R164:R172" si="117">100/Q164*Q$173</f>
        <v>96.296296296296305</v>
      </c>
      <c r="S164" s="2159">
        <v>25</v>
      </c>
      <c r="T164" s="2155">
        <f t="shared" ref="T164:T172" si="118">S164/S$173*100</f>
        <v>51.136363636363633</v>
      </c>
      <c r="U164" s="2160">
        <f>AVERAGE(D164,F164,H164,J164,L164,N164,P164,R164,T164)</f>
        <v>97.411307705057197</v>
      </c>
      <c r="V164" s="2161">
        <f>LARGE(U164:U172,1)</f>
        <v>112.3371757878664</v>
      </c>
    </row>
    <row r="165" spans="2:22" ht="12.95" customHeight="1" outlineLevel="1">
      <c r="B165" s="2180" t="s">
        <v>841</v>
      </c>
      <c r="C165" s="2163">
        <v>18</v>
      </c>
      <c r="D165" s="2189">
        <f t="shared" si="110"/>
        <v>100</v>
      </c>
      <c r="E165" s="2167">
        <v>22</v>
      </c>
      <c r="F165" s="2190">
        <f t="shared" si="111"/>
        <v>90.825688073394488</v>
      </c>
      <c r="G165" s="2168">
        <v>15</v>
      </c>
      <c r="H165" s="2189">
        <f t="shared" si="112"/>
        <v>94.4055944055944</v>
      </c>
      <c r="I165" s="2167">
        <v>14</v>
      </c>
      <c r="J165" s="2190">
        <f t="shared" si="113"/>
        <v>97.674418604651152</v>
      </c>
      <c r="K165" s="2168">
        <v>110</v>
      </c>
      <c r="L165" s="2189">
        <f t="shared" si="114"/>
        <v>119.27710843373494</v>
      </c>
      <c r="M165" s="2167">
        <v>9</v>
      </c>
      <c r="N165" s="2190">
        <f t="shared" si="115"/>
        <v>94.186046511627907</v>
      </c>
      <c r="O165" s="2168">
        <v>2</v>
      </c>
      <c r="P165" s="2189">
        <f t="shared" si="116"/>
        <v>100</v>
      </c>
      <c r="Q165" s="2167">
        <v>950</v>
      </c>
      <c r="R165" s="2190">
        <f t="shared" si="117"/>
        <v>121.6374269005848</v>
      </c>
      <c r="S165" s="2168">
        <v>45</v>
      </c>
      <c r="T165" s="2189">
        <f t="shared" si="118"/>
        <v>92.045454545454547</v>
      </c>
      <c r="U165" s="2169">
        <f t="shared" ref="U165:U172" si="119">AVERAGE(D165,F165,H165,J165,L165,N165,P165,R165,T165)</f>
        <v>101.11685971944912</v>
      </c>
      <c r="V165" s="2161">
        <f>SMALL(U164:U172,1)</f>
        <v>90.399053808569832</v>
      </c>
    </row>
    <row r="166" spans="2:22" ht="12.95" customHeight="1" outlineLevel="1">
      <c r="B166" s="2170" t="s">
        <v>3453</v>
      </c>
      <c r="C166" s="2171">
        <v>30</v>
      </c>
      <c r="D166" s="2155">
        <f t="shared" si="110"/>
        <v>166.66666666666669</v>
      </c>
      <c r="E166" s="2175">
        <v>30</v>
      </c>
      <c r="F166" s="2157">
        <f t="shared" si="111"/>
        <v>123.85321100917433</v>
      </c>
      <c r="G166" s="2176">
        <v>16</v>
      </c>
      <c r="H166" s="2155">
        <f t="shared" si="112"/>
        <v>100.69930069930069</v>
      </c>
      <c r="I166" s="2175">
        <v>13</v>
      </c>
      <c r="J166" s="2157">
        <f t="shared" si="113"/>
        <v>90.697674418604649</v>
      </c>
      <c r="K166" s="2176">
        <v>110</v>
      </c>
      <c r="L166" s="2155">
        <f t="shared" si="114"/>
        <v>119.27710843373494</v>
      </c>
      <c r="M166" s="2175">
        <v>7</v>
      </c>
      <c r="N166" s="2157">
        <f t="shared" si="115"/>
        <v>73.255813953488371</v>
      </c>
      <c r="O166" s="2176">
        <v>2</v>
      </c>
      <c r="P166" s="2155">
        <f t="shared" si="116"/>
        <v>100</v>
      </c>
      <c r="Q166" s="2175">
        <v>1600</v>
      </c>
      <c r="R166" s="2157">
        <f t="shared" si="117"/>
        <v>72.222222222222229</v>
      </c>
      <c r="S166" s="2176">
        <v>70</v>
      </c>
      <c r="T166" s="2155">
        <f t="shared" si="118"/>
        <v>143.18181818181819</v>
      </c>
      <c r="U166" s="2177">
        <f t="shared" si="119"/>
        <v>109.98375728722334</v>
      </c>
      <c r="V166" s="2178"/>
    </row>
    <row r="167" spans="2:22" ht="12.95" customHeight="1" outlineLevel="1">
      <c r="B167" s="2162" t="s">
        <v>2607</v>
      </c>
      <c r="C167" s="2163">
        <v>15</v>
      </c>
      <c r="D167" s="2189">
        <f t="shared" si="110"/>
        <v>83.333333333333343</v>
      </c>
      <c r="E167" s="2167">
        <v>30</v>
      </c>
      <c r="F167" s="2190">
        <f t="shared" si="111"/>
        <v>123.85321100917433</v>
      </c>
      <c r="G167" s="2168">
        <v>18</v>
      </c>
      <c r="H167" s="2189">
        <f t="shared" si="112"/>
        <v>113.28671328671329</v>
      </c>
      <c r="I167" s="2167">
        <v>18</v>
      </c>
      <c r="J167" s="2190">
        <f t="shared" si="113"/>
        <v>125.58139534883721</v>
      </c>
      <c r="K167" s="2168">
        <v>120</v>
      </c>
      <c r="L167" s="2189">
        <f t="shared" si="114"/>
        <v>130.12048192771084</v>
      </c>
      <c r="M167" s="2167">
        <v>9</v>
      </c>
      <c r="N167" s="2190">
        <f t="shared" si="115"/>
        <v>94.186046511627907</v>
      </c>
      <c r="O167" s="2168">
        <v>2</v>
      </c>
      <c r="P167" s="2189">
        <f t="shared" si="116"/>
        <v>100</v>
      </c>
      <c r="Q167" s="2167">
        <v>1500</v>
      </c>
      <c r="R167" s="2190">
        <f t="shared" si="117"/>
        <v>77.037037037037038</v>
      </c>
      <c r="S167" s="2168">
        <v>80</v>
      </c>
      <c r="T167" s="2189">
        <f t="shared" si="118"/>
        <v>163.63636363636365</v>
      </c>
      <c r="U167" s="2169">
        <f t="shared" si="119"/>
        <v>112.3371757878664</v>
      </c>
      <c r="V167" s="2178"/>
    </row>
    <row r="168" spans="2:22" ht="12.95" customHeight="1" outlineLevel="1">
      <c r="B168" s="2170" t="s">
        <v>3463</v>
      </c>
      <c r="C168" s="2171">
        <v>16</v>
      </c>
      <c r="D168" s="2155">
        <f t="shared" si="110"/>
        <v>88.888888888888886</v>
      </c>
      <c r="E168" s="2175">
        <v>24</v>
      </c>
      <c r="F168" s="2157">
        <f t="shared" si="111"/>
        <v>99.082568807339456</v>
      </c>
      <c r="G168" s="2176">
        <v>16</v>
      </c>
      <c r="H168" s="2155">
        <f t="shared" si="112"/>
        <v>100.69930069930069</v>
      </c>
      <c r="I168" s="2175">
        <v>14</v>
      </c>
      <c r="J168" s="2157">
        <f t="shared" si="113"/>
        <v>97.674418604651152</v>
      </c>
      <c r="K168" s="2176">
        <v>90</v>
      </c>
      <c r="L168" s="2155">
        <f t="shared" si="114"/>
        <v>97.590361445783131</v>
      </c>
      <c r="M168" s="2175">
        <v>13</v>
      </c>
      <c r="N168" s="2157">
        <f t="shared" si="115"/>
        <v>136.04651162790697</v>
      </c>
      <c r="O168" s="2176">
        <v>2</v>
      </c>
      <c r="P168" s="2155">
        <f t="shared" si="116"/>
        <v>100</v>
      </c>
      <c r="Q168" s="2175">
        <v>1100</v>
      </c>
      <c r="R168" s="2157">
        <f t="shared" si="117"/>
        <v>105.05050505050507</v>
      </c>
      <c r="S168" s="2176">
        <v>55</v>
      </c>
      <c r="T168" s="2155">
        <f t="shared" si="118"/>
        <v>112.5</v>
      </c>
      <c r="U168" s="2177">
        <f t="shared" si="119"/>
        <v>104.17028390270838</v>
      </c>
      <c r="V168" s="2178"/>
    </row>
    <row r="169" spans="2:22" ht="12.95" customHeight="1" outlineLevel="1">
      <c r="B169" s="2180" t="s">
        <v>1053</v>
      </c>
      <c r="C169" s="2163">
        <v>14</v>
      </c>
      <c r="D169" s="2189">
        <f t="shared" si="110"/>
        <v>77.777777777777786</v>
      </c>
      <c r="E169" s="2167">
        <v>20</v>
      </c>
      <c r="F169" s="2190">
        <f t="shared" si="111"/>
        <v>82.568807339449549</v>
      </c>
      <c r="G169" s="2168">
        <v>16</v>
      </c>
      <c r="H169" s="2189">
        <f t="shared" si="112"/>
        <v>100.69930069930069</v>
      </c>
      <c r="I169" s="2167">
        <v>14</v>
      </c>
      <c r="J169" s="2190">
        <f t="shared" si="113"/>
        <v>97.674418604651152</v>
      </c>
      <c r="K169" s="2168">
        <v>80</v>
      </c>
      <c r="L169" s="2189">
        <f t="shared" si="114"/>
        <v>86.746987951807213</v>
      </c>
      <c r="M169" s="2167">
        <v>11</v>
      </c>
      <c r="N169" s="2190">
        <f t="shared" si="115"/>
        <v>115.11627906976744</v>
      </c>
      <c r="O169" s="2168">
        <v>2</v>
      </c>
      <c r="P169" s="2189">
        <f t="shared" si="116"/>
        <v>100</v>
      </c>
      <c r="Q169" s="2167">
        <v>1050</v>
      </c>
      <c r="R169" s="2190">
        <f t="shared" si="117"/>
        <v>110.05291005291005</v>
      </c>
      <c r="S169" s="2168">
        <v>40</v>
      </c>
      <c r="T169" s="2189">
        <f t="shared" si="118"/>
        <v>81.818181818181827</v>
      </c>
      <c r="U169" s="2169">
        <f t="shared" si="119"/>
        <v>94.717184812649535</v>
      </c>
      <c r="V169" s="2178"/>
    </row>
    <row r="170" spans="2:22" ht="12.95" customHeight="1" outlineLevel="1">
      <c r="B170" s="2170" t="s">
        <v>150</v>
      </c>
      <c r="C170" s="2171">
        <v>16</v>
      </c>
      <c r="D170" s="2155">
        <f t="shared" si="110"/>
        <v>88.888888888888886</v>
      </c>
      <c r="E170" s="2175">
        <v>20</v>
      </c>
      <c r="F170" s="2157">
        <f t="shared" si="111"/>
        <v>82.568807339449549</v>
      </c>
      <c r="G170" s="2176">
        <v>17</v>
      </c>
      <c r="H170" s="2155">
        <f t="shared" si="112"/>
        <v>106.993006993007</v>
      </c>
      <c r="I170" s="2175">
        <v>13</v>
      </c>
      <c r="J170" s="2157">
        <f t="shared" si="113"/>
        <v>90.697674418604649</v>
      </c>
      <c r="K170" s="2176">
        <v>70</v>
      </c>
      <c r="L170" s="2155">
        <f t="shared" si="114"/>
        <v>75.903614457831324</v>
      </c>
      <c r="M170" s="2175">
        <v>8</v>
      </c>
      <c r="N170" s="2157">
        <f t="shared" si="115"/>
        <v>83.720930232558146</v>
      </c>
      <c r="O170" s="2176">
        <v>2</v>
      </c>
      <c r="P170" s="2155">
        <f t="shared" si="116"/>
        <v>100</v>
      </c>
      <c r="Q170" s="2175">
        <v>1100</v>
      </c>
      <c r="R170" s="2157">
        <f t="shared" si="117"/>
        <v>105.05050505050507</v>
      </c>
      <c r="S170" s="2176">
        <v>40</v>
      </c>
      <c r="T170" s="2155">
        <f t="shared" si="118"/>
        <v>81.818181818181827</v>
      </c>
      <c r="U170" s="2177">
        <f t="shared" si="119"/>
        <v>90.626845466558493</v>
      </c>
      <c r="V170" s="2178"/>
    </row>
    <row r="171" spans="2:22" ht="12.95" customHeight="1" outlineLevel="1">
      <c r="B171" s="2195" t="s">
        <v>3466</v>
      </c>
      <c r="C171" s="2163">
        <v>18</v>
      </c>
      <c r="D171" s="2189">
        <f t="shared" si="110"/>
        <v>100</v>
      </c>
      <c r="E171" s="2167">
        <v>22</v>
      </c>
      <c r="F171" s="2190">
        <f t="shared" si="111"/>
        <v>90.825688073394488</v>
      </c>
      <c r="G171" s="2168">
        <v>14</v>
      </c>
      <c r="H171" s="2189">
        <f t="shared" si="112"/>
        <v>88.111888111888121</v>
      </c>
      <c r="I171" s="2167">
        <v>14</v>
      </c>
      <c r="J171" s="2190">
        <f t="shared" si="113"/>
        <v>97.674418604651152</v>
      </c>
      <c r="K171" s="2168">
        <v>70</v>
      </c>
      <c r="L171" s="2189">
        <f t="shared" si="114"/>
        <v>75.903614457831324</v>
      </c>
      <c r="M171" s="2167">
        <v>11</v>
      </c>
      <c r="N171" s="2190">
        <f t="shared" si="115"/>
        <v>115.11627906976744</v>
      </c>
      <c r="O171" s="2168">
        <v>2</v>
      </c>
      <c r="P171" s="2189">
        <f t="shared" si="116"/>
        <v>100</v>
      </c>
      <c r="Q171" s="2167">
        <v>1100</v>
      </c>
      <c r="R171" s="2190">
        <f t="shared" si="117"/>
        <v>105.05050505050507</v>
      </c>
      <c r="S171" s="2168">
        <v>20</v>
      </c>
      <c r="T171" s="2189">
        <f t="shared" si="118"/>
        <v>40.909090909090914</v>
      </c>
      <c r="U171" s="2169">
        <f t="shared" si="119"/>
        <v>90.399053808569832</v>
      </c>
      <c r="V171" s="2178"/>
    </row>
    <row r="172" spans="2:22" ht="12.95" customHeight="1" outlineLevel="1" thickBot="1">
      <c r="B172" s="2170" t="s">
        <v>2669</v>
      </c>
      <c r="C172" s="2171">
        <v>15</v>
      </c>
      <c r="D172" s="2155">
        <f t="shared" si="110"/>
        <v>83.333333333333343</v>
      </c>
      <c r="E172" s="2175">
        <v>25</v>
      </c>
      <c r="F172" s="2157">
        <f t="shared" si="111"/>
        <v>103.21100917431194</v>
      </c>
      <c r="G172" s="2176">
        <v>15</v>
      </c>
      <c r="H172" s="2155">
        <f t="shared" si="112"/>
        <v>94.4055944055944</v>
      </c>
      <c r="I172" s="2175">
        <v>13</v>
      </c>
      <c r="J172" s="2157">
        <f t="shared" si="113"/>
        <v>90.697674418604649</v>
      </c>
      <c r="K172" s="2176">
        <v>80</v>
      </c>
      <c r="L172" s="2155">
        <f t="shared" si="114"/>
        <v>86.746987951807213</v>
      </c>
      <c r="M172" s="2175">
        <v>9</v>
      </c>
      <c r="N172" s="2157">
        <f t="shared" si="115"/>
        <v>94.186046511627907</v>
      </c>
      <c r="O172" s="2176">
        <v>2</v>
      </c>
      <c r="P172" s="2155">
        <f t="shared" si="116"/>
        <v>100</v>
      </c>
      <c r="Q172" s="2175">
        <v>800</v>
      </c>
      <c r="R172" s="2157">
        <f t="shared" si="117"/>
        <v>144.44444444444446</v>
      </c>
      <c r="S172" s="2176">
        <v>65</v>
      </c>
      <c r="T172" s="2155">
        <f t="shared" si="118"/>
        <v>132.95454545454547</v>
      </c>
      <c r="U172" s="2177">
        <f t="shared" si="119"/>
        <v>103.33107063269659</v>
      </c>
      <c r="V172" s="2178"/>
    </row>
    <row r="173" spans="2:22" ht="12.95" customHeight="1" thickBot="1">
      <c r="B173" s="2268" t="s">
        <v>7294</v>
      </c>
      <c r="C173" s="2185">
        <f>AVERAGE(C164:C172)</f>
        <v>18</v>
      </c>
      <c r="D173" s="2183"/>
      <c r="E173" s="2182">
        <f>AVERAGE(E164:E172)</f>
        <v>24.222222222222221</v>
      </c>
      <c r="F173" s="2184"/>
      <c r="G173" s="2185">
        <f>AVERAGE(G164:G172)</f>
        <v>15.888888888888889</v>
      </c>
      <c r="H173" s="2183"/>
      <c r="I173" s="2182">
        <f>AVERAGE(I164:I172)</f>
        <v>14.333333333333334</v>
      </c>
      <c r="J173" s="2184"/>
      <c r="K173" s="2185">
        <f>AVERAGE(K164:K172)</f>
        <v>92.222222222222229</v>
      </c>
      <c r="L173" s="2183"/>
      <c r="M173" s="2182">
        <f>AVERAGE(M164:M172)</f>
        <v>9.5555555555555554</v>
      </c>
      <c r="N173" s="2184"/>
      <c r="O173" s="2185">
        <f>AVERAGE(O164:O172)</f>
        <v>2</v>
      </c>
      <c r="P173" s="2183"/>
      <c r="Q173" s="2182">
        <f>AVERAGE(Q164:Q172)</f>
        <v>1155.5555555555557</v>
      </c>
      <c r="R173" s="2184"/>
      <c r="S173" s="2185">
        <f>AVERAGE(S164:S172)</f>
        <v>48.888888888888886</v>
      </c>
      <c r="T173" s="2183"/>
      <c r="U173" s="2192">
        <f>AVERAGE(U164:U172)</f>
        <v>100.45483768030878</v>
      </c>
      <c r="V173" s="2178"/>
    </row>
    <row r="174" spans="2:22" ht="12.95" customHeight="1">
      <c r="V174" s="2178"/>
    </row>
    <row r="175" spans="2:22" ht="12.95" customHeight="1" thickBot="1">
      <c r="B175" s="4280" t="s">
        <v>7306</v>
      </c>
      <c r="C175" s="4280"/>
      <c r="D175" s="4280"/>
      <c r="E175" s="4280"/>
      <c r="F175" s="4280"/>
      <c r="G175" s="4280"/>
      <c r="H175" s="4280"/>
      <c r="I175" s="4280"/>
      <c r="J175" s="4280"/>
      <c r="K175" s="4280"/>
      <c r="L175" s="4280"/>
      <c r="M175" s="4280"/>
      <c r="N175" s="4280"/>
      <c r="O175" s="4280"/>
      <c r="P175" s="4280"/>
      <c r="Q175" s="4280"/>
      <c r="R175" s="4280"/>
      <c r="S175" s="4280"/>
      <c r="T175" s="4280"/>
      <c r="U175" s="4280"/>
      <c r="V175" s="2178"/>
    </row>
    <row r="176" spans="2:22" s="2150" customFormat="1" ht="12.95" customHeight="1" outlineLevel="1" thickBot="1">
      <c r="B176" s="2266" t="s">
        <v>3476</v>
      </c>
      <c r="C176" s="2151" t="s">
        <v>7290</v>
      </c>
      <c r="D176" s="1898" t="s">
        <v>7291</v>
      </c>
      <c r="E176" s="2152" t="s">
        <v>7292</v>
      </c>
      <c r="F176" s="1899" t="s">
        <v>7291</v>
      </c>
      <c r="G176" s="2151" t="s">
        <v>119</v>
      </c>
      <c r="H176" s="1898" t="s">
        <v>7291</v>
      </c>
      <c r="I176" s="2152" t="s">
        <v>120</v>
      </c>
      <c r="J176" s="1899" t="s">
        <v>7291</v>
      </c>
      <c r="K176" s="2151" t="s">
        <v>1926</v>
      </c>
      <c r="L176" s="1898" t="s">
        <v>7291</v>
      </c>
      <c r="M176" s="2152" t="s">
        <v>1648</v>
      </c>
      <c r="N176" s="1899" t="s">
        <v>7291</v>
      </c>
      <c r="O176" s="2151" t="s">
        <v>4</v>
      </c>
      <c r="P176" s="1898" t="s">
        <v>7291</v>
      </c>
      <c r="Q176" s="2152" t="s">
        <v>1570</v>
      </c>
      <c r="R176" s="1899" t="s">
        <v>7291</v>
      </c>
      <c r="S176" s="2151" t="s">
        <v>3486</v>
      </c>
      <c r="T176" s="1898" t="s">
        <v>7291</v>
      </c>
      <c r="U176" s="163" t="s">
        <v>7293</v>
      </c>
      <c r="V176" s="2188"/>
    </row>
    <row r="177" spans="2:22" ht="12.95" customHeight="1" outlineLevel="1">
      <c r="B177" s="2153" t="s">
        <v>650</v>
      </c>
      <c r="C177" s="2154">
        <v>50</v>
      </c>
      <c r="D177" s="2155">
        <f t="shared" ref="D177:D189" si="120">C177/C$190*100</f>
        <v>127.45098039215685</v>
      </c>
      <c r="E177" s="2158">
        <v>50</v>
      </c>
      <c r="F177" s="2157">
        <f t="shared" ref="F177:F189" si="121">E177/E$190*100</f>
        <v>97.014925373134318</v>
      </c>
      <c r="G177" s="2159">
        <v>20</v>
      </c>
      <c r="H177" s="2155">
        <f t="shared" ref="H177:H189" si="122">G177/G$190*100</f>
        <v>85.808580858085818</v>
      </c>
      <c r="I177" s="2158">
        <v>20</v>
      </c>
      <c r="J177" s="2157">
        <f t="shared" ref="J177:J189" si="123">I177/I$190*100</f>
        <v>86.092715231788091</v>
      </c>
      <c r="K177" s="2159">
        <v>200</v>
      </c>
      <c r="L177" s="2155">
        <f t="shared" ref="L177:L189" si="124">K177/K$190*100</f>
        <v>57.080131723380902</v>
      </c>
      <c r="M177" s="2158">
        <v>12</v>
      </c>
      <c r="N177" s="2157">
        <f t="shared" ref="N177:N189" si="125">M177/M$190*100</f>
        <v>101.96078431372548</v>
      </c>
      <c r="O177" s="2159">
        <v>1</v>
      </c>
      <c r="P177" s="2155">
        <f t="shared" ref="P177:P189" si="126">O177/O$190*100</f>
        <v>92.857142857142861</v>
      </c>
      <c r="Q177" s="2158">
        <v>3100</v>
      </c>
      <c r="R177" s="2157">
        <f t="shared" ref="R177:R189" si="127">100/Q177*Q$190</f>
        <v>248.8833746898263</v>
      </c>
      <c r="S177" s="2159">
        <v>60</v>
      </c>
      <c r="T177" s="2155">
        <f t="shared" ref="T177:T189" si="128">S177/S$190*100</f>
        <v>135.65217391304347</v>
      </c>
      <c r="U177" s="2160">
        <f>AVERAGE(D177,F177,H177,J177,L177,N177,P177,R177,T177)</f>
        <v>114.7556454835871</v>
      </c>
      <c r="V177" s="2161">
        <f>LARGE(U177:U189,1)</f>
        <v>166.30888862843111</v>
      </c>
    </row>
    <row r="178" spans="2:22" ht="12.95" customHeight="1" outlineLevel="1">
      <c r="B178" s="2180" t="s">
        <v>3447</v>
      </c>
      <c r="C178" s="2163">
        <v>40</v>
      </c>
      <c r="D178" s="2189">
        <f t="shared" si="120"/>
        <v>101.96078431372548</v>
      </c>
      <c r="E178" s="2167">
        <v>50</v>
      </c>
      <c r="F178" s="2190">
        <f t="shared" si="121"/>
        <v>97.014925373134318</v>
      </c>
      <c r="G178" s="2168">
        <v>18</v>
      </c>
      <c r="H178" s="2189">
        <f t="shared" si="122"/>
        <v>77.227722772277232</v>
      </c>
      <c r="I178" s="2167">
        <v>18</v>
      </c>
      <c r="J178" s="2190">
        <f t="shared" si="123"/>
        <v>77.483443708609272</v>
      </c>
      <c r="K178" s="2168">
        <v>180</v>
      </c>
      <c r="L178" s="2189">
        <f t="shared" si="124"/>
        <v>51.37211855104281</v>
      </c>
      <c r="M178" s="2167">
        <v>10</v>
      </c>
      <c r="N178" s="2190">
        <f t="shared" si="125"/>
        <v>84.967320261437905</v>
      </c>
      <c r="O178" s="2168">
        <v>1</v>
      </c>
      <c r="P178" s="2189">
        <f t="shared" si="126"/>
        <v>92.857142857142861</v>
      </c>
      <c r="Q178" s="2167">
        <v>2500</v>
      </c>
      <c r="R178" s="2190">
        <f t="shared" si="127"/>
        <v>308.61538461538464</v>
      </c>
      <c r="S178" s="2168">
        <v>50</v>
      </c>
      <c r="T178" s="2189">
        <f t="shared" si="128"/>
        <v>113.04347826086956</v>
      </c>
      <c r="U178" s="2169">
        <f t="shared" ref="U178:U189" si="129">AVERAGE(D178,F178,H178,J178,L178,N178,P178,R178,T178)</f>
        <v>111.6158134126249</v>
      </c>
      <c r="V178" s="2161">
        <f>SMALL(U177:U189,1)</f>
        <v>95.832707134027359</v>
      </c>
    </row>
    <row r="179" spans="2:22" ht="12.95" customHeight="1" outlineLevel="1">
      <c r="B179" s="2170" t="s">
        <v>652</v>
      </c>
      <c r="C179" s="2171">
        <v>40</v>
      </c>
      <c r="D179" s="2155">
        <f t="shared" si="120"/>
        <v>101.96078431372548</v>
      </c>
      <c r="E179" s="2175">
        <v>60</v>
      </c>
      <c r="F179" s="2157">
        <f t="shared" si="121"/>
        <v>116.4179104477612</v>
      </c>
      <c r="G179" s="2176">
        <v>19</v>
      </c>
      <c r="H179" s="2155">
        <f t="shared" si="122"/>
        <v>81.518151815181511</v>
      </c>
      <c r="I179" s="2175">
        <v>16</v>
      </c>
      <c r="J179" s="2157">
        <f t="shared" si="123"/>
        <v>68.874172185430467</v>
      </c>
      <c r="K179" s="2176">
        <v>150</v>
      </c>
      <c r="L179" s="2155">
        <f t="shared" si="124"/>
        <v>42.810098792535676</v>
      </c>
      <c r="M179" s="2175">
        <v>7</v>
      </c>
      <c r="N179" s="2157">
        <f t="shared" si="125"/>
        <v>59.477124183006538</v>
      </c>
      <c r="O179" s="2176">
        <v>1</v>
      </c>
      <c r="P179" s="2155">
        <f t="shared" si="126"/>
        <v>92.857142857142861</v>
      </c>
      <c r="Q179" s="2175">
        <v>2100</v>
      </c>
      <c r="R179" s="2157">
        <f t="shared" si="127"/>
        <v>367.39926739926739</v>
      </c>
      <c r="S179" s="2176">
        <v>25</v>
      </c>
      <c r="T179" s="2155">
        <f t="shared" si="128"/>
        <v>56.521739130434781</v>
      </c>
      <c r="U179" s="2177">
        <f t="shared" si="129"/>
        <v>109.75959901383175</v>
      </c>
      <c r="V179" s="2178"/>
    </row>
    <row r="180" spans="2:22" ht="12.95" customHeight="1" outlineLevel="1">
      <c r="B180" s="2180" t="s">
        <v>899</v>
      </c>
      <c r="C180" s="2163">
        <v>25</v>
      </c>
      <c r="D180" s="2189">
        <f t="shared" si="120"/>
        <v>63.725490196078425</v>
      </c>
      <c r="E180" s="2167">
        <v>50</v>
      </c>
      <c r="F180" s="2190">
        <f t="shared" si="121"/>
        <v>97.014925373134318</v>
      </c>
      <c r="G180" s="2168">
        <v>17</v>
      </c>
      <c r="H180" s="2189">
        <f t="shared" si="122"/>
        <v>72.937293729372939</v>
      </c>
      <c r="I180" s="2167">
        <v>15</v>
      </c>
      <c r="J180" s="2190">
        <f t="shared" si="123"/>
        <v>64.569536423841072</v>
      </c>
      <c r="K180" s="2168">
        <v>150</v>
      </c>
      <c r="L180" s="2189">
        <f t="shared" si="124"/>
        <v>42.810098792535676</v>
      </c>
      <c r="M180" s="2167">
        <v>9</v>
      </c>
      <c r="N180" s="2190">
        <f t="shared" si="125"/>
        <v>76.470588235294116</v>
      </c>
      <c r="O180" s="2168">
        <v>1</v>
      </c>
      <c r="P180" s="2189">
        <f t="shared" si="126"/>
        <v>92.857142857142861</v>
      </c>
      <c r="Q180" s="2167">
        <v>1800</v>
      </c>
      <c r="R180" s="2190">
        <f t="shared" si="127"/>
        <v>428.63247863247858</v>
      </c>
      <c r="S180" s="2168">
        <v>20</v>
      </c>
      <c r="T180" s="2189">
        <f t="shared" si="128"/>
        <v>45.217391304347828</v>
      </c>
      <c r="U180" s="2169">
        <f t="shared" si="129"/>
        <v>109.35943839380289</v>
      </c>
      <c r="V180" s="2178"/>
    </row>
    <row r="181" spans="2:22" ht="12.95" customHeight="1" outlineLevel="1">
      <c r="B181" s="2170" t="s">
        <v>1941</v>
      </c>
      <c r="C181" s="2171">
        <v>30</v>
      </c>
      <c r="D181" s="2155">
        <f t="shared" si="120"/>
        <v>76.470588235294116</v>
      </c>
      <c r="E181" s="2175">
        <v>40</v>
      </c>
      <c r="F181" s="2157">
        <f t="shared" si="121"/>
        <v>77.611940298507463</v>
      </c>
      <c r="G181" s="2176">
        <v>19</v>
      </c>
      <c r="H181" s="2155">
        <f t="shared" si="122"/>
        <v>81.518151815181511</v>
      </c>
      <c r="I181" s="2175">
        <v>21</v>
      </c>
      <c r="J181" s="2157">
        <f t="shared" si="123"/>
        <v>90.397350993377486</v>
      </c>
      <c r="K181" s="2176">
        <v>160</v>
      </c>
      <c r="L181" s="2155">
        <f t="shared" si="124"/>
        <v>45.664105378704726</v>
      </c>
      <c r="M181" s="2175">
        <v>11</v>
      </c>
      <c r="N181" s="2157">
        <f t="shared" si="125"/>
        <v>93.464052287581694</v>
      </c>
      <c r="O181" s="2176">
        <v>1</v>
      </c>
      <c r="P181" s="2155">
        <f t="shared" si="126"/>
        <v>92.857142857142861</v>
      </c>
      <c r="Q181" s="2175">
        <v>2800</v>
      </c>
      <c r="R181" s="2157">
        <f t="shared" si="127"/>
        <v>275.54945054945051</v>
      </c>
      <c r="S181" s="2176">
        <v>55</v>
      </c>
      <c r="T181" s="2155">
        <f t="shared" si="128"/>
        <v>124.34782608695652</v>
      </c>
      <c r="U181" s="2177">
        <f t="shared" si="129"/>
        <v>106.43117872246631</v>
      </c>
      <c r="V181" s="2178"/>
    </row>
    <row r="182" spans="2:22" ht="12.95" customHeight="1" outlineLevel="1">
      <c r="B182" s="2180" t="s">
        <v>1100</v>
      </c>
      <c r="C182" s="2163">
        <v>40</v>
      </c>
      <c r="D182" s="2189">
        <f t="shared" si="120"/>
        <v>101.96078431372548</v>
      </c>
      <c r="E182" s="2167">
        <v>50</v>
      </c>
      <c r="F182" s="2190">
        <f t="shared" si="121"/>
        <v>97.014925373134318</v>
      </c>
      <c r="G182" s="2168">
        <v>19</v>
      </c>
      <c r="H182" s="2189">
        <f t="shared" si="122"/>
        <v>81.518151815181511</v>
      </c>
      <c r="I182" s="2167">
        <v>19</v>
      </c>
      <c r="J182" s="2190">
        <f t="shared" si="123"/>
        <v>81.788079470198682</v>
      </c>
      <c r="K182" s="2168">
        <v>180</v>
      </c>
      <c r="L182" s="2189">
        <f t="shared" si="124"/>
        <v>51.37211855104281</v>
      </c>
      <c r="M182" s="2167">
        <v>11</v>
      </c>
      <c r="N182" s="2190">
        <f t="shared" si="125"/>
        <v>93.464052287581694</v>
      </c>
      <c r="O182" s="2168">
        <v>1</v>
      </c>
      <c r="P182" s="2189">
        <f t="shared" si="126"/>
        <v>92.857142857142861</v>
      </c>
      <c r="Q182" s="2167">
        <v>2600</v>
      </c>
      <c r="R182" s="2190">
        <f t="shared" si="127"/>
        <v>296.74556213017752</v>
      </c>
      <c r="S182" s="2168">
        <v>50</v>
      </c>
      <c r="T182" s="2189">
        <f t="shared" si="128"/>
        <v>113.04347826086956</v>
      </c>
      <c r="U182" s="2169">
        <f t="shared" si="129"/>
        <v>112.19603278433939</v>
      </c>
      <c r="V182" s="2178"/>
    </row>
    <row r="183" spans="2:22" ht="12.95" customHeight="1" outlineLevel="1">
      <c r="B183" s="2170" t="s">
        <v>653</v>
      </c>
      <c r="C183" s="2171">
        <v>30</v>
      </c>
      <c r="D183" s="2155">
        <f t="shared" si="120"/>
        <v>76.470588235294116</v>
      </c>
      <c r="E183" s="2175">
        <v>50</v>
      </c>
      <c r="F183" s="2157">
        <f t="shared" si="121"/>
        <v>97.014925373134318</v>
      </c>
      <c r="G183" s="2176">
        <v>17</v>
      </c>
      <c r="H183" s="2155">
        <f t="shared" si="122"/>
        <v>72.937293729372939</v>
      </c>
      <c r="I183" s="2175">
        <v>17</v>
      </c>
      <c r="J183" s="2157">
        <f t="shared" si="123"/>
        <v>73.178807947019877</v>
      </c>
      <c r="K183" s="2176">
        <v>160</v>
      </c>
      <c r="L183" s="2155">
        <f t="shared" si="124"/>
        <v>45.664105378704726</v>
      </c>
      <c r="M183" s="2175">
        <v>6</v>
      </c>
      <c r="N183" s="2157">
        <f t="shared" si="125"/>
        <v>50.980392156862742</v>
      </c>
      <c r="O183" s="2176">
        <v>1</v>
      </c>
      <c r="P183" s="2155">
        <f t="shared" si="126"/>
        <v>92.857142857142861</v>
      </c>
      <c r="Q183" s="2175">
        <v>1500</v>
      </c>
      <c r="R183" s="2157">
        <f t="shared" si="127"/>
        <v>514.35897435897436</v>
      </c>
      <c r="S183" s="2176">
        <v>30</v>
      </c>
      <c r="T183" s="2155">
        <f t="shared" si="128"/>
        <v>67.826086956521735</v>
      </c>
      <c r="U183" s="2177">
        <f t="shared" si="129"/>
        <v>121.25425744366973</v>
      </c>
      <c r="V183" s="2178"/>
    </row>
    <row r="184" spans="2:22" ht="12.95" customHeight="1" outlineLevel="1">
      <c r="B184" s="2180" t="s">
        <v>651</v>
      </c>
      <c r="C184" s="2163">
        <v>25</v>
      </c>
      <c r="D184" s="2189">
        <f t="shared" si="120"/>
        <v>63.725490196078425</v>
      </c>
      <c r="E184" s="2167">
        <v>45</v>
      </c>
      <c r="F184" s="2190">
        <f t="shared" si="121"/>
        <v>87.31343283582089</v>
      </c>
      <c r="G184" s="2168">
        <v>16</v>
      </c>
      <c r="H184" s="2189">
        <f t="shared" si="122"/>
        <v>68.646864686468646</v>
      </c>
      <c r="I184" s="2167">
        <v>18</v>
      </c>
      <c r="J184" s="2190">
        <f t="shared" si="123"/>
        <v>77.483443708609272</v>
      </c>
      <c r="K184" s="2168">
        <v>175</v>
      </c>
      <c r="L184" s="2189">
        <f t="shared" si="124"/>
        <v>49.945115257958292</v>
      </c>
      <c r="M184" s="2167">
        <v>5</v>
      </c>
      <c r="N184" s="2190">
        <f t="shared" si="125"/>
        <v>42.483660130718953</v>
      </c>
      <c r="O184" s="2168">
        <v>1</v>
      </c>
      <c r="P184" s="2189">
        <f t="shared" si="126"/>
        <v>92.857142857142861</v>
      </c>
      <c r="Q184" s="2167">
        <v>2200</v>
      </c>
      <c r="R184" s="2190">
        <f t="shared" si="127"/>
        <v>350.69930069930069</v>
      </c>
      <c r="S184" s="2168">
        <v>40</v>
      </c>
      <c r="T184" s="2189">
        <f t="shared" si="128"/>
        <v>90.434782608695656</v>
      </c>
      <c r="U184" s="2169">
        <f t="shared" si="129"/>
        <v>102.62102588675485</v>
      </c>
      <c r="V184" s="2178"/>
    </row>
    <row r="185" spans="2:22" ht="12.95" customHeight="1" outlineLevel="1">
      <c r="B185" s="2170" t="s">
        <v>2670</v>
      </c>
      <c r="C185" s="2171">
        <v>30</v>
      </c>
      <c r="D185" s="2155">
        <f t="shared" si="120"/>
        <v>76.470588235294116</v>
      </c>
      <c r="E185" s="2175">
        <v>40</v>
      </c>
      <c r="F185" s="2157">
        <f t="shared" si="121"/>
        <v>77.611940298507463</v>
      </c>
      <c r="G185" s="2176">
        <v>18</v>
      </c>
      <c r="H185" s="2155">
        <f t="shared" si="122"/>
        <v>77.227722772277232</v>
      </c>
      <c r="I185" s="2175">
        <v>18</v>
      </c>
      <c r="J185" s="2157">
        <f t="shared" si="123"/>
        <v>77.483443708609272</v>
      </c>
      <c r="K185" s="2176">
        <v>150</v>
      </c>
      <c r="L185" s="2155">
        <f t="shared" si="124"/>
        <v>42.810098792535676</v>
      </c>
      <c r="M185" s="2175">
        <v>15</v>
      </c>
      <c r="N185" s="2157">
        <f t="shared" si="125"/>
        <v>127.45098039215685</v>
      </c>
      <c r="O185" s="2176">
        <v>2</v>
      </c>
      <c r="P185" s="2155">
        <f t="shared" si="126"/>
        <v>185.71428571428572</v>
      </c>
      <c r="Q185" s="2175">
        <v>1500</v>
      </c>
      <c r="R185" s="2157">
        <f t="shared" si="127"/>
        <v>514.35897435897436</v>
      </c>
      <c r="S185" s="2176">
        <v>25</v>
      </c>
      <c r="T185" s="2155">
        <f t="shared" si="128"/>
        <v>56.521739130434781</v>
      </c>
      <c r="U185" s="2177">
        <f t="shared" si="129"/>
        <v>137.29441926700838</v>
      </c>
      <c r="V185" s="2178"/>
    </row>
    <row r="186" spans="2:22" ht="12.95" customHeight="1" outlineLevel="1">
      <c r="B186" s="2195" t="s">
        <v>1985</v>
      </c>
      <c r="C186" s="2163">
        <v>20</v>
      </c>
      <c r="D186" s="2189">
        <f t="shared" si="120"/>
        <v>50.980392156862742</v>
      </c>
      <c r="E186" s="2167">
        <v>30</v>
      </c>
      <c r="F186" s="2190">
        <f t="shared" si="121"/>
        <v>58.208955223880601</v>
      </c>
      <c r="G186" s="2168">
        <v>20</v>
      </c>
      <c r="H186" s="2189">
        <f t="shared" si="122"/>
        <v>85.808580858085818</v>
      </c>
      <c r="I186" s="2167">
        <v>20</v>
      </c>
      <c r="J186" s="2190">
        <f t="shared" si="123"/>
        <v>86.092715231788091</v>
      </c>
      <c r="K186" s="2168">
        <v>500</v>
      </c>
      <c r="L186" s="2189">
        <f t="shared" si="124"/>
        <v>142.70032930845227</v>
      </c>
      <c r="M186" s="2167">
        <v>15</v>
      </c>
      <c r="N186" s="2190">
        <f t="shared" si="125"/>
        <v>127.45098039215685</v>
      </c>
      <c r="O186" s="2168">
        <v>1</v>
      </c>
      <c r="P186" s="2189">
        <f t="shared" si="126"/>
        <v>92.857142857142861</v>
      </c>
      <c r="Q186" s="2167">
        <v>10800</v>
      </c>
      <c r="R186" s="2190">
        <f t="shared" si="127"/>
        <v>71.438746438746435</v>
      </c>
      <c r="S186" s="2168">
        <v>65</v>
      </c>
      <c r="T186" s="2189">
        <f t="shared" si="128"/>
        <v>146.95652173913044</v>
      </c>
      <c r="U186" s="2169">
        <f t="shared" si="129"/>
        <v>95.832707134027359</v>
      </c>
      <c r="V186" s="2178"/>
    </row>
    <row r="187" spans="2:22" ht="12.95" customHeight="1" outlineLevel="1">
      <c r="B187" s="2200" t="s">
        <v>726</v>
      </c>
      <c r="C187" s="2201">
        <v>50</v>
      </c>
      <c r="D187" s="2155">
        <f t="shared" si="120"/>
        <v>127.45098039215685</v>
      </c>
      <c r="E187" s="2202">
        <v>50</v>
      </c>
      <c r="F187" s="2157">
        <f t="shared" si="121"/>
        <v>97.014925373134318</v>
      </c>
      <c r="G187" s="2203">
        <v>30</v>
      </c>
      <c r="H187" s="2155">
        <f t="shared" si="122"/>
        <v>128.71287128712871</v>
      </c>
      <c r="I187" s="2202">
        <v>30</v>
      </c>
      <c r="J187" s="2157">
        <f t="shared" si="123"/>
        <v>129.13907284768214</v>
      </c>
      <c r="K187" s="2203">
        <v>750</v>
      </c>
      <c r="L187" s="2155">
        <f t="shared" si="124"/>
        <v>214.05049396267839</v>
      </c>
      <c r="M187" s="2202">
        <v>17</v>
      </c>
      <c r="N187" s="2157">
        <f t="shared" si="125"/>
        <v>144.44444444444443</v>
      </c>
      <c r="O187" s="2203">
        <v>1</v>
      </c>
      <c r="P187" s="2155">
        <f t="shared" si="126"/>
        <v>92.857142857142861</v>
      </c>
      <c r="Q187" s="2202">
        <v>16400</v>
      </c>
      <c r="R187" s="2157">
        <f t="shared" si="127"/>
        <v>47.045028142589118</v>
      </c>
      <c r="S187" s="2203">
        <v>45</v>
      </c>
      <c r="T187" s="2155">
        <f t="shared" si="128"/>
        <v>101.7391304347826</v>
      </c>
      <c r="U187" s="2177">
        <f t="shared" si="129"/>
        <v>120.27267663797105</v>
      </c>
      <c r="V187" s="2178"/>
    </row>
    <row r="188" spans="2:22" ht="12.95" customHeight="1" outlineLevel="1">
      <c r="B188" s="2204" t="s">
        <v>3473</v>
      </c>
      <c r="C188" s="2205">
        <v>60</v>
      </c>
      <c r="D188" s="2189">
        <f t="shared" si="120"/>
        <v>152.94117647058823</v>
      </c>
      <c r="E188" s="2206">
        <v>75</v>
      </c>
      <c r="F188" s="2190">
        <f t="shared" si="121"/>
        <v>145.52238805970148</v>
      </c>
      <c r="G188" s="2207">
        <v>40</v>
      </c>
      <c r="H188" s="2189">
        <f t="shared" si="122"/>
        <v>171.61716171617164</v>
      </c>
      <c r="I188" s="2206">
        <v>40</v>
      </c>
      <c r="J188" s="2190">
        <f t="shared" si="123"/>
        <v>172.18543046357618</v>
      </c>
      <c r="K188" s="2207">
        <v>800</v>
      </c>
      <c r="L188" s="2189">
        <f t="shared" si="124"/>
        <v>228.32052689352361</v>
      </c>
      <c r="M188" s="2206">
        <v>16</v>
      </c>
      <c r="N188" s="2190">
        <f t="shared" si="125"/>
        <v>135.94771241830063</v>
      </c>
      <c r="O188" s="2207">
        <v>1</v>
      </c>
      <c r="P188" s="2189">
        <f t="shared" si="126"/>
        <v>92.857142857142861</v>
      </c>
      <c r="Q188" s="2206">
        <v>21000</v>
      </c>
      <c r="R188" s="2190">
        <f t="shared" si="127"/>
        <v>36.739926739926744</v>
      </c>
      <c r="S188" s="2207">
        <v>35</v>
      </c>
      <c r="T188" s="2189">
        <f t="shared" si="128"/>
        <v>79.130434782608688</v>
      </c>
      <c r="U188" s="2169">
        <f t="shared" si="129"/>
        <v>135.02910004461557</v>
      </c>
      <c r="V188" s="2178"/>
    </row>
    <row r="189" spans="2:22" ht="12.95" customHeight="1" outlineLevel="1" thickBot="1">
      <c r="B189" s="2191" t="s">
        <v>727</v>
      </c>
      <c r="C189" s="2171">
        <v>70</v>
      </c>
      <c r="D189" s="2155">
        <f t="shared" si="120"/>
        <v>178.43137254901958</v>
      </c>
      <c r="E189" s="2175">
        <v>80</v>
      </c>
      <c r="F189" s="2157">
        <f t="shared" si="121"/>
        <v>155.22388059701493</v>
      </c>
      <c r="G189" s="2176">
        <v>50</v>
      </c>
      <c r="H189" s="2155">
        <f t="shared" si="122"/>
        <v>214.52145214521451</v>
      </c>
      <c r="I189" s="2175">
        <v>50</v>
      </c>
      <c r="J189" s="2157">
        <f t="shared" si="123"/>
        <v>215.23178807947022</v>
      </c>
      <c r="K189" s="2176">
        <v>1000</v>
      </c>
      <c r="L189" s="2155">
        <f t="shared" si="124"/>
        <v>285.40065861690454</v>
      </c>
      <c r="M189" s="2175">
        <v>19</v>
      </c>
      <c r="N189" s="2157">
        <f t="shared" si="125"/>
        <v>161.43790849673201</v>
      </c>
      <c r="O189" s="2176">
        <v>1</v>
      </c>
      <c r="P189" s="2155">
        <f t="shared" si="126"/>
        <v>92.857142857142861</v>
      </c>
      <c r="Q189" s="2175">
        <v>32000</v>
      </c>
      <c r="R189" s="2157">
        <f t="shared" si="127"/>
        <v>24.110576923076923</v>
      </c>
      <c r="S189" s="2176">
        <v>75</v>
      </c>
      <c r="T189" s="2155">
        <f t="shared" si="128"/>
        <v>169.56521739130434</v>
      </c>
      <c r="U189" s="2177">
        <f t="shared" si="129"/>
        <v>166.30888862843111</v>
      </c>
      <c r="V189" s="2178"/>
    </row>
    <row r="190" spans="2:22" ht="12.95" customHeight="1" thickBot="1">
      <c r="B190" s="2268" t="s">
        <v>7294</v>
      </c>
      <c r="C190" s="2185">
        <f>AVERAGE(C177:C189)</f>
        <v>39.230769230769234</v>
      </c>
      <c r="D190" s="2185"/>
      <c r="E190" s="2185">
        <f>AVERAGE(E177:E189)</f>
        <v>51.53846153846154</v>
      </c>
      <c r="F190" s="2185"/>
      <c r="G190" s="2185">
        <f>AVERAGE(G177:G189)</f>
        <v>23.307692307692307</v>
      </c>
      <c r="H190" s="2185"/>
      <c r="I190" s="2185">
        <f>AVERAGE(I177:I189)</f>
        <v>23.23076923076923</v>
      </c>
      <c r="J190" s="2185"/>
      <c r="K190" s="2185">
        <f>AVERAGE(K177:K189)</f>
        <v>350.38461538461536</v>
      </c>
      <c r="L190" s="2185"/>
      <c r="M190" s="2185">
        <f>AVERAGE(M177:M189)</f>
        <v>11.76923076923077</v>
      </c>
      <c r="N190" s="2185"/>
      <c r="O190" s="2185">
        <f>AVERAGE(O177:O189)</f>
        <v>1.0769230769230769</v>
      </c>
      <c r="P190" s="2185"/>
      <c r="Q190" s="2185">
        <f>AVERAGE(Q177:Q189)</f>
        <v>7715.3846153846152</v>
      </c>
      <c r="R190" s="2185"/>
      <c r="S190" s="2185">
        <f>AVERAGE(S177:S189)</f>
        <v>44.230769230769234</v>
      </c>
      <c r="T190" s="2185"/>
      <c r="U190" s="2192">
        <f>AVERAGE(U177:U189)</f>
        <v>118.67159868101</v>
      </c>
      <c r="V190" s="2178"/>
    </row>
    <row r="191" spans="2:22" ht="12.95" customHeight="1">
      <c r="V191" s="2178"/>
    </row>
    <row r="192" spans="2:22" ht="12.95" customHeight="1" thickBot="1">
      <c r="B192" s="4280" t="s">
        <v>7307</v>
      </c>
      <c r="C192" s="4280"/>
      <c r="D192" s="4280"/>
      <c r="E192" s="4280"/>
      <c r="F192" s="4280"/>
      <c r="G192" s="4280"/>
      <c r="H192" s="4280"/>
      <c r="I192" s="4280"/>
      <c r="J192" s="4280"/>
      <c r="K192" s="4280"/>
      <c r="L192" s="4280"/>
      <c r="M192" s="4280"/>
      <c r="N192" s="4280"/>
      <c r="O192" s="4280"/>
      <c r="P192" s="4280"/>
      <c r="Q192" s="4280"/>
      <c r="R192" s="4280"/>
      <c r="S192" s="4280"/>
      <c r="T192" s="4280"/>
      <c r="U192" s="4280"/>
      <c r="V192" s="2178"/>
    </row>
    <row r="193" spans="2:22" s="2150" customFormat="1" ht="12.95" customHeight="1" outlineLevel="1" thickBot="1">
      <c r="B193" s="2266" t="s">
        <v>3476</v>
      </c>
      <c r="C193" s="2151" t="s">
        <v>7290</v>
      </c>
      <c r="D193" s="1898" t="s">
        <v>7291</v>
      </c>
      <c r="E193" s="2152" t="s">
        <v>7292</v>
      </c>
      <c r="F193" s="1899" t="s">
        <v>7291</v>
      </c>
      <c r="G193" s="2151" t="s">
        <v>119</v>
      </c>
      <c r="H193" s="1898" t="s">
        <v>7291</v>
      </c>
      <c r="I193" s="2152" t="s">
        <v>120</v>
      </c>
      <c r="J193" s="1899" t="s">
        <v>7291</v>
      </c>
      <c r="K193" s="2151" t="s">
        <v>1926</v>
      </c>
      <c r="L193" s="1898" t="s">
        <v>7291</v>
      </c>
      <c r="M193" s="2152" t="s">
        <v>1648</v>
      </c>
      <c r="N193" s="1899" t="s">
        <v>7291</v>
      </c>
      <c r="O193" s="2151" t="s">
        <v>4</v>
      </c>
      <c r="P193" s="1898" t="s">
        <v>7291</v>
      </c>
      <c r="Q193" s="2152" t="s">
        <v>1570</v>
      </c>
      <c r="R193" s="1899" t="s">
        <v>7291</v>
      </c>
      <c r="S193" s="2151" t="s">
        <v>3486</v>
      </c>
      <c r="T193" s="1898" t="s">
        <v>7291</v>
      </c>
      <c r="U193" s="163" t="s">
        <v>7293</v>
      </c>
      <c r="V193" s="2188"/>
    </row>
    <row r="194" spans="2:22" ht="12.95" customHeight="1" outlineLevel="1">
      <c r="B194" s="2196" t="s">
        <v>1220</v>
      </c>
      <c r="C194" s="2154">
        <v>50</v>
      </c>
      <c r="D194" s="2155">
        <f t="shared" ref="D194:D202" si="130">C194/C$203*100</f>
        <v>145.16129032258064</v>
      </c>
      <c r="E194" s="2158">
        <v>50</v>
      </c>
      <c r="F194" s="2157">
        <f t="shared" ref="F194:F202" si="131">E194/E$203*100</f>
        <v>103.44827586206895</v>
      </c>
      <c r="G194" s="2159">
        <v>30</v>
      </c>
      <c r="H194" s="2155">
        <f t="shared" ref="H194:H202" si="132">G194/G$203*100</f>
        <v>129.1866028708134</v>
      </c>
      <c r="I194" s="2158">
        <v>30</v>
      </c>
      <c r="J194" s="2157">
        <f t="shared" ref="J194:J202" si="133">I194/I$203*100</f>
        <v>129.80769230769232</v>
      </c>
      <c r="K194" s="2159">
        <v>250</v>
      </c>
      <c r="L194" s="2155">
        <f t="shared" ref="L194:L202" si="134">K194/K$203*100</f>
        <v>100</v>
      </c>
      <c r="M194" s="2158">
        <v>18</v>
      </c>
      <c r="N194" s="2157">
        <f t="shared" ref="N194:N202" si="135">M194/M$203*100</f>
        <v>126.5625</v>
      </c>
      <c r="O194" s="2159">
        <v>1</v>
      </c>
      <c r="P194" s="2155">
        <f t="shared" ref="P194:P202" si="136">O194/O$203*100</f>
        <v>89.999999999999986</v>
      </c>
      <c r="Q194" s="2158">
        <v>5300</v>
      </c>
      <c r="R194" s="2157">
        <f t="shared" ref="R194:R202" si="137">100/Q194*Q$203</f>
        <v>74.423480083857442</v>
      </c>
      <c r="S194" s="2159">
        <v>75</v>
      </c>
      <c r="T194" s="2155">
        <f t="shared" ref="T194:T202" si="138">S194/S$203*100</f>
        <v>156.97674418604649</v>
      </c>
      <c r="U194" s="2160">
        <f>AVERAGE(D194,F194,H194,J194,L194,N194,P194,R194,T194)</f>
        <v>117.28517618145104</v>
      </c>
      <c r="V194" s="2161">
        <f>LARGE(U194:U202,1)</f>
        <v>117.28517618145104</v>
      </c>
    </row>
    <row r="195" spans="2:22" ht="12.95" customHeight="1" outlineLevel="1">
      <c r="B195" s="2180" t="s">
        <v>842</v>
      </c>
      <c r="C195" s="2163">
        <v>40</v>
      </c>
      <c r="D195" s="2189">
        <f t="shared" si="130"/>
        <v>116.12903225806453</v>
      </c>
      <c r="E195" s="2167">
        <v>50</v>
      </c>
      <c r="F195" s="2190">
        <f t="shared" si="131"/>
        <v>103.44827586206895</v>
      </c>
      <c r="G195" s="2168">
        <v>27</v>
      </c>
      <c r="H195" s="2189">
        <f t="shared" si="132"/>
        <v>116.26794258373205</v>
      </c>
      <c r="I195" s="2167">
        <v>27</v>
      </c>
      <c r="J195" s="2190">
        <f t="shared" si="133"/>
        <v>116.82692307692308</v>
      </c>
      <c r="K195" s="2168">
        <v>250</v>
      </c>
      <c r="L195" s="2189">
        <f t="shared" si="134"/>
        <v>100</v>
      </c>
      <c r="M195" s="2167">
        <v>16</v>
      </c>
      <c r="N195" s="2190">
        <f t="shared" si="135"/>
        <v>112.5</v>
      </c>
      <c r="O195" s="2168">
        <v>1</v>
      </c>
      <c r="P195" s="2189">
        <f t="shared" si="136"/>
        <v>89.999999999999986</v>
      </c>
      <c r="Q195" s="2167">
        <v>4200</v>
      </c>
      <c r="R195" s="2190">
        <f t="shared" si="137"/>
        <v>93.915343915343911</v>
      </c>
      <c r="S195" s="2168">
        <v>25</v>
      </c>
      <c r="T195" s="2189">
        <f t="shared" si="138"/>
        <v>52.325581395348841</v>
      </c>
      <c r="U195" s="2169">
        <f t="shared" ref="U195:U202" si="139">AVERAGE(D195,F195,H195,J195,L195,N195,P195,R195,T195)</f>
        <v>100.1570110101646</v>
      </c>
      <c r="V195" s="2161">
        <f>SMALL(U194:U202,1)</f>
        <v>82.367985067454285</v>
      </c>
    </row>
    <row r="196" spans="2:22" ht="12.95" customHeight="1" outlineLevel="1">
      <c r="B196" s="2170" t="s">
        <v>1221</v>
      </c>
      <c r="C196" s="2171">
        <v>40</v>
      </c>
      <c r="D196" s="2155">
        <f t="shared" si="130"/>
        <v>116.12903225806453</v>
      </c>
      <c r="E196" s="2175">
        <v>60</v>
      </c>
      <c r="F196" s="2157">
        <f t="shared" si="131"/>
        <v>124.13793103448276</v>
      </c>
      <c r="G196" s="2176">
        <v>24</v>
      </c>
      <c r="H196" s="2155">
        <f t="shared" si="132"/>
        <v>103.34928229665073</v>
      </c>
      <c r="I196" s="2175">
        <v>24</v>
      </c>
      <c r="J196" s="2157">
        <f t="shared" si="133"/>
        <v>103.84615384615385</v>
      </c>
      <c r="K196" s="2176">
        <v>300</v>
      </c>
      <c r="L196" s="2155">
        <f t="shared" si="134"/>
        <v>120</v>
      </c>
      <c r="M196" s="2175">
        <v>11</v>
      </c>
      <c r="N196" s="2157">
        <f t="shared" si="135"/>
        <v>77.34375</v>
      </c>
      <c r="O196" s="2176">
        <v>1</v>
      </c>
      <c r="P196" s="2155">
        <f t="shared" si="136"/>
        <v>89.999999999999986</v>
      </c>
      <c r="Q196" s="2175">
        <v>5200</v>
      </c>
      <c r="R196" s="2157">
        <f t="shared" si="137"/>
        <v>75.854700854700852</v>
      </c>
      <c r="S196" s="2176">
        <v>65</v>
      </c>
      <c r="T196" s="2155">
        <f t="shared" si="138"/>
        <v>136.04651162790697</v>
      </c>
      <c r="U196" s="2177">
        <f t="shared" si="139"/>
        <v>105.1897068797733</v>
      </c>
    </row>
    <row r="197" spans="2:22" ht="12.95" customHeight="1" outlineLevel="1">
      <c r="B197" s="2180" t="s">
        <v>6432</v>
      </c>
      <c r="C197" s="2163">
        <v>25</v>
      </c>
      <c r="D197" s="2189">
        <f t="shared" si="130"/>
        <v>72.58064516129032</v>
      </c>
      <c r="E197" s="2167">
        <v>50</v>
      </c>
      <c r="F197" s="2190">
        <f t="shared" si="131"/>
        <v>103.44827586206895</v>
      </c>
      <c r="G197" s="2168">
        <v>19</v>
      </c>
      <c r="H197" s="2189">
        <f t="shared" si="132"/>
        <v>81.818181818181827</v>
      </c>
      <c r="I197" s="2167">
        <v>17</v>
      </c>
      <c r="J197" s="2190">
        <f t="shared" si="133"/>
        <v>73.557692307692307</v>
      </c>
      <c r="K197" s="2168">
        <v>200</v>
      </c>
      <c r="L197" s="2189">
        <f t="shared" si="134"/>
        <v>80</v>
      </c>
      <c r="M197" s="2167">
        <v>14</v>
      </c>
      <c r="N197" s="2190">
        <f t="shared" si="135"/>
        <v>98.4375</v>
      </c>
      <c r="O197" s="2168">
        <v>1</v>
      </c>
      <c r="P197" s="2189">
        <f t="shared" si="136"/>
        <v>89.999999999999986</v>
      </c>
      <c r="Q197" s="2167">
        <v>3100</v>
      </c>
      <c r="R197" s="2190">
        <f t="shared" si="137"/>
        <v>127.24014336917563</v>
      </c>
      <c r="S197" s="2168">
        <v>20</v>
      </c>
      <c r="T197" s="2189">
        <f t="shared" si="138"/>
        <v>41.860465116279066</v>
      </c>
      <c r="U197" s="2169">
        <f t="shared" si="139"/>
        <v>85.438100403854222</v>
      </c>
    </row>
    <row r="198" spans="2:22" ht="12.95" customHeight="1" outlineLevel="1">
      <c r="B198" s="2170" t="s">
        <v>1222</v>
      </c>
      <c r="C198" s="2171">
        <v>30</v>
      </c>
      <c r="D198" s="2155">
        <f t="shared" si="130"/>
        <v>87.096774193548384</v>
      </c>
      <c r="E198" s="2175">
        <v>40</v>
      </c>
      <c r="F198" s="2157">
        <f t="shared" si="131"/>
        <v>82.758620689655174</v>
      </c>
      <c r="G198" s="2176">
        <v>26</v>
      </c>
      <c r="H198" s="2155">
        <f t="shared" si="132"/>
        <v>111.96172248803829</v>
      </c>
      <c r="I198" s="2175">
        <v>28</v>
      </c>
      <c r="J198" s="2157">
        <f t="shared" si="133"/>
        <v>121.15384615384615</v>
      </c>
      <c r="K198" s="2176">
        <v>200</v>
      </c>
      <c r="L198" s="2155">
        <f t="shared" si="134"/>
        <v>80</v>
      </c>
      <c r="M198" s="2175">
        <v>17</v>
      </c>
      <c r="N198" s="2157">
        <f t="shared" si="135"/>
        <v>119.53125</v>
      </c>
      <c r="O198" s="2176">
        <v>1</v>
      </c>
      <c r="P198" s="2155">
        <f t="shared" si="136"/>
        <v>89.999999999999986</v>
      </c>
      <c r="Q198" s="2175">
        <v>4700</v>
      </c>
      <c r="R198" s="2157">
        <f t="shared" si="137"/>
        <v>83.924349881796687</v>
      </c>
      <c r="S198" s="2176">
        <v>50</v>
      </c>
      <c r="T198" s="2155">
        <f t="shared" si="138"/>
        <v>104.65116279069768</v>
      </c>
      <c r="U198" s="2177">
        <f t="shared" si="139"/>
        <v>97.897525133064704</v>
      </c>
    </row>
    <row r="199" spans="2:22" ht="12.95" customHeight="1" outlineLevel="1">
      <c r="B199" s="2180" t="s">
        <v>3462</v>
      </c>
      <c r="C199" s="2163">
        <v>40</v>
      </c>
      <c r="D199" s="2189">
        <f t="shared" si="130"/>
        <v>116.12903225806453</v>
      </c>
      <c r="E199" s="2167">
        <v>50</v>
      </c>
      <c r="F199" s="2190">
        <f t="shared" si="131"/>
        <v>103.44827586206895</v>
      </c>
      <c r="G199" s="2168">
        <v>25</v>
      </c>
      <c r="H199" s="2189">
        <f t="shared" si="132"/>
        <v>107.65550239234449</v>
      </c>
      <c r="I199" s="2167">
        <v>25</v>
      </c>
      <c r="J199" s="2190">
        <f t="shared" si="133"/>
        <v>108.17307692307692</v>
      </c>
      <c r="K199" s="2168">
        <v>300</v>
      </c>
      <c r="L199" s="2189">
        <f t="shared" si="134"/>
        <v>120</v>
      </c>
      <c r="M199" s="2167">
        <v>15</v>
      </c>
      <c r="N199" s="2190">
        <f t="shared" si="135"/>
        <v>105.46875</v>
      </c>
      <c r="O199" s="2168">
        <v>1</v>
      </c>
      <c r="P199" s="2189">
        <f t="shared" si="136"/>
        <v>89.999999999999986</v>
      </c>
      <c r="Q199" s="2167">
        <v>4200</v>
      </c>
      <c r="R199" s="2190">
        <f t="shared" si="137"/>
        <v>93.915343915343911</v>
      </c>
      <c r="S199" s="2168">
        <v>70</v>
      </c>
      <c r="T199" s="2189">
        <f t="shared" si="138"/>
        <v>146.51162790697674</v>
      </c>
      <c r="U199" s="2169">
        <f t="shared" si="139"/>
        <v>110.14462325087506</v>
      </c>
    </row>
    <row r="200" spans="2:22" ht="12.95" customHeight="1" outlineLevel="1">
      <c r="B200" s="2170" t="s">
        <v>151</v>
      </c>
      <c r="C200" s="2171">
        <v>30</v>
      </c>
      <c r="D200" s="2155">
        <f t="shared" si="130"/>
        <v>87.096774193548384</v>
      </c>
      <c r="E200" s="2175">
        <v>50</v>
      </c>
      <c r="F200" s="2157">
        <f t="shared" si="131"/>
        <v>103.44827586206895</v>
      </c>
      <c r="G200" s="2176">
        <v>19</v>
      </c>
      <c r="H200" s="2155">
        <f t="shared" si="132"/>
        <v>81.818181818181827</v>
      </c>
      <c r="I200" s="2175">
        <v>19</v>
      </c>
      <c r="J200" s="2157">
        <f t="shared" si="133"/>
        <v>82.211538461538453</v>
      </c>
      <c r="K200" s="2176">
        <v>300</v>
      </c>
      <c r="L200" s="2155">
        <f t="shared" si="134"/>
        <v>120</v>
      </c>
      <c r="M200" s="2175">
        <v>9</v>
      </c>
      <c r="N200" s="2157">
        <f t="shared" si="135"/>
        <v>63.28125</v>
      </c>
      <c r="O200" s="2176">
        <v>1</v>
      </c>
      <c r="P200" s="2155">
        <f t="shared" si="136"/>
        <v>89.999999999999986</v>
      </c>
      <c r="Q200" s="2175">
        <v>3100</v>
      </c>
      <c r="R200" s="2157">
        <f t="shared" si="137"/>
        <v>127.24014336917563</v>
      </c>
      <c r="S200" s="2176">
        <v>40</v>
      </c>
      <c r="T200" s="2155">
        <f t="shared" si="138"/>
        <v>83.720930232558132</v>
      </c>
      <c r="U200" s="2177">
        <f t="shared" si="139"/>
        <v>93.201899326341263</v>
      </c>
    </row>
    <row r="201" spans="2:22" ht="12.95" customHeight="1" outlineLevel="1">
      <c r="B201" s="2195" t="s">
        <v>2611</v>
      </c>
      <c r="C201" s="2163">
        <v>25</v>
      </c>
      <c r="D201" s="2189">
        <f t="shared" si="130"/>
        <v>72.58064516129032</v>
      </c>
      <c r="E201" s="2167">
        <v>45</v>
      </c>
      <c r="F201" s="2190">
        <f t="shared" si="131"/>
        <v>93.103448275862064</v>
      </c>
      <c r="G201" s="2168">
        <v>18</v>
      </c>
      <c r="H201" s="2189">
        <f t="shared" si="132"/>
        <v>77.511961722488039</v>
      </c>
      <c r="I201" s="2167">
        <v>20</v>
      </c>
      <c r="J201" s="2190">
        <f t="shared" si="133"/>
        <v>86.538461538461547</v>
      </c>
      <c r="K201" s="2168">
        <v>250</v>
      </c>
      <c r="L201" s="2189">
        <f t="shared" si="134"/>
        <v>100</v>
      </c>
      <c r="M201" s="2167">
        <v>7</v>
      </c>
      <c r="N201" s="2190">
        <f t="shared" si="135"/>
        <v>49.21875</v>
      </c>
      <c r="O201" s="2168">
        <v>1</v>
      </c>
      <c r="P201" s="2189">
        <f t="shared" si="136"/>
        <v>89.999999999999986</v>
      </c>
      <c r="Q201" s="2167">
        <v>3600</v>
      </c>
      <c r="R201" s="2190">
        <f t="shared" si="137"/>
        <v>109.5679012345679</v>
      </c>
      <c r="S201" s="2168">
        <v>30</v>
      </c>
      <c r="T201" s="2189">
        <f t="shared" si="138"/>
        <v>62.790697674418603</v>
      </c>
      <c r="U201" s="2169">
        <f t="shared" si="139"/>
        <v>82.367985067454285</v>
      </c>
    </row>
    <row r="202" spans="2:22" ht="12.95" customHeight="1" outlineLevel="1" thickBot="1">
      <c r="B202" s="2191" t="s">
        <v>1223</v>
      </c>
      <c r="C202" s="2171">
        <v>30</v>
      </c>
      <c r="D202" s="2155">
        <f t="shared" si="130"/>
        <v>87.096774193548384</v>
      </c>
      <c r="E202" s="2175">
        <v>40</v>
      </c>
      <c r="F202" s="2157">
        <f t="shared" si="131"/>
        <v>82.758620689655174</v>
      </c>
      <c r="G202" s="2176">
        <v>21</v>
      </c>
      <c r="H202" s="2155">
        <f t="shared" si="132"/>
        <v>90.43062200956939</v>
      </c>
      <c r="I202" s="2175">
        <v>18</v>
      </c>
      <c r="J202" s="2157">
        <f t="shared" si="133"/>
        <v>77.884615384615387</v>
      </c>
      <c r="K202" s="2176">
        <v>200</v>
      </c>
      <c r="L202" s="2155">
        <f t="shared" si="134"/>
        <v>80</v>
      </c>
      <c r="M202" s="2175">
        <v>21</v>
      </c>
      <c r="N202" s="2157">
        <f t="shared" si="135"/>
        <v>147.65625</v>
      </c>
      <c r="O202" s="2176">
        <v>2</v>
      </c>
      <c r="P202" s="2155">
        <f t="shared" si="136"/>
        <v>179.99999999999997</v>
      </c>
      <c r="Q202" s="2175">
        <v>2100</v>
      </c>
      <c r="R202" s="2157">
        <f t="shared" si="137"/>
        <v>187.83068783068782</v>
      </c>
      <c r="S202" s="2176">
        <v>55</v>
      </c>
      <c r="T202" s="2155">
        <f t="shared" si="138"/>
        <v>115.11627906976744</v>
      </c>
      <c r="U202" s="2177">
        <f t="shared" si="139"/>
        <v>116.53042768642707</v>
      </c>
    </row>
    <row r="203" spans="2:22" ht="12.95" customHeight="1" thickBot="1">
      <c r="B203" s="2268" t="s">
        <v>7294</v>
      </c>
      <c r="C203" s="2185">
        <f>AVERAGE(C194:C202)</f>
        <v>34.444444444444443</v>
      </c>
      <c r="D203" s="2183"/>
      <c r="E203" s="2182">
        <f>AVERAGE(E194:E202)</f>
        <v>48.333333333333336</v>
      </c>
      <c r="F203" s="2184"/>
      <c r="G203" s="2185">
        <f>AVERAGE(G194:G202)</f>
        <v>23.222222222222221</v>
      </c>
      <c r="H203" s="2183"/>
      <c r="I203" s="2182">
        <f>AVERAGE(I194:I202)</f>
        <v>23.111111111111111</v>
      </c>
      <c r="J203" s="2184"/>
      <c r="K203" s="2185">
        <f>AVERAGE(K194:K202)</f>
        <v>250</v>
      </c>
      <c r="L203" s="2183"/>
      <c r="M203" s="2182">
        <f>AVERAGE(M194:M202)</f>
        <v>14.222222222222221</v>
      </c>
      <c r="N203" s="2184"/>
      <c r="O203" s="2185">
        <f>AVERAGE(O194:O202)</f>
        <v>1.1111111111111112</v>
      </c>
      <c r="P203" s="2183"/>
      <c r="Q203" s="2182">
        <f>AVERAGE(Q194:Q202)</f>
        <v>3944.4444444444443</v>
      </c>
      <c r="R203" s="2184"/>
      <c r="S203" s="2185">
        <f>AVERAGE(S194:S202)</f>
        <v>47.777777777777779</v>
      </c>
      <c r="T203" s="2183"/>
      <c r="U203" s="2192">
        <f>AVERAGE(U194:U202)</f>
        <v>100.91249499326727</v>
      </c>
    </row>
    <row r="204" spans="2:22" ht="12.95" customHeight="1"/>
    <row r="205" spans="2:22" ht="16.5" thickBot="1">
      <c r="B205" s="4281" t="s">
        <v>7308</v>
      </c>
      <c r="C205" s="4281"/>
      <c r="D205" s="4281"/>
      <c r="E205" s="4281"/>
      <c r="F205" s="4281"/>
      <c r="G205" s="4281"/>
      <c r="H205" s="4281"/>
      <c r="I205" s="4281"/>
      <c r="J205" s="4281"/>
      <c r="K205" s="4281"/>
      <c r="L205" s="4281"/>
      <c r="M205" s="4281"/>
      <c r="N205" s="4281"/>
      <c r="O205" s="4281"/>
      <c r="P205" s="4281"/>
      <c r="Q205" s="4281"/>
      <c r="R205" s="4281"/>
      <c r="S205" s="4281"/>
      <c r="T205" s="4281"/>
      <c r="U205" s="4281"/>
    </row>
    <row r="206" spans="2:22" ht="12.95" customHeight="1" thickBot="1">
      <c r="B206" s="2269" t="s">
        <v>310</v>
      </c>
      <c r="C206" s="4282" t="s">
        <v>2156</v>
      </c>
      <c r="D206" s="4283"/>
      <c r="E206" s="4283" t="s">
        <v>893</v>
      </c>
      <c r="F206" s="4283"/>
      <c r="G206" s="4283" t="s">
        <v>2141</v>
      </c>
      <c r="H206" s="4283"/>
      <c r="I206" s="4283" t="s">
        <v>625</v>
      </c>
      <c r="J206" s="4283"/>
      <c r="K206" s="4283" t="s">
        <v>2557</v>
      </c>
      <c r="L206" s="4283"/>
      <c r="M206" s="4283" t="s">
        <v>626</v>
      </c>
      <c r="N206" s="4283"/>
      <c r="O206" s="4283" t="s">
        <v>627</v>
      </c>
      <c r="P206" s="4283"/>
      <c r="Q206" s="4283" t="s">
        <v>628</v>
      </c>
      <c r="R206" s="4283"/>
      <c r="S206" s="4283" t="s">
        <v>2259</v>
      </c>
      <c r="T206" s="4284"/>
      <c r="U206" s="2208" t="s">
        <v>506</v>
      </c>
      <c r="V206" s="2209">
        <f>LARGE(C207:U207,1)</f>
        <v>108.69918114066412</v>
      </c>
    </row>
    <row r="207" spans="2:22" ht="12.95" customHeight="1" thickBot="1">
      <c r="B207" s="2270" t="s">
        <v>7293</v>
      </c>
      <c r="C207" s="4285">
        <f>(U10+U25+U38+U53+U66+U81+U94+U108+U121+U136+U149+U164+U177+U194)/14</f>
        <v>103.99522273025876</v>
      </c>
      <c r="D207" s="4286"/>
      <c r="E207" s="4287">
        <f>(U11+U26+U39+U54+U67+U82+U95+U109+U122+U137+U150+U165+U195+U178)/14</f>
        <v>103.57103848910572</v>
      </c>
      <c r="F207" s="4288"/>
      <c r="G207" s="4289">
        <f>(U12+U27+U40+U55+U68+U83+U96+U110+U123+U138+U151+U166+U179+U196)/14</f>
        <v>103.77420704968135</v>
      </c>
      <c r="H207" s="4286"/>
      <c r="I207" s="4289">
        <f>(U13+U28+U41+U56+U69+U84+U97+U111+U124+U139+U152+U167+U180+U197)/14</f>
        <v>102.25464369854708</v>
      </c>
      <c r="J207" s="4286"/>
      <c r="K207" s="4290">
        <f>(U14+U29+U42+U57+U70+U85+U98+U112+U125+U140+U153+U168+U181+U198)/14</f>
        <v>97.616233130191887</v>
      </c>
      <c r="L207" s="4291"/>
      <c r="M207" s="4287">
        <f>(U15+U30+U43+U58+U71+U86+U99+U113+U126+U141+U154+U169+U182+U199)/14</f>
        <v>100.90337732010673</v>
      </c>
      <c r="N207" s="4288"/>
      <c r="O207" s="4287">
        <f>(U16+U31+U44+U59+U72+U87+U100+U114+U127+U142+U155+U170+U183+U200)/14</f>
        <v>97.742335308346057</v>
      </c>
      <c r="P207" s="4288"/>
      <c r="Q207" s="4287">
        <f>(U17+U32+U45+U60+U73+U88+U101+U115+U128+U143+U156+U171+U184+U201)/14</f>
        <v>101.00256746069353</v>
      </c>
      <c r="R207" s="4288"/>
      <c r="S207" s="4292">
        <f>(U18+U33+U46+U61+U74+U89+U102+U116+U129+U144+U157+U172+U185+U202)/14</f>
        <v>104.45910799019407</v>
      </c>
      <c r="T207" s="4293"/>
      <c r="U207" s="2280">
        <f>(U19+U20+U47+U48+U75+U76+U103+U130+U131+U158+U159+U186+U187+U188+U189)/15</f>
        <v>108.69918114066412</v>
      </c>
      <c r="V207" s="2209">
        <f>SMALL(C207:U207,1)</f>
        <v>97.616233130191887</v>
      </c>
    </row>
    <row r="208" spans="2:22" ht="12.95" customHeight="1"/>
    <row r="209" spans="2:21" ht="16.5" thickBot="1">
      <c r="B209" s="4281" t="s">
        <v>10003</v>
      </c>
      <c r="C209" s="4281"/>
      <c r="D209" s="4281"/>
      <c r="E209" s="4281"/>
      <c r="F209" s="4281"/>
      <c r="G209" s="4281"/>
      <c r="H209" s="4281"/>
      <c r="I209" s="4281"/>
      <c r="J209" s="4281"/>
      <c r="K209" s="4281"/>
      <c r="L209" s="4281"/>
      <c r="M209" s="4281"/>
      <c r="N209" s="4281"/>
      <c r="O209" s="4281"/>
      <c r="P209" s="4281"/>
      <c r="Q209" s="4281"/>
      <c r="R209" s="4281"/>
      <c r="S209" s="4281"/>
      <c r="T209" s="4281"/>
      <c r="U209" s="4281"/>
    </row>
    <row r="210" spans="2:21" ht="12.95" customHeight="1" thickBot="1">
      <c r="B210" s="2271" t="s">
        <v>3476</v>
      </c>
      <c r="C210" s="2272" t="s">
        <v>7293</v>
      </c>
      <c r="D210" s="4294" t="s">
        <v>3476</v>
      </c>
      <c r="E210" s="4295"/>
      <c r="F210" s="4295"/>
      <c r="G210" s="4295"/>
      <c r="H210" s="4295"/>
      <c r="I210" s="2273" t="s">
        <v>7293</v>
      </c>
      <c r="J210" s="4296" t="s">
        <v>3476</v>
      </c>
      <c r="K210" s="4295"/>
      <c r="L210" s="4295"/>
      <c r="M210" s="4295"/>
      <c r="N210" s="4295"/>
      <c r="O210" s="2272" t="s">
        <v>7293</v>
      </c>
      <c r="P210" s="4294" t="s">
        <v>3476</v>
      </c>
      <c r="Q210" s="4295"/>
      <c r="R210" s="4295"/>
      <c r="S210" s="4295"/>
      <c r="T210" s="4295"/>
      <c r="U210" s="2274" t="s">
        <v>7293</v>
      </c>
    </row>
    <row r="211" spans="2:21" ht="13.5" thickBot="1">
      <c r="B211" s="2276" t="s">
        <v>2611</v>
      </c>
      <c r="C211" s="2277">
        <f>U201</f>
        <v>82.367985067454285</v>
      </c>
      <c r="D211" s="4276" t="s">
        <v>3467</v>
      </c>
      <c r="E211" s="4277"/>
      <c r="F211" s="4277"/>
      <c r="G211" s="4277"/>
      <c r="H211" s="4277"/>
      <c r="I211" s="2219">
        <f>U44</f>
        <v>95.93773624923557</v>
      </c>
      <c r="J211" s="4278" t="s">
        <v>379</v>
      </c>
      <c r="K211" s="4277"/>
      <c r="L211" s="4277"/>
      <c r="M211" s="4277"/>
      <c r="N211" s="4277"/>
      <c r="O211" s="2275">
        <f>U47</f>
        <v>101.93014415702054</v>
      </c>
      <c r="P211" s="4276" t="s">
        <v>1540</v>
      </c>
      <c r="Q211" s="4277"/>
      <c r="R211" s="4277"/>
      <c r="S211" s="4277"/>
      <c r="T211" s="4277"/>
      <c r="U211" s="2219">
        <f>U17</f>
        <v>108.251249004483</v>
      </c>
    </row>
    <row r="212" spans="2:21">
      <c r="B212" s="2229" t="s">
        <v>3469</v>
      </c>
      <c r="C212" s="2226">
        <f>U87</f>
        <v>83.453457035150905</v>
      </c>
      <c r="D212" s="3606" t="s">
        <v>2152</v>
      </c>
      <c r="E212" s="3607"/>
      <c r="F212" s="3607"/>
      <c r="G212" s="3607"/>
      <c r="H212" s="3607"/>
      <c r="I212" s="2213">
        <f>U94</f>
        <v>95.707996444140662</v>
      </c>
      <c r="J212" s="4279" t="s">
        <v>3465</v>
      </c>
      <c r="K212" s="3607"/>
      <c r="L212" s="3607"/>
      <c r="M212" s="3607"/>
      <c r="N212" s="3607"/>
      <c r="O212" s="2212">
        <f>U60</f>
        <v>102.3751303167826</v>
      </c>
      <c r="P212" s="3606" t="s">
        <v>3444</v>
      </c>
      <c r="Q212" s="3607"/>
      <c r="R212" s="3607"/>
      <c r="S212" s="3607"/>
      <c r="T212" s="3607"/>
      <c r="U212" s="2213">
        <f>U26</f>
        <v>107.56586913994323</v>
      </c>
    </row>
    <row r="213" spans="2:21">
      <c r="B213" s="1104" t="s">
        <v>2667</v>
      </c>
      <c r="C213" s="2215">
        <f>U129</f>
        <v>82.751037178298759</v>
      </c>
      <c r="D213" s="3608" t="s">
        <v>2322</v>
      </c>
      <c r="E213" s="3609"/>
      <c r="F213" s="3609"/>
      <c r="G213" s="3609"/>
      <c r="H213" s="3609"/>
      <c r="I213" s="2215">
        <f>U100</f>
        <v>96.453440791964141</v>
      </c>
      <c r="J213" s="3851" t="s">
        <v>2844</v>
      </c>
      <c r="K213" s="3609"/>
      <c r="L213" s="3609"/>
      <c r="M213" s="3609"/>
      <c r="N213" s="3609"/>
      <c r="O213" s="2214">
        <f>U67</f>
        <v>102.37914098478535</v>
      </c>
      <c r="P213" s="3608" t="s">
        <v>3468</v>
      </c>
      <c r="Q213" s="3609"/>
      <c r="R213" s="3609"/>
      <c r="S213" s="3609"/>
      <c r="T213" s="3609"/>
      <c r="U213" s="2215">
        <f>U59</f>
        <v>107.65073639750085</v>
      </c>
    </row>
    <row r="214" spans="2:21" ht="13.5" thickBot="1">
      <c r="B214" s="2221" t="s">
        <v>3471</v>
      </c>
      <c r="C214" s="2222">
        <f>U144</f>
        <v>83.267197295627014</v>
      </c>
      <c r="D214" s="3606" t="s">
        <v>1519</v>
      </c>
      <c r="E214" s="3607"/>
      <c r="F214" s="3607"/>
      <c r="G214" s="3607"/>
      <c r="H214" s="3607"/>
      <c r="I214" s="2213">
        <f>U112</f>
        <v>95.710022485006093</v>
      </c>
      <c r="J214" s="4279" t="s">
        <v>901</v>
      </c>
      <c r="K214" s="3607"/>
      <c r="L214" s="3607"/>
      <c r="M214" s="3607"/>
      <c r="N214" s="3607"/>
      <c r="O214" s="2212">
        <f>U76</f>
        <v>102.39973375197752</v>
      </c>
      <c r="P214" s="4297" t="s">
        <v>566</v>
      </c>
      <c r="Q214" s="4298"/>
      <c r="R214" s="4298"/>
      <c r="S214" s="4298"/>
      <c r="T214" s="4298"/>
      <c r="U214" s="2218">
        <f>U151</f>
        <v>108.27415203039426</v>
      </c>
    </row>
    <row r="215" spans="2:21" ht="13.5" thickBot="1">
      <c r="B215" s="2278" t="s">
        <v>1534</v>
      </c>
      <c r="C215" s="2279">
        <f>U14</f>
        <v>83.775297662746567</v>
      </c>
      <c r="D215" s="3608" t="s">
        <v>1062</v>
      </c>
      <c r="E215" s="3609"/>
      <c r="F215" s="3609"/>
      <c r="G215" s="3609"/>
      <c r="H215" s="3609"/>
      <c r="I215" s="2215">
        <f>U155</f>
        <v>95.618386347468515</v>
      </c>
      <c r="J215" s="3851" t="s">
        <v>2323</v>
      </c>
      <c r="K215" s="3609"/>
      <c r="L215" s="3609"/>
      <c r="M215" s="3609"/>
      <c r="N215" s="3609"/>
      <c r="O215" s="2214">
        <f>U85</f>
        <v>102.3906952064095</v>
      </c>
      <c r="P215" s="4276" t="s">
        <v>612</v>
      </c>
      <c r="Q215" s="4277"/>
      <c r="R215" s="4277"/>
      <c r="S215" s="4277"/>
      <c r="T215" s="4277"/>
      <c r="U215" s="2219">
        <f>U88</f>
        <v>109.17893194067317</v>
      </c>
    </row>
    <row r="216" spans="2:21" ht="13.5" thickBot="1">
      <c r="B216" s="2224" t="s">
        <v>6432</v>
      </c>
      <c r="C216" s="2225">
        <f>U197</f>
        <v>85.438100403854222</v>
      </c>
      <c r="D216" s="4297" t="s">
        <v>1985</v>
      </c>
      <c r="E216" s="4298"/>
      <c r="F216" s="4298"/>
      <c r="G216" s="4298"/>
      <c r="H216" s="4298"/>
      <c r="I216" s="2218">
        <f>U186</f>
        <v>95.832707134027359</v>
      </c>
      <c r="J216" s="4279" t="s">
        <v>3451</v>
      </c>
      <c r="K216" s="3607"/>
      <c r="L216" s="3607"/>
      <c r="M216" s="3607"/>
      <c r="N216" s="3607"/>
      <c r="O216" s="2212">
        <f>U110</f>
        <v>102.31618073376291</v>
      </c>
      <c r="P216" s="3606" t="s">
        <v>149</v>
      </c>
      <c r="Q216" s="3607"/>
      <c r="R216" s="3607"/>
      <c r="S216" s="3607"/>
      <c r="T216" s="3607"/>
      <c r="U216" s="2213">
        <f>U142</f>
        <v>109.05618736188511</v>
      </c>
    </row>
    <row r="217" spans="2:21" ht="13.5" thickBot="1">
      <c r="B217" s="2278" t="s">
        <v>2534</v>
      </c>
      <c r="C217" s="2279">
        <f>U158</f>
        <v>87.011292777804485</v>
      </c>
      <c r="D217" s="4276" t="s">
        <v>1537</v>
      </c>
      <c r="E217" s="4277"/>
      <c r="F217" s="4277"/>
      <c r="G217" s="4277"/>
      <c r="H217" s="4277"/>
      <c r="I217" s="2219">
        <f>U15</f>
        <v>97.200458715626581</v>
      </c>
      <c r="J217" s="3851" t="s">
        <v>640</v>
      </c>
      <c r="K217" s="3609"/>
      <c r="L217" s="3609"/>
      <c r="M217" s="3609"/>
      <c r="N217" s="3609"/>
      <c r="O217" s="2214">
        <f>U131</f>
        <v>102.17270833930239</v>
      </c>
      <c r="P217" s="3610" t="s">
        <v>899</v>
      </c>
      <c r="Q217" s="3611"/>
      <c r="R217" s="3611"/>
      <c r="S217" s="3611"/>
      <c r="T217" s="3611"/>
      <c r="U217" s="2227">
        <f>U180</f>
        <v>109.35943839380289</v>
      </c>
    </row>
    <row r="218" spans="2:21" ht="13.5" thickBot="1">
      <c r="B218" s="2224" t="s">
        <v>1539</v>
      </c>
      <c r="C218" s="2225">
        <f>U31</f>
        <v>88.4331842665176</v>
      </c>
      <c r="D218" s="3606" t="s">
        <v>2665</v>
      </c>
      <c r="E218" s="3607"/>
      <c r="F218" s="3607"/>
      <c r="G218" s="3607"/>
      <c r="H218" s="3607"/>
      <c r="I218" s="2213">
        <f>U89</f>
        <v>96.723467665410823</v>
      </c>
      <c r="J218" s="4301" t="s">
        <v>1063</v>
      </c>
      <c r="K218" s="4298"/>
      <c r="L218" s="4298"/>
      <c r="M218" s="4298"/>
      <c r="N218" s="4298"/>
      <c r="O218" s="2217">
        <f>U159</f>
        <v>102.46799100432419</v>
      </c>
      <c r="P218" s="4304" t="s">
        <v>643</v>
      </c>
      <c r="Q218" s="4303"/>
      <c r="R218" s="4303"/>
      <c r="S218" s="4303"/>
      <c r="T218" s="4303"/>
      <c r="U218" s="2228">
        <f>U126</f>
        <v>110.15647044197262</v>
      </c>
    </row>
    <row r="219" spans="2:21">
      <c r="B219" s="1103" t="s">
        <v>3472</v>
      </c>
      <c r="C219" s="2210">
        <f>U48</f>
        <v>88.973978787968463</v>
      </c>
      <c r="D219" s="3608" t="s">
        <v>490</v>
      </c>
      <c r="E219" s="3609"/>
      <c r="F219" s="3609"/>
      <c r="G219" s="3609"/>
      <c r="H219" s="3609"/>
      <c r="I219" s="2215">
        <f>U99</f>
        <v>97.260162940474402</v>
      </c>
      <c r="J219" s="4276" t="s">
        <v>2015</v>
      </c>
      <c r="K219" s="4277"/>
      <c r="L219" s="4277"/>
      <c r="M219" s="4277"/>
      <c r="N219" s="4277"/>
      <c r="O219" s="2219">
        <f>U19</f>
        <v>103.49505295515728</v>
      </c>
      <c r="P219" s="3608" t="s">
        <v>3453</v>
      </c>
      <c r="Q219" s="3609"/>
      <c r="R219" s="3609"/>
      <c r="S219" s="3609"/>
      <c r="T219" s="3609"/>
      <c r="U219" s="2215">
        <f>U166</f>
        <v>109.98375728722334</v>
      </c>
    </row>
    <row r="220" spans="2:21" ht="13.5" thickBot="1">
      <c r="B220" s="2216" t="s">
        <v>376</v>
      </c>
      <c r="C220" s="2217">
        <f>U56</f>
        <v>88.841986654109178</v>
      </c>
      <c r="D220" s="3606" t="s">
        <v>3460</v>
      </c>
      <c r="E220" s="3607"/>
      <c r="F220" s="3607"/>
      <c r="G220" s="3607"/>
      <c r="H220" s="3607"/>
      <c r="I220" s="2213">
        <f>U113</f>
        <v>97.247842772410962</v>
      </c>
      <c r="J220" s="3606" t="s">
        <v>1533</v>
      </c>
      <c r="K220" s="3607"/>
      <c r="L220" s="3607"/>
      <c r="M220" s="3607"/>
      <c r="N220" s="3607"/>
      <c r="O220" s="2213">
        <f>U27</f>
        <v>102.63580680247348</v>
      </c>
      <c r="P220" s="3606" t="s">
        <v>652</v>
      </c>
      <c r="Q220" s="3607"/>
      <c r="R220" s="3607"/>
      <c r="S220" s="3607"/>
      <c r="T220" s="3607"/>
      <c r="U220" s="2213">
        <f>U179</f>
        <v>109.75959901383175</v>
      </c>
    </row>
    <row r="221" spans="2:21" ht="13.5" thickBot="1">
      <c r="B221" s="2220" t="s">
        <v>1535</v>
      </c>
      <c r="C221" s="2219">
        <f>U29</f>
        <v>89.690213301324405</v>
      </c>
      <c r="D221" s="3610" t="s">
        <v>654</v>
      </c>
      <c r="E221" s="3611"/>
      <c r="F221" s="3611"/>
      <c r="G221" s="3611"/>
      <c r="H221" s="3611"/>
      <c r="I221" s="2227">
        <f>U164</f>
        <v>97.411307705057197</v>
      </c>
      <c r="J221" s="3608" t="s">
        <v>1817</v>
      </c>
      <c r="K221" s="3609"/>
      <c r="L221" s="3609"/>
      <c r="M221" s="3609"/>
      <c r="N221" s="3609"/>
      <c r="O221" s="2215">
        <f>U96</f>
        <v>103.27377385988244</v>
      </c>
      <c r="P221" s="4305" t="s">
        <v>3462</v>
      </c>
      <c r="Q221" s="3334"/>
      <c r="R221" s="3334"/>
      <c r="S221" s="3334"/>
      <c r="T221" s="3334"/>
      <c r="U221" s="2231">
        <f>U199</f>
        <v>110.14462325087506</v>
      </c>
    </row>
    <row r="222" spans="2:21">
      <c r="B222" s="1113" t="s">
        <v>100</v>
      </c>
      <c r="C222" s="2213">
        <f>U102</f>
        <v>90.049401138618819</v>
      </c>
      <c r="D222" s="4304" t="s">
        <v>373</v>
      </c>
      <c r="E222" s="4303"/>
      <c r="F222" s="4303"/>
      <c r="G222" s="4303"/>
      <c r="H222" s="4303"/>
      <c r="I222" s="2228">
        <f>U38</f>
        <v>98.014229590617262</v>
      </c>
      <c r="J222" s="3606" t="s">
        <v>3062</v>
      </c>
      <c r="K222" s="3607"/>
      <c r="L222" s="3607"/>
      <c r="M222" s="3607"/>
      <c r="N222" s="3607"/>
      <c r="O222" s="2213">
        <f>U123</f>
        <v>103.06702354897065</v>
      </c>
      <c r="P222" s="4299" t="s">
        <v>2232</v>
      </c>
      <c r="Q222" s="4300"/>
      <c r="R222" s="4300"/>
      <c r="S222" s="4300"/>
      <c r="T222" s="4300"/>
      <c r="U222" s="2226">
        <f>U10</f>
        <v>110.67119363372994</v>
      </c>
    </row>
    <row r="223" spans="2:21" ht="13.5" thickBot="1">
      <c r="B223" s="1105" t="s">
        <v>3466</v>
      </c>
      <c r="C223" s="2227">
        <f>U171</f>
        <v>90.399053808569832</v>
      </c>
      <c r="D223" s="3608" t="s">
        <v>1686</v>
      </c>
      <c r="E223" s="3609"/>
      <c r="F223" s="3609"/>
      <c r="G223" s="3609"/>
      <c r="H223" s="3609"/>
      <c r="I223" s="2215">
        <f>U98</f>
        <v>97.503648618053717</v>
      </c>
      <c r="J223" s="3608" t="s">
        <v>1309</v>
      </c>
      <c r="K223" s="3609"/>
      <c r="L223" s="3609"/>
      <c r="M223" s="3609"/>
      <c r="N223" s="3609"/>
      <c r="O223" s="2215">
        <f>U127</f>
        <v>103.31151595992048</v>
      </c>
      <c r="P223" s="3608" t="s">
        <v>2233</v>
      </c>
      <c r="Q223" s="3609"/>
      <c r="R223" s="3609"/>
      <c r="S223" s="3609"/>
      <c r="T223" s="3609"/>
      <c r="U223" s="2215">
        <f>U25</f>
        <v>110.63819952708843</v>
      </c>
    </row>
    <row r="224" spans="2:21" ht="13.5" thickBot="1">
      <c r="B224" s="2281" t="s">
        <v>1538</v>
      </c>
      <c r="C224" s="2230">
        <f>U16</f>
        <v>91.310235197684108</v>
      </c>
      <c r="D224" s="3606" t="s">
        <v>3470</v>
      </c>
      <c r="E224" s="3607"/>
      <c r="F224" s="3607"/>
      <c r="G224" s="3607"/>
      <c r="H224" s="3607"/>
      <c r="I224" s="2213">
        <f>U114</f>
        <v>97.887846769721563</v>
      </c>
      <c r="J224" s="3606" t="s">
        <v>2669</v>
      </c>
      <c r="K224" s="3607"/>
      <c r="L224" s="3607"/>
      <c r="M224" s="3607"/>
      <c r="N224" s="3607"/>
      <c r="O224" s="2213">
        <f>U172</f>
        <v>103.33107063269659</v>
      </c>
      <c r="P224" s="3940" t="s">
        <v>344</v>
      </c>
      <c r="Q224" s="3941"/>
      <c r="R224" s="3941"/>
      <c r="S224" s="3941"/>
      <c r="T224" s="3941"/>
      <c r="U224" s="2222">
        <f>U81</f>
        <v>111.26725721434758</v>
      </c>
    </row>
    <row r="225" spans="2:21" ht="13.5" thickBot="1">
      <c r="B225" s="1104" t="s">
        <v>2666</v>
      </c>
      <c r="C225" s="2214">
        <f>U116</f>
        <v>91.14492234966832</v>
      </c>
      <c r="D225" s="3608" t="s">
        <v>2668</v>
      </c>
      <c r="E225" s="3609"/>
      <c r="F225" s="3609"/>
      <c r="G225" s="3609"/>
      <c r="H225" s="3609"/>
      <c r="I225" s="2215">
        <f>U157</f>
        <v>97.807505194336869</v>
      </c>
      <c r="J225" s="3610" t="s">
        <v>651</v>
      </c>
      <c r="K225" s="3611"/>
      <c r="L225" s="3611"/>
      <c r="M225" s="3611"/>
      <c r="N225" s="3611"/>
      <c r="O225" s="2227">
        <f>U184</f>
        <v>102.62102588675485</v>
      </c>
      <c r="P225" s="3605" t="s">
        <v>2607</v>
      </c>
      <c r="Q225" s="3336"/>
      <c r="R225" s="3336"/>
      <c r="S225" s="3336"/>
      <c r="T225" s="3336"/>
      <c r="U225" s="2211">
        <f>U167</f>
        <v>112.3371757878664</v>
      </c>
    </row>
    <row r="226" spans="2:21" ht="13.5" thickBot="1">
      <c r="B226" s="2216" t="s">
        <v>150</v>
      </c>
      <c r="C226" s="2217">
        <f>U170</f>
        <v>90.626845466558493</v>
      </c>
      <c r="D226" s="4297" t="s">
        <v>1222</v>
      </c>
      <c r="E226" s="4298"/>
      <c r="F226" s="4298"/>
      <c r="G226" s="4298"/>
      <c r="H226" s="4298"/>
      <c r="I226" s="2218">
        <f>U198</f>
        <v>97.897525133064704</v>
      </c>
      <c r="J226" s="4302" t="s">
        <v>374</v>
      </c>
      <c r="K226" s="4303"/>
      <c r="L226" s="4303"/>
      <c r="M226" s="4303"/>
      <c r="N226" s="4303"/>
      <c r="O226" s="2230">
        <f>U39</f>
        <v>103.78059458412427</v>
      </c>
      <c r="P226" s="3606" t="s">
        <v>3447</v>
      </c>
      <c r="Q226" s="3607"/>
      <c r="R226" s="3607"/>
      <c r="S226" s="3607"/>
      <c r="T226" s="3607"/>
      <c r="U226" s="2213">
        <f>U178</f>
        <v>111.6158134126249</v>
      </c>
    </row>
    <row r="227" spans="2:21" ht="13.5" thickBot="1">
      <c r="B227" s="2220" t="s">
        <v>1532</v>
      </c>
      <c r="C227" s="2219">
        <f>U12</f>
        <v>91.924667652061842</v>
      </c>
      <c r="D227" s="4276" t="s">
        <v>3464</v>
      </c>
      <c r="E227" s="4277"/>
      <c r="F227" s="4277"/>
      <c r="G227" s="4277"/>
      <c r="H227" s="4277"/>
      <c r="I227" s="2219">
        <f>U32</f>
        <v>98.787965454632143</v>
      </c>
      <c r="J227" s="3851" t="s">
        <v>378</v>
      </c>
      <c r="K227" s="3609"/>
      <c r="L227" s="3609"/>
      <c r="M227" s="3609"/>
      <c r="N227" s="3609"/>
      <c r="O227" s="2214">
        <f>U45</f>
        <v>104.17605774122289</v>
      </c>
      <c r="P227" s="4305" t="s">
        <v>1100</v>
      </c>
      <c r="Q227" s="3334"/>
      <c r="R227" s="3334"/>
      <c r="S227" s="3334"/>
      <c r="T227" s="3334"/>
      <c r="U227" s="2231">
        <f>U182</f>
        <v>112.19603278433939</v>
      </c>
    </row>
    <row r="228" spans="2:21" ht="13.5" thickBot="1">
      <c r="B228" s="1113" t="s">
        <v>1721</v>
      </c>
      <c r="C228" s="2213">
        <f>U30</f>
        <v>92.216750550083873</v>
      </c>
      <c r="D228" s="3606" t="s">
        <v>1597</v>
      </c>
      <c r="E228" s="3607"/>
      <c r="F228" s="3607"/>
      <c r="G228" s="3607"/>
      <c r="H228" s="3607"/>
      <c r="I228" s="2213">
        <f>U54</f>
        <v>99.240680051993692</v>
      </c>
      <c r="J228" s="4279" t="s">
        <v>1595</v>
      </c>
      <c r="K228" s="3607"/>
      <c r="L228" s="3607"/>
      <c r="M228" s="3607"/>
      <c r="N228" s="3607"/>
      <c r="O228" s="2212">
        <f>U73</f>
        <v>104.0563279001147</v>
      </c>
      <c r="P228" s="4307" t="s">
        <v>613</v>
      </c>
      <c r="Q228" s="4308"/>
      <c r="R228" s="4308"/>
      <c r="S228" s="4308"/>
      <c r="T228" s="4308"/>
      <c r="U228" s="2225">
        <f>U143</f>
        <v>113.30006039636095</v>
      </c>
    </row>
    <row r="229" spans="2:21" ht="13.5" thickBot="1">
      <c r="B229" s="1104" t="s">
        <v>2528</v>
      </c>
      <c r="C229" s="2215">
        <f>U41</f>
        <v>92.244729776110759</v>
      </c>
      <c r="D229" s="3608" t="s">
        <v>3458</v>
      </c>
      <c r="E229" s="3609"/>
      <c r="F229" s="3609"/>
      <c r="G229" s="3609"/>
      <c r="H229" s="3609"/>
      <c r="I229" s="2215">
        <f>U58</f>
        <v>99.03938235642164</v>
      </c>
      <c r="J229" s="3851" t="s">
        <v>1949</v>
      </c>
      <c r="K229" s="3609"/>
      <c r="L229" s="3609"/>
      <c r="M229" s="3609"/>
      <c r="N229" s="3609"/>
      <c r="O229" s="2214">
        <f>U95</f>
        <v>104.30482778387022</v>
      </c>
      <c r="P229" s="4306" t="s">
        <v>3456</v>
      </c>
      <c r="Q229" s="3335"/>
      <c r="R229" s="3335"/>
      <c r="S229" s="3335"/>
      <c r="T229" s="3335"/>
      <c r="U229" s="2232">
        <f>U152</f>
        <v>113.84540579462964</v>
      </c>
    </row>
    <row r="230" spans="2:21">
      <c r="B230" s="1113" t="s">
        <v>3445</v>
      </c>
      <c r="C230" s="2213">
        <f>U137</f>
        <v>91.904770420898231</v>
      </c>
      <c r="D230" s="3606" t="s">
        <v>2664</v>
      </c>
      <c r="E230" s="3607"/>
      <c r="F230" s="3607"/>
      <c r="G230" s="3607"/>
      <c r="H230" s="3607"/>
      <c r="I230" s="2213">
        <f>U74</f>
        <v>99.264648945560225</v>
      </c>
      <c r="J230" s="4279" t="s">
        <v>2325</v>
      </c>
      <c r="K230" s="3607"/>
      <c r="L230" s="3607"/>
      <c r="M230" s="3607"/>
      <c r="N230" s="3607"/>
      <c r="O230" s="2212">
        <f>U71</f>
        <v>104.322306364032</v>
      </c>
      <c r="P230" s="4299" t="s">
        <v>2234</v>
      </c>
      <c r="Q230" s="4300"/>
      <c r="R230" s="4300"/>
      <c r="S230" s="4300"/>
      <c r="T230" s="4300"/>
      <c r="U230" s="2226">
        <f>U11</f>
        <v>115.23032172226979</v>
      </c>
    </row>
    <row r="231" spans="2:21" ht="13.5" thickBot="1">
      <c r="B231" s="1105" t="s">
        <v>614</v>
      </c>
      <c r="C231" s="2227">
        <f>U156</f>
        <v>91.896529319897638</v>
      </c>
      <c r="D231" s="3608" t="s">
        <v>3459</v>
      </c>
      <c r="E231" s="3609"/>
      <c r="F231" s="3609"/>
      <c r="G231" s="3609"/>
      <c r="H231" s="3609"/>
      <c r="I231" s="2215">
        <f>U86</f>
        <v>98.695076660483679</v>
      </c>
      <c r="J231" s="3851" t="s">
        <v>900</v>
      </c>
      <c r="K231" s="3609"/>
      <c r="L231" s="3609"/>
      <c r="M231" s="3609"/>
      <c r="N231" s="3609"/>
      <c r="O231" s="2214">
        <f>U109</f>
        <v>103.9106206791363</v>
      </c>
      <c r="P231" s="3610" t="s">
        <v>650</v>
      </c>
      <c r="Q231" s="3611"/>
      <c r="R231" s="3611"/>
      <c r="S231" s="3611"/>
      <c r="T231" s="3611"/>
      <c r="U231" s="2227">
        <f>U177</f>
        <v>114.7556454835871</v>
      </c>
    </row>
    <row r="232" spans="2:21">
      <c r="B232" s="2281" t="s">
        <v>1593</v>
      </c>
      <c r="C232" s="2230">
        <f>U57</f>
        <v>93.398154521968138</v>
      </c>
      <c r="D232" s="3606" t="s">
        <v>1984</v>
      </c>
      <c r="E232" s="3607"/>
      <c r="F232" s="3607"/>
      <c r="G232" s="3607"/>
      <c r="H232" s="3607"/>
      <c r="I232" s="2213">
        <f>U130</f>
        <v>98.575583547242459</v>
      </c>
      <c r="J232" s="4279" t="s">
        <v>3455</v>
      </c>
      <c r="K232" s="3607"/>
      <c r="L232" s="3607"/>
      <c r="M232" s="3607"/>
      <c r="N232" s="3607"/>
      <c r="O232" s="2212">
        <f>U111</f>
        <v>104.46130234393776</v>
      </c>
      <c r="P232" s="4304" t="s">
        <v>1536</v>
      </c>
      <c r="Q232" s="4303"/>
      <c r="R232" s="4303"/>
      <c r="S232" s="4303"/>
      <c r="T232" s="4303"/>
      <c r="U232" s="2228">
        <f>U13</f>
        <v>116.20131721770908</v>
      </c>
    </row>
    <row r="233" spans="2:21" ht="13.5" thickBot="1">
      <c r="B233" s="1104" t="s">
        <v>1518</v>
      </c>
      <c r="C233" s="2214">
        <f>U70</f>
        <v>93.285652389344989</v>
      </c>
      <c r="D233" s="3610" t="s">
        <v>1521</v>
      </c>
      <c r="E233" s="3611"/>
      <c r="F233" s="3611"/>
      <c r="G233" s="3611"/>
      <c r="H233" s="3611"/>
      <c r="I233" s="2227">
        <f>U140</f>
        <v>99.270300388475164</v>
      </c>
      <c r="J233" s="3851" t="s">
        <v>3452</v>
      </c>
      <c r="K233" s="3609"/>
      <c r="L233" s="3609"/>
      <c r="M233" s="3609"/>
      <c r="N233" s="3609"/>
      <c r="O233" s="2214">
        <f>U138</f>
        <v>104.20006385341128</v>
      </c>
      <c r="P233" s="3608" t="s">
        <v>2014</v>
      </c>
      <c r="Q233" s="3609"/>
      <c r="R233" s="3609"/>
      <c r="S233" s="3609"/>
      <c r="T233" s="3609"/>
      <c r="U233" s="2215">
        <f>U20</f>
        <v>116.16906436937877</v>
      </c>
    </row>
    <row r="234" spans="2:21" ht="13.5" thickBot="1">
      <c r="B234" s="2216" t="s">
        <v>151</v>
      </c>
      <c r="C234" s="2217">
        <f>U200</f>
        <v>93.201899326341263</v>
      </c>
      <c r="D234" s="4304" t="s">
        <v>3448</v>
      </c>
      <c r="E234" s="4303"/>
      <c r="F234" s="4303"/>
      <c r="G234" s="4303"/>
      <c r="H234" s="4303"/>
      <c r="I234" s="2228">
        <f>U40</f>
        <v>100.17952175120132</v>
      </c>
      <c r="J234" s="4279" t="s">
        <v>567</v>
      </c>
      <c r="K234" s="3607"/>
      <c r="L234" s="3607"/>
      <c r="M234" s="3607"/>
      <c r="N234" s="3607"/>
      <c r="O234" s="2212">
        <f>U149</f>
        <v>103.70240343068258</v>
      </c>
      <c r="P234" s="3606" t="s">
        <v>1531</v>
      </c>
      <c r="Q234" s="3607"/>
      <c r="R234" s="3607"/>
      <c r="S234" s="3607"/>
      <c r="T234" s="3607"/>
      <c r="U234" s="2213">
        <f>U33</f>
        <v>115.66541288763511</v>
      </c>
    </row>
    <row r="235" spans="2:21" ht="13.5" thickBot="1">
      <c r="B235" s="2220" t="s">
        <v>372</v>
      </c>
      <c r="C235" s="2219">
        <f>U72</f>
        <v>94.196965703226567</v>
      </c>
      <c r="D235" s="3608" t="s">
        <v>377</v>
      </c>
      <c r="E235" s="3609"/>
      <c r="F235" s="3609"/>
      <c r="G235" s="3609"/>
      <c r="H235" s="3609"/>
      <c r="I235" s="2215">
        <f>U43</f>
        <v>99.507960067487446</v>
      </c>
      <c r="J235" s="3853" t="s">
        <v>3463</v>
      </c>
      <c r="K235" s="3334"/>
      <c r="L235" s="3334"/>
      <c r="M235" s="3334"/>
      <c r="N235" s="3334"/>
      <c r="O235" s="2223">
        <f>U168</f>
        <v>104.17028390270838</v>
      </c>
      <c r="P235" s="4305" t="s">
        <v>644</v>
      </c>
      <c r="Q235" s="3334"/>
      <c r="R235" s="3334"/>
      <c r="S235" s="3334"/>
      <c r="T235" s="3334"/>
      <c r="U235" s="2231">
        <f>U103</f>
        <v>116.29351642268031</v>
      </c>
    </row>
    <row r="236" spans="2:21">
      <c r="B236" s="1113" t="s">
        <v>1596</v>
      </c>
      <c r="C236" s="2213">
        <f>U75</f>
        <v>93.555278552060344</v>
      </c>
      <c r="D236" s="3606" t="s">
        <v>3449</v>
      </c>
      <c r="E236" s="3607"/>
      <c r="F236" s="3607"/>
      <c r="G236" s="3607"/>
      <c r="H236" s="3607"/>
      <c r="I236" s="2213">
        <f>U55</f>
        <v>99.503527436551607</v>
      </c>
      <c r="J236" s="4299" t="s">
        <v>3454</v>
      </c>
      <c r="K236" s="4300"/>
      <c r="L236" s="4300"/>
      <c r="M236" s="4300"/>
      <c r="N236" s="4300"/>
      <c r="O236" s="2226">
        <f>U28</f>
        <v>105.31754698421366</v>
      </c>
      <c r="P236" s="4299" t="s">
        <v>1220</v>
      </c>
      <c r="Q236" s="4300"/>
      <c r="R236" s="4300"/>
      <c r="S236" s="4300"/>
      <c r="T236" s="4300"/>
      <c r="U236" s="2226">
        <f>U194</f>
        <v>117.28517618145104</v>
      </c>
    </row>
    <row r="237" spans="2:21" ht="13.5" thickBot="1">
      <c r="B237" s="1104" t="s">
        <v>1948</v>
      </c>
      <c r="C237" s="2215">
        <f>U121</f>
        <v>94.267139192272253</v>
      </c>
      <c r="D237" s="3608" t="s">
        <v>1594</v>
      </c>
      <c r="E237" s="3609"/>
      <c r="F237" s="3609"/>
      <c r="G237" s="3609"/>
      <c r="H237" s="3609"/>
      <c r="I237" s="2215">
        <f>U69</f>
        <v>99.543040789822584</v>
      </c>
      <c r="J237" s="3608" t="s">
        <v>2545</v>
      </c>
      <c r="K237" s="3609"/>
      <c r="L237" s="3609"/>
      <c r="M237" s="3609"/>
      <c r="N237" s="3609"/>
      <c r="O237" s="2215">
        <f>U115</f>
        <v>104.71116580536135</v>
      </c>
      <c r="P237" s="3610" t="s">
        <v>1223</v>
      </c>
      <c r="Q237" s="3611"/>
      <c r="R237" s="3611"/>
      <c r="S237" s="3611"/>
      <c r="T237" s="3611"/>
      <c r="U237" s="2227">
        <f>U202</f>
        <v>116.53042768642707</v>
      </c>
    </row>
    <row r="238" spans="2:21" ht="13.5" thickBot="1">
      <c r="B238" s="1113" t="s">
        <v>1644</v>
      </c>
      <c r="C238" s="2213">
        <f>U136</f>
        <v>93.945904570367958</v>
      </c>
      <c r="D238" s="3606" t="s">
        <v>895</v>
      </c>
      <c r="E238" s="3607"/>
      <c r="F238" s="3607"/>
      <c r="G238" s="3607"/>
      <c r="H238" s="3607"/>
      <c r="I238" s="2213">
        <f>U97</f>
        <v>100.08951705299228</v>
      </c>
      <c r="J238" s="3940" t="s">
        <v>1221</v>
      </c>
      <c r="K238" s="3941"/>
      <c r="L238" s="3941"/>
      <c r="M238" s="3941"/>
      <c r="N238" s="3941"/>
      <c r="O238" s="2222">
        <f>U196</f>
        <v>105.1897068797733</v>
      </c>
      <c r="P238" s="4304" t="s">
        <v>988</v>
      </c>
      <c r="Q238" s="4303"/>
      <c r="R238" s="4303"/>
      <c r="S238" s="4303"/>
      <c r="T238" s="4303"/>
      <c r="U238" s="2228">
        <f>U61</f>
        <v>120.11263330800648</v>
      </c>
    </row>
    <row r="239" spans="2:21" ht="13.5" thickBot="1">
      <c r="B239" s="1105" t="s">
        <v>1054</v>
      </c>
      <c r="C239" s="2227">
        <f>U154</f>
        <v>93.513279909003742</v>
      </c>
      <c r="D239" s="3608" t="s">
        <v>6819</v>
      </c>
      <c r="E239" s="3609"/>
      <c r="F239" s="3609"/>
      <c r="G239" s="3609"/>
      <c r="H239" s="3609"/>
      <c r="I239" s="2215">
        <f>U122</f>
        <v>100.26906873413428</v>
      </c>
      <c r="J239" s="3849" t="s">
        <v>2663</v>
      </c>
      <c r="K239" s="3336"/>
      <c r="L239" s="3336"/>
      <c r="M239" s="3336"/>
      <c r="N239" s="3336"/>
      <c r="O239" s="2210">
        <f>U18</f>
        <v>105.68215678016799</v>
      </c>
      <c r="P239" s="4305" t="s">
        <v>726</v>
      </c>
      <c r="Q239" s="3334"/>
      <c r="R239" s="3334"/>
      <c r="S239" s="3334"/>
      <c r="T239" s="3334"/>
      <c r="U239" s="2231">
        <f>U187</f>
        <v>120.27267663797105</v>
      </c>
    </row>
    <row r="240" spans="2:21" ht="13.5" thickBot="1">
      <c r="B240" s="2281" t="s">
        <v>343</v>
      </c>
      <c r="C240" s="2230">
        <f>U53</f>
        <v>94.524860459933791</v>
      </c>
      <c r="D240" s="3606" t="s">
        <v>641</v>
      </c>
      <c r="E240" s="3607"/>
      <c r="F240" s="3607"/>
      <c r="G240" s="3607"/>
      <c r="H240" s="3607"/>
      <c r="I240" s="2213">
        <f>U128</f>
        <v>100.47327772427666</v>
      </c>
      <c r="J240" s="4279" t="s">
        <v>2260</v>
      </c>
      <c r="K240" s="3607"/>
      <c r="L240" s="3607"/>
      <c r="M240" s="3607"/>
      <c r="N240" s="3607"/>
      <c r="O240" s="2212">
        <f>U68</f>
        <v>105.81474374387321</v>
      </c>
      <c r="P240" s="4307" t="s">
        <v>653</v>
      </c>
      <c r="Q240" s="4308"/>
      <c r="R240" s="4308"/>
      <c r="S240" s="4308"/>
      <c r="T240" s="4308"/>
      <c r="U240" s="2225">
        <f>U183</f>
        <v>121.25425744366973</v>
      </c>
    </row>
    <row r="241" spans="2:21" ht="13.5" thickBot="1">
      <c r="B241" s="1104" t="s">
        <v>55</v>
      </c>
      <c r="C241" s="2214">
        <f>U84</f>
        <v>95.119825010685005</v>
      </c>
      <c r="D241" s="4305" t="s">
        <v>842</v>
      </c>
      <c r="E241" s="3334"/>
      <c r="F241" s="3334"/>
      <c r="G241" s="3334"/>
      <c r="H241" s="3334"/>
      <c r="I241" s="2231">
        <f>U195</f>
        <v>100.1570110101646</v>
      </c>
      <c r="J241" s="3851" t="s">
        <v>3461</v>
      </c>
      <c r="K241" s="3609"/>
      <c r="L241" s="3609"/>
      <c r="M241" s="3609"/>
      <c r="N241" s="3609"/>
      <c r="O241" s="2214">
        <f>U141</f>
        <v>106.42975085563312</v>
      </c>
      <c r="P241" s="4306" t="s">
        <v>3372</v>
      </c>
      <c r="Q241" s="3335"/>
      <c r="R241" s="3335"/>
      <c r="S241" s="3335"/>
      <c r="T241" s="3335"/>
      <c r="U241" s="2232">
        <f>U46</f>
        <v>122.80321153325457</v>
      </c>
    </row>
    <row r="242" spans="2:21" ht="13.5" thickBot="1">
      <c r="B242" s="2216" t="s">
        <v>1053</v>
      </c>
      <c r="C242" s="2217">
        <f>U169</f>
        <v>94.717184812649535</v>
      </c>
      <c r="D242" s="4299" t="s">
        <v>375</v>
      </c>
      <c r="E242" s="4300"/>
      <c r="F242" s="4300"/>
      <c r="G242" s="4300"/>
      <c r="H242" s="4300"/>
      <c r="I242" s="2226">
        <f>U42</f>
        <v>100.97493387576422</v>
      </c>
      <c r="J242" s="4301" t="s">
        <v>1941</v>
      </c>
      <c r="K242" s="4298"/>
      <c r="L242" s="4298"/>
      <c r="M242" s="4298"/>
      <c r="N242" s="4298"/>
      <c r="O242" s="2217">
        <f>U181</f>
        <v>106.43117872246631</v>
      </c>
      <c r="P242" s="4307" t="s">
        <v>3473</v>
      </c>
      <c r="Q242" s="4308"/>
      <c r="R242" s="4308"/>
      <c r="S242" s="4308"/>
      <c r="T242" s="4308"/>
      <c r="U242" s="2225">
        <f>U188</f>
        <v>135.02910004461557</v>
      </c>
    </row>
    <row r="243" spans="2:21" ht="13.5" thickBot="1">
      <c r="B243" s="4309"/>
      <c r="C243" s="4310"/>
      <c r="D243" s="3608" t="s">
        <v>840</v>
      </c>
      <c r="E243" s="3609"/>
      <c r="F243" s="3609"/>
      <c r="G243" s="3609"/>
      <c r="H243" s="3609"/>
      <c r="I243" s="2215">
        <f>U82</f>
        <v>101.05441255406426</v>
      </c>
      <c r="J243" s="4276" t="s">
        <v>2324</v>
      </c>
      <c r="K243" s="4277"/>
      <c r="L243" s="4277"/>
      <c r="M243" s="4277"/>
      <c r="N243" s="4277"/>
      <c r="O243" s="2219">
        <f>U66</f>
        <v>107.14451165573513</v>
      </c>
      <c r="P243" s="4306" t="s">
        <v>2670</v>
      </c>
      <c r="Q243" s="3335"/>
      <c r="R243" s="3335"/>
      <c r="S243" s="3335"/>
      <c r="T243" s="3335"/>
      <c r="U243" s="2232">
        <f>U185</f>
        <v>137.29441926700838</v>
      </c>
    </row>
    <row r="244" spans="2:21" ht="13.5" thickBot="1">
      <c r="B244" s="4311"/>
      <c r="C244" s="4312"/>
      <c r="D244" s="3606" t="s">
        <v>1947</v>
      </c>
      <c r="E244" s="3607"/>
      <c r="F244" s="3607"/>
      <c r="G244" s="3607"/>
      <c r="H244" s="3607"/>
      <c r="I244" s="2213">
        <f>U101</f>
        <v>101.44118408312541</v>
      </c>
      <c r="J244" s="3606" t="s">
        <v>3450</v>
      </c>
      <c r="K244" s="3607"/>
      <c r="L244" s="3607"/>
      <c r="M244" s="3607"/>
      <c r="N244" s="3607"/>
      <c r="O244" s="2213">
        <f>U83</f>
        <v>106.7163741021276</v>
      </c>
      <c r="P244" s="4307" t="s">
        <v>727</v>
      </c>
      <c r="Q244" s="4308"/>
      <c r="R244" s="4308"/>
      <c r="S244" s="4308"/>
      <c r="T244" s="4308"/>
      <c r="U244" s="2225">
        <f>U189</f>
        <v>166.30888862843111</v>
      </c>
    </row>
    <row r="245" spans="2:21">
      <c r="B245" s="4311"/>
      <c r="C245" s="4312"/>
      <c r="D245" s="3608" t="s">
        <v>1520</v>
      </c>
      <c r="E245" s="3609"/>
      <c r="F245" s="3609"/>
      <c r="G245" s="3609"/>
      <c r="H245" s="3609"/>
      <c r="I245" s="2215">
        <f>U125</f>
        <v>100.6387750351393</v>
      </c>
      <c r="J245" s="3608" t="s">
        <v>1645</v>
      </c>
      <c r="K245" s="3609"/>
      <c r="L245" s="3609"/>
      <c r="M245" s="3609"/>
      <c r="N245" s="3609"/>
      <c r="O245" s="2215">
        <f>U108</f>
        <v>106.59729313461158</v>
      </c>
      <c r="P245" s="4311"/>
      <c r="Q245" s="4315"/>
      <c r="R245" s="4315"/>
      <c r="S245" s="4315"/>
      <c r="T245" s="4315"/>
      <c r="U245" s="4312"/>
    </row>
    <row r="246" spans="2:21">
      <c r="B246" s="4311"/>
      <c r="C246" s="4312"/>
      <c r="D246" s="3606" t="s">
        <v>898</v>
      </c>
      <c r="E246" s="3607"/>
      <c r="F246" s="3607"/>
      <c r="G246" s="3607"/>
      <c r="H246" s="3607"/>
      <c r="I246" s="2213">
        <f>U139</f>
        <v>101.44415863102525</v>
      </c>
      <c r="J246" s="3606" t="s">
        <v>642</v>
      </c>
      <c r="K246" s="3607"/>
      <c r="L246" s="3607"/>
      <c r="M246" s="3607"/>
      <c r="N246" s="3607"/>
      <c r="O246" s="2213">
        <f>U124</f>
        <v>107.32146693890049</v>
      </c>
      <c r="P246" s="4311"/>
      <c r="Q246" s="4315"/>
      <c r="R246" s="4315"/>
      <c r="S246" s="4315"/>
      <c r="T246" s="4315"/>
      <c r="U246" s="4312"/>
    </row>
    <row r="247" spans="2:21" ht="13.5" thickBot="1">
      <c r="B247" s="4311"/>
      <c r="C247" s="4312"/>
      <c r="D247" s="3608" t="s">
        <v>3063</v>
      </c>
      <c r="E247" s="3609"/>
      <c r="F247" s="3609"/>
      <c r="G247" s="3609"/>
      <c r="H247" s="3609"/>
      <c r="I247" s="2215">
        <f>U153</f>
        <v>101.49058258021498</v>
      </c>
      <c r="J247" s="3610" t="s">
        <v>1052</v>
      </c>
      <c r="K247" s="3611"/>
      <c r="L247" s="3611"/>
      <c r="M247" s="3611"/>
      <c r="N247" s="3611"/>
      <c r="O247" s="2227">
        <f>U150</f>
        <v>107.46454805002185</v>
      </c>
      <c r="P247" s="4311"/>
      <c r="Q247" s="4315"/>
      <c r="R247" s="4315"/>
      <c r="S247" s="4315"/>
      <c r="T247" s="4315"/>
      <c r="U247" s="4312"/>
    </row>
    <row r="248" spans="2:21" ht="13.5" thickBot="1">
      <c r="B248" s="4313"/>
      <c r="C248" s="4314"/>
      <c r="D248" s="3940" t="s">
        <v>841</v>
      </c>
      <c r="E248" s="3941"/>
      <c r="F248" s="3941"/>
      <c r="G248" s="3941"/>
      <c r="H248" s="3941"/>
      <c r="I248" s="2222">
        <f>U165</f>
        <v>101.11685971944912</v>
      </c>
      <c r="J248" s="4316"/>
      <c r="K248" s="4316"/>
      <c r="L248" s="4316"/>
      <c r="M248" s="4316"/>
      <c r="N248" s="4316"/>
      <c r="O248" s="4316"/>
      <c r="P248" s="4313"/>
      <c r="Q248" s="4316"/>
      <c r="R248" s="4316"/>
      <c r="S248" s="4316"/>
      <c r="T248" s="4316"/>
      <c r="U248" s="4314"/>
    </row>
    <row r="249" spans="2:21">
      <c r="D249" s="1893"/>
      <c r="E249" s="1893"/>
      <c r="F249" s="1893"/>
      <c r="G249" s="1893"/>
      <c r="H249" s="1893"/>
      <c r="I249" s="1893"/>
    </row>
    <row r="250" spans="2:21">
      <c r="D250" s="1893"/>
      <c r="E250" s="1893"/>
      <c r="F250" s="1893"/>
      <c r="G250" s="1893"/>
      <c r="H250" s="1893"/>
      <c r="I250" s="1893"/>
    </row>
    <row r="251" spans="2:21">
      <c r="D251" s="1893"/>
      <c r="E251" s="1893"/>
      <c r="F251" s="1893"/>
      <c r="G251" s="1893"/>
      <c r="H251" s="1893"/>
      <c r="I251" s="1893"/>
    </row>
    <row r="252" spans="2:21">
      <c r="D252" s="1893"/>
      <c r="E252" s="1893"/>
      <c r="F252" s="1893"/>
      <c r="G252" s="1893"/>
      <c r="H252" s="1893"/>
      <c r="I252" s="1893"/>
    </row>
    <row r="253" spans="2:21">
      <c r="D253" s="1893"/>
      <c r="E253" s="1893"/>
      <c r="F253" s="1893"/>
      <c r="G253" s="1893"/>
      <c r="H253" s="1893"/>
      <c r="I253" s="1893"/>
    </row>
  </sheetData>
  <sheetProtection autoFilter="0"/>
  <mergeCells count="153">
    <mergeCell ref="B243:C248"/>
    <mergeCell ref="J230:N230"/>
    <mergeCell ref="P244:T244"/>
    <mergeCell ref="D241:H241"/>
    <mergeCell ref="D244:H244"/>
    <mergeCell ref="J235:N235"/>
    <mergeCell ref="P243:T243"/>
    <mergeCell ref="D240:H240"/>
    <mergeCell ref="J233:N233"/>
    <mergeCell ref="P242:T242"/>
    <mergeCell ref="J245:N245"/>
    <mergeCell ref="J247:N247"/>
    <mergeCell ref="P245:U248"/>
    <mergeCell ref="J248:O248"/>
    <mergeCell ref="D239:H239"/>
    <mergeCell ref="P237:T237"/>
    <mergeCell ref="P240:T240"/>
    <mergeCell ref="D237:H237"/>
    <mergeCell ref="P235:T235"/>
    <mergeCell ref="P236:T236"/>
    <mergeCell ref="D245:H245"/>
    <mergeCell ref="P238:T238"/>
    <mergeCell ref="D243:H243"/>
    <mergeCell ref="D247:H247"/>
    <mergeCell ref="D216:H216"/>
    <mergeCell ref="J219:N219"/>
    <mergeCell ref="P225:T225"/>
    <mergeCell ref="J223:N223"/>
    <mergeCell ref="P219:T219"/>
    <mergeCell ref="D234:H234"/>
    <mergeCell ref="J231:N231"/>
    <mergeCell ref="P221:T221"/>
    <mergeCell ref="D228:H228"/>
    <mergeCell ref="J220:N220"/>
    <mergeCell ref="P226:T226"/>
    <mergeCell ref="D226:H226"/>
    <mergeCell ref="J229:N229"/>
    <mergeCell ref="P220:T220"/>
    <mergeCell ref="P233:T233"/>
    <mergeCell ref="P228:T228"/>
    <mergeCell ref="D233:H233"/>
    <mergeCell ref="P227:T227"/>
    <mergeCell ref="D225:H225"/>
    <mergeCell ref="P232:T232"/>
    <mergeCell ref="D232:H232"/>
    <mergeCell ref="J218:N218"/>
    <mergeCell ref="P229:T229"/>
    <mergeCell ref="J225:N225"/>
    <mergeCell ref="J221:N221"/>
    <mergeCell ref="P222:T222"/>
    <mergeCell ref="D218:H218"/>
    <mergeCell ref="J217:N217"/>
    <mergeCell ref="J244:N244"/>
    <mergeCell ref="P239:T239"/>
    <mergeCell ref="J234:N234"/>
    <mergeCell ref="P241:T241"/>
    <mergeCell ref="D217:H217"/>
    <mergeCell ref="J224:N224"/>
    <mergeCell ref="P223:T223"/>
    <mergeCell ref="D221:H221"/>
    <mergeCell ref="J228:N228"/>
    <mergeCell ref="P224:T224"/>
    <mergeCell ref="P231:T231"/>
    <mergeCell ref="D231:H231"/>
    <mergeCell ref="P230:T230"/>
    <mergeCell ref="P234:T234"/>
    <mergeCell ref="J227:N227"/>
    <mergeCell ref="J232:N232"/>
    <mergeCell ref="D224:H224"/>
    <mergeCell ref="J222:N222"/>
    <mergeCell ref="J246:N246"/>
    <mergeCell ref="D223:H223"/>
    <mergeCell ref="D248:H248"/>
    <mergeCell ref="P217:T217"/>
    <mergeCell ref="P212:T212"/>
    <mergeCell ref="D215:H215"/>
    <mergeCell ref="D246:H246"/>
    <mergeCell ref="P213:T213"/>
    <mergeCell ref="D235:H235"/>
    <mergeCell ref="D236:H236"/>
    <mergeCell ref="D238:H238"/>
    <mergeCell ref="D242:H242"/>
    <mergeCell ref="J236:N236"/>
    <mergeCell ref="J237:N237"/>
    <mergeCell ref="J238:N238"/>
    <mergeCell ref="J239:N239"/>
    <mergeCell ref="J240:N240"/>
    <mergeCell ref="J241:N241"/>
    <mergeCell ref="J242:N242"/>
    <mergeCell ref="J243:N243"/>
    <mergeCell ref="D219:H219"/>
    <mergeCell ref="J226:N226"/>
    <mergeCell ref="P218:T218"/>
    <mergeCell ref="D222:H222"/>
    <mergeCell ref="C207:D207"/>
    <mergeCell ref="E207:F207"/>
    <mergeCell ref="G207:H207"/>
    <mergeCell ref="I207:J207"/>
    <mergeCell ref="K207:L207"/>
    <mergeCell ref="M207:N207"/>
    <mergeCell ref="O207:P207"/>
    <mergeCell ref="D211:H211"/>
    <mergeCell ref="P215:T215"/>
    <mergeCell ref="Q207:R207"/>
    <mergeCell ref="S207:T207"/>
    <mergeCell ref="B209:U209"/>
    <mergeCell ref="D210:H210"/>
    <mergeCell ref="J210:N210"/>
    <mergeCell ref="P210:T210"/>
    <mergeCell ref="D212:H212"/>
    <mergeCell ref="P211:T211"/>
    <mergeCell ref="D214:H214"/>
    <mergeCell ref="D213:H213"/>
    <mergeCell ref="P214:T214"/>
    <mergeCell ref="J213:N213"/>
    <mergeCell ref="B64:U64"/>
    <mergeCell ref="B162:U162"/>
    <mergeCell ref="B175:U175"/>
    <mergeCell ref="B192:U192"/>
    <mergeCell ref="B205:U205"/>
    <mergeCell ref="C206:D206"/>
    <mergeCell ref="E206:F206"/>
    <mergeCell ref="G206:H206"/>
    <mergeCell ref="I206:J206"/>
    <mergeCell ref="K206:L206"/>
    <mergeCell ref="M206:N206"/>
    <mergeCell ref="O206:P206"/>
    <mergeCell ref="Q206:R206"/>
    <mergeCell ref="S206:T206"/>
    <mergeCell ref="C1:U1"/>
    <mergeCell ref="B3:U3"/>
    <mergeCell ref="B5:U5"/>
    <mergeCell ref="D220:H220"/>
    <mergeCell ref="D227:H227"/>
    <mergeCell ref="D229:H229"/>
    <mergeCell ref="D230:H230"/>
    <mergeCell ref="J211:N211"/>
    <mergeCell ref="J212:N212"/>
    <mergeCell ref="J214:N214"/>
    <mergeCell ref="J215:N215"/>
    <mergeCell ref="J216:N216"/>
    <mergeCell ref="P216:T216"/>
    <mergeCell ref="B79:U79"/>
    <mergeCell ref="B92:U92"/>
    <mergeCell ref="B106:U106"/>
    <mergeCell ref="B119:U119"/>
    <mergeCell ref="B134:U134"/>
    <mergeCell ref="B147:U147"/>
    <mergeCell ref="B6:U6"/>
    <mergeCell ref="B8:U8"/>
    <mergeCell ref="B23:U23"/>
    <mergeCell ref="B36:U36"/>
    <mergeCell ref="B51:U51"/>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77" orientation="landscape" r:id="rId1"/>
  <headerFooter alignWithMargins="0"/>
  <rowBreaks count="6" manualBreakCount="6">
    <brk id="34" max="16383" man="1"/>
    <brk id="77" max="16383" man="1"/>
    <brk id="117" max="16383" man="1"/>
    <brk id="160" max="16383" man="1"/>
    <brk id="203" max="16383" man="1"/>
    <brk id="248" max="16383" man="1"/>
  </rowBreaks>
  <colBreaks count="1" manualBreakCount="1">
    <brk id="21" max="1048575" man="1"/>
  </colBreaks>
  <ignoredErrors>
    <ignoredError sqref="C231:V232 C234:V234 C233 E233:V233" formula="1"/>
  </ignoredErrors>
</worksheet>
</file>

<file path=xl/worksheets/sheet114.xml><?xml version="1.0" encoding="utf-8"?>
<worksheet xmlns="http://schemas.openxmlformats.org/spreadsheetml/2006/main" xmlns:r="http://schemas.openxmlformats.org/officeDocument/2006/relationships">
  <sheetPr>
    <outlinePr summaryBelow="0"/>
  </sheetPr>
  <dimension ref="B1:D117"/>
  <sheetViews>
    <sheetView zoomScaleNormal="100" workbookViewId="0">
      <pane ySplit="5" topLeftCell="A6" activePane="bottomLeft" state="frozen"/>
      <selection pane="bottomLeft"/>
    </sheetView>
  </sheetViews>
  <sheetFormatPr defaultRowHeight="12.95" customHeight="1" outlineLevelRow="1"/>
  <cols>
    <col min="1" max="1" width="3.7109375" style="292" customWidth="1"/>
    <col min="2" max="2" width="24.42578125" style="292" bestFit="1" customWidth="1"/>
    <col min="3" max="3" width="100.7109375" style="292" customWidth="1"/>
    <col min="4" max="16384" width="9.140625" style="292"/>
  </cols>
  <sheetData>
    <row r="1" spans="2:3" ht="12.95" customHeight="1">
      <c r="B1" s="313" t="s">
        <v>2706</v>
      </c>
      <c r="C1" s="2574" t="s">
        <v>8269</v>
      </c>
    </row>
    <row r="2" spans="2:3" ht="5.0999999999999996" customHeight="1"/>
    <row r="3" spans="2:3" ht="12.95" customHeight="1">
      <c r="B3" s="2978" t="s">
        <v>5122</v>
      </c>
      <c r="C3" s="2978"/>
    </row>
    <row r="4" spans="2:3" ht="12.95" customHeight="1">
      <c r="B4" s="2979" t="s">
        <v>5641</v>
      </c>
      <c r="C4" s="2979"/>
    </row>
    <row r="5" spans="2:3" ht="5.0999999999999996" customHeight="1"/>
    <row r="6" spans="2:3" ht="12.95" customHeight="1">
      <c r="B6" s="3000" t="s">
        <v>9708</v>
      </c>
      <c r="C6" s="3000"/>
    </row>
    <row r="7" spans="2:3" ht="12.95" customHeight="1">
      <c r="B7" s="3102" t="s">
        <v>9709</v>
      </c>
      <c r="C7" s="3102"/>
    </row>
    <row r="8" spans="2:3" ht="5.0999999999999996" customHeight="1">
      <c r="B8" s="314"/>
    </row>
    <row r="9" spans="2:3" ht="12.95" customHeight="1">
      <c r="B9" s="4318" t="s">
        <v>5116</v>
      </c>
      <c r="C9" s="4318"/>
    </row>
    <row r="10" spans="2:3" ht="5.0999999999999996" customHeight="1" outlineLevel="1" thickBot="1">
      <c r="B10" s="314"/>
    </row>
    <row r="11" spans="2:3" ht="12.95" customHeight="1" outlineLevel="1" thickBot="1">
      <c r="B11" s="283" t="s">
        <v>620</v>
      </c>
      <c r="C11" s="284" t="s">
        <v>568</v>
      </c>
    </row>
    <row r="12" spans="2:3" ht="12.95" customHeight="1" outlineLevel="1">
      <c r="B12" s="321" t="s">
        <v>2620</v>
      </c>
      <c r="C12" s="322" t="s">
        <v>5653</v>
      </c>
    </row>
    <row r="13" spans="2:3" ht="12.95" customHeight="1" outlineLevel="1">
      <c r="B13" s="289" t="s">
        <v>2621</v>
      </c>
      <c r="C13" s="290" t="s">
        <v>5642</v>
      </c>
    </row>
    <row r="14" spans="2:3" ht="12.95" customHeight="1" outlineLevel="1">
      <c r="B14" s="323" t="s">
        <v>2622</v>
      </c>
      <c r="C14" s="324" t="s">
        <v>5643</v>
      </c>
    </row>
    <row r="15" spans="2:3" ht="12.95" customHeight="1" outlineLevel="1">
      <c r="B15" s="289" t="s">
        <v>2623</v>
      </c>
      <c r="C15" s="290" t="s">
        <v>5906</v>
      </c>
    </row>
    <row r="16" spans="2:3" ht="12.95" customHeight="1" outlineLevel="1">
      <c r="B16" s="323" t="s">
        <v>2624</v>
      </c>
      <c r="C16" s="324" t="s">
        <v>5644</v>
      </c>
    </row>
    <row r="17" spans="2:3" ht="12.95" customHeight="1" outlineLevel="1">
      <c r="B17" s="289" t="s">
        <v>2625</v>
      </c>
      <c r="C17" s="290" t="s">
        <v>5645</v>
      </c>
    </row>
    <row r="18" spans="2:3" ht="12.95" customHeight="1" outlineLevel="1">
      <c r="B18" s="323" t="s">
        <v>2626</v>
      </c>
      <c r="C18" s="324" t="s">
        <v>5646</v>
      </c>
    </row>
    <row r="19" spans="2:3" ht="12.95" customHeight="1" outlineLevel="1">
      <c r="B19" s="289" t="s">
        <v>2627</v>
      </c>
      <c r="C19" s="290" t="s">
        <v>5647</v>
      </c>
    </row>
    <row r="20" spans="2:3" ht="12.95" customHeight="1" outlineLevel="1">
      <c r="B20" s="323" t="s">
        <v>2628</v>
      </c>
      <c r="C20" s="324" t="s">
        <v>5648</v>
      </c>
    </row>
    <row r="21" spans="2:3" ht="12.95" customHeight="1" outlineLevel="1">
      <c r="B21" s="289" t="s">
        <v>218</v>
      </c>
      <c r="C21" s="290" t="s">
        <v>5649</v>
      </c>
    </row>
    <row r="22" spans="2:3" ht="12.95" customHeight="1" outlineLevel="1">
      <c r="B22" s="323" t="s">
        <v>1831</v>
      </c>
      <c r="C22" s="324" t="s">
        <v>5650</v>
      </c>
    </row>
    <row r="23" spans="2:3" ht="12.95" customHeight="1" outlineLevel="1">
      <c r="B23" s="289" t="s">
        <v>1832</v>
      </c>
      <c r="C23" s="290" t="s">
        <v>5654</v>
      </c>
    </row>
    <row r="24" spans="2:3" ht="12.95" customHeight="1" outlineLevel="1">
      <c r="B24" s="323" t="s">
        <v>1833</v>
      </c>
      <c r="C24" s="324" t="s">
        <v>5651</v>
      </c>
    </row>
    <row r="25" spans="2:3" ht="12.95" customHeight="1" outlineLevel="1">
      <c r="B25" s="289" t="s">
        <v>1834</v>
      </c>
      <c r="C25" s="290" t="s">
        <v>5907</v>
      </c>
    </row>
    <row r="26" spans="2:3" ht="12.95" customHeight="1" outlineLevel="1" thickBot="1">
      <c r="B26" s="325" t="s">
        <v>1835</v>
      </c>
      <c r="C26" s="326" t="s">
        <v>5652</v>
      </c>
    </row>
    <row r="27" spans="2:3" ht="5.0999999999999996" customHeight="1">
      <c r="B27" s="327"/>
      <c r="C27" s="327"/>
    </row>
    <row r="28" spans="2:3" ht="12.95" customHeight="1">
      <c r="B28" s="4321" t="s">
        <v>5117</v>
      </c>
      <c r="C28" s="4321"/>
    </row>
    <row r="29" spans="2:3" ht="5.0999999999999996" customHeight="1" outlineLevel="1" thickBot="1"/>
    <row r="30" spans="2:3" ht="12.95" customHeight="1" outlineLevel="1" thickBot="1">
      <c r="B30" s="282" t="s">
        <v>620</v>
      </c>
      <c r="C30" s="280" t="s">
        <v>568</v>
      </c>
    </row>
    <row r="31" spans="2:3" ht="12.95" customHeight="1" outlineLevel="1">
      <c r="B31" s="328" t="s">
        <v>569</v>
      </c>
      <c r="C31" s="324" t="s">
        <v>5645</v>
      </c>
    </row>
    <row r="32" spans="2:3" ht="12.95" customHeight="1" outlineLevel="1">
      <c r="B32" s="289" t="s">
        <v>570</v>
      </c>
      <c r="C32" s="290" t="s">
        <v>5906</v>
      </c>
    </row>
    <row r="33" spans="2:3" ht="12.95" customHeight="1" outlineLevel="1">
      <c r="B33" s="323" t="s">
        <v>2801</v>
      </c>
      <c r="C33" s="948" t="s">
        <v>5907</v>
      </c>
    </row>
    <row r="34" spans="2:3" ht="12.95" customHeight="1" outlineLevel="1">
      <c r="B34" s="289" t="s">
        <v>571</v>
      </c>
      <c r="C34" s="290" t="s">
        <v>5653</v>
      </c>
    </row>
    <row r="35" spans="2:3" ht="12.95" customHeight="1" outlineLevel="1">
      <c r="B35" s="323" t="s">
        <v>2453</v>
      </c>
      <c r="C35" s="324" t="s">
        <v>5644</v>
      </c>
    </row>
    <row r="36" spans="2:3" ht="12.95" customHeight="1" outlineLevel="1">
      <c r="B36" s="289" t="s">
        <v>2454</v>
      </c>
      <c r="C36" s="290" t="s">
        <v>5654</v>
      </c>
    </row>
    <row r="37" spans="2:3" ht="12.95" customHeight="1" outlineLevel="1">
      <c r="B37" s="323" t="s">
        <v>2455</v>
      </c>
      <c r="C37" s="324" t="s">
        <v>5647</v>
      </c>
    </row>
    <row r="38" spans="2:3" ht="12.95" customHeight="1" outlineLevel="1">
      <c r="B38" s="289" t="s">
        <v>1298</v>
      </c>
      <c r="C38" s="290" t="s">
        <v>5649</v>
      </c>
    </row>
    <row r="39" spans="2:3" ht="12.95" customHeight="1" outlineLevel="1">
      <c r="B39" s="323" t="s">
        <v>2456</v>
      </c>
      <c r="C39" s="324" t="s">
        <v>5650</v>
      </c>
    </row>
    <row r="40" spans="2:3" ht="12.95" customHeight="1" outlineLevel="1" thickBot="1">
      <c r="B40" s="319" t="s">
        <v>1415</v>
      </c>
      <c r="C40" s="320" t="s">
        <v>5651</v>
      </c>
    </row>
    <row r="41" spans="2:3" ht="5.0999999999999996" customHeight="1">
      <c r="B41" s="327"/>
      <c r="C41" s="327"/>
    </row>
    <row r="42" spans="2:3" ht="12.95" customHeight="1">
      <c r="B42" s="4320" t="s">
        <v>5118</v>
      </c>
      <c r="C42" s="4320"/>
    </row>
    <row r="43" spans="2:3" ht="5.0999999999999996" customHeight="1" outlineLevel="1" thickBot="1"/>
    <row r="44" spans="2:3" ht="12.95" customHeight="1" outlineLevel="1" thickBot="1">
      <c r="B44" s="282" t="s">
        <v>620</v>
      </c>
      <c r="C44" s="280" t="s">
        <v>568</v>
      </c>
    </row>
    <row r="45" spans="2:3" ht="12.95" customHeight="1" outlineLevel="1">
      <c r="B45" s="321" t="s">
        <v>1416</v>
      </c>
      <c r="C45" s="322" t="s">
        <v>5645</v>
      </c>
    </row>
    <row r="46" spans="2:3" ht="12.95" customHeight="1" outlineLevel="1">
      <c r="B46" s="1721" t="s">
        <v>1417</v>
      </c>
      <c r="C46" s="290" t="s">
        <v>5907</v>
      </c>
    </row>
    <row r="47" spans="2:3" ht="12.95" customHeight="1" outlineLevel="1">
      <c r="B47" s="1722" t="s">
        <v>1419</v>
      </c>
      <c r="C47" s="1723" t="s">
        <v>5906</v>
      </c>
    </row>
    <row r="48" spans="2:3" ht="12.95" customHeight="1" outlineLevel="1">
      <c r="B48" s="1721" t="s">
        <v>1418</v>
      </c>
      <c r="C48" s="290" t="s">
        <v>5644</v>
      </c>
    </row>
    <row r="49" spans="2:3" ht="12.95" customHeight="1" outlineLevel="1">
      <c r="B49" s="1722" t="s">
        <v>1420</v>
      </c>
      <c r="C49" s="1723" t="s">
        <v>5646</v>
      </c>
    </row>
    <row r="50" spans="2:3" ht="12.95" customHeight="1" outlineLevel="1">
      <c r="B50" s="1721" t="s">
        <v>1669</v>
      </c>
      <c r="C50" s="290" t="s">
        <v>5647</v>
      </c>
    </row>
    <row r="51" spans="2:3" ht="12.95" customHeight="1" outlineLevel="1">
      <c r="B51" s="1722" t="s">
        <v>491</v>
      </c>
      <c r="C51" s="1723" t="s">
        <v>5648</v>
      </c>
    </row>
    <row r="52" spans="2:3" ht="12.95" customHeight="1" outlineLevel="1">
      <c r="B52" s="1721" t="s">
        <v>1331</v>
      </c>
      <c r="C52" s="290" t="s">
        <v>5649</v>
      </c>
    </row>
    <row r="53" spans="2:3" ht="12.95" customHeight="1" outlineLevel="1">
      <c r="B53" s="1722" t="s">
        <v>1549</v>
      </c>
      <c r="C53" s="1723" t="s">
        <v>5650</v>
      </c>
    </row>
    <row r="54" spans="2:3" ht="12.95" customHeight="1" outlineLevel="1">
      <c r="B54" s="1721" t="s">
        <v>880</v>
      </c>
      <c r="C54" s="290" t="s">
        <v>5655</v>
      </c>
    </row>
    <row r="55" spans="2:3" ht="12.95" customHeight="1" outlineLevel="1">
      <c r="B55" s="1722" t="s">
        <v>881</v>
      </c>
      <c r="C55" s="1723" t="s">
        <v>5654</v>
      </c>
    </row>
    <row r="56" spans="2:3" ht="12.95" customHeight="1" outlineLevel="1">
      <c r="B56" s="1721" t="s">
        <v>884</v>
      </c>
      <c r="C56" s="290" t="s">
        <v>5651</v>
      </c>
    </row>
    <row r="57" spans="2:3" ht="12.95" customHeight="1" outlineLevel="1">
      <c r="B57" s="1722" t="s">
        <v>572</v>
      </c>
      <c r="C57" s="1723" t="s">
        <v>5653</v>
      </c>
    </row>
    <row r="58" spans="2:3" ht="12.95" customHeight="1" outlineLevel="1">
      <c r="B58" s="1721" t="s">
        <v>882</v>
      </c>
      <c r="C58" s="290" t="s">
        <v>5656</v>
      </c>
    </row>
    <row r="59" spans="2:3" ht="12.95" customHeight="1" outlineLevel="1">
      <c r="B59" s="1722" t="s">
        <v>883</v>
      </c>
      <c r="C59" s="1723" t="s">
        <v>5643</v>
      </c>
    </row>
    <row r="60" spans="2:3" ht="12.95" customHeight="1" outlineLevel="1">
      <c r="B60" s="793" t="s">
        <v>545</v>
      </c>
      <c r="C60" s="1754" t="s">
        <v>5652</v>
      </c>
    </row>
    <row r="61" spans="2:3" ht="12.95" customHeight="1" outlineLevel="1" thickBot="1">
      <c r="B61" s="1720" t="s">
        <v>6219</v>
      </c>
      <c r="C61" s="326" t="s">
        <v>6220</v>
      </c>
    </row>
    <row r="62" spans="2:3" ht="5.0999999999999996" customHeight="1">
      <c r="B62" s="327"/>
      <c r="C62" s="327"/>
    </row>
    <row r="63" spans="2:3" ht="12.95" customHeight="1">
      <c r="B63" s="4317" t="s">
        <v>5657</v>
      </c>
      <c r="C63" s="4317"/>
    </row>
    <row r="64" spans="2:3" ht="5.0999999999999996" customHeight="1" outlineLevel="1" thickBot="1"/>
    <row r="65" spans="2:4" ht="12.95" customHeight="1" outlineLevel="1" thickBot="1">
      <c r="B65" s="282" t="s">
        <v>620</v>
      </c>
      <c r="C65" s="280" t="s">
        <v>568</v>
      </c>
    </row>
    <row r="66" spans="2:4" ht="12.95" customHeight="1" outlineLevel="1">
      <c r="B66" s="328" t="s">
        <v>1632</v>
      </c>
      <c r="C66" s="324" t="s">
        <v>5653</v>
      </c>
    </row>
    <row r="67" spans="2:4" ht="12.95" customHeight="1" outlineLevel="1">
      <c r="B67" s="289" t="s">
        <v>1633</v>
      </c>
      <c r="C67" s="290" t="s">
        <v>5906</v>
      </c>
    </row>
    <row r="68" spans="2:4" ht="12.95" customHeight="1" outlineLevel="1">
      <c r="B68" s="323" t="s">
        <v>1634</v>
      </c>
      <c r="C68" s="329" t="s">
        <v>5645</v>
      </c>
    </row>
    <row r="69" spans="2:4" ht="12.95" customHeight="1" outlineLevel="1">
      <c r="B69" s="289" t="s">
        <v>1635</v>
      </c>
      <c r="C69" s="290" t="s">
        <v>5647</v>
      </c>
    </row>
    <row r="70" spans="2:4" ht="12.95" customHeight="1" outlineLevel="1">
      <c r="B70" s="323" t="s">
        <v>2648</v>
      </c>
      <c r="C70" s="324" t="s">
        <v>5650</v>
      </c>
    </row>
    <row r="71" spans="2:4" ht="12.95" customHeight="1" outlineLevel="1">
      <c r="B71" s="289" t="s">
        <v>2649</v>
      </c>
      <c r="C71" s="290" t="s">
        <v>5654</v>
      </c>
    </row>
    <row r="72" spans="2:4" ht="12.95" customHeight="1" outlineLevel="1">
      <c r="B72" s="323" t="s">
        <v>1550</v>
      </c>
      <c r="C72" s="324" t="s">
        <v>5659</v>
      </c>
    </row>
    <row r="73" spans="2:4" ht="12.95" customHeight="1" outlineLevel="1">
      <c r="B73" s="289" t="s">
        <v>312</v>
      </c>
      <c r="C73" s="290" t="s">
        <v>5658</v>
      </c>
    </row>
    <row r="74" spans="2:4" ht="12.95" customHeight="1" outlineLevel="1">
      <c r="B74" s="323" t="s">
        <v>313</v>
      </c>
      <c r="C74" s="324" t="s">
        <v>5643</v>
      </c>
    </row>
    <row r="75" spans="2:4" ht="12.95" customHeight="1" outlineLevel="1" thickBot="1">
      <c r="B75" s="319" t="s">
        <v>314</v>
      </c>
      <c r="C75" s="320" t="s">
        <v>5656</v>
      </c>
    </row>
    <row r="76" spans="2:4" ht="5.0999999999999996" customHeight="1"/>
    <row r="77" spans="2:4" ht="12.95" customHeight="1">
      <c r="B77" s="2978" t="s">
        <v>1396</v>
      </c>
      <c r="C77" s="2978"/>
    </row>
    <row r="78" spans="2:4" ht="5.0999999999999996" customHeight="1"/>
    <row r="79" spans="2:4" ht="78" customHeight="1">
      <c r="B79" s="3134" t="s">
        <v>9710</v>
      </c>
      <c r="C79" s="3134"/>
      <c r="D79" s="332"/>
    </row>
    <row r="80" spans="2:4" ht="5.0999999999999996" customHeight="1"/>
    <row r="96" ht="5.0999999999999996" customHeight="1"/>
    <row r="97" spans="2:3" ht="12.95" customHeight="1">
      <c r="B97" s="3134" t="s">
        <v>5660</v>
      </c>
      <c r="C97" s="3134"/>
    </row>
    <row r="98" spans="2:3" ht="26.1" customHeight="1">
      <c r="B98" s="3732" t="s">
        <v>5119</v>
      </c>
      <c r="C98" s="3134"/>
    </row>
    <row r="99" spans="2:3" ht="12.95" customHeight="1">
      <c r="B99" s="3732" t="s">
        <v>2473</v>
      </c>
      <c r="C99" s="3134"/>
    </row>
    <row r="100" spans="2:3" ht="12.95" customHeight="1">
      <c r="B100" s="3732" t="s">
        <v>2474</v>
      </c>
      <c r="C100" s="3134"/>
    </row>
    <row r="101" spans="2:3" ht="5.0999999999999996" customHeight="1"/>
    <row r="102" spans="2:3" ht="39" customHeight="1">
      <c r="B102" s="3134" t="s">
        <v>9711</v>
      </c>
      <c r="C102" s="3134"/>
    </row>
    <row r="103" spans="2:3" ht="12.95" customHeight="1">
      <c r="B103" s="4319" t="s">
        <v>6221</v>
      </c>
      <c r="C103" s="4319"/>
    </row>
    <row r="104" spans="2:3" ht="12.95" customHeight="1">
      <c r="B104" s="333" t="s">
        <v>972</v>
      </c>
      <c r="C104" s="333" t="s">
        <v>5661</v>
      </c>
    </row>
    <row r="105" spans="2:3" ht="12.95" customHeight="1">
      <c r="B105" s="333" t="s">
        <v>6219</v>
      </c>
      <c r="C105" s="333" t="s">
        <v>6220</v>
      </c>
    </row>
    <row r="106" spans="2:3" ht="5.0999999999999996" customHeight="1">
      <c r="B106" s="327"/>
      <c r="C106" s="327"/>
    </row>
    <row r="107" spans="2:3" ht="12.95" customHeight="1">
      <c r="B107" s="3754" t="s">
        <v>5662</v>
      </c>
      <c r="C107" s="3754"/>
    </row>
    <row r="108" spans="2:3" ht="5.0999999999999996" customHeight="1">
      <c r="B108" s="327"/>
      <c r="C108" s="327"/>
    </row>
    <row r="109" spans="2:3" ht="26.1" customHeight="1">
      <c r="B109" s="3134" t="s">
        <v>9712</v>
      </c>
      <c r="C109" s="3134"/>
    </row>
    <row r="110" spans="2:3" ht="12.95" customHeight="1">
      <c r="B110" s="3134" t="s">
        <v>5120</v>
      </c>
      <c r="C110" s="3134"/>
    </row>
    <row r="111" spans="2:3" ht="12.95" customHeight="1">
      <c r="B111" s="3134" t="s">
        <v>1288</v>
      </c>
      <c r="C111" s="3134"/>
    </row>
    <row r="112" spans="2:3" ht="12.95" customHeight="1">
      <c r="B112" s="3134" t="s">
        <v>1289</v>
      </c>
      <c r="C112" s="3134"/>
    </row>
    <row r="113" spans="2:3" ht="12.95" customHeight="1">
      <c r="B113" s="3134" t="s">
        <v>1301</v>
      </c>
      <c r="C113" s="3134"/>
    </row>
    <row r="114" spans="2:3" ht="12.95" customHeight="1">
      <c r="B114" s="3134" t="s">
        <v>1290</v>
      </c>
      <c r="C114" s="3134"/>
    </row>
    <row r="115" spans="2:3" ht="5.0999999999999996" customHeight="1">
      <c r="B115" s="3134"/>
      <c r="C115" s="3134"/>
    </row>
    <row r="116" spans="2:3" ht="12.95" customHeight="1">
      <c r="B116" s="3134" t="s">
        <v>5121</v>
      </c>
      <c r="C116" s="3134"/>
    </row>
    <row r="117" spans="2:3" ht="12.95" customHeight="1">
      <c r="B117" s="3134" t="s">
        <v>1291</v>
      </c>
      <c r="C117" s="3134"/>
    </row>
  </sheetData>
  <sheetProtection autoFilter="0"/>
  <mergeCells count="26">
    <mergeCell ref="B6:C6"/>
    <mergeCell ref="B7:C7"/>
    <mergeCell ref="B4:C4"/>
    <mergeCell ref="B3:C3"/>
    <mergeCell ref="B42:C42"/>
    <mergeCell ref="B28:C28"/>
    <mergeCell ref="B63:C63"/>
    <mergeCell ref="B9:C9"/>
    <mergeCell ref="B103:C103"/>
    <mergeCell ref="B102:C102"/>
    <mergeCell ref="B109:C109"/>
    <mergeCell ref="B77:C77"/>
    <mergeCell ref="B98:C98"/>
    <mergeCell ref="B99:C99"/>
    <mergeCell ref="B100:C100"/>
    <mergeCell ref="B97:C97"/>
    <mergeCell ref="B79:C79"/>
    <mergeCell ref="B107:C107"/>
    <mergeCell ref="B110:C110"/>
    <mergeCell ref="B111:C111"/>
    <mergeCell ref="B116:C116"/>
    <mergeCell ref="B117:C117"/>
    <mergeCell ref="B112:C112"/>
    <mergeCell ref="B113:C113"/>
    <mergeCell ref="B114:C114"/>
    <mergeCell ref="B115:C115"/>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scale="97" orientation="landscape" r:id="rId1"/>
  <headerFooter alignWithMargins="0"/>
  <rowBreaks count="3" manualBreakCount="3">
    <brk id="40" max="2" man="1"/>
    <brk id="75" max="2" man="1"/>
    <brk id="105" max="2" man="1"/>
  </rowBreaks>
  <drawing r:id="rId2"/>
  <legacyDrawing r:id="rId3"/>
</worksheet>
</file>

<file path=xl/worksheets/sheet115.xml><?xml version="1.0" encoding="utf-8"?>
<worksheet xmlns="http://schemas.openxmlformats.org/spreadsheetml/2006/main" xmlns:r="http://schemas.openxmlformats.org/officeDocument/2006/relationships">
  <dimension ref="B1:F67"/>
  <sheetViews>
    <sheetView zoomScaleNormal="100" workbookViewId="0">
      <pane ySplit="4" topLeftCell="A5" activePane="bottomLeft" state="frozen"/>
      <selection pane="bottomLeft" activeCell="B1" sqref="B1"/>
    </sheetView>
  </sheetViews>
  <sheetFormatPr defaultRowHeight="12.95" customHeight="1"/>
  <cols>
    <col min="1" max="1" width="3.7109375" style="292" customWidth="1"/>
    <col min="2" max="2" width="9.140625" style="292"/>
    <col min="3" max="3" width="28.5703125" style="292" customWidth="1"/>
    <col min="4" max="4" width="28.42578125" style="292" customWidth="1"/>
    <col min="5" max="5" width="29.5703125" style="292" customWidth="1"/>
    <col min="6" max="6" width="28.28515625" style="292" customWidth="1"/>
    <col min="7" max="16384" width="9.140625" style="292"/>
  </cols>
  <sheetData>
    <row r="1" spans="2:6" s="291" customFormat="1" ht="12.95" customHeight="1">
      <c r="B1" s="298" t="s">
        <v>2706</v>
      </c>
      <c r="C1" s="3195" t="s">
        <v>8269</v>
      </c>
      <c r="D1" s="3195"/>
      <c r="E1" s="3195"/>
      <c r="F1" s="3195"/>
    </row>
    <row r="2" spans="2:6" ht="5.0999999999999996" customHeight="1"/>
    <row r="3" spans="2:6" ht="12.95" customHeight="1">
      <c r="B3" s="3075" t="s">
        <v>5134</v>
      </c>
      <c r="C3" s="3075"/>
      <c r="D3" s="3075"/>
      <c r="E3" s="3075"/>
      <c r="F3" s="3075"/>
    </row>
    <row r="4" spans="2:6" ht="5.0999999999999996" customHeight="1"/>
    <row r="5" spans="2:6" ht="78" customHeight="1">
      <c r="B5" s="2960" t="s">
        <v>9713</v>
      </c>
      <c r="C5" s="2960"/>
      <c r="D5" s="2960"/>
      <c r="E5" s="2960"/>
      <c r="F5" s="2960"/>
    </row>
    <row r="6" spans="2:6" ht="5.0999999999999996" customHeight="1"/>
    <row r="7" spans="2:6" ht="12.95" customHeight="1">
      <c r="B7" s="3000" t="s">
        <v>9714</v>
      </c>
      <c r="C7" s="3000"/>
      <c r="D7" s="3000"/>
      <c r="E7" s="3000"/>
      <c r="F7" s="3000"/>
    </row>
    <row r="8" spans="2:6" ht="5.0999999999999996" customHeight="1"/>
    <row r="9" spans="2:6" ht="26.1" customHeight="1">
      <c r="B9" s="3141" t="s">
        <v>9715</v>
      </c>
      <c r="C9" s="2960"/>
      <c r="D9" s="2960"/>
      <c r="E9" s="2960"/>
      <c r="F9" s="2960"/>
    </row>
    <row r="10" spans="2:6" ht="5.0999999999999996" customHeight="1"/>
    <row r="11" spans="2:6" s="296" customFormat="1" ht="12.95" customHeight="1">
      <c r="B11" s="294" t="s">
        <v>128</v>
      </c>
      <c r="C11" s="3102" t="s">
        <v>5123</v>
      </c>
      <c r="D11" s="3102"/>
      <c r="E11" s="3102"/>
      <c r="F11" s="3102"/>
    </row>
    <row r="12" spans="2:6" ht="26.1" customHeight="1">
      <c r="B12" s="2960" t="s">
        <v>9716</v>
      </c>
      <c r="C12" s="2960"/>
      <c r="D12" s="2960"/>
      <c r="E12" s="2960"/>
      <c r="F12" s="2960"/>
    </row>
    <row r="13" spans="2:6" ht="5.0999999999999996" customHeight="1"/>
    <row r="14" spans="2:6" s="296" customFormat="1" ht="12.95" customHeight="1">
      <c r="B14" s="294" t="s">
        <v>129</v>
      </c>
      <c r="C14" s="3102" t="s">
        <v>5124</v>
      </c>
      <c r="D14" s="3102"/>
      <c r="E14" s="3102"/>
      <c r="F14" s="3102"/>
    </row>
    <row r="15" spans="2:6" ht="51.95" customHeight="1">
      <c r="B15" s="2960" t="s">
        <v>9717</v>
      </c>
      <c r="C15" s="2960"/>
      <c r="D15" s="2960"/>
      <c r="E15" s="2960"/>
      <c r="F15" s="2960"/>
    </row>
    <row r="16" spans="2:6" ht="5.0999999999999996" customHeight="1"/>
    <row r="17" spans="2:6" s="296" customFormat="1" ht="12.95" customHeight="1">
      <c r="B17" s="294" t="s">
        <v>130</v>
      </c>
      <c r="C17" s="3102" t="s">
        <v>5125</v>
      </c>
      <c r="D17" s="3102"/>
      <c r="E17" s="3102"/>
      <c r="F17" s="3102"/>
    </row>
    <row r="18" spans="2:6" ht="39" customHeight="1">
      <c r="B18" s="2960" t="s">
        <v>9718</v>
      </c>
      <c r="C18" s="2960"/>
      <c r="D18" s="2960"/>
      <c r="E18" s="2960"/>
      <c r="F18" s="2960"/>
    </row>
    <row r="19" spans="2:6" ht="5.0999999999999996" customHeight="1"/>
    <row r="20" spans="2:6" s="296" customFormat="1" ht="12.95" customHeight="1">
      <c r="B20" s="294" t="s">
        <v>131</v>
      </c>
      <c r="C20" s="3102" t="s">
        <v>5126</v>
      </c>
      <c r="D20" s="3102"/>
      <c r="E20" s="3102"/>
      <c r="F20" s="3102"/>
    </row>
    <row r="21" spans="2:6" ht="39" customHeight="1">
      <c r="B21" s="2960" t="s">
        <v>9719</v>
      </c>
      <c r="C21" s="2960"/>
      <c r="D21" s="2960"/>
      <c r="E21" s="2960"/>
      <c r="F21" s="2960"/>
    </row>
    <row r="22" spans="2:6" ht="5.0999999999999996" customHeight="1"/>
    <row r="23" spans="2:6" s="296" customFormat="1" ht="12.95" customHeight="1">
      <c r="B23" s="294" t="s">
        <v>134</v>
      </c>
      <c r="C23" s="3102" t="s">
        <v>5127</v>
      </c>
      <c r="D23" s="3102"/>
      <c r="E23" s="3102"/>
      <c r="F23" s="3102"/>
    </row>
    <row r="24" spans="2:6" ht="90.95" customHeight="1">
      <c r="B24" s="2960" t="s">
        <v>9720</v>
      </c>
      <c r="C24" s="2960"/>
      <c r="D24" s="2960"/>
      <c r="E24" s="2960"/>
      <c r="F24" s="2960"/>
    </row>
    <row r="25" spans="2:6" ht="5.0999999999999996" customHeight="1"/>
    <row r="26" spans="2:6" s="296" customFormat="1" ht="12.95" customHeight="1">
      <c r="B26" s="294" t="s">
        <v>230</v>
      </c>
      <c r="C26" s="3102" t="s">
        <v>5128</v>
      </c>
      <c r="D26" s="3102"/>
      <c r="E26" s="3102"/>
      <c r="F26" s="3102"/>
    </row>
    <row r="27" spans="2:6" ht="51.95" customHeight="1">
      <c r="B27" s="2960" t="s">
        <v>9721</v>
      </c>
      <c r="C27" s="2960"/>
      <c r="D27" s="2960"/>
      <c r="E27" s="2960"/>
      <c r="F27" s="2960"/>
    </row>
    <row r="28" spans="2:6" ht="5.0999999999999996" customHeight="1"/>
    <row r="29" spans="2:6" s="296" customFormat="1" ht="12.95" customHeight="1">
      <c r="B29" s="294" t="s">
        <v>1557</v>
      </c>
      <c r="C29" s="3102" t="s">
        <v>5129</v>
      </c>
      <c r="D29" s="3102"/>
      <c r="E29" s="3102"/>
      <c r="F29" s="3102"/>
    </row>
    <row r="30" spans="2:6" ht="78" customHeight="1">
      <c r="B30" s="2960" t="s">
        <v>9722</v>
      </c>
      <c r="C30" s="2960"/>
      <c r="D30" s="2960"/>
      <c r="E30" s="2960"/>
      <c r="F30" s="2960"/>
    </row>
    <row r="31" spans="2:6" ht="5.0999999999999996" customHeight="1">
      <c r="B31" s="291"/>
      <c r="C31" s="291"/>
      <c r="D31" s="291"/>
      <c r="E31" s="291"/>
      <c r="F31" s="291"/>
    </row>
    <row r="32" spans="2:6" s="296" customFormat="1" ht="12.95" customHeight="1">
      <c r="B32" s="294" t="s">
        <v>1206</v>
      </c>
      <c r="C32" s="3102" t="s">
        <v>5130</v>
      </c>
      <c r="D32" s="3102"/>
      <c r="E32" s="3102"/>
      <c r="F32" s="3102"/>
    </row>
    <row r="33" spans="2:6" ht="51.95" customHeight="1">
      <c r="B33" s="2960" t="s">
        <v>9723</v>
      </c>
      <c r="C33" s="2960"/>
      <c r="D33" s="2960"/>
      <c r="E33" s="2960"/>
      <c r="F33" s="2960"/>
    </row>
    <row r="34" spans="2:6" ht="5.0999999999999996" customHeight="1">
      <c r="B34" s="296"/>
    </row>
    <row r="35" spans="2:6" ht="78" customHeight="1">
      <c r="B35" s="3141" t="s">
        <v>9724</v>
      </c>
      <c r="C35" s="2960"/>
      <c r="D35" s="2960"/>
      <c r="E35" s="2960"/>
      <c r="F35" s="2960"/>
    </row>
    <row r="36" spans="2:6" ht="5.0999999999999996" customHeight="1"/>
    <row r="37" spans="2:6" s="296" customFormat="1" ht="12.95" customHeight="1">
      <c r="B37" s="297" t="s">
        <v>132</v>
      </c>
      <c r="C37" s="3102" t="s">
        <v>5640</v>
      </c>
      <c r="D37" s="3102"/>
      <c r="E37" s="3102"/>
      <c r="F37" s="3102"/>
    </row>
    <row r="38" spans="2:6" ht="78" customHeight="1">
      <c r="B38" s="2960" t="s">
        <v>9725</v>
      </c>
      <c r="C38" s="2960"/>
      <c r="D38" s="2960"/>
      <c r="E38" s="2960"/>
      <c r="F38" s="2960"/>
    </row>
    <row r="39" spans="2:6" ht="5.0999999999999996" customHeight="1"/>
    <row r="40" spans="2:6" s="296" customFormat="1" ht="12.95" customHeight="1">
      <c r="B40" s="294" t="s">
        <v>133</v>
      </c>
      <c r="C40" s="3102" t="s">
        <v>1678</v>
      </c>
      <c r="D40" s="3102"/>
      <c r="E40" s="3102"/>
      <c r="F40" s="3102"/>
    </row>
    <row r="41" spans="2:6" ht="90.95" customHeight="1">
      <c r="B41" s="2960" t="s">
        <v>9726</v>
      </c>
      <c r="C41" s="2960"/>
      <c r="D41" s="2960"/>
      <c r="E41" s="2960"/>
      <c r="F41" s="2960"/>
    </row>
    <row r="42" spans="2:6" ht="5.0999999999999996" customHeight="1"/>
    <row r="43" spans="2:6" s="296" customFormat="1" ht="12.95" customHeight="1">
      <c r="B43" s="294" t="s">
        <v>231</v>
      </c>
      <c r="C43" s="3102" t="s">
        <v>5131</v>
      </c>
      <c r="D43" s="3102"/>
      <c r="E43" s="3102"/>
      <c r="F43" s="3102"/>
    </row>
    <row r="44" spans="2:6" ht="26.1" customHeight="1">
      <c r="B44" s="2960" t="s">
        <v>9727</v>
      </c>
      <c r="C44" s="2960"/>
      <c r="D44" s="2960"/>
      <c r="E44" s="2960"/>
      <c r="F44" s="2960"/>
    </row>
    <row r="45" spans="2:6" ht="5.0999999999999996" customHeight="1"/>
    <row r="46" spans="2:6" s="296" customFormat="1" ht="12.95" customHeight="1">
      <c r="B46" s="294" t="s">
        <v>232</v>
      </c>
      <c r="C46" s="3102" t="s">
        <v>5132</v>
      </c>
      <c r="D46" s="3102"/>
      <c r="E46" s="3102"/>
      <c r="F46" s="3102"/>
    </row>
    <row r="47" spans="2:6" ht="39" customHeight="1">
      <c r="B47" s="2960" t="s">
        <v>9728</v>
      </c>
      <c r="C47" s="2960"/>
      <c r="D47" s="2960"/>
      <c r="E47" s="2960"/>
      <c r="F47" s="2960"/>
    </row>
    <row r="48" spans="2:6" ht="5.0999999999999996" customHeight="1"/>
    <row r="49" spans="2:6" s="296" customFormat="1" ht="12.95" customHeight="1">
      <c r="B49" s="294" t="s">
        <v>233</v>
      </c>
      <c r="C49" s="3102" t="s">
        <v>5407</v>
      </c>
      <c r="D49" s="3102"/>
      <c r="E49" s="3102"/>
      <c r="F49" s="3102"/>
    </row>
    <row r="50" spans="2:6" ht="78" customHeight="1">
      <c r="B50" s="2960" t="s">
        <v>9729</v>
      </c>
      <c r="C50" s="2960"/>
      <c r="D50" s="2960"/>
      <c r="E50" s="2960"/>
      <c r="F50" s="2960"/>
    </row>
    <row r="51" spans="2:6" ht="5.0999999999999996" customHeight="1"/>
    <row r="52" spans="2:6" s="296" customFormat="1" ht="12.95" customHeight="1">
      <c r="B52" s="294" t="s">
        <v>234</v>
      </c>
      <c r="C52" s="3102" t="s">
        <v>5133</v>
      </c>
      <c r="D52" s="3102"/>
      <c r="E52" s="3102"/>
      <c r="F52" s="3102"/>
    </row>
    <row r="53" spans="2:6" ht="65.099999999999994" customHeight="1">
      <c r="B53" s="2960" t="s">
        <v>9730</v>
      </c>
      <c r="C53" s="2960"/>
      <c r="D53" s="2960"/>
      <c r="E53" s="2960"/>
      <c r="F53" s="2960"/>
    </row>
    <row r="54" spans="2:6" ht="5.0999999999999996" customHeight="1">
      <c r="B54" s="291"/>
      <c r="C54" s="291"/>
      <c r="D54" s="291"/>
      <c r="E54" s="291"/>
      <c r="F54" s="291"/>
    </row>
    <row r="55" spans="2:6" s="296" customFormat="1" ht="12.95" customHeight="1">
      <c r="B55" s="294" t="s">
        <v>2731</v>
      </c>
      <c r="C55" s="3102" t="s">
        <v>2552</v>
      </c>
      <c r="D55" s="3102"/>
      <c r="E55" s="3102"/>
      <c r="F55" s="3102"/>
    </row>
    <row r="56" spans="2:6" ht="117" customHeight="1">
      <c r="B56" s="2960" t="s">
        <v>9731</v>
      </c>
      <c r="C56" s="2960"/>
      <c r="D56" s="2960"/>
      <c r="E56" s="2960"/>
      <c r="F56" s="2960"/>
    </row>
    <row r="57" spans="2:6" ht="5.0999999999999996" customHeight="1">
      <c r="B57" s="291"/>
      <c r="C57" s="291"/>
      <c r="D57" s="291"/>
      <c r="E57" s="291"/>
      <c r="F57" s="291"/>
    </row>
    <row r="58" spans="2:6" s="296" customFormat="1" ht="12.95" customHeight="1">
      <c r="B58" s="294" t="s">
        <v>5388</v>
      </c>
      <c r="C58" s="3102" t="s">
        <v>5389</v>
      </c>
      <c r="D58" s="3102"/>
      <c r="E58" s="3102"/>
      <c r="F58" s="3102"/>
    </row>
    <row r="59" spans="2:6" ht="104.1" customHeight="1">
      <c r="B59" s="2960" t="s">
        <v>9732</v>
      </c>
      <c r="C59" s="2960"/>
      <c r="D59" s="2960"/>
      <c r="E59" s="2960"/>
      <c r="F59" s="2960"/>
    </row>
    <row r="60" spans="2:6" ht="5.0999999999999996" customHeight="1"/>
    <row r="61" spans="2:6" s="296" customFormat="1" ht="12.95" customHeight="1">
      <c r="B61" s="294" t="s">
        <v>6242</v>
      </c>
      <c r="C61" s="3102" t="s">
        <v>6243</v>
      </c>
      <c r="D61" s="3102"/>
      <c r="E61" s="3102"/>
      <c r="F61" s="3102"/>
    </row>
    <row r="62" spans="2:6" ht="12.95" customHeight="1">
      <c r="B62" s="2960" t="s">
        <v>9733</v>
      </c>
      <c r="C62" s="2960"/>
      <c r="D62" s="2960"/>
      <c r="E62" s="2960"/>
      <c r="F62" s="2960"/>
    </row>
    <row r="63" spans="2:6" ht="5.0999999999999996" customHeight="1">
      <c r="B63" s="1792"/>
      <c r="C63" s="1792"/>
      <c r="D63" s="1792"/>
      <c r="E63" s="1792"/>
      <c r="F63" s="1792"/>
    </row>
    <row r="64" spans="2:6" ht="12.95" customHeight="1">
      <c r="B64" s="2646" t="s">
        <v>8764</v>
      </c>
      <c r="C64" s="3102" t="s">
        <v>8765</v>
      </c>
      <c r="D64" s="3102"/>
      <c r="E64" s="3102"/>
      <c r="F64" s="3102"/>
    </row>
    <row r="65" spans="2:6" ht="12.95" customHeight="1">
      <c r="B65" s="2960" t="s">
        <v>9734</v>
      </c>
      <c r="C65" s="2960"/>
      <c r="D65" s="2960"/>
      <c r="E65" s="2960"/>
      <c r="F65" s="2960"/>
    </row>
    <row r="66" spans="2:6" ht="12.95" customHeight="1">
      <c r="B66" s="2643"/>
      <c r="C66" s="2643"/>
      <c r="D66" s="2643"/>
      <c r="E66" s="2643"/>
      <c r="F66" s="2643"/>
    </row>
    <row r="67" spans="2:6" ht="26.1" customHeight="1">
      <c r="B67" s="4322" t="s">
        <v>9735</v>
      </c>
      <c r="C67" s="4322"/>
      <c r="D67" s="4322"/>
      <c r="E67" s="4322"/>
      <c r="F67" s="4322"/>
    </row>
  </sheetData>
  <sheetProtection autoFilter="0"/>
  <mergeCells count="43">
    <mergeCell ref="C1:F1"/>
    <mergeCell ref="B41:F41"/>
    <mergeCell ref="B30:F30"/>
    <mergeCell ref="B56:F56"/>
    <mergeCell ref="B50:F50"/>
    <mergeCell ref="B3:F3"/>
    <mergeCell ref="B5:F5"/>
    <mergeCell ref="B9:F9"/>
    <mergeCell ref="B35:F35"/>
    <mergeCell ref="B12:F12"/>
    <mergeCell ref="B15:F15"/>
    <mergeCell ref="B18:F18"/>
    <mergeCell ref="B27:F27"/>
    <mergeCell ref="B33:F33"/>
    <mergeCell ref="B21:F21"/>
    <mergeCell ref="B24:F24"/>
    <mergeCell ref="B67:F67"/>
    <mergeCell ref="B53:F53"/>
    <mergeCell ref="B44:F44"/>
    <mergeCell ref="B47:F47"/>
    <mergeCell ref="B38:F38"/>
    <mergeCell ref="B59:F59"/>
    <mergeCell ref="C40:F40"/>
    <mergeCell ref="C43:F43"/>
    <mergeCell ref="C46:F46"/>
    <mergeCell ref="C49:F49"/>
    <mergeCell ref="C52:F52"/>
    <mergeCell ref="C55:F55"/>
    <mergeCell ref="C58:F58"/>
    <mergeCell ref="C61:F61"/>
    <mergeCell ref="B62:F62"/>
    <mergeCell ref="C64:F64"/>
    <mergeCell ref="B7:F7"/>
    <mergeCell ref="C11:F11"/>
    <mergeCell ref="C14:F14"/>
    <mergeCell ref="C17:F17"/>
    <mergeCell ref="C20:F20"/>
    <mergeCell ref="B65:F65"/>
    <mergeCell ref="C23:F23"/>
    <mergeCell ref="C26:F26"/>
    <mergeCell ref="C29:F29"/>
    <mergeCell ref="C32:F32"/>
    <mergeCell ref="C37:F37"/>
  </mergeCells>
  <phoneticPr fontId="9" type="noConversion"/>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0" orientation="landscape" r:id="rId1"/>
  <headerFooter alignWithMargins="0"/>
  <rowBreaks count="3" manualBreakCount="3">
    <brk id="21" max="5" man="1"/>
    <brk id="35" max="5" man="1"/>
    <brk id="50" max="5" man="1"/>
  </rowBreaks>
</worksheet>
</file>

<file path=xl/worksheets/sheet116.xml><?xml version="1.0" encoding="utf-8"?>
<worksheet xmlns="http://schemas.openxmlformats.org/spreadsheetml/2006/main" xmlns:r="http://schemas.openxmlformats.org/officeDocument/2006/relationships">
  <dimension ref="B1:G393"/>
  <sheetViews>
    <sheetView zoomScaleNormal="100" workbookViewId="0">
      <pane ySplit="6" topLeftCell="A7" activePane="bottomLeft" state="frozen"/>
      <selection pane="bottomLeft" activeCell="B1" sqref="B1"/>
    </sheetView>
  </sheetViews>
  <sheetFormatPr defaultRowHeight="12.75"/>
  <cols>
    <col min="1" max="1" width="3.7109375" style="314" customWidth="1"/>
    <col min="2" max="2" width="24" style="314" bestFit="1" customWidth="1"/>
    <col min="3" max="3" width="29.42578125" style="314" bestFit="1" customWidth="1"/>
    <col min="4" max="4" width="30.140625" style="314" bestFit="1" customWidth="1"/>
    <col min="5" max="5" width="37.140625" style="314" bestFit="1" customWidth="1"/>
    <col min="6" max="6" width="20.140625" style="314" bestFit="1" customWidth="1"/>
    <col min="7" max="7" width="27" style="314" bestFit="1" customWidth="1"/>
    <col min="8" max="16384" width="9.140625" style="314"/>
  </cols>
  <sheetData>
    <row r="1" spans="2:7">
      <c r="B1" s="313" t="s">
        <v>2706</v>
      </c>
      <c r="C1" s="2973" t="s">
        <v>8269</v>
      </c>
      <c r="D1" s="2973"/>
      <c r="E1" s="2973"/>
      <c r="F1" s="2973"/>
      <c r="G1" s="2973"/>
    </row>
    <row r="2" spans="2:7" ht="5.0999999999999996" customHeight="1"/>
    <row r="3" spans="2:7" s="315" customFormat="1">
      <c r="B3" s="2978" t="s">
        <v>5135</v>
      </c>
      <c r="C3" s="2978"/>
      <c r="D3" s="2978"/>
      <c r="E3" s="2978"/>
      <c r="F3" s="2978"/>
      <c r="G3" s="2978"/>
    </row>
    <row r="4" spans="2:7" ht="5.0999999999999996" customHeight="1" thickBot="1"/>
    <row r="5" spans="2:7" s="315" customFormat="1" ht="13.5" thickBot="1">
      <c r="B5" s="282" t="s">
        <v>5638</v>
      </c>
      <c r="C5" s="280" t="s">
        <v>1927</v>
      </c>
      <c r="D5" s="282" t="s">
        <v>5638</v>
      </c>
      <c r="E5" s="280" t="s">
        <v>1927</v>
      </c>
      <c r="F5" s="281" t="s">
        <v>5638</v>
      </c>
      <c r="G5" s="280" t="s">
        <v>1927</v>
      </c>
    </row>
    <row r="6" spans="2:7" s="2685" customFormat="1" ht="12" thickBot="1">
      <c r="B6" s="2682"/>
      <c r="C6" s="2683"/>
      <c r="D6" s="2682"/>
      <c r="E6" s="2683"/>
      <c r="F6" s="2684"/>
      <c r="G6" s="2683"/>
    </row>
    <row r="7" spans="2:7" ht="68.25" customHeight="1">
      <c r="B7" s="4325" t="s">
        <v>5138</v>
      </c>
      <c r="C7" s="4326"/>
      <c r="D7" s="4325" t="s">
        <v>5139</v>
      </c>
      <c r="E7" s="4326"/>
      <c r="F7" s="4327" t="s">
        <v>5495</v>
      </c>
      <c r="G7" s="4328"/>
    </row>
    <row r="8" spans="2:7">
      <c r="B8" s="4323" t="s">
        <v>2140</v>
      </c>
      <c r="C8" s="4324"/>
      <c r="D8" s="4323" t="s">
        <v>2396</v>
      </c>
      <c r="E8" s="4324"/>
      <c r="F8" s="4323" t="s">
        <v>2021</v>
      </c>
      <c r="G8" s="4324"/>
    </row>
    <row r="9" spans="2:7">
      <c r="B9" s="316" t="s">
        <v>1574</v>
      </c>
      <c r="C9" s="303" t="s">
        <v>2156</v>
      </c>
      <c r="D9" s="316" t="s">
        <v>945</v>
      </c>
      <c r="E9" s="303" t="s">
        <v>5140</v>
      </c>
      <c r="F9" s="316" t="s">
        <v>1375</v>
      </c>
      <c r="G9" s="303" t="s">
        <v>827</v>
      </c>
    </row>
    <row r="10" spans="2:7">
      <c r="B10" s="226" t="s">
        <v>2157</v>
      </c>
      <c r="C10" s="234" t="s">
        <v>5531</v>
      </c>
      <c r="D10" s="226" t="s">
        <v>2240</v>
      </c>
      <c r="E10" s="234" t="s">
        <v>5141</v>
      </c>
      <c r="F10" s="226" t="s">
        <v>1376</v>
      </c>
      <c r="G10" s="234" t="s">
        <v>828</v>
      </c>
    </row>
    <row r="11" spans="2:7">
      <c r="B11" s="316" t="s">
        <v>1575</v>
      </c>
      <c r="C11" s="303" t="s">
        <v>2141</v>
      </c>
      <c r="D11" s="316" t="s">
        <v>1662</v>
      </c>
      <c r="E11" s="303" t="s">
        <v>1300</v>
      </c>
      <c r="F11" s="316" t="s">
        <v>183</v>
      </c>
      <c r="G11" s="303" t="s">
        <v>829</v>
      </c>
    </row>
    <row r="12" spans="2:7">
      <c r="B12" s="226" t="s">
        <v>1576</v>
      </c>
      <c r="C12" s="234" t="s">
        <v>2557</v>
      </c>
      <c r="D12" s="226" t="s">
        <v>2698</v>
      </c>
      <c r="E12" s="234" t="s">
        <v>2705</v>
      </c>
      <c r="F12" s="226" t="s">
        <v>184</v>
      </c>
      <c r="G12" s="234" t="s">
        <v>830</v>
      </c>
    </row>
    <row r="13" spans="2:7">
      <c r="B13" s="316" t="s">
        <v>1577</v>
      </c>
      <c r="C13" s="303" t="s">
        <v>625</v>
      </c>
      <c r="D13" s="316" t="s">
        <v>719</v>
      </c>
      <c r="E13" s="303" t="s">
        <v>5622</v>
      </c>
      <c r="F13" s="316" t="s">
        <v>185</v>
      </c>
      <c r="G13" s="303" t="s">
        <v>1001</v>
      </c>
    </row>
    <row r="14" spans="2:7">
      <c r="B14" s="226" t="s">
        <v>2686</v>
      </c>
      <c r="C14" s="234" t="s">
        <v>626</v>
      </c>
      <c r="D14" s="226" t="s">
        <v>717</v>
      </c>
      <c r="E14" s="234" t="s">
        <v>1806</v>
      </c>
      <c r="F14" s="226" t="s">
        <v>186</v>
      </c>
      <c r="G14" s="234" t="s">
        <v>5628</v>
      </c>
    </row>
    <row r="15" spans="2:7">
      <c r="B15" s="316" t="s">
        <v>2687</v>
      </c>
      <c r="C15" s="303" t="s">
        <v>5532</v>
      </c>
      <c r="D15" s="316" t="s">
        <v>718</v>
      </c>
      <c r="E15" s="303" t="s">
        <v>1807</v>
      </c>
      <c r="F15" s="316" t="s">
        <v>187</v>
      </c>
      <c r="G15" s="303" t="s">
        <v>5629</v>
      </c>
    </row>
    <row r="16" spans="2:7">
      <c r="B16" s="226" t="s">
        <v>2688</v>
      </c>
      <c r="C16" s="234" t="s">
        <v>628</v>
      </c>
      <c r="D16" s="226" t="s">
        <v>1450</v>
      </c>
      <c r="E16" s="234" t="s">
        <v>227</v>
      </c>
      <c r="F16" s="226" t="s">
        <v>188</v>
      </c>
      <c r="G16" s="234" t="s">
        <v>1002</v>
      </c>
    </row>
    <row r="17" spans="2:7">
      <c r="B17" s="316" t="s">
        <v>2689</v>
      </c>
      <c r="C17" s="303" t="s">
        <v>5533</v>
      </c>
      <c r="D17" s="316" t="s">
        <v>531</v>
      </c>
      <c r="E17" s="303" t="s">
        <v>5586</v>
      </c>
      <c r="F17" s="4323" t="s">
        <v>1368</v>
      </c>
      <c r="G17" s="4324"/>
    </row>
    <row r="18" spans="2:7">
      <c r="B18" s="4323" t="s">
        <v>5136</v>
      </c>
      <c r="C18" s="4324"/>
      <c r="D18" s="226" t="s">
        <v>709</v>
      </c>
      <c r="E18" s="234" t="s">
        <v>1097</v>
      </c>
      <c r="F18" s="226" t="s">
        <v>789</v>
      </c>
      <c r="G18" s="234" t="s">
        <v>5144</v>
      </c>
    </row>
    <row r="19" spans="2:7">
      <c r="B19" s="316" t="s">
        <v>1591</v>
      </c>
      <c r="C19" s="303" t="s">
        <v>212</v>
      </c>
      <c r="D19" s="316" t="s">
        <v>529</v>
      </c>
      <c r="E19" s="303" t="s">
        <v>530</v>
      </c>
      <c r="F19" s="316" t="s">
        <v>790</v>
      </c>
      <c r="G19" s="303" t="s">
        <v>2383</v>
      </c>
    </row>
    <row r="20" spans="2:7">
      <c r="B20" s="226" t="s">
        <v>1590</v>
      </c>
      <c r="C20" s="234" t="s">
        <v>213</v>
      </c>
      <c r="D20" s="226" t="s">
        <v>708</v>
      </c>
      <c r="E20" s="234" t="s">
        <v>2525</v>
      </c>
      <c r="F20" s="226" t="s">
        <v>791</v>
      </c>
      <c r="G20" s="234" t="s">
        <v>1864</v>
      </c>
    </row>
    <row r="21" spans="2:7">
      <c r="B21" s="316" t="s">
        <v>1589</v>
      </c>
      <c r="C21" s="303" t="s">
        <v>214</v>
      </c>
      <c r="D21" s="316" t="s">
        <v>667</v>
      </c>
      <c r="E21" s="303" t="s">
        <v>1276</v>
      </c>
      <c r="F21" s="316" t="s">
        <v>792</v>
      </c>
      <c r="G21" s="303" t="s">
        <v>1305</v>
      </c>
    </row>
    <row r="22" spans="2:7">
      <c r="B22" s="226" t="s">
        <v>1588</v>
      </c>
      <c r="C22" s="234" t="s">
        <v>2402</v>
      </c>
      <c r="D22" s="192" t="s">
        <v>1944</v>
      </c>
      <c r="E22" s="234" t="s">
        <v>2009</v>
      </c>
      <c r="F22" s="226" t="s">
        <v>105</v>
      </c>
      <c r="G22" s="234" t="s">
        <v>2384</v>
      </c>
    </row>
    <row r="23" spans="2:7">
      <c r="B23" s="316" t="s">
        <v>1585</v>
      </c>
      <c r="C23" s="303" t="s">
        <v>2403</v>
      </c>
      <c r="D23" s="316" t="s">
        <v>1293</v>
      </c>
      <c r="E23" s="303" t="s">
        <v>2230</v>
      </c>
      <c r="F23" s="316" t="s">
        <v>106</v>
      </c>
      <c r="G23" s="303" t="s">
        <v>3328</v>
      </c>
    </row>
    <row r="24" spans="2:7">
      <c r="B24" s="226" t="s">
        <v>1586</v>
      </c>
      <c r="C24" s="234" t="s">
        <v>627</v>
      </c>
      <c r="D24" s="226" t="s">
        <v>2241</v>
      </c>
      <c r="E24" s="234" t="s">
        <v>1979</v>
      </c>
      <c r="F24" s="226" t="s">
        <v>107</v>
      </c>
      <c r="G24" s="234" t="s">
        <v>2385</v>
      </c>
    </row>
    <row r="25" spans="2:7">
      <c r="B25" s="316" t="s">
        <v>1574</v>
      </c>
      <c r="C25" s="303" t="s">
        <v>2156</v>
      </c>
      <c r="D25" s="316" t="s">
        <v>2550</v>
      </c>
      <c r="E25" s="303" t="s">
        <v>2685</v>
      </c>
      <c r="F25" s="316" t="s">
        <v>108</v>
      </c>
      <c r="G25" s="303" t="s">
        <v>2386</v>
      </c>
    </row>
    <row r="26" spans="2:7">
      <c r="B26" s="226" t="s">
        <v>1583</v>
      </c>
      <c r="C26" s="234" t="s">
        <v>2404</v>
      </c>
      <c r="D26" s="226" t="s">
        <v>2751</v>
      </c>
      <c r="E26" s="234" t="s">
        <v>2752</v>
      </c>
      <c r="F26" s="226" t="s">
        <v>591</v>
      </c>
      <c r="G26" s="234" t="s">
        <v>2387</v>
      </c>
    </row>
    <row r="27" spans="2:7">
      <c r="B27" s="316" t="s">
        <v>1582</v>
      </c>
      <c r="C27" s="303" t="s">
        <v>876</v>
      </c>
      <c r="D27" s="316" t="s">
        <v>1656</v>
      </c>
      <c r="E27" s="303" t="s">
        <v>1657</v>
      </c>
      <c r="F27" s="316" t="s">
        <v>592</v>
      </c>
      <c r="G27" s="303" t="s">
        <v>2388</v>
      </c>
    </row>
    <row r="28" spans="2:7">
      <c r="B28" s="226" t="s">
        <v>1581</v>
      </c>
      <c r="C28" s="234" t="s">
        <v>1587</v>
      </c>
      <c r="D28" s="226" t="s">
        <v>541</v>
      </c>
      <c r="E28" s="234" t="s">
        <v>542</v>
      </c>
      <c r="F28" s="226" t="s">
        <v>593</v>
      </c>
      <c r="G28" s="234" t="s">
        <v>2389</v>
      </c>
    </row>
    <row r="29" spans="2:7">
      <c r="B29" s="316" t="s">
        <v>1584</v>
      </c>
      <c r="C29" s="303" t="s">
        <v>2405</v>
      </c>
      <c r="D29" s="316" t="s">
        <v>2694</v>
      </c>
      <c r="E29" s="303" t="s">
        <v>5603</v>
      </c>
      <c r="F29" s="316" t="s">
        <v>594</v>
      </c>
      <c r="G29" s="303" t="s">
        <v>2390</v>
      </c>
    </row>
    <row r="30" spans="2:7">
      <c r="B30" s="226" t="s">
        <v>1960</v>
      </c>
      <c r="C30" s="234" t="s">
        <v>1282</v>
      </c>
      <c r="D30" s="226" t="s">
        <v>1056</v>
      </c>
      <c r="E30" s="234" t="s">
        <v>1096</v>
      </c>
      <c r="F30" s="226" t="s">
        <v>595</v>
      </c>
      <c r="G30" s="234" t="s">
        <v>2391</v>
      </c>
    </row>
    <row r="31" spans="2:7">
      <c r="B31" s="316" t="s">
        <v>2803</v>
      </c>
      <c r="C31" s="303" t="s">
        <v>5534</v>
      </c>
      <c r="D31" s="316" t="s">
        <v>1457</v>
      </c>
      <c r="E31" s="303" t="s">
        <v>5604</v>
      </c>
      <c r="F31" s="316" t="s">
        <v>596</v>
      </c>
      <c r="G31" s="303" t="s">
        <v>866</v>
      </c>
    </row>
    <row r="32" spans="2:7">
      <c r="B32" s="226" t="s">
        <v>2804</v>
      </c>
      <c r="C32" s="234" t="s">
        <v>1284</v>
      </c>
      <c r="D32" s="226" t="s">
        <v>532</v>
      </c>
      <c r="E32" s="234" t="s">
        <v>533</v>
      </c>
      <c r="F32" s="226" t="s">
        <v>597</v>
      </c>
      <c r="G32" s="234" t="s">
        <v>874</v>
      </c>
    </row>
    <row r="33" spans="2:7">
      <c r="B33" s="316" t="s">
        <v>2805</v>
      </c>
      <c r="C33" s="303" t="s">
        <v>1144</v>
      </c>
      <c r="D33" s="316" t="s">
        <v>1227</v>
      </c>
      <c r="E33" s="303" t="s">
        <v>2394</v>
      </c>
      <c r="F33" s="316" t="s">
        <v>598</v>
      </c>
      <c r="G33" s="303" t="s">
        <v>963</v>
      </c>
    </row>
    <row r="34" spans="2:7">
      <c r="B34" s="226" t="s">
        <v>2806</v>
      </c>
      <c r="C34" s="234" t="s">
        <v>311</v>
      </c>
      <c r="D34" s="226" t="s">
        <v>1455</v>
      </c>
      <c r="E34" s="234" t="s">
        <v>1456</v>
      </c>
      <c r="F34" s="226" t="s">
        <v>599</v>
      </c>
      <c r="G34" s="234" t="s">
        <v>2553</v>
      </c>
    </row>
    <row r="35" spans="2:7">
      <c r="B35" s="316" t="s">
        <v>2807</v>
      </c>
      <c r="C35" s="303" t="s">
        <v>1145</v>
      </c>
      <c r="D35" s="316" t="s">
        <v>2704</v>
      </c>
      <c r="E35" s="303" t="s">
        <v>5605</v>
      </c>
      <c r="F35" s="316" t="s">
        <v>600</v>
      </c>
      <c r="G35" s="303" t="s">
        <v>2554</v>
      </c>
    </row>
    <row r="36" spans="2:7">
      <c r="B36" s="226" t="s">
        <v>2575</v>
      </c>
      <c r="C36" s="234" t="s">
        <v>1079</v>
      </c>
      <c r="D36" s="226" t="s">
        <v>1664</v>
      </c>
      <c r="E36" s="234" t="s">
        <v>42</v>
      </c>
      <c r="F36" s="226" t="s">
        <v>601</v>
      </c>
      <c r="G36" s="234" t="s">
        <v>2555</v>
      </c>
    </row>
    <row r="37" spans="2:7">
      <c r="B37" s="316" t="s">
        <v>195</v>
      </c>
      <c r="C37" s="303" t="s">
        <v>5535</v>
      </c>
      <c r="D37" s="316" t="s">
        <v>2143</v>
      </c>
      <c r="E37" s="303" t="s">
        <v>1978</v>
      </c>
      <c r="F37" s="316" t="s">
        <v>602</v>
      </c>
      <c r="G37" s="303" t="s">
        <v>2556</v>
      </c>
    </row>
    <row r="38" spans="2:7">
      <c r="B38" s="226" t="s">
        <v>864</v>
      </c>
      <c r="C38" s="234" t="s">
        <v>5536</v>
      </c>
      <c r="D38" s="226" t="s">
        <v>2753</v>
      </c>
      <c r="E38" s="234" t="s">
        <v>5606</v>
      </c>
      <c r="F38" s="226" t="s">
        <v>603</v>
      </c>
      <c r="G38" s="234" t="s">
        <v>867</v>
      </c>
    </row>
    <row r="39" spans="2:7">
      <c r="B39" s="316" t="s">
        <v>2673</v>
      </c>
      <c r="C39" s="303" t="s">
        <v>5537</v>
      </c>
      <c r="D39" s="316" t="s">
        <v>2700</v>
      </c>
      <c r="E39" s="303" t="s">
        <v>6095</v>
      </c>
      <c r="F39" s="316" t="s">
        <v>604</v>
      </c>
      <c r="G39" s="303" t="s">
        <v>1306</v>
      </c>
    </row>
    <row r="40" spans="2:7">
      <c r="B40" s="226" t="s">
        <v>2674</v>
      </c>
      <c r="C40" s="234" t="s">
        <v>2675</v>
      </c>
      <c r="D40" s="226" t="s">
        <v>2244</v>
      </c>
      <c r="E40" s="234" t="s">
        <v>2083</v>
      </c>
      <c r="F40" s="226" t="s">
        <v>1576</v>
      </c>
      <c r="G40" s="234" t="s">
        <v>2557</v>
      </c>
    </row>
    <row r="41" spans="2:7">
      <c r="B41" s="316" t="s">
        <v>2326</v>
      </c>
      <c r="C41" s="303" t="s">
        <v>2327</v>
      </c>
      <c r="D41" s="316" t="s">
        <v>2697</v>
      </c>
      <c r="E41" s="303" t="s">
        <v>6096</v>
      </c>
      <c r="F41" s="316" t="s">
        <v>605</v>
      </c>
      <c r="G41" s="303" t="s">
        <v>2452</v>
      </c>
    </row>
    <row r="42" spans="2:7">
      <c r="B42" s="226" t="s">
        <v>2328</v>
      </c>
      <c r="C42" s="234" t="s">
        <v>2329</v>
      </c>
      <c r="D42" s="226" t="s">
        <v>1055</v>
      </c>
      <c r="E42" s="234" t="s">
        <v>1095</v>
      </c>
      <c r="F42" s="226" t="s">
        <v>606</v>
      </c>
      <c r="G42" s="234" t="s">
        <v>1308</v>
      </c>
    </row>
    <row r="43" spans="2:7">
      <c r="B43" s="316" t="s">
        <v>2330</v>
      </c>
      <c r="C43" s="303" t="s">
        <v>5538</v>
      </c>
      <c r="D43" s="316" t="s">
        <v>723</v>
      </c>
      <c r="E43" s="303" t="s">
        <v>724</v>
      </c>
      <c r="F43" s="316" t="s">
        <v>413</v>
      </c>
      <c r="G43" s="303" t="s">
        <v>3360</v>
      </c>
    </row>
    <row r="44" spans="2:7">
      <c r="B44" s="226" t="s">
        <v>2331</v>
      </c>
      <c r="C44" s="234" t="s">
        <v>885</v>
      </c>
      <c r="D44" s="226" t="s">
        <v>539</v>
      </c>
      <c r="E44" s="234" t="s">
        <v>540</v>
      </c>
      <c r="F44" s="226" t="s">
        <v>414</v>
      </c>
      <c r="G44" s="234" t="s">
        <v>2559</v>
      </c>
    </row>
    <row r="45" spans="2:7">
      <c r="B45" s="316" t="s">
        <v>2332</v>
      </c>
      <c r="C45" s="303" t="s">
        <v>886</v>
      </c>
      <c r="D45" s="316" t="s">
        <v>716</v>
      </c>
      <c r="E45" s="303" t="s">
        <v>1805</v>
      </c>
      <c r="F45" s="316" t="s">
        <v>415</v>
      </c>
      <c r="G45" s="303" t="s">
        <v>2560</v>
      </c>
    </row>
    <row r="46" spans="2:7">
      <c r="B46" s="226" t="s">
        <v>1116</v>
      </c>
      <c r="C46" s="234" t="s">
        <v>887</v>
      </c>
      <c r="D46" s="226" t="s">
        <v>721</v>
      </c>
      <c r="E46" s="234" t="s">
        <v>1843</v>
      </c>
      <c r="F46" s="226" t="s">
        <v>416</v>
      </c>
      <c r="G46" s="234" t="s">
        <v>1201</v>
      </c>
    </row>
    <row r="47" spans="2:7">
      <c r="B47" s="316" t="s">
        <v>1117</v>
      </c>
      <c r="C47" s="303" t="s">
        <v>888</v>
      </c>
      <c r="D47" s="316" t="s">
        <v>2695</v>
      </c>
      <c r="E47" s="303" t="s">
        <v>6097</v>
      </c>
      <c r="F47" s="316" t="s">
        <v>417</v>
      </c>
      <c r="G47" s="303" t="s">
        <v>2184</v>
      </c>
    </row>
    <row r="48" spans="2:7">
      <c r="B48" s="226" t="s">
        <v>1810</v>
      </c>
      <c r="C48" s="234" t="s">
        <v>896</v>
      </c>
      <c r="D48" s="226" t="s">
        <v>1446</v>
      </c>
      <c r="E48" s="234" t="s">
        <v>5607</v>
      </c>
      <c r="F48" s="226" t="s">
        <v>1963</v>
      </c>
      <c r="G48" s="234" t="s">
        <v>2185</v>
      </c>
    </row>
    <row r="49" spans="2:7">
      <c r="B49" s="316" t="s">
        <v>521</v>
      </c>
      <c r="C49" s="303" t="s">
        <v>897</v>
      </c>
      <c r="D49" s="316" t="s">
        <v>1447</v>
      </c>
      <c r="E49" s="303" t="s">
        <v>1434</v>
      </c>
      <c r="F49" s="316" t="s">
        <v>1964</v>
      </c>
      <c r="G49" s="303" t="s">
        <v>2186</v>
      </c>
    </row>
    <row r="50" spans="2:7">
      <c r="B50" s="226" t="s">
        <v>522</v>
      </c>
      <c r="C50" s="234" t="s">
        <v>2276</v>
      </c>
      <c r="D50" s="226" t="s">
        <v>2636</v>
      </c>
      <c r="E50" s="234" t="s">
        <v>489</v>
      </c>
      <c r="F50" s="226" t="s">
        <v>1965</v>
      </c>
      <c r="G50" s="234" t="s">
        <v>2187</v>
      </c>
    </row>
    <row r="51" spans="2:7">
      <c r="B51" s="316" t="s">
        <v>2103</v>
      </c>
      <c r="C51" s="303" t="s">
        <v>5539</v>
      </c>
      <c r="D51" s="316" t="s">
        <v>1049</v>
      </c>
      <c r="E51" s="303" t="s">
        <v>941</v>
      </c>
      <c r="F51" s="316" t="s">
        <v>914</v>
      </c>
      <c r="G51" s="303" t="s">
        <v>2237</v>
      </c>
    </row>
    <row r="52" spans="2:7">
      <c r="B52" s="226" t="s">
        <v>2104</v>
      </c>
      <c r="C52" s="234" t="s">
        <v>5540</v>
      </c>
      <c r="D52" s="226" t="s">
        <v>942</v>
      </c>
      <c r="E52" s="234" t="s">
        <v>943</v>
      </c>
      <c r="F52" s="226" t="s">
        <v>915</v>
      </c>
      <c r="G52" s="234" t="s">
        <v>3304</v>
      </c>
    </row>
    <row r="53" spans="2:7">
      <c r="B53" s="316" t="s">
        <v>772</v>
      </c>
      <c r="C53" s="303" t="s">
        <v>773</v>
      </c>
      <c r="D53" s="316" t="s">
        <v>1659</v>
      </c>
      <c r="E53" s="303" t="s">
        <v>2044</v>
      </c>
      <c r="F53" s="316" t="s">
        <v>916</v>
      </c>
      <c r="G53" s="303" t="s">
        <v>102</v>
      </c>
    </row>
    <row r="54" spans="2:7">
      <c r="B54" s="226" t="s">
        <v>1114</v>
      </c>
      <c r="C54" s="234" t="s">
        <v>5541</v>
      </c>
      <c r="D54" s="226" t="s">
        <v>543</v>
      </c>
      <c r="E54" s="234" t="s">
        <v>1292</v>
      </c>
      <c r="F54" s="226" t="s">
        <v>917</v>
      </c>
      <c r="G54" s="234" t="s">
        <v>1668</v>
      </c>
    </row>
    <row r="55" spans="2:7">
      <c r="B55" s="316" t="s">
        <v>1115</v>
      </c>
      <c r="C55" s="303" t="s">
        <v>5542</v>
      </c>
      <c r="D55" s="316" t="s">
        <v>1658</v>
      </c>
      <c r="E55" s="303" t="s">
        <v>5608</v>
      </c>
      <c r="F55" s="316" t="s">
        <v>918</v>
      </c>
      <c r="G55" s="303" t="s">
        <v>680</v>
      </c>
    </row>
    <row r="56" spans="2:7">
      <c r="B56" s="226" t="s">
        <v>2160</v>
      </c>
      <c r="C56" s="234" t="s">
        <v>5543</v>
      </c>
      <c r="D56" s="226" t="s">
        <v>229</v>
      </c>
      <c r="E56" s="234" t="s">
        <v>228</v>
      </c>
      <c r="F56" s="226" t="s">
        <v>919</v>
      </c>
      <c r="G56" s="234" t="s">
        <v>5630</v>
      </c>
    </row>
    <row r="57" spans="2:7">
      <c r="B57" s="316" t="s">
        <v>2161</v>
      </c>
      <c r="C57" s="303" t="s">
        <v>5544</v>
      </c>
      <c r="D57" s="316" t="s">
        <v>712</v>
      </c>
      <c r="E57" s="303" t="s">
        <v>1099</v>
      </c>
      <c r="F57" s="316" t="s">
        <v>920</v>
      </c>
      <c r="G57" s="303" t="s">
        <v>2369</v>
      </c>
    </row>
    <row r="58" spans="2:7">
      <c r="B58" s="226" t="s">
        <v>2162</v>
      </c>
      <c r="C58" s="234" t="s">
        <v>967</v>
      </c>
      <c r="D58" s="226" t="s">
        <v>713</v>
      </c>
      <c r="E58" s="234" t="s">
        <v>1098</v>
      </c>
      <c r="F58" s="226" t="s">
        <v>921</v>
      </c>
      <c r="G58" s="234" t="s">
        <v>2370</v>
      </c>
    </row>
    <row r="59" spans="2:7">
      <c r="B59" s="316" t="s">
        <v>2163</v>
      </c>
      <c r="C59" s="303" t="s">
        <v>968</v>
      </c>
      <c r="D59" s="316" t="s">
        <v>524</v>
      </c>
      <c r="E59" s="303" t="s">
        <v>525</v>
      </c>
      <c r="F59" s="316" t="s">
        <v>922</v>
      </c>
      <c r="G59" s="303" t="s">
        <v>1150</v>
      </c>
    </row>
    <row r="60" spans="2:7">
      <c r="B60" s="226" t="s">
        <v>2164</v>
      </c>
      <c r="C60" s="234" t="s">
        <v>1573</v>
      </c>
      <c r="D60" s="226" t="s">
        <v>1294</v>
      </c>
      <c r="E60" s="234" t="s">
        <v>1295</v>
      </c>
      <c r="F60" s="226" t="s">
        <v>923</v>
      </c>
      <c r="G60" s="234" t="s">
        <v>2056</v>
      </c>
    </row>
    <row r="61" spans="2:7">
      <c r="B61" s="316" t="s">
        <v>2165</v>
      </c>
      <c r="C61" s="303" t="s">
        <v>969</v>
      </c>
      <c r="D61" s="316" t="s">
        <v>2703</v>
      </c>
      <c r="E61" s="303" t="s">
        <v>5609</v>
      </c>
      <c r="F61" s="316" t="s">
        <v>924</v>
      </c>
      <c r="G61" s="303" t="s">
        <v>2371</v>
      </c>
    </row>
    <row r="62" spans="2:7">
      <c r="B62" s="226" t="s">
        <v>2166</v>
      </c>
      <c r="C62" s="234" t="s">
        <v>970</v>
      </c>
      <c r="D62" s="226" t="s">
        <v>1452</v>
      </c>
      <c r="E62" s="234" t="s">
        <v>358</v>
      </c>
      <c r="F62" s="226" t="s">
        <v>925</v>
      </c>
      <c r="G62" s="234" t="s">
        <v>2372</v>
      </c>
    </row>
    <row r="63" spans="2:7">
      <c r="B63" s="316" t="s">
        <v>2167</v>
      </c>
      <c r="C63" s="303" t="s">
        <v>971</v>
      </c>
      <c r="D63" s="316" t="s">
        <v>1983</v>
      </c>
      <c r="E63" s="303" t="s">
        <v>1982</v>
      </c>
      <c r="F63" s="316" t="s">
        <v>926</v>
      </c>
      <c r="G63" s="303" t="s">
        <v>1152</v>
      </c>
    </row>
    <row r="64" spans="2:7">
      <c r="B64" s="226" t="s">
        <v>2168</v>
      </c>
      <c r="C64" s="234" t="s">
        <v>1325</v>
      </c>
      <c r="D64" s="226" t="s">
        <v>711</v>
      </c>
      <c r="E64" s="234" t="s">
        <v>5610</v>
      </c>
      <c r="F64" s="226" t="s">
        <v>1972</v>
      </c>
      <c r="G64" s="234" t="s">
        <v>1147</v>
      </c>
    </row>
    <row r="65" spans="2:7">
      <c r="B65" s="316" t="s">
        <v>2169</v>
      </c>
      <c r="C65" s="303" t="s">
        <v>115</v>
      </c>
      <c r="D65" s="316" t="s">
        <v>172</v>
      </c>
      <c r="E65" s="303" t="s">
        <v>2692</v>
      </c>
      <c r="F65" s="316" t="s">
        <v>1973</v>
      </c>
      <c r="G65" s="303" t="s">
        <v>2373</v>
      </c>
    </row>
    <row r="66" spans="2:7">
      <c r="B66" s="226" t="s">
        <v>116</v>
      </c>
      <c r="C66" s="234" t="s">
        <v>117</v>
      </c>
      <c r="D66" s="226" t="s">
        <v>1078</v>
      </c>
      <c r="E66" s="234" t="s">
        <v>5611</v>
      </c>
      <c r="F66" s="226" t="s">
        <v>1974</v>
      </c>
      <c r="G66" s="234" t="s">
        <v>2374</v>
      </c>
    </row>
    <row r="67" spans="2:7">
      <c r="B67" s="316" t="s">
        <v>118</v>
      </c>
      <c r="C67" s="303" t="s">
        <v>5545</v>
      </c>
      <c r="D67" s="316" t="s">
        <v>1958</v>
      </c>
      <c r="E67" s="303" t="s">
        <v>1981</v>
      </c>
      <c r="F67" s="316" t="s">
        <v>1975</v>
      </c>
      <c r="G67" s="303" t="s">
        <v>2375</v>
      </c>
    </row>
    <row r="68" spans="2:7">
      <c r="B68" s="226" t="s">
        <v>2676</v>
      </c>
      <c r="C68" s="234" t="s">
        <v>5546</v>
      </c>
      <c r="D68" s="226" t="s">
        <v>538</v>
      </c>
      <c r="E68" s="234" t="s">
        <v>2523</v>
      </c>
      <c r="F68" s="226" t="s">
        <v>1976</v>
      </c>
      <c r="G68" s="234" t="s">
        <v>2376</v>
      </c>
    </row>
    <row r="69" spans="2:7">
      <c r="B69" s="316" t="s">
        <v>2677</v>
      </c>
      <c r="C69" s="303" t="s">
        <v>5547</v>
      </c>
      <c r="D69" s="316" t="s">
        <v>722</v>
      </c>
      <c r="E69" s="303" t="s">
        <v>5612</v>
      </c>
      <c r="F69" s="316" t="s">
        <v>1977</v>
      </c>
      <c r="G69" s="303" t="s">
        <v>2377</v>
      </c>
    </row>
    <row r="70" spans="2:7">
      <c r="B70" s="226" t="s">
        <v>2678</v>
      </c>
      <c r="C70" s="234" t="s">
        <v>5548</v>
      </c>
      <c r="D70" s="226" t="s">
        <v>1077</v>
      </c>
      <c r="E70" s="234" t="s">
        <v>173</v>
      </c>
      <c r="F70" s="226" t="s">
        <v>745</v>
      </c>
      <c r="G70" s="234" t="s">
        <v>2378</v>
      </c>
    </row>
    <row r="71" spans="2:7">
      <c r="B71" s="316" t="s">
        <v>2679</v>
      </c>
      <c r="C71" s="303" t="s">
        <v>5549</v>
      </c>
      <c r="D71" s="316" t="s">
        <v>2243</v>
      </c>
      <c r="E71" s="303" t="s">
        <v>1123</v>
      </c>
      <c r="F71" s="316" t="s">
        <v>746</v>
      </c>
      <c r="G71" s="303" t="s">
        <v>2379</v>
      </c>
    </row>
    <row r="72" spans="2:7">
      <c r="B72" s="226" t="s">
        <v>2680</v>
      </c>
      <c r="C72" s="234" t="s">
        <v>5550</v>
      </c>
      <c r="D72" s="226" t="s">
        <v>2245</v>
      </c>
      <c r="E72" s="234" t="s">
        <v>1980</v>
      </c>
      <c r="F72" s="226" t="s">
        <v>747</v>
      </c>
      <c r="G72" s="234" t="s">
        <v>2380</v>
      </c>
    </row>
    <row r="73" spans="2:7">
      <c r="B73" s="316" t="s">
        <v>634</v>
      </c>
      <c r="C73" s="303" t="s">
        <v>2354</v>
      </c>
      <c r="D73" s="316" t="s">
        <v>1370</v>
      </c>
      <c r="E73" s="303" t="s">
        <v>5613</v>
      </c>
      <c r="F73" s="316" t="s">
        <v>748</v>
      </c>
      <c r="G73" s="303" t="s">
        <v>2381</v>
      </c>
    </row>
    <row r="74" spans="2:7">
      <c r="B74" s="226" t="s">
        <v>635</v>
      </c>
      <c r="C74" s="234" t="s">
        <v>2352</v>
      </c>
      <c r="D74" s="226" t="s">
        <v>315</v>
      </c>
      <c r="E74" s="234" t="s">
        <v>316</v>
      </c>
      <c r="F74" s="226" t="s">
        <v>749</v>
      </c>
      <c r="G74" s="234" t="s">
        <v>2382</v>
      </c>
    </row>
    <row r="75" spans="2:7">
      <c r="B75" s="316" t="s">
        <v>636</v>
      </c>
      <c r="C75" s="303" t="s">
        <v>2353</v>
      </c>
      <c r="D75" s="316" t="s">
        <v>1660</v>
      </c>
      <c r="E75" s="303" t="s">
        <v>1661</v>
      </c>
      <c r="F75" s="316" t="s">
        <v>750</v>
      </c>
      <c r="G75" s="303" t="s">
        <v>624</v>
      </c>
    </row>
    <row r="76" spans="2:7">
      <c r="B76" s="226" t="s">
        <v>637</v>
      </c>
      <c r="C76" s="234" t="s">
        <v>2355</v>
      </c>
      <c r="D76" s="226" t="s">
        <v>534</v>
      </c>
      <c r="E76" s="234" t="s">
        <v>5614</v>
      </c>
      <c r="F76" s="226" t="s">
        <v>546</v>
      </c>
      <c r="G76" s="234" t="s">
        <v>681</v>
      </c>
    </row>
    <row r="77" spans="2:7">
      <c r="B77" s="316" t="s">
        <v>638</v>
      </c>
      <c r="C77" s="303" t="s">
        <v>2356</v>
      </c>
      <c r="D77" s="316" t="s">
        <v>1959</v>
      </c>
      <c r="E77" s="303" t="s">
        <v>5615</v>
      </c>
      <c r="F77" s="316" t="s">
        <v>547</v>
      </c>
      <c r="G77" s="303" t="s">
        <v>682</v>
      </c>
    </row>
    <row r="78" spans="2:7">
      <c r="B78" s="226" t="s">
        <v>639</v>
      </c>
      <c r="C78" s="234" t="s">
        <v>2357</v>
      </c>
      <c r="D78" s="226" t="s">
        <v>2551</v>
      </c>
      <c r="E78" s="234" t="s">
        <v>666</v>
      </c>
      <c r="F78" s="226" t="s">
        <v>94</v>
      </c>
      <c r="G78" s="234" t="s">
        <v>2274</v>
      </c>
    </row>
    <row r="79" spans="2:7">
      <c r="B79" s="316" t="s">
        <v>2610</v>
      </c>
      <c r="C79" s="303" t="s">
        <v>5551</v>
      </c>
      <c r="D79" s="316" t="s">
        <v>319</v>
      </c>
      <c r="E79" s="303" t="s">
        <v>1929</v>
      </c>
      <c r="F79" s="316" t="s">
        <v>95</v>
      </c>
      <c r="G79" s="303" t="s">
        <v>2275</v>
      </c>
    </row>
    <row r="80" spans="2:7">
      <c r="B80" s="226" t="s">
        <v>2231</v>
      </c>
      <c r="C80" s="234" t="s">
        <v>5552</v>
      </c>
      <c r="D80" s="226" t="s">
        <v>317</v>
      </c>
      <c r="E80" s="234" t="s">
        <v>318</v>
      </c>
      <c r="F80" s="226" t="s">
        <v>96</v>
      </c>
      <c r="G80" s="234" t="s">
        <v>2359</v>
      </c>
    </row>
    <row r="81" spans="2:7">
      <c r="B81" s="316" t="s">
        <v>1411</v>
      </c>
      <c r="C81" s="303" t="s">
        <v>1412</v>
      </c>
      <c r="D81" s="316" t="s">
        <v>1443</v>
      </c>
      <c r="E81" s="303" t="s">
        <v>1444</v>
      </c>
      <c r="F81" s="316" t="s">
        <v>114</v>
      </c>
      <c r="G81" s="303" t="s">
        <v>2360</v>
      </c>
    </row>
    <row r="82" spans="2:7">
      <c r="B82" s="226" t="s">
        <v>1413</v>
      </c>
      <c r="C82" s="234" t="s">
        <v>5553</v>
      </c>
      <c r="D82" s="226" t="s">
        <v>710</v>
      </c>
      <c r="E82" s="234" t="s">
        <v>5616</v>
      </c>
      <c r="F82" s="226" t="s">
        <v>793</v>
      </c>
      <c r="G82" s="234" t="s">
        <v>2361</v>
      </c>
    </row>
    <row r="83" spans="2:7">
      <c r="B83" s="316" t="s">
        <v>353</v>
      </c>
      <c r="C83" s="303" t="s">
        <v>354</v>
      </c>
      <c r="D83" s="316" t="s">
        <v>946</v>
      </c>
      <c r="E83" s="303" t="s">
        <v>1753</v>
      </c>
      <c r="F83" s="316" t="s">
        <v>794</v>
      </c>
      <c r="G83" s="303" t="s">
        <v>2362</v>
      </c>
    </row>
    <row r="84" spans="2:7">
      <c r="B84" s="226" t="s">
        <v>2054</v>
      </c>
      <c r="C84" s="234" t="s">
        <v>5554</v>
      </c>
      <c r="D84" s="226" t="s">
        <v>1850</v>
      </c>
      <c r="E84" s="234" t="s">
        <v>5617</v>
      </c>
      <c r="F84" s="226" t="s">
        <v>2084</v>
      </c>
      <c r="G84" s="234" t="s">
        <v>100</v>
      </c>
    </row>
    <row r="85" spans="2:7">
      <c r="B85" s="316" t="s">
        <v>2647</v>
      </c>
      <c r="C85" s="303" t="s">
        <v>5555</v>
      </c>
      <c r="D85" s="316" t="s">
        <v>1259</v>
      </c>
      <c r="E85" s="303" t="s">
        <v>337</v>
      </c>
      <c r="F85" s="316" t="s">
        <v>2085</v>
      </c>
      <c r="G85" s="303" t="s">
        <v>2667</v>
      </c>
    </row>
    <row r="86" spans="2:7">
      <c r="B86" s="226" t="s">
        <v>2293</v>
      </c>
      <c r="C86" s="234" t="s">
        <v>2118</v>
      </c>
      <c r="D86" s="226" t="s">
        <v>1663</v>
      </c>
      <c r="E86" s="234" t="s">
        <v>5618</v>
      </c>
      <c r="F86" s="226" t="s">
        <v>2258</v>
      </c>
      <c r="G86" s="234" t="s">
        <v>2664</v>
      </c>
    </row>
    <row r="87" spans="2:7">
      <c r="B87" s="316" t="s">
        <v>2294</v>
      </c>
      <c r="C87" s="303" t="s">
        <v>1770</v>
      </c>
      <c r="D87" s="316" t="s">
        <v>715</v>
      </c>
      <c r="E87" s="303" t="s">
        <v>5619</v>
      </c>
      <c r="F87" s="316" t="s">
        <v>2257</v>
      </c>
      <c r="G87" s="303" t="s">
        <v>3372</v>
      </c>
    </row>
    <row r="88" spans="2:7">
      <c r="B88" s="226" t="s">
        <v>2295</v>
      </c>
      <c r="C88" s="234" t="s">
        <v>5556</v>
      </c>
      <c r="D88" s="226" t="s">
        <v>2701</v>
      </c>
      <c r="E88" s="234" t="s">
        <v>5620</v>
      </c>
      <c r="F88" s="4323" t="s">
        <v>1746</v>
      </c>
      <c r="G88" s="4324"/>
    </row>
    <row r="89" spans="2:7">
      <c r="B89" s="316" t="s">
        <v>774</v>
      </c>
      <c r="C89" s="303" t="s">
        <v>1772</v>
      </c>
      <c r="D89" s="316" t="s">
        <v>535</v>
      </c>
      <c r="E89" s="303" t="s">
        <v>2631</v>
      </c>
      <c r="F89" s="316" t="s">
        <v>1003</v>
      </c>
      <c r="G89" s="303" t="s">
        <v>119</v>
      </c>
    </row>
    <row r="90" spans="2:7">
      <c r="B90" s="226" t="s">
        <v>775</v>
      </c>
      <c r="C90" s="234" t="s">
        <v>776</v>
      </c>
      <c r="D90" s="226" t="s">
        <v>1451</v>
      </c>
      <c r="E90" s="234" t="s">
        <v>2144</v>
      </c>
      <c r="F90" s="226" t="s">
        <v>1004</v>
      </c>
      <c r="G90" s="234" t="s">
        <v>120</v>
      </c>
    </row>
    <row r="91" spans="2:7">
      <c r="B91" s="316" t="s">
        <v>777</v>
      </c>
      <c r="C91" s="303" t="s">
        <v>1774</v>
      </c>
      <c r="D91" s="316" t="s">
        <v>2696</v>
      </c>
      <c r="E91" s="303" t="s">
        <v>6098</v>
      </c>
      <c r="F91" s="316" t="s">
        <v>1005</v>
      </c>
      <c r="G91" s="303" t="s">
        <v>2312</v>
      </c>
    </row>
    <row r="92" spans="2:7">
      <c r="B92" s="226" t="s">
        <v>778</v>
      </c>
      <c r="C92" s="234" t="s">
        <v>1775</v>
      </c>
      <c r="D92" s="226" t="s">
        <v>2702</v>
      </c>
      <c r="E92" s="234" t="s">
        <v>5639</v>
      </c>
      <c r="F92" s="226" t="s">
        <v>1006</v>
      </c>
      <c r="G92" s="234" t="s">
        <v>2313</v>
      </c>
    </row>
    <row r="93" spans="2:7">
      <c r="B93" s="316" t="s">
        <v>668</v>
      </c>
      <c r="C93" s="303" t="s">
        <v>5557</v>
      </c>
      <c r="D93" s="316" t="s">
        <v>2242</v>
      </c>
      <c r="E93" s="303" t="s">
        <v>5306</v>
      </c>
      <c r="F93" s="316" t="s">
        <v>1007</v>
      </c>
      <c r="G93" s="303" t="s">
        <v>1008</v>
      </c>
    </row>
    <row r="94" spans="2:7">
      <c r="B94" s="226" t="s">
        <v>669</v>
      </c>
      <c r="C94" s="234" t="s">
        <v>670</v>
      </c>
      <c r="D94" s="226" t="s">
        <v>1448</v>
      </c>
      <c r="E94" s="234" t="s">
        <v>1449</v>
      </c>
      <c r="F94" s="226" t="s">
        <v>1009</v>
      </c>
      <c r="G94" s="234" t="s">
        <v>1010</v>
      </c>
    </row>
    <row r="95" spans="2:7">
      <c r="B95" s="316" t="s">
        <v>671</v>
      </c>
      <c r="C95" s="303" t="s">
        <v>5558</v>
      </c>
      <c r="D95" s="316" t="s">
        <v>2693</v>
      </c>
      <c r="E95" s="303" t="s">
        <v>5623</v>
      </c>
      <c r="F95" s="316" t="s">
        <v>1011</v>
      </c>
      <c r="G95" s="303" t="s">
        <v>1012</v>
      </c>
    </row>
    <row r="96" spans="2:7">
      <c r="B96" s="226" t="s">
        <v>672</v>
      </c>
      <c r="C96" s="234" t="s">
        <v>673</v>
      </c>
      <c r="D96" s="226" t="s">
        <v>2699</v>
      </c>
      <c r="E96" s="234" t="s">
        <v>2008</v>
      </c>
      <c r="F96" s="226" t="s">
        <v>1013</v>
      </c>
      <c r="G96" s="234" t="s">
        <v>1014</v>
      </c>
    </row>
    <row r="97" spans="2:7">
      <c r="B97" s="316" t="s">
        <v>674</v>
      </c>
      <c r="C97" s="303" t="s">
        <v>675</v>
      </c>
      <c r="D97" s="316" t="s">
        <v>944</v>
      </c>
      <c r="E97" s="303" t="s">
        <v>2487</v>
      </c>
      <c r="F97" s="316" t="s">
        <v>1015</v>
      </c>
      <c r="G97" s="303" t="s">
        <v>3608</v>
      </c>
    </row>
    <row r="98" spans="2:7">
      <c r="B98" s="226" t="s">
        <v>676</v>
      </c>
      <c r="C98" s="234" t="s">
        <v>5559</v>
      </c>
      <c r="D98" s="226" t="s">
        <v>536</v>
      </c>
      <c r="E98" s="234" t="s">
        <v>5621</v>
      </c>
      <c r="F98" s="226" t="s">
        <v>1016</v>
      </c>
      <c r="G98" s="234" t="s">
        <v>1017</v>
      </c>
    </row>
    <row r="99" spans="2:7">
      <c r="B99" s="316" t="s">
        <v>2337</v>
      </c>
      <c r="C99" s="303" t="s">
        <v>5560</v>
      </c>
      <c r="D99" s="316" t="s">
        <v>537</v>
      </c>
      <c r="E99" s="303" t="s">
        <v>412</v>
      </c>
      <c r="F99" s="4323" t="s">
        <v>2146</v>
      </c>
      <c r="G99" s="4324"/>
    </row>
    <row r="100" spans="2:7">
      <c r="B100" s="226" t="s">
        <v>2062</v>
      </c>
      <c r="C100" s="234" t="s">
        <v>492</v>
      </c>
      <c r="D100" s="226" t="s">
        <v>1453</v>
      </c>
      <c r="E100" s="234" t="s">
        <v>1454</v>
      </c>
      <c r="F100" s="226" t="s">
        <v>1246</v>
      </c>
      <c r="G100" s="234" t="s">
        <v>103</v>
      </c>
    </row>
    <row r="101" spans="2:7">
      <c r="B101" s="316" t="s">
        <v>2063</v>
      </c>
      <c r="C101" s="303" t="s">
        <v>493</v>
      </c>
      <c r="D101" s="316" t="s">
        <v>527</v>
      </c>
      <c r="E101" s="303" t="s">
        <v>528</v>
      </c>
      <c r="F101" s="316" t="s">
        <v>1247</v>
      </c>
      <c r="G101" s="303" t="s">
        <v>136</v>
      </c>
    </row>
    <row r="102" spans="2:7">
      <c r="B102" s="226" t="s">
        <v>683</v>
      </c>
      <c r="C102" s="234" t="s">
        <v>1160</v>
      </c>
      <c r="D102" s="226" t="s">
        <v>714</v>
      </c>
      <c r="E102" s="234" t="s">
        <v>1804</v>
      </c>
      <c r="F102" s="226" t="s">
        <v>1248</v>
      </c>
      <c r="G102" s="234" t="s">
        <v>1441</v>
      </c>
    </row>
    <row r="103" spans="2:7">
      <c r="B103" s="316" t="s">
        <v>1297</v>
      </c>
      <c r="C103" s="303" t="s">
        <v>1161</v>
      </c>
      <c r="D103" s="316" t="s">
        <v>526</v>
      </c>
      <c r="E103" s="303" t="s">
        <v>1522</v>
      </c>
      <c r="F103" s="316" t="s">
        <v>615</v>
      </c>
      <c r="G103" s="303" t="s">
        <v>1442</v>
      </c>
    </row>
    <row r="104" spans="2:7">
      <c r="B104" s="226" t="s">
        <v>1551</v>
      </c>
      <c r="C104" s="234" t="s">
        <v>1163</v>
      </c>
      <c r="D104" s="226" t="s">
        <v>1445</v>
      </c>
      <c r="E104" s="234" t="s">
        <v>875</v>
      </c>
      <c r="F104" s="226" t="s">
        <v>616</v>
      </c>
      <c r="G104" s="234" t="s">
        <v>1149</v>
      </c>
    </row>
    <row r="105" spans="2:7">
      <c r="B105" s="316" t="s">
        <v>1552</v>
      </c>
      <c r="C105" s="303" t="s">
        <v>155</v>
      </c>
      <c r="D105" s="4323" t="s">
        <v>1556</v>
      </c>
      <c r="E105" s="4324"/>
      <c r="F105" s="316" t="s">
        <v>617</v>
      </c>
      <c r="G105" s="303" t="s">
        <v>71</v>
      </c>
    </row>
    <row r="106" spans="2:7">
      <c r="B106" s="226" t="s">
        <v>1553</v>
      </c>
      <c r="C106" s="234" t="s">
        <v>5561</v>
      </c>
      <c r="D106" s="226" t="s">
        <v>2348</v>
      </c>
      <c r="E106" s="234" t="s">
        <v>4013</v>
      </c>
      <c r="F106" s="226" t="s">
        <v>618</v>
      </c>
      <c r="G106" s="234" t="s">
        <v>135</v>
      </c>
    </row>
    <row r="107" spans="2:7">
      <c r="B107" s="316" t="s">
        <v>1215</v>
      </c>
      <c r="C107" s="303" t="s">
        <v>1216</v>
      </c>
      <c r="D107" s="316" t="s">
        <v>2349</v>
      </c>
      <c r="E107" s="303" t="s">
        <v>4016</v>
      </c>
      <c r="F107" s="316" t="s">
        <v>619</v>
      </c>
      <c r="G107" s="303" t="s">
        <v>391</v>
      </c>
    </row>
    <row r="108" spans="2:7">
      <c r="B108" s="226" t="s">
        <v>1217</v>
      </c>
      <c r="C108" s="234" t="s">
        <v>5562</v>
      </c>
      <c r="D108" s="226" t="s">
        <v>402</v>
      </c>
      <c r="E108" s="234" t="s">
        <v>927</v>
      </c>
      <c r="F108" s="226" t="s">
        <v>1025</v>
      </c>
      <c r="G108" s="234" t="s">
        <v>869</v>
      </c>
    </row>
    <row r="109" spans="2:7">
      <c r="B109" s="316" t="s">
        <v>1038</v>
      </c>
      <c r="C109" s="303" t="s">
        <v>5563</v>
      </c>
      <c r="D109" s="316" t="s">
        <v>2536</v>
      </c>
      <c r="E109" s="303" t="s">
        <v>2019</v>
      </c>
      <c r="F109" s="316" t="s">
        <v>1026</v>
      </c>
      <c r="G109" s="303" t="s">
        <v>2377</v>
      </c>
    </row>
    <row r="110" spans="2:7">
      <c r="B110" s="226" t="s">
        <v>1299</v>
      </c>
      <c r="C110" s="234" t="s">
        <v>5564</v>
      </c>
      <c r="D110" s="226" t="s">
        <v>384</v>
      </c>
      <c r="E110" s="234" t="s">
        <v>386</v>
      </c>
      <c r="F110" s="226" t="s">
        <v>1369</v>
      </c>
      <c r="G110" s="234" t="s">
        <v>562</v>
      </c>
    </row>
    <row r="111" spans="2:7">
      <c r="B111" s="316" t="s">
        <v>1528</v>
      </c>
      <c r="C111" s="303" t="s">
        <v>1529</v>
      </c>
      <c r="D111" s="316" t="s">
        <v>2537</v>
      </c>
      <c r="E111" s="303" t="s">
        <v>1744</v>
      </c>
      <c r="F111" s="316" t="s">
        <v>1027</v>
      </c>
      <c r="G111" s="303" t="s">
        <v>873</v>
      </c>
    </row>
    <row r="112" spans="2:7">
      <c r="B112" s="226" t="s">
        <v>1530</v>
      </c>
      <c r="C112" s="234" t="s">
        <v>5565</v>
      </c>
      <c r="D112" s="226" t="s">
        <v>2538</v>
      </c>
      <c r="E112" s="234" t="s">
        <v>2018</v>
      </c>
      <c r="F112" s="226" t="s">
        <v>1028</v>
      </c>
      <c r="G112" s="234" t="s">
        <v>2333</v>
      </c>
    </row>
    <row r="113" spans="2:7">
      <c r="B113" s="316" t="s">
        <v>2786</v>
      </c>
      <c r="C113" s="303" t="s">
        <v>5566</v>
      </c>
      <c r="D113" s="316" t="s">
        <v>2539</v>
      </c>
      <c r="E113" s="303" t="s">
        <v>4029</v>
      </c>
      <c r="F113" s="316" t="s">
        <v>1029</v>
      </c>
      <c r="G113" s="303" t="s">
        <v>73</v>
      </c>
    </row>
    <row r="114" spans="2:7">
      <c r="B114" s="226" t="s">
        <v>2787</v>
      </c>
      <c r="C114" s="234" t="s">
        <v>1233</v>
      </c>
      <c r="D114" s="226" t="s">
        <v>2573</v>
      </c>
      <c r="E114" s="234" t="s">
        <v>4032</v>
      </c>
      <c r="F114" s="226" t="s">
        <v>1030</v>
      </c>
      <c r="G114" s="234" t="s">
        <v>97</v>
      </c>
    </row>
    <row r="115" spans="2:7">
      <c r="B115" s="316" t="s">
        <v>2788</v>
      </c>
      <c r="C115" s="303" t="s">
        <v>1234</v>
      </c>
      <c r="D115" s="316" t="s">
        <v>2574</v>
      </c>
      <c r="E115" s="303" t="s">
        <v>5142</v>
      </c>
      <c r="F115" s="316" t="s">
        <v>1031</v>
      </c>
      <c r="G115" s="303" t="s">
        <v>98</v>
      </c>
    </row>
    <row r="116" spans="2:7">
      <c r="B116" s="226" t="s">
        <v>2789</v>
      </c>
      <c r="C116" s="234" t="s">
        <v>437</v>
      </c>
      <c r="D116" s="226" t="s">
        <v>1800</v>
      </c>
      <c r="E116" s="234" t="s">
        <v>937</v>
      </c>
      <c r="F116" s="226" t="s">
        <v>1032</v>
      </c>
      <c r="G116" s="234" t="s">
        <v>99</v>
      </c>
    </row>
    <row r="117" spans="2:7">
      <c r="B117" s="316" t="s">
        <v>2790</v>
      </c>
      <c r="C117" s="303" t="s">
        <v>438</v>
      </c>
      <c r="D117" s="316" t="s">
        <v>1801</v>
      </c>
      <c r="E117" s="303" t="s">
        <v>4036</v>
      </c>
      <c r="F117" s="316" t="s">
        <v>1033</v>
      </c>
      <c r="G117" s="303" t="s">
        <v>865</v>
      </c>
    </row>
    <row r="118" spans="2:7">
      <c r="B118" s="226" t="s">
        <v>2099</v>
      </c>
      <c r="C118" s="234" t="s">
        <v>439</v>
      </c>
      <c r="D118" s="226" t="s">
        <v>1802</v>
      </c>
      <c r="E118" s="234" t="s">
        <v>1803</v>
      </c>
      <c r="F118" s="226" t="s">
        <v>1370</v>
      </c>
      <c r="G118" s="234" t="s">
        <v>345</v>
      </c>
    </row>
    <row r="119" spans="2:7">
      <c r="B119" s="316" t="s">
        <v>2100</v>
      </c>
      <c r="C119" s="303" t="s">
        <v>440</v>
      </c>
      <c r="D119" s="316" t="s">
        <v>552</v>
      </c>
      <c r="E119" s="303" t="s">
        <v>2067</v>
      </c>
      <c r="F119" s="316" t="s">
        <v>1371</v>
      </c>
      <c r="G119" s="303" t="s">
        <v>388</v>
      </c>
    </row>
    <row r="120" spans="2:7">
      <c r="B120" s="226" t="s">
        <v>2101</v>
      </c>
      <c r="C120" s="234" t="s">
        <v>5567</v>
      </c>
      <c r="D120" s="226" t="s">
        <v>553</v>
      </c>
      <c r="E120" s="234" t="s">
        <v>929</v>
      </c>
      <c r="F120" s="226" t="s">
        <v>1372</v>
      </c>
      <c r="G120" s="234" t="s">
        <v>385</v>
      </c>
    </row>
    <row r="121" spans="2:7">
      <c r="B121" s="316" t="s">
        <v>2102</v>
      </c>
      <c r="C121" s="303" t="s">
        <v>5568</v>
      </c>
      <c r="D121" s="316" t="s">
        <v>1193</v>
      </c>
      <c r="E121" s="303" t="s">
        <v>1194</v>
      </c>
      <c r="F121" s="316" t="s">
        <v>1034</v>
      </c>
      <c r="G121" s="303" t="s">
        <v>216</v>
      </c>
    </row>
    <row r="122" spans="2:7">
      <c r="B122" s="226" t="s">
        <v>2367</v>
      </c>
      <c r="C122" s="234" t="s">
        <v>5569</v>
      </c>
      <c r="D122" s="226" t="s">
        <v>1195</v>
      </c>
      <c r="E122" s="234" t="s">
        <v>1196</v>
      </c>
      <c r="F122" s="226" t="s">
        <v>1035</v>
      </c>
      <c r="G122" s="234" t="s">
        <v>75</v>
      </c>
    </row>
    <row r="123" spans="2:7">
      <c r="B123" s="316" t="s">
        <v>2368</v>
      </c>
      <c r="C123" s="303" t="s">
        <v>5570</v>
      </c>
      <c r="D123" s="316" t="s">
        <v>1197</v>
      </c>
      <c r="E123" s="303" t="s">
        <v>1198</v>
      </c>
      <c r="F123" s="316" t="s">
        <v>1373</v>
      </c>
      <c r="G123" s="303" t="s">
        <v>5</v>
      </c>
    </row>
    <row r="124" spans="2:7">
      <c r="B124" s="226" t="s">
        <v>2461</v>
      </c>
      <c r="C124" s="234" t="s">
        <v>5571</v>
      </c>
      <c r="D124" s="226" t="s">
        <v>1211</v>
      </c>
      <c r="E124" s="234" t="s">
        <v>1212</v>
      </c>
      <c r="F124" s="226" t="s">
        <v>1036</v>
      </c>
      <c r="G124" s="234" t="s">
        <v>1142</v>
      </c>
    </row>
    <row r="125" spans="2:7">
      <c r="B125" s="316" t="s">
        <v>2462</v>
      </c>
      <c r="C125" s="303" t="s">
        <v>5572</v>
      </c>
      <c r="D125" s="316" t="s">
        <v>1213</v>
      </c>
      <c r="E125" s="303" t="s">
        <v>1328</v>
      </c>
      <c r="F125" s="316" t="s">
        <v>2298</v>
      </c>
      <c r="G125" s="303" t="s">
        <v>1275</v>
      </c>
    </row>
    <row r="126" spans="2:7">
      <c r="B126" s="226" t="s">
        <v>2463</v>
      </c>
      <c r="C126" s="234" t="s">
        <v>5573</v>
      </c>
      <c r="D126" s="226" t="s">
        <v>1891</v>
      </c>
      <c r="E126" s="234" t="s">
        <v>1752</v>
      </c>
      <c r="F126" s="226" t="s">
        <v>1374</v>
      </c>
      <c r="G126" s="234" t="s">
        <v>720</v>
      </c>
    </row>
    <row r="127" spans="2:7">
      <c r="B127" s="316" t="s">
        <v>2464</v>
      </c>
      <c r="C127" s="303" t="s">
        <v>5574</v>
      </c>
      <c r="D127" s="316" t="s">
        <v>1892</v>
      </c>
      <c r="E127" s="303" t="s">
        <v>1893</v>
      </c>
      <c r="F127" s="316" t="s">
        <v>964</v>
      </c>
      <c r="G127" s="303" t="s">
        <v>392</v>
      </c>
    </row>
    <row r="128" spans="2:7">
      <c r="B128" s="226" t="s">
        <v>2465</v>
      </c>
      <c r="C128" s="234" t="s">
        <v>1996</v>
      </c>
      <c r="D128" s="226" t="s">
        <v>1084</v>
      </c>
      <c r="E128" s="234" t="s">
        <v>1085</v>
      </c>
      <c r="F128" s="4323" t="s">
        <v>2710</v>
      </c>
      <c r="G128" s="4324"/>
    </row>
    <row r="129" spans="2:7">
      <c r="B129" s="316" t="s">
        <v>2466</v>
      </c>
      <c r="C129" s="303" t="s">
        <v>5575</v>
      </c>
      <c r="D129" s="316" t="s">
        <v>1086</v>
      </c>
      <c r="E129" s="303" t="s">
        <v>936</v>
      </c>
      <c r="F129" s="316" t="s">
        <v>189</v>
      </c>
      <c r="G129" s="303" t="s">
        <v>2152</v>
      </c>
    </row>
    <row r="130" spans="2:7">
      <c r="B130" s="226" t="s">
        <v>2224</v>
      </c>
      <c r="C130" s="234" t="s">
        <v>5576</v>
      </c>
      <c r="D130" s="226" t="s">
        <v>1087</v>
      </c>
      <c r="E130" s="234" t="s">
        <v>930</v>
      </c>
      <c r="F130" s="226" t="s">
        <v>190</v>
      </c>
      <c r="G130" s="234" t="s">
        <v>390</v>
      </c>
    </row>
    <row r="131" spans="2:7">
      <c r="B131" s="316" t="s">
        <v>2225</v>
      </c>
      <c r="C131" s="303" t="s">
        <v>5577</v>
      </c>
      <c r="D131" s="316" t="s">
        <v>1088</v>
      </c>
      <c r="E131" s="303" t="s">
        <v>1329</v>
      </c>
      <c r="F131" s="316" t="s">
        <v>191</v>
      </c>
      <c r="G131" s="303" t="s">
        <v>2020</v>
      </c>
    </row>
    <row r="132" spans="2:7">
      <c r="B132" s="226" t="s">
        <v>2226</v>
      </c>
      <c r="C132" s="234" t="s">
        <v>5578</v>
      </c>
      <c r="D132" s="226" t="s">
        <v>1089</v>
      </c>
      <c r="E132" s="234" t="s">
        <v>4058</v>
      </c>
      <c r="F132" s="226" t="s">
        <v>192</v>
      </c>
      <c r="G132" s="234" t="s">
        <v>1497</v>
      </c>
    </row>
    <row r="133" spans="2:7">
      <c r="B133" s="316" t="s">
        <v>2227</v>
      </c>
      <c r="C133" s="303" t="s">
        <v>2577</v>
      </c>
      <c r="D133" s="316" t="s">
        <v>1090</v>
      </c>
      <c r="E133" s="303" t="s">
        <v>4060</v>
      </c>
      <c r="F133" s="316" t="s">
        <v>193</v>
      </c>
      <c r="G133" s="303" t="s">
        <v>1506</v>
      </c>
    </row>
    <row r="134" spans="2:7">
      <c r="B134" s="226" t="s">
        <v>2228</v>
      </c>
      <c r="C134" s="234" t="s">
        <v>2578</v>
      </c>
      <c r="D134" s="226" t="s">
        <v>2598</v>
      </c>
      <c r="E134" s="234" t="s">
        <v>1020</v>
      </c>
      <c r="F134" s="226" t="s">
        <v>194</v>
      </c>
      <c r="G134" s="234" t="s">
        <v>1817</v>
      </c>
    </row>
    <row r="135" spans="2:7">
      <c r="B135" s="316" t="s">
        <v>2229</v>
      </c>
      <c r="C135" s="303" t="s">
        <v>5579</v>
      </c>
      <c r="D135" s="316" t="s">
        <v>1021</v>
      </c>
      <c r="E135" s="303" t="s">
        <v>931</v>
      </c>
      <c r="F135" s="316" t="s">
        <v>2082</v>
      </c>
      <c r="G135" s="303" t="s">
        <v>1686</v>
      </c>
    </row>
    <row r="136" spans="2:7">
      <c r="B136" s="226" t="s">
        <v>1092</v>
      </c>
      <c r="C136" s="234" t="s">
        <v>5580</v>
      </c>
      <c r="D136" s="226" t="s">
        <v>1022</v>
      </c>
      <c r="E136" s="234" t="s">
        <v>4065</v>
      </c>
      <c r="F136" s="226" t="s">
        <v>1337</v>
      </c>
      <c r="G136" s="234" t="s">
        <v>1697</v>
      </c>
    </row>
    <row r="137" spans="2:7">
      <c r="B137" s="316" t="s">
        <v>1093</v>
      </c>
      <c r="C137" s="303" t="s">
        <v>5581</v>
      </c>
      <c r="D137" s="316" t="s">
        <v>1023</v>
      </c>
      <c r="E137" s="303" t="s">
        <v>2791</v>
      </c>
      <c r="F137" s="316" t="s">
        <v>285</v>
      </c>
      <c r="G137" s="303" t="s">
        <v>2607</v>
      </c>
    </row>
    <row r="138" spans="2:7">
      <c r="B138" s="226" t="s">
        <v>1653</v>
      </c>
      <c r="C138" s="234" t="s">
        <v>5582</v>
      </c>
      <c r="D138" s="226" t="s">
        <v>1024</v>
      </c>
      <c r="E138" s="234" t="s">
        <v>4069</v>
      </c>
      <c r="F138" s="226" t="s">
        <v>477</v>
      </c>
      <c r="G138" s="234" t="s">
        <v>935</v>
      </c>
    </row>
    <row r="139" spans="2:7">
      <c r="B139" s="316" t="s">
        <v>495</v>
      </c>
      <c r="C139" s="303" t="s">
        <v>5583</v>
      </c>
      <c r="D139" s="316" t="s">
        <v>1125</v>
      </c>
      <c r="E139" s="303" t="s">
        <v>1844</v>
      </c>
      <c r="F139" s="316" t="s">
        <v>478</v>
      </c>
      <c r="G139" s="303" t="s">
        <v>1349</v>
      </c>
    </row>
    <row r="140" spans="2:7">
      <c r="B140" s="226" t="s">
        <v>148</v>
      </c>
      <c r="C140" s="234" t="s">
        <v>5584</v>
      </c>
      <c r="D140" s="226" t="s">
        <v>1126</v>
      </c>
      <c r="E140" s="234" t="s">
        <v>1330</v>
      </c>
      <c r="F140" s="226" t="s">
        <v>479</v>
      </c>
      <c r="G140" s="234" t="s">
        <v>1361</v>
      </c>
    </row>
    <row r="141" spans="2:7">
      <c r="B141" s="316" t="s">
        <v>836</v>
      </c>
      <c r="C141" s="303" t="s">
        <v>5585</v>
      </c>
      <c r="D141" s="316" t="s">
        <v>1127</v>
      </c>
      <c r="E141" s="303" t="s">
        <v>1128</v>
      </c>
      <c r="F141" s="316" t="s">
        <v>480</v>
      </c>
      <c r="G141" s="303" t="s">
        <v>327</v>
      </c>
    </row>
    <row r="142" spans="2:7">
      <c r="B142" s="226" t="s">
        <v>837</v>
      </c>
      <c r="C142" s="234" t="s">
        <v>1547</v>
      </c>
      <c r="D142" s="226" t="s">
        <v>1129</v>
      </c>
      <c r="E142" s="234" t="s">
        <v>2126</v>
      </c>
      <c r="F142" s="226" t="s">
        <v>481</v>
      </c>
      <c r="G142" s="234" t="s">
        <v>475</v>
      </c>
    </row>
    <row r="143" spans="2:7">
      <c r="B143" s="316" t="s">
        <v>838</v>
      </c>
      <c r="C143" s="303" t="s">
        <v>1548</v>
      </c>
      <c r="D143" s="316" t="s">
        <v>1130</v>
      </c>
      <c r="E143" s="303" t="s">
        <v>432</v>
      </c>
      <c r="F143" s="316" t="s">
        <v>482</v>
      </c>
      <c r="G143" s="303" t="s">
        <v>398</v>
      </c>
    </row>
    <row r="144" spans="2:7">
      <c r="B144" s="226" t="s">
        <v>839</v>
      </c>
      <c r="C144" s="234" t="s">
        <v>1828</v>
      </c>
      <c r="D144" s="226" t="s">
        <v>1131</v>
      </c>
      <c r="E144" s="234" t="s">
        <v>4080</v>
      </c>
      <c r="F144" s="226" t="s">
        <v>5913</v>
      </c>
      <c r="G144" s="234" t="s">
        <v>169</v>
      </c>
    </row>
    <row r="145" spans="2:7">
      <c r="B145" s="316" t="s">
        <v>330</v>
      </c>
      <c r="C145" s="303" t="s">
        <v>1829</v>
      </c>
      <c r="D145" s="316" t="s">
        <v>1132</v>
      </c>
      <c r="E145" s="303" t="s">
        <v>1133</v>
      </c>
      <c r="F145" s="316" t="s">
        <v>483</v>
      </c>
      <c r="G145" s="303" t="s">
        <v>2048</v>
      </c>
    </row>
    <row r="146" spans="2:7">
      <c r="B146" s="226" t="s">
        <v>332</v>
      </c>
      <c r="C146" s="234" t="s">
        <v>1830</v>
      </c>
      <c r="D146" s="226" t="s">
        <v>1134</v>
      </c>
      <c r="E146" s="234" t="s">
        <v>795</v>
      </c>
      <c r="F146" s="226" t="s">
        <v>484</v>
      </c>
      <c r="G146" s="234" t="s">
        <v>2737</v>
      </c>
    </row>
    <row r="147" spans="2:7">
      <c r="B147" s="316" t="s">
        <v>333</v>
      </c>
      <c r="C147" s="303" t="s">
        <v>2654</v>
      </c>
      <c r="D147" s="316" t="s">
        <v>796</v>
      </c>
      <c r="E147" s="303" t="s">
        <v>4084</v>
      </c>
      <c r="F147" s="4323" t="s">
        <v>1624</v>
      </c>
      <c r="G147" s="4324" t="s">
        <v>1075</v>
      </c>
    </row>
    <row r="148" spans="2:7">
      <c r="B148" s="226" t="s">
        <v>1235</v>
      </c>
      <c r="C148" s="234" t="s">
        <v>5586</v>
      </c>
      <c r="D148" s="226" t="s">
        <v>797</v>
      </c>
      <c r="E148" s="234" t="s">
        <v>798</v>
      </c>
      <c r="F148" s="226" t="s">
        <v>2079</v>
      </c>
      <c r="G148" s="234" t="s">
        <v>1153</v>
      </c>
    </row>
    <row r="149" spans="2:7">
      <c r="B149" s="316" t="s">
        <v>1236</v>
      </c>
      <c r="C149" s="303" t="s">
        <v>5587</v>
      </c>
      <c r="D149" s="316" t="s">
        <v>799</v>
      </c>
      <c r="E149" s="303" t="s">
        <v>800</v>
      </c>
      <c r="F149" s="316" t="s">
        <v>2077</v>
      </c>
      <c r="G149" s="303" t="s">
        <v>1148</v>
      </c>
    </row>
    <row r="150" spans="2:7">
      <c r="B150" s="226" t="s">
        <v>1237</v>
      </c>
      <c r="C150" s="234" t="s">
        <v>5588</v>
      </c>
      <c r="D150" s="226" t="s">
        <v>801</v>
      </c>
      <c r="E150" s="234" t="s">
        <v>4090</v>
      </c>
      <c r="F150" s="226" t="s">
        <v>1609</v>
      </c>
      <c r="G150" s="234" t="s">
        <v>1355</v>
      </c>
    </row>
    <row r="151" spans="2:7">
      <c r="B151" s="316" t="s">
        <v>1238</v>
      </c>
      <c r="C151" s="303" t="s">
        <v>5589</v>
      </c>
      <c r="D151" s="316" t="s">
        <v>802</v>
      </c>
      <c r="E151" s="303" t="s">
        <v>2204</v>
      </c>
      <c r="F151" s="316" t="s">
        <v>1381</v>
      </c>
      <c r="G151" s="303" t="s">
        <v>1251</v>
      </c>
    </row>
    <row r="152" spans="2:7">
      <c r="B152" s="226" t="s">
        <v>1239</v>
      </c>
      <c r="C152" s="234" t="s">
        <v>5590</v>
      </c>
      <c r="D152" s="226" t="s">
        <v>433</v>
      </c>
      <c r="E152" s="234" t="s">
        <v>2203</v>
      </c>
      <c r="F152" s="226" t="s">
        <v>1621</v>
      </c>
      <c r="G152" s="234" t="s">
        <v>1504</v>
      </c>
    </row>
    <row r="153" spans="2:7">
      <c r="B153" s="316" t="s">
        <v>1240</v>
      </c>
      <c r="C153" s="303" t="s">
        <v>5591</v>
      </c>
      <c r="D153" s="316" t="s">
        <v>434</v>
      </c>
      <c r="E153" s="303" t="s">
        <v>2201</v>
      </c>
      <c r="F153" s="316" t="s">
        <v>1708</v>
      </c>
      <c r="G153" s="303" t="s">
        <v>1684</v>
      </c>
    </row>
    <row r="154" spans="2:7">
      <c r="B154" s="226" t="s">
        <v>1241</v>
      </c>
      <c r="C154" s="234" t="s">
        <v>5592</v>
      </c>
      <c r="D154" s="226" t="s">
        <v>435</v>
      </c>
      <c r="E154" s="234" t="s">
        <v>2202</v>
      </c>
      <c r="F154" s="226" t="s">
        <v>822</v>
      </c>
      <c r="G154" s="234" t="s">
        <v>1341</v>
      </c>
    </row>
    <row r="155" spans="2:7">
      <c r="B155" s="316" t="s">
        <v>1930</v>
      </c>
      <c r="C155" s="303" t="s">
        <v>5593</v>
      </c>
      <c r="D155" s="316" t="s">
        <v>436</v>
      </c>
      <c r="E155" s="303" t="s">
        <v>3966</v>
      </c>
      <c r="F155" s="316" t="s">
        <v>2498</v>
      </c>
      <c r="G155" s="303" t="s">
        <v>1696</v>
      </c>
    </row>
    <row r="156" spans="2:7">
      <c r="B156" s="4323" t="s">
        <v>5137</v>
      </c>
      <c r="C156" s="4324"/>
      <c r="D156" s="226" t="s">
        <v>2505</v>
      </c>
      <c r="E156" s="234" t="s">
        <v>2106</v>
      </c>
      <c r="F156" s="226" t="s">
        <v>2500</v>
      </c>
      <c r="G156" s="234" t="s">
        <v>1699</v>
      </c>
    </row>
    <row r="157" spans="2:7">
      <c r="B157" s="316" t="s">
        <v>769</v>
      </c>
      <c r="C157" s="303" t="s">
        <v>5594</v>
      </c>
      <c r="D157" s="316" t="s">
        <v>2506</v>
      </c>
      <c r="E157" s="303" t="s">
        <v>409</v>
      </c>
      <c r="F157" s="316" t="s">
        <v>1620</v>
      </c>
      <c r="G157" s="303" t="s">
        <v>1503</v>
      </c>
    </row>
    <row r="158" spans="2:7">
      <c r="B158" s="226" t="s">
        <v>770</v>
      </c>
      <c r="C158" s="234" t="s">
        <v>1546</v>
      </c>
      <c r="D158" s="226" t="s">
        <v>2507</v>
      </c>
      <c r="E158" s="234" t="s">
        <v>2508</v>
      </c>
      <c r="F158" s="226" t="s">
        <v>1265</v>
      </c>
      <c r="G158" s="234" t="s">
        <v>1360</v>
      </c>
    </row>
    <row r="159" spans="2:7">
      <c r="B159" s="316" t="s">
        <v>201</v>
      </c>
      <c r="C159" s="303" t="s">
        <v>1722</v>
      </c>
      <c r="D159" s="316" t="s">
        <v>2509</v>
      </c>
      <c r="E159" s="303" t="s">
        <v>1675</v>
      </c>
      <c r="F159" s="316" t="s">
        <v>1727</v>
      </c>
      <c r="G159" s="303" t="s">
        <v>164</v>
      </c>
    </row>
    <row r="160" spans="2:7">
      <c r="B160" s="226" t="s">
        <v>202</v>
      </c>
      <c r="C160" s="234" t="s">
        <v>1178</v>
      </c>
      <c r="D160" s="226" t="s">
        <v>2510</v>
      </c>
      <c r="E160" s="234" t="s">
        <v>1674</v>
      </c>
      <c r="F160" s="226" t="s">
        <v>1737</v>
      </c>
      <c r="G160" s="234" t="s">
        <v>2045</v>
      </c>
    </row>
    <row r="161" spans="2:7">
      <c r="B161" s="316" t="s">
        <v>203</v>
      </c>
      <c r="C161" s="303" t="s">
        <v>1181</v>
      </c>
      <c r="D161" s="316" t="s">
        <v>2511</v>
      </c>
      <c r="E161" s="303" t="s">
        <v>1192</v>
      </c>
      <c r="F161" s="316" t="s">
        <v>1607</v>
      </c>
      <c r="G161" s="303" t="s">
        <v>1351</v>
      </c>
    </row>
    <row r="162" spans="2:7">
      <c r="B162" s="226" t="s">
        <v>204</v>
      </c>
      <c r="C162" s="234" t="s">
        <v>684</v>
      </c>
      <c r="D162" s="226" t="s">
        <v>2512</v>
      </c>
      <c r="E162" s="234" t="s">
        <v>2513</v>
      </c>
      <c r="F162" s="226" t="s">
        <v>1406</v>
      </c>
      <c r="G162" s="234" t="s">
        <v>1816</v>
      </c>
    </row>
    <row r="163" spans="2:7">
      <c r="B163" s="316" t="s">
        <v>205</v>
      </c>
      <c r="C163" s="303" t="s">
        <v>608</v>
      </c>
      <c r="D163" s="316" t="s">
        <v>2514</v>
      </c>
      <c r="E163" s="303" t="s">
        <v>2515</v>
      </c>
      <c r="F163" s="316" t="s">
        <v>810</v>
      </c>
      <c r="G163" s="303" t="s">
        <v>1702</v>
      </c>
    </row>
    <row r="164" spans="2:7">
      <c r="B164" s="226" t="s">
        <v>0</v>
      </c>
      <c r="C164" s="234" t="s">
        <v>1179</v>
      </c>
      <c r="D164" s="226" t="s">
        <v>2516</v>
      </c>
      <c r="E164" s="234" t="s">
        <v>4097</v>
      </c>
      <c r="F164" s="226" t="s">
        <v>786</v>
      </c>
      <c r="G164" s="234" t="s">
        <v>2742</v>
      </c>
    </row>
    <row r="165" spans="2:7">
      <c r="B165" s="316" t="s">
        <v>1</v>
      </c>
      <c r="C165" s="303" t="s">
        <v>3599</v>
      </c>
      <c r="D165" s="316" t="s">
        <v>2517</v>
      </c>
      <c r="E165" s="303" t="s">
        <v>2518</v>
      </c>
      <c r="F165" s="316" t="s">
        <v>1622</v>
      </c>
      <c r="G165" s="303" t="s">
        <v>1568</v>
      </c>
    </row>
    <row r="166" spans="2:7">
      <c r="B166" s="226" t="s">
        <v>101</v>
      </c>
      <c r="C166" s="234" t="s">
        <v>1177</v>
      </c>
      <c r="D166" s="226" t="s">
        <v>2519</v>
      </c>
      <c r="E166" s="234" t="s">
        <v>932</v>
      </c>
      <c r="F166" s="226" t="s">
        <v>782</v>
      </c>
      <c r="G166" s="234" t="s">
        <v>2738</v>
      </c>
    </row>
    <row r="167" spans="2:7">
      <c r="B167" s="316" t="s">
        <v>174</v>
      </c>
      <c r="C167" s="303" t="s">
        <v>2525</v>
      </c>
      <c r="D167" s="316" t="s">
        <v>2520</v>
      </c>
      <c r="E167" s="303" t="s">
        <v>725</v>
      </c>
      <c r="F167" s="316" t="s">
        <v>1871</v>
      </c>
      <c r="G167" s="303" t="s">
        <v>397</v>
      </c>
    </row>
    <row r="168" spans="2:7">
      <c r="B168" s="226" t="s">
        <v>1073</v>
      </c>
      <c r="C168" s="234" t="s">
        <v>609</v>
      </c>
      <c r="D168" s="226" t="s">
        <v>2521</v>
      </c>
      <c r="E168" s="234" t="s">
        <v>1894</v>
      </c>
      <c r="F168" s="226" t="s">
        <v>1730</v>
      </c>
      <c r="G168" s="234" t="s">
        <v>167</v>
      </c>
    </row>
    <row r="169" spans="2:7">
      <c r="B169" s="316" t="s">
        <v>1225</v>
      </c>
      <c r="C169" s="303" t="s">
        <v>2280</v>
      </c>
      <c r="D169" s="316" t="s">
        <v>423</v>
      </c>
      <c r="E169" s="303" t="s">
        <v>5143</v>
      </c>
      <c r="F169" s="316" t="s">
        <v>2681</v>
      </c>
      <c r="G169" s="303" t="s">
        <v>2643</v>
      </c>
    </row>
    <row r="170" spans="2:7">
      <c r="B170" s="226" t="s">
        <v>1226</v>
      </c>
      <c r="C170" s="234" t="s">
        <v>5595</v>
      </c>
      <c r="D170" s="226" t="s">
        <v>424</v>
      </c>
      <c r="E170" s="234" t="s">
        <v>4106</v>
      </c>
      <c r="F170" s="226" t="s">
        <v>862</v>
      </c>
      <c r="G170" s="234" t="s">
        <v>476</v>
      </c>
    </row>
    <row r="171" spans="2:7">
      <c r="B171" s="316" t="s">
        <v>1227</v>
      </c>
      <c r="C171" s="303" t="s">
        <v>2394</v>
      </c>
      <c r="D171" s="316" t="s">
        <v>425</v>
      </c>
      <c r="E171" s="303" t="s">
        <v>426</v>
      </c>
      <c r="F171" s="316" t="s">
        <v>1734</v>
      </c>
      <c r="G171" s="303" t="s">
        <v>348</v>
      </c>
    </row>
    <row r="172" spans="2:7">
      <c r="B172" s="226" t="s">
        <v>1228</v>
      </c>
      <c r="C172" s="234" t="s">
        <v>5596</v>
      </c>
      <c r="D172" s="226" t="s">
        <v>427</v>
      </c>
      <c r="E172" s="234" t="s">
        <v>1895</v>
      </c>
      <c r="F172" s="226" t="s">
        <v>1604</v>
      </c>
      <c r="G172" s="234" t="s">
        <v>1346</v>
      </c>
    </row>
    <row r="173" spans="2:7">
      <c r="B173" s="316" t="s">
        <v>1229</v>
      </c>
      <c r="C173" s="303" t="s">
        <v>2672</v>
      </c>
      <c r="D173" s="316" t="s">
        <v>428</v>
      </c>
      <c r="E173" s="303" t="s">
        <v>1896</v>
      </c>
      <c r="F173" s="316" t="s">
        <v>1873</v>
      </c>
      <c r="G173" s="303" t="s">
        <v>162</v>
      </c>
    </row>
    <row r="174" spans="2:7">
      <c r="B174" s="226" t="s">
        <v>771</v>
      </c>
      <c r="C174" s="234" t="s">
        <v>611</v>
      </c>
      <c r="D174" s="226" t="s">
        <v>178</v>
      </c>
      <c r="E174" s="234" t="s">
        <v>1897</v>
      </c>
      <c r="F174" s="226" t="s">
        <v>1733</v>
      </c>
      <c r="G174" s="234" t="s">
        <v>347</v>
      </c>
    </row>
    <row r="175" spans="2:7">
      <c r="B175" s="316" t="s">
        <v>1986</v>
      </c>
      <c r="C175" s="303" t="s">
        <v>339</v>
      </c>
      <c r="D175" s="316" t="s">
        <v>179</v>
      </c>
      <c r="E175" s="303" t="s">
        <v>757</v>
      </c>
      <c r="F175" s="316" t="s">
        <v>814</v>
      </c>
      <c r="G175" s="303" t="s">
        <v>1849</v>
      </c>
    </row>
    <row r="176" spans="2:7">
      <c r="B176" s="226" t="s">
        <v>632</v>
      </c>
      <c r="C176" s="234" t="s">
        <v>152</v>
      </c>
      <c r="D176" s="226" t="s">
        <v>180</v>
      </c>
      <c r="E176" s="234" t="s">
        <v>181</v>
      </c>
      <c r="F176" s="226" t="s">
        <v>820</v>
      </c>
      <c r="G176" s="234" t="s">
        <v>933</v>
      </c>
    </row>
    <row r="177" spans="2:7">
      <c r="B177" s="316" t="s">
        <v>633</v>
      </c>
      <c r="C177" s="303" t="s">
        <v>122</v>
      </c>
      <c r="D177" s="316" t="s">
        <v>1333</v>
      </c>
      <c r="E177" s="303" t="s">
        <v>2395</v>
      </c>
      <c r="F177" s="316" t="s">
        <v>1269</v>
      </c>
      <c r="G177" s="303" t="s">
        <v>1365</v>
      </c>
    </row>
    <row r="178" spans="2:7">
      <c r="B178" s="226" t="s">
        <v>2636</v>
      </c>
      <c r="C178" s="234" t="s">
        <v>489</v>
      </c>
      <c r="D178" s="226" t="s">
        <v>995</v>
      </c>
      <c r="E178" s="234" t="s">
        <v>996</v>
      </c>
      <c r="F178" s="226" t="s">
        <v>1729</v>
      </c>
      <c r="G178" s="234" t="s">
        <v>166</v>
      </c>
    </row>
    <row r="179" spans="2:7">
      <c r="B179" s="316" t="s">
        <v>2637</v>
      </c>
      <c r="C179" s="303" t="s">
        <v>123</v>
      </c>
      <c r="D179" s="316" t="s">
        <v>997</v>
      </c>
      <c r="E179" s="303" t="s">
        <v>998</v>
      </c>
      <c r="F179" s="316" t="s">
        <v>861</v>
      </c>
      <c r="G179" s="303" t="s">
        <v>474</v>
      </c>
    </row>
    <row r="180" spans="2:7">
      <c r="B180" s="226" t="s">
        <v>2638</v>
      </c>
      <c r="C180" s="234" t="s">
        <v>2671</v>
      </c>
      <c r="D180" s="226" t="s">
        <v>2154</v>
      </c>
      <c r="E180" s="234" t="s">
        <v>171</v>
      </c>
      <c r="F180" s="226" t="s">
        <v>369</v>
      </c>
      <c r="G180" s="234" t="s">
        <v>470</v>
      </c>
    </row>
    <row r="181" spans="2:7">
      <c r="B181" s="316" t="s">
        <v>2639</v>
      </c>
      <c r="C181" s="303" t="s">
        <v>1723</v>
      </c>
      <c r="D181" s="316" t="s">
        <v>2155</v>
      </c>
      <c r="E181" s="303" t="s">
        <v>2334</v>
      </c>
      <c r="F181" s="316" t="s">
        <v>788</v>
      </c>
      <c r="G181" s="303" t="s">
        <v>1748</v>
      </c>
    </row>
    <row r="182" spans="2:7">
      <c r="B182" s="226" t="s">
        <v>2491</v>
      </c>
      <c r="C182" s="234" t="s">
        <v>1545</v>
      </c>
      <c r="D182" s="226" t="s">
        <v>1094</v>
      </c>
      <c r="E182" s="234" t="s">
        <v>2335</v>
      </c>
      <c r="F182" s="226" t="s">
        <v>1868</v>
      </c>
      <c r="G182" s="234" t="s">
        <v>1938</v>
      </c>
    </row>
    <row r="183" spans="2:7">
      <c r="B183" s="316" t="s">
        <v>2492</v>
      </c>
      <c r="C183" s="303" t="s">
        <v>2281</v>
      </c>
      <c r="D183" s="316" t="s">
        <v>990</v>
      </c>
      <c r="E183" s="303" t="s">
        <v>4116</v>
      </c>
      <c r="F183" s="316" t="s">
        <v>1611</v>
      </c>
      <c r="G183" s="303" t="s">
        <v>1357</v>
      </c>
    </row>
    <row r="184" spans="2:7">
      <c r="B184" s="226" t="s">
        <v>2493</v>
      </c>
      <c r="C184" s="234" t="s">
        <v>1725</v>
      </c>
      <c r="D184" s="226" t="s">
        <v>991</v>
      </c>
      <c r="E184" s="234" t="s">
        <v>356</v>
      </c>
      <c r="F184" s="226" t="s">
        <v>366</v>
      </c>
      <c r="G184" s="234" t="s">
        <v>467</v>
      </c>
    </row>
    <row r="185" spans="2:7">
      <c r="B185" s="316" t="s">
        <v>2494</v>
      </c>
      <c r="C185" s="303" t="s">
        <v>843</v>
      </c>
      <c r="D185" s="316" t="s">
        <v>992</v>
      </c>
      <c r="E185" s="303" t="s">
        <v>1636</v>
      </c>
      <c r="F185" s="316" t="s">
        <v>1610</v>
      </c>
      <c r="G185" s="303" t="s">
        <v>1356</v>
      </c>
    </row>
    <row r="186" spans="2:7">
      <c r="B186" s="226" t="s">
        <v>1642</v>
      </c>
      <c r="C186" s="234" t="s">
        <v>4626</v>
      </c>
      <c r="D186" s="226" t="s">
        <v>1312</v>
      </c>
      <c r="E186" s="234" t="s">
        <v>1313</v>
      </c>
      <c r="F186" s="226" t="s">
        <v>1409</v>
      </c>
      <c r="G186" s="234" t="s">
        <v>1680</v>
      </c>
    </row>
    <row r="187" spans="2:7">
      <c r="B187" s="316" t="s">
        <v>464</v>
      </c>
      <c r="C187" s="303" t="s">
        <v>458</v>
      </c>
      <c r="D187" s="316" t="s">
        <v>1314</v>
      </c>
      <c r="E187" s="303" t="s">
        <v>1315</v>
      </c>
      <c r="F187" s="316" t="s">
        <v>364</v>
      </c>
      <c r="G187" s="303" t="s">
        <v>325</v>
      </c>
    </row>
    <row r="188" spans="2:7">
      <c r="B188" s="226" t="s">
        <v>1254</v>
      </c>
      <c r="C188" s="234" t="s">
        <v>1724</v>
      </c>
      <c r="D188" s="226" t="s">
        <v>1316</v>
      </c>
      <c r="E188" s="234" t="s">
        <v>1317</v>
      </c>
      <c r="F188" s="226" t="s">
        <v>1608</v>
      </c>
      <c r="G188" s="234" t="s">
        <v>1354</v>
      </c>
    </row>
    <row r="189" spans="2:7">
      <c r="B189" s="316" t="s">
        <v>1255</v>
      </c>
      <c r="C189" s="303" t="s">
        <v>340</v>
      </c>
      <c r="D189" s="316" t="s">
        <v>1318</v>
      </c>
      <c r="E189" s="303" t="s">
        <v>1898</v>
      </c>
      <c r="F189" s="316" t="s">
        <v>1270</v>
      </c>
      <c r="G189" s="303" t="s">
        <v>323</v>
      </c>
    </row>
    <row r="190" spans="2:7">
      <c r="B190" s="226" t="s">
        <v>1256</v>
      </c>
      <c r="C190" s="234" t="s">
        <v>2757</v>
      </c>
      <c r="D190" s="226" t="s">
        <v>1319</v>
      </c>
      <c r="E190" s="234" t="s">
        <v>4126</v>
      </c>
      <c r="F190" s="226" t="s">
        <v>1865</v>
      </c>
      <c r="G190" s="234" t="s">
        <v>1935</v>
      </c>
    </row>
    <row r="191" spans="2:7">
      <c r="B191" s="316" t="s">
        <v>1257</v>
      </c>
      <c r="C191" s="303" t="s">
        <v>341</v>
      </c>
      <c r="D191" s="316" t="s">
        <v>1120</v>
      </c>
      <c r="E191" s="303" t="s">
        <v>758</v>
      </c>
      <c r="F191" s="316" t="s">
        <v>787</v>
      </c>
      <c r="G191" s="303" t="s">
        <v>1747</v>
      </c>
    </row>
    <row r="192" spans="2:7">
      <c r="B192" s="226" t="s">
        <v>1258</v>
      </c>
      <c r="C192" s="234" t="s">
        <v>2526</v>
      </c>
      <c r="D192" s="226" t="s">
        <v>1204</v>
      </c>
      <c r="E192" s="234" t="s">
        <v>4130</v>
      </c>
      <c r="F192" s="226" t="s">
        <v>1384</v>
      </c>
      <c r="G192" s="234" t="s">
        <v>1749</v>
      </c>
    </row>
    <row r="193" spans="2:7">
      <c r="B193" s="316" t="s">
        <v>1259</v>
      </c>
      <c r="C193" s="303" t="s">
        <v>342</v>
      </c>
      <c r="D193" s="316" t="s">
        <v>1205</v>
      </c>
      <c r="E193" s="303" t="s">
        <v>759</v>
      </c>
      <c r="F193" s="316" t="s">
        <v>1514</v>
      </c>
      <c r="G193" s="303" t="s">
        <v>1500</v>
      </c>
    </row>
    <row r="194" spans="2:7">
      <c r="B194" s="226" t="s">
        <v>1260</v>
      </c>
      <c r="C194" s="234" t="s">
        <v>2277</v>
      </c>
      <c r="D194" s="226" t="s">
        <v>1913</v>
      </c>
      <c r="E194" s="234" t="s">
        <v>4133</v>
      </c>
      <c r="F194" s="226" t="s">
        <v>1872</v>
      </c>
      <c r="G194" s="234" t="s">
        <v>161</v>
      </c>
    </row>
    <row r="195" spans="2:7">
      <c r="B195" s="316" t="s">
        <v>1261</v>
      </c>
      <c r="C195" s="303" t="s">
        <v>2527</v>
      </c>
      <c r="D195" s="316" t="s">
        <v>1914</v>
      </c>
      <c r="E195" s="303" t="s">
        <v>2127</v>
      </c>
      <c r="F195" s="316" t="s">
        <v>1383</v>
      </c>
      <c r="G195" s="303" t="s">
        <v>161</v>
      </c>
    </row>
    <row r="196" spans="2:7">
      <c r="B196" s="226" t="s">
        <v>1262</v>
      </c>
      <c r="C196" s="234" t="s">
        <v>124</v>
      </c>
      <c r="D196" s="226" t="s">
        <v>1915</v>
      </c>
      <c r="E196" s="234" t="s">
        <v>1899</v>
      </c>
      <c r="F196" s="226" t="s">
        <v>1991</v>
      </c>
      <c r="G196" s="234" t="s">
        <v>1490</v>
      </c>
    </row>
    <row r="197" spans="2:7">
      <c r="B197" s="4323" t="s">
        <v>1076</v>
      </c>
      <c r="C197" s="4324" t="s">
        <v>1075</v>
      </c>
      <c r="D197" s="316" t="s">
        <v>1916</v>
      </c>
      <c r="E197" s="303" t="s">
        <v>4136</v>
      </c>
      <c r="F197" s="316" t="s">
        <v>367</v>
      </c>
      <c r="G197" s="303" t="s">
        <v>468</v>
      </c>
    </row>
    <row r="198" spans="2:7">
      <c r="B198" s="226" t="s">
        <v>37</v>
      </c>
      <c r="C198" s="234" t="s">
        <v>5597</v>
      </c>
      <c r="D198" s="226" t="s">
        <v>1917</v>
      </c>
      <c r="E198" s="234" t="s">
        <v>4138</v>
      </c>
      <c r="F198" s="226" t="s">
        <v>1266</v>
      </c>
      <c r="G198" s="234" t="s">
        <v>1362</v>
      </c>
    </row>
    <row r="199" spans="2:7">
      <c r="B199" s="316" t="s">
        <v>38</v>
      </c>
      <c r="C199" s="303" t="s">
        <v>419</v>
      </c>
      <c r="D199" s="316" t="s">
        <v>1918</v>
      </c>
      <c r="E199" s="303" t="s">
        <v>4140</v>
      </c>
      <c r="F199" s="316" t="s">
        <v>1268</v>
      </c>
      <c r="G199" s="303" t="s">
        <v>1364</v>
      </c>
    </row>
    <row r="200" spans="2:7">
      <c r="B200" s="226" t="s">
        <v>39</v>
      </c>
      <c r="C200" s="234" t="s">
        <v>5598</v>
      </c>
      <c r="D200" s="226" t="s">
        <v>1919</v>
      </c>
      <c r="E200" s="234" t="s">
        <v>4142</v>
      </c>
      <c r="F200" s="226" t="s">
        <v>1400</v>
      </c>
      <c r="G200" s="234" t="s">
        <v>2591</v>
      </c>
    </row>
    <row r="201" spans="2:7">
      <c r="B201" s="316" t="s">
        <v>41</v>
      </c>
      <c r="C201" s="303" t="s">
        <v>5599</v>
      </c>
      <c r="D201" s="316" t="s">
        <v>1920</v>
      </c>
      <c r="E201" s="303" t="s">
        <v>4144</v>
      </c>
      <c r="F201" s="316" t="s">
        <v>811</v>
      </c>
      <c r="G201" s="303" t="s">
        <v>1703</v>
      </c>
    </row>
    <row r="202" spans="2:7">
      <c r="B202" s="226" t="s">
        <v>1414</v>
      </c>
      <c r="C202" s="234" t="s">
        <v>4655</v>
      </c>
      <c r="D202" s="226" t="s">
        <v>1921</v>
      </c>
      <c r="E202" s="234" t="s">
        <v>4146</v>
      </c>
      <c r="F202" s="226" t="s">
        <v>1867</v>
      </c>
      <c r="G202" s="234" t="s">
        <v>1937</v>
      </c>
    </row>
    <row r="203" spans="2:7">
      <c r="B203" s="316" t="s">
        <v>1071</v>
      </c>
      <c r="C203" s="303" t="s">
        <v>5600</v>
      </c>
      <c r="D203" s="316" t="s">
        <v>1922</v>
      </c>
      <c r="E203" s="303" t="s">
        <v>2630</v>
      </c>
      <c r="F203" s="316" t="s">
        <v>1508</v>
      </c>
      <c r="G203" s="303" t="s">
        <v>1493</v>
      </c>
    </row>
    <row r="204" spans="2:7">
      <c r="B204" s="226" t="s">
        <v>1072</v>
      </c>
      <c r="C204" s="234" t="s">
        <v>5601</v>
      </c>
      <c r="D204" s="226" t="s">
        <v>1923</v>
      </c>
      <c r="E204" s="234" t="s">
        <v>2590</v>
      </c>
      <c r="F204" s="226" t="s">
        <v>1712</v>
      </c>
      <c r="G204" s="234" t="s">
        <v>1691</v>
      </c>
    </row>
    <row r="205" spans="2:7">
      <c r="B205" s="316" t="s">
        <v>1224</v>
      </c>
      <c r="C205" s="303" t="s">
        <v>5602</v>
      </c>
      <c r="D205" s="316" t="s">
        <v>1924</v>
      </c>
      <c r="E205" s="303" t="s">
        <v>2540</v>
      </c>
      <c r="F205" s="316" t="s">
        <v>1741</v>
      </c>
      <c r="G205" s="303" t="s">
        <v>2050</v>
      </c>
    </row>
    <row r="206" spans="2:7">
      <c r="B206" s="226" t="s">
        <v>1074</v>
      </c>
      <c r="C206" s="234" t="s">
        <v>109</v>
      </c>
      <c r="D206" s="226" t="s">
        <v>1925</v>
      </c>
      <c r="E206" s="234" t="s">
        <v>1626</v>
      </c>
      <c r="F206" s="226" t="s">
        <v>785</v>
      </c>
      <c r="G206" s="234" t="s">
        <v>2741</v>
      </c>
    </row>
    <row r="207" spans="2:7">
      <c r="B207" s="4323" t="s">
        <v>1523</v>
      </c>
      <c r="C207" s="4324" t="s">
        <v>1075</v>
      </c>
      <c r="D207" s="316" t="s">
        <v>1627</v>
      </c>
      <c r="E207" s="303" t="s">
        <v>2541</v>
      </c>
      <c r="F207" s="316" t="s">
        <v>2080</v>
      </c>
      <c r="G207" s="303" t="s">
        <v>868</v>
      </c>
    </row>
    <row r="208" spans="2:7">
      <c r="B208" s="226" t="s">
        <v>1524</v>
      </c>
      <c r="C208" s="234" t="s">
        <v>1525</v>
      </c>
      <c r="D208" s="226" t="s">
        <v>1628</v>
      </c>
      <c r="E208" s="234" t="s">
        <v>1900</v>
      </c>
      <c r="F208" s="226" t="s">
        <v>1405</v>
      </c>
      <c r="G208" s="234" t="s">
        <v>1815</v>
      </c>
    </row>
    <row r="209" spans="2:7">
      <c r="B209" s="316" t="s">
        <v>1526</v>
      </c>
      <c r="C209" s="303" t="s">
        <v>556</v>
      </c>
      <c r="D209" s="316" t="s">
        <v>1629</v>
      </c>
      <c r="E209" s="303" t="s">
        <v>2588</v>
      </c>
      <c r="F209" s="316" t="s">
        <v>818</v>
      </c>
      <c r="G209" s="303" t="s">
        <v>1855</v>
      </c>
    </row>
    <row r="210" spans="2:7">
      <c r="B210" s="226" t="s">
        <v>557</v>
      </c>
      <c r="C210" s="234" t="s">
        <v>280</v>
      </c>
      <c r="D210" s="226" t="s">
        <v>1630</v>
      </c>
      <c r="E210" s="234" t="s">
        <v>2542</v>
      </c>
      <c r="F210" s="226" t="s">
        <v>365</v>
      </c>
      <c r="G210" s="234" t="s">
        <v>326</v>
      </c>
    </row>
    <row r="211" spans="2:7">
      <c r="B211" s="316" t="s">
        <v>281</v>
      </c>
      <c r="C211" s="303" t="s">
        <v>1182</v>
      </c>
      <c r="D211" s="316" t="s">
        <v>1631</v>
      </c>
      <c r="E211" s="303" t="s">
        <v>2314</v>
      </c>
      <c r="F211" s="316" t="s">
        <v>1988</v>
      </c>
      <c r="G211" s="303" t="s">
        <v>217</v>
      </c>
    </row>
    <row r="212" spans="2:7">
      <c r="B212" s="226" t="s">
        <v>1183</v>
      </c>
      <c r="C212" s="234" t="s">
        <v>1184</v>
      </c>
      <c r="D212" s="226" t="s">
        <v>2315</v>
      </c>
      <c r="E212" s="234" t="s">
        <v>2316</v>
      </c>
      <c r="F212" s="226" t="s">
        <v>2502</v>
      </c>
      <c r="G212" s="234" t="s">
        <v>1701</v>
      </c>
    </row>
    <row r="213" spans="2:7">
      <c r="B213" s="316" t="s">
        <v>1185</v>
      </c>
      <c r="C213" s="303" t="s">
        <v>1186</v>
      </c>
      <c r="D213" s="316" t="s">
        <v>2317</v>
      </c>
      <c r="E213" s="303" t="s">
        <v>5624</v>
      </c>
      <c r="F213" s="316" t="s">
        <v>2496</v>
      </c>
      <c r="G213" s="303" t="s">
        <v>1693</v>
      </c>
    </row>
    <row r="214" spans="2:7">
      <c r="B214" s="226" t="s">
        <v>1187</v>
      </c>
      <c r="C214" s="234" t="s">
        <v>1188</v>
      </c>
      <c r="D214" s="226" t="s">
        <v>2318</v>
      </c>
      <c r="E214" s="234" t="s">
        <v>2319</v>
      </c>
      <c r="F214" s="226" t="s">
        <v>780</v>
      </c>
      <c r="G214" s="234" t="s">
        <v>2735</v>
      </c>
    </row>
    <row r="215" spans="2:7">
      <c r="B215" s="316" t="s">
        <v>1189</v>
      </c>
      <c r="C215" s="303" t="s">
        <v>1190</v>
      </c>
      <c r="D215" s="316" t="s">
        <v>2320</v>
      </c>
      <c r="E215" s="303" t="s">
        <v>2589</v>
      </c>
      <c r="F215" s="316" t="s">
        <v>2078</v>
      </c>
      <c r="G215" s="303" t="s">
        <v>1151</v>
      </c>
    </row>
    <row r="216" spans="2:7">
      <c r="B216" s="226" t="s">
        <v>1191</v>
      </c>
      <c r="C216" s="234" t="s">
        <v>1464</v>
      </c>
      <c r="D216" s="226" t="s">
        <v>2321</v>
      </c>
      <c r="E216" s="234" t="s">
        <v>2543</v>
      </c>
      <c r="F216" s="226" t="s">
        <v>1382</v>
      </c>
      <c r="G216" s="234" t="s">
        <v>1253</v>
      </c>
    </row>
    <row r="217" spans="2:7">
      <c r="B217" s="316" t="s">
        <v>1465</v>
      </c>
      <c r="C217" s="303" t="s">
        <v>1466</v>
      </c>
      <c r="D217" s="316" t="s">
        <v>1889</v>
      </c>
      <c r="E217" s="303" t="s">
        <v>2544</v>
      </c>
      <c r="F217" s="316" t="s">
        <v>1385</v>
      </c>
      <c r="G217" s="303" t="s">
        <v>1565</v>
      </c>
    </row>
    <row r="218" spans="2:7">
      <c r="B218" s="226" t="s">
        <v>1467</v>
      </c>
      <c r="C218" s="234" t="s">
        <v>1468</v>
      </c>
      <c r="D218" s="226" t="s">
        <v>2088</v>
      </c>
      <c r="E218" s="234" t="s">
        <v>2123</v>
      </c>
      <c r="F218" s="226" t="s">
        <v>1707</v>
      </c>
      <c r="G218" s="234" t="s">
        <v>1683</v>
      </c>
    </row>
    <row r="219" spans="2:7">
      <c r="B219" s="316" t="s">
        <v>1469</v>
      </c>
      <c r="C219" s="303" t="s">
        <v>1470</v>
      </c>
      <c r="D219" s="316" t="s">
        <v>2089</v>
      </c>
      <c r="E219" s="303" t="s">
        <v>2124</v>
      </c>
      <c r="F219" s="316" t="s">
        <v>1510</v>
      </c>
      <c r="G219" s="303" t="s">
        <v>1495</v>
      </c>
    </row>
    <row r="220" spans="2:7">
      <c r="B220" s="226" t="s">
        <v>1471</v>
      </c>
      <c r="C220" s="234" t="s">
        <v>1472</v>
      </c>
      <c r="D220" s="226" t="s">
        <v>2090</v>
      </c>
      <c r="E220" s="234" t="s">
        <v>2125</v>
      </c>
      <c r="F220" s="226" t="s">
        <v>819</v>
      </c>
      <c r="G220" s="234" t="s">
        <v>1856</v>
      </c>
    </row>
    <row r="221" spans="2:7">
      <c r="B221" s="316" t="s">
        <v>1473</v>
      </c>
      <c r="C221" s="303" t="s">
        <v>1474</v>
      </c>
      <c r="D221" s="316" t="s">
        <v>2213</v>
      </c>
      <c r="E221" s="303" t="s">
        <v>5625</v>
      </c>
      <c r="F221" s="316" t="s">
        <v>1509</v>
      </c>
      <c r="G221" s="303" t="s">
        <v>1494</v>
      </c>
    </row>
    <row r="222" spans="2:7">
      <c r="B222" s="226" t="s">
        <v>1475</v>
      </c>
      <c r="C222" s="234" t="s">
        <v>1476</v>
      </c>
      <c r="D222" s="226" t="s">
        <v>2214</v>
      </c>
      <c r="E222" s="234" t="s">
        <v>2612</v>
      </c>
      <c r="F222" s="226" t="s">
        <v>1728</v>
      </c>
      <c r="G222" s="234" t="s">
        <v>165</v>
      </c>
    </row>
    <row r="223" spans="2:7">
      <c r="B223" s="316" t="s">
        <v>1477</v>
      </c>
      <c r="C223" s="303" t="s">
        <v>1478</v>
      </c>
      <c r="D223" s="316" t="s">
        <v>454</v>
      </c>
      <c r="E223" s="303" t="s">
        <v>5627</v>
      </c>
      <c r="F223" s="316" t="s">
        <v>1511</v>
      </c>
      <c r="G223" s="303" t="s">
        <v>1496</v>
      </c>
    </row>
    <row r="224" spans="2:7">
      <c r="B224" s="226" t="s">
        <v>1479</v>
      </c>
      <c r="C224" s="234" t="s">
        <v>1480</v>
      </c>
      <c r="D224" s="226" t="s">
        <v>2603</v>
      </c>
      <c r="E224" s="234" t="s">
        <v>5626</v>
      </c>
      <c r="F224" s="226" t="s">
        <v>858</v>
      </c>
      <c r="G224" s="234" t="s">
        <v>471</v>
      </c>
    </row>
    <row r="225" spans="2:7">
      <c r="B225" s="316" t="s">
        <v>1481</v>
      </c>
      <c r="C225" s="303" t="s">
        <v>1482</v>
      </c>
      <c r="D225" s="316" t="s">
        <v>2604</v>
      </c>
      <c r="E225" s="303" t="s">
        <v>4179</v>
      </c>
      <c r="F225" s="316" t="s">
        <v>2074</v>
      </c>
      <c r="G225" s="303" t="s">
        <v>182</v>
      </c>
    </row>
    <row r="226" spans="2:7">
      <c r="B226" s="226" t="s">
        <v>1483</v>
      </c>
      <c r="C226" s="234" t="s">
        <v>1484</v>
      </c>
      <c r="D226" s="226" t="s">
        <v>2605</v>
      </c>
      <c r="E226" s="234" t="s">
        <v>4181</v>
      </c>
      <c r="F226" s="226" t="s">
        <v>859</v>
      </c>
      <c r="G226" s="234" t="s">
        <v>472</v>
      </c>
    </row>
    <row r="227" spans="2:7">
      <c r="B227" s="316" t="s">
        <v>2299</v>
      </c>
      <c r="C227" s="303" t="s">
        <v>2300</v>
      </c>
      <c r="D227" s="316" t="s">
        <v>2606</v>
      </c>
      <c r="E227" s="303" t="s">
        <v>4183</v>
      </c>
      <c r="F227" s="316" t="s">
        <v>812</v>
      </c>
      <c r="G227" s="303" t="s">
        <v>1845</v>
      </c>
    </row>
    <row r="228" spans="2:7">
      <c r="B228" s="226" t="s">
        <v>2301</v>
      </c>
      <c r="C228" s="234" t="s">
        <v>2302</v>
      </c>
      <c r="D228" s="226" t="s">
        <v>57</v>
      </c>
      <c r="E228" s="234" t="s">
        <v>4185</v>
      </c>
      <c r="F228" s="226" t="s">
        <v>1623</v>
      </c>
      <c r="G228" s="234" t="s">
        <v>1569</v>
      </c>
    </row>
    <row r="229" spans="2:7">
      <c r="B229" s="316" t="s">
        <v>2303</v>
      </c>
      <c r="C229" s="303" t="s">
        <v>2304</v>
      </c>
      <c r="D229" s="316" t="s">
        <v>1561</v>
      </c>
      <c r="E229" s="303" t="s">
        <v>4187</v>
      </c>
      <c r="F229" s="316" t="s">
        <v>826</v>
      </c>
      <c r="G229" s="303" t="s">
        <v>1345</v>
      </c>
    </row>
    <row r="230" spans="2:7">
      <c r="B230" s="226" t="s">
        <v>2305</v>
      </c>
      <c r="C230" s="234" t="s">
        <v>907</v>
      </c>
      <c r="D230" s="226" t="s">
        <v>1562</v>
      </c>
      <c r="E230" s="234" t="s">
        <v>1327</v>
      </c>
      <c r="F230" s="226" t="s">
        <v>2499</v>
      </c>
      <c r="G230" s="234" t="s">
        <v>1698</v>
      </c>
    </row>
    <row r="231" spans="2:7">
      <c r="B231" s="316" t="s">
        <v>908</v>
      </c>
      <c r="C231" s="303" t="s">
        <v>909</v>
      </c>
      <c r="D231" s="316" t="s">
        <v>1563</v>
      </c>
      <c r="E231" s="303" t="s">
        <v>2002</v>
      </c>
      <c r="F231" s="316" t="s">
        <v>784</v>
      </c>
      <c r="G231" s="303" t="s">
        <v>2740</v>
      </c>
    </row>
    <row r="232" spans="2:7">
      <c r="B232" s="226" t="s">
        <v>910</v>
      </c>
      <c r="C232" s="234" t="s">
        <v>737</v>
      </c>
      <c r="D232" s="226" t="s">
        <v>2003</v>
      </c>
      <c r="E232" s="234" t="s">
        <v>2004</v>
      </c>
      <c r="F232" s="226" t="s">
        <v>1742</v>
      </c>
      <c r="G232" s="234" t="s">
        <v>2051</v>
      </c>
    </row>
    <row r="233" spans="2:7">
      <c r="B233" s="316" t="s">
        <v>1065</v>
      </c>
      <c r="C233" s="303" t="s">
        <v>1066</v>
      </c>
      <c r="D233" s="316" t="s">
        <v>2005</v>
      </c>
      <c r="E233" s="303" t="s">
        <v>2128</v>
      </c>
      <c r="F233" s="316" t="s">
        <v>1987</v>
      </c>
      <c r="G233" s="303" t="s">
        <v>215</v>
      </c>
    </row>
    <row r="234" spans="2:7">
      <c r="B234" s="226" t="s">
        <v>1067</v>
      </c>
      <c r="C234" s="234" t="s">
        <v>1068</v>
      </c>
      <c r="D234" s="226" t="s">
        <v>2006</v>
      </c>
      <c r="E234" s="234" t="s">
        <v>2007</v>
      </c>
      <c r="F234" s="226" t="s">
        <v>2684</v>
      </c>
      <c r="G234" s="234" t="s">
        <v>5631</v>
      </c>
    </row>
    <row r="235" spans="2:7">
      <c r="B235" s="316" t="s">
        <v>1069</v>
      </c>
      <c r="C235" s="303" t="s">
        <v>1070</v>
      </c>
      <c r="D235" s="316" t="s">
        <v>380</v>
      </c>
      <c r="E235" s="303" t="s">
        <v>405</v>
      </c>
      <c r="F235" s="316" t="s">
        <v>2684</v>
      </c>
      <c r="G235" s="303" t="s">
        <v>5632</v>
      </c>
    </row>
    <row r="236" spans="2:7">
      <c r="B236" s="226" t="s">
        <v>2797</v>
      </c>
      <c r="C236" s="234" t="s">
        <v>2798</v>
      </c>
      <c r="D236" s="226" t="s">
        <v>2726</v>
      </c>
      <c r="E236" s="234" t="s">
        <v>408</v>
      </c>
      <c r="F236" s="226" t="s">
        <v>1606</v>
      </c>
      <c r="G236" s="234" t="s">
        <v>1348</v>
      </c>
    </row>
    <row r="237" spans="2:7">
      <c r="B237" s="316" t="s">
        <v>2799</v>
      </c>
      <c r="C237" s="303" t="s">
        <v>2800</v>
      </c>
      <c r="D237" s="316" t="s">
        <v>2727</v>
      </c>
      <c r="E237" s="303" t="s">
        <v>2728</v>
      </c>
      <c r="F237" s="316" t="s">
        <v>781</v>
      </c>
      <c r="G237" s="303" t="s">
        <v>2736</v>
      </c>
    </row>
    <row r="238" spans="2:7">
      <c r="B238" s="226" t="s">
        <v>2171</v>
      </c>
      <c r="C238" s="234" t="s">
        <v>2172</v>
      </c>
      <c r="D238" s="226" t="s">
        <v>2729</v>
      </c>
      <c r="E238" s="234" t="s">
        <v>2730</v>
      </c>
      <c r="F238" s="226" t="s">
        <v>1267</v>
      </c>
      <c r="G238" s="234" t="s">
        <v>1363</v>
      </c>
    </row>
    <row r="239" spans="2:7">
      <c r="B239" s="316" t="s">
        <v>2173</v>
      </c>
      <c r="C239" s="303" t="s">
        <v>2174</v>
      </c>
      <c r="D239" s="316" t="s">
        <v>2613</v>
      </c>
      <c r="E239" s="303" t="s">
        <v>407</v>
      </c>
      <c r="F239" s="316" t="s">
        <v>1515</v>
      </c>
      <c r="G239" s="303" t="s">
        <v>1501</v>
      </c>
    </row>
    <row r="240" spans="2:7">
      <c r="B240" s="226" t="s">
        <v>2175</v>
      </c>
      <c r="C240" s="234" t="s">
        <v>2176</v>
      </c>
      <c r="D240" s="226" t="s">
        <v>2614</v>
      </c>
      <c r="E240" s="234" t="s">
        <v>404</v>
      </c>
      <c r="F240" s="226" t="s">
        <v>1711</v>
      </c>
      <c r="G240" s="234" t="s">
        <v>1690</v>
      </c>
    </row>
    <row r="241" spans="2:7">
      <c r="B241" s="316" t="s">
        <v>2177</v>
      </c>
      <c r="C241" s="303" t="s">
        <v>2178</v>
      </c>
      <c r="D241" s="316" t="s">
        <v>2615</v>
      </c>
      <c r="E241" s="303" t="s">
        <v>2129</v>
      </c>
      <c r="F241" s="316" t="s">
        <v>1516</v>
      </c>
      <c r="G241" s="303" t="s">
        <v>1502</v>
      </c>
    </row>
    <row r="242" spans="2:7">
      <c r="B242" s="226" t="s">
        <v>2179</v>
      </c>
      <c r="C242" s="234" t="s">
        <v>2180</v>
      </c>
      <c r="D242" s="226" t="s">
        <v>2616</v>
      </c>
      <c r="E242" s="234" t="s">
        <v>2617</v>
      </c>
      <c r="F242" s="226" t="s">
        <v>1989</v>
      </c>
      <c r="G242" s="234" t="s">
        <v>1485</v>
      </c>
    </row>
    <row r="243" spans="2:7">
      <c r="B243" s="316" t="s">
        <v>2181</v>
      </c>
      <c r="C243" s="303" t="s">
        <v>2060</v>
      </c>
      <c r="D243" s="316" t="s">
        <v>2618</v>
      </c>
      <c r="E243" s="303" t="s">
        <v>2504</v>
      </c>
      <c r="F243" s="316" t="s">
        <v>1735</v>
      </c>
      <c r="G243" s="303" t="s">
        <v>349</v>
      </c>
    </row>
    <row r="244" spans="2:7">
      <c r="B244" s="226" t="s">
        <v>2061</v>
      </c>
      <c r="C244" s="234" t="s">
        <v>703</v>
      </c>
      <c r="D244" s="226" t="s">
        <v>1994</v>
      </c>
      <c r="E244" s="234" t="s">
        <v>2130</v>
      </c>
      <c r="F244" s="226" t="s">
        <v>1731</v>
      </c>
      <c r="G244" s="234" t="s">
        <v>168</v>
      </c>
    </row>
    <row r="245" spans="2:7">
      <c r="B245" s="316" t="s">
        <v>704</v>
      </c>
      <c r="C245" s="303" t="s">
        <v>705</v>
      </c>
      <c r="D245" s="316" t="s">
        <v>1995</v>
      </c>
      <c r="E245" s="303" t="s">
        <v>362</v>
      </c>
      <c r="F245" s="316" t="s">
        <v>815</v>
      </c>
      <c r="G245" s="303" t="s">
        <v>1852</v>
      </c>
    </row>
    <row r="246" spans="2:7">
      <c r="B246" s="226" t="s">
        <v>706</v>
      </c>
      <c r="C246" s="234" t="s">
        <v>707</v>
      </c>
      <c r="D246" s="226" t="s">
        <v>2065</v>
      </c>
      <c r="E246" s="234" t="s">
        <v>2066</v>
      </c>
      <c r="F246" s="226" t="s">
        <v>1743</v>
      </c>
      <c r="G246" s="234" t="s">
        <v>2732</v>
      </c>
    </row>
    <row r="247" spans="2:7">
      <c r="B247" s="316" t="s">
        <v>1874</v>
      </c>
      <c r="C247" s="303" t="s">
        <v>1875</v>
      </c>
      <c r="D247" s="4323" t="s">
        <v>1018</v>
      </c>
      <c r="E247" s="4324"/>
      <c r="F247" s="316" t="s">
        <v>1386</v>
      </c>
      <c r="G247" s="303" t="s">
        <v>1566</v>
      </c>
    </row>
    <row r="248" spans="2:7">
      <c r="B248" s="226" t="s">
        <v>1876</v>
      </c>
      <c r="C248" s="234" t="s">
        <v>1877</v>
      </c>
      <c r="D248" s="226" t="s">
        <v>78</v>
      </c>
      <c r="E248" s="234" t="s">
        <v>77</v>
      </c>
      <c r="F248" s="226" t="s">
        <v>308</v>
      </c>
      <c r="G248" s="234" t="s">
        <v>1567</v>
      </c>
    </row>
    <row r="249" spans="2:7">
      <c r="B249" s="316" t="s">
        <v>1878</v>
      </c>
      <c r="C249" s="303" t="s">
        <v>1879</v>
      </c>
      <c r="D249" s="316" t="s">
        <v>80</v>
      </c>
      <c r="E249" s="303" t="s">
        <v>79</v>
      </c>
      <c r="F249" s="316" t="s">
        <v>1605</v>
      </c>
      <c r="G249" s="303" t="s">
        <v>1347</v>
      </c>
    </row>
    <row r="250" spans="2:7">
      <c r="B250" s="226" t="s">
        <v>1880</v>
      </c>
      <c r="C250" s="234" t="s">
        <v>1881</v>
      </c>
      <c r="D250" s="226" t="s">
        <v>82</v>
      </c>
      <c r="E250" s="234" t="s">
        <v>81</v>
      </c>
      <c r="F250" s="226" t="s">
        <v>1401</v>
      </c>
      <c r="G250" s="234" t="s">
        <v>1811</v>
      </c>
    </row>
    <row r="251" spans="2:7">
      <c r="B251" s="316" t="s">
        <v>1882</v>
      </c>
      <c r="C251" s="303" t="s">
        <v>1883</v>
      </c>
      <c r="D251" s="316" t="s">
        <v>84</v>
      </c>
      <c r="E251" s="303" t="s">
        <v>83</v>
      </c>
      <c r="F251" s="316" t="s">
        <v>824</v>
      </c>
      <c r="G251" s="303" t="s">
        <v>1343</v>
      </c>
    </row>
    <row r="252" spans="2:7">
      <c r="B252" s="226" t="s">
        <v>1884</v>
      </c>
      <c r="C252" s="234" t="s">
        <v>1885</v>
      </c>
      <c r="D252" s="4323" t="s">
        <v>3621</v>
      </c>
      <c r="E252" s="4324"/>
      <c r="F252" s="226" t="s">
        <v>2497</v>
      </c>
      <c r="G252" s="234" t="s">
        <v>1695</v>
      </c>
    </row>
    <row r="253" spans="2:7">
      <c r="B253" s="316" t="s">
        <v>1886</v>
      </c>
      <c r="C253" s="303" t="s">
        <v>1887</v>
      </c>
      <c r="D253" s="316" t="s">
        <v>761</v>
      </c>
      <c r="E253" s="303" t="s">
        <v>2232</v>
      </c>
      <c r="F253" s="316" t="s">
        <v>2495</v>
      </c>
      <c r="G253" s="303" t="s">
        <v>1692</v>
      </c>
    </row>
    <row r="254" spans="2:7">
      <c r="B254" s="226" t="s">
        <v>2182</v>
      </c>
      <c r="C254" s="234" t="s">
        <v>2426</v>
      </c>
      <c r="D254" s="226" t="s">
        <v>762</v>
      </c>
      <c r="E254" s="234" t="s">
        <v>2233</v>
      </c>
      <c r="F254" s="226" t="s">
        <v>2501</v>
      </c>
      <c r="G254" s="234" t="s">
        <v>1700</v>
      </c>
    </row>
    <row r="255" spans="2:7">
      <c r="B255" s="316" t="s">
        <v>2427</v>
      </c>
      <c r="C255" s="303" t="s">
        <v>2428</v>
      </c>
      <c r="D255" s="316" t="s">
        <v>1250</v>
      </c>
      <c r="E255" s="303" t="s">
        <v>373</v>
      </c>
      <c r="F255" s="316" t="s">
        <v>1869</v>
      </c>
      <c r="G255" s="303" t="s">
        <v>1939</v>
      </c>
    </row>
    <row r="256" spans="2:7">
      <c r="B256" s="226" t="s">
        <v>2429</v>
      </c>
      <c r="C256" s="234" t="s">
        <v>2430</v>
      </c>
      <c r="D256" s="226" t="s">
        <v>763</v>
      </c>
      <c r="E256" s="234" t="s">
        <v>343</v>
      </c>
      <c r="F256" s="226" t="s">
        <v>1336</v>
      </c>
      <c r="G256" s="234" t="s">
        <v>2151</v>
      </c>
    </row>
    <row r="257" spans="2:7">
      <c r="B257" s="316" t="s">
        <v>2431</v>
      </c>
      <c r="C257" s="303" t="s">
        <v>2432</v>
      </c>
      <c r="D257" s="316" t="s">
        <v>629</v>
      </c>
      <c r="E257" s="303" t="s">
        <v>2324</v>
      </c>
      <c r="F257" s="316" t="s">
        <v>1739</v>
      </c>
      <c r="G257" s="303" t="s">
        <v>2047</v>
      </c>
    </row>
    <row r="258" spans="2:7">
      <c r="B258" s="226" t="s">
        <v>2433</v>
      </c>
      <c r="C258" s="234" t="s">
        <v>2434</v>
      </c>
      <c r="D258" s="226" t="s">
        <v>764</v>
      </c>
      <c r="E258" s="234" t="s">
        <v>344</v>
      </c>
      <c r="F258" s="226" t="s">
        <v>1398</v>
      </c>
      <c r="G258" s="234" t="s">
        <v>1505</v>
      </c>
    </row>
    <row r="259" spans="2:7">
      <c r="B259" s="316" t="s">
        <v>2017</v>
      </c>
      <c r="C259" s="303" t="s">
        <v>2022</v>
      </c>
      <c r="D259" s="316" t="s">
        <v>765</v>
      </c>
      <c r="E259" s="303" t="s">
        <v>2152</v>
      </c>
      <c r="F259" s="316" t="s">
        <v>1235</v>
      </c>
      <c r="G259" s="303" t="s">
        <v>1694</v>
      </c>
    </row>
    <row r="260" spans="2:7">
      <c r="B260" s="226" t="s">
        <v>2023</v>
      </c>
      <c r="C260" s="234" t="s">
        <v>2024</v>
      </c>
      <c r="D260" s="226" t="s">
        <v>766</v>
      </c>
      <c r="E260" s="234" t="s">
        <v>1645</v>
      </c>
      <c r="F260" s="226" t="s">
        <v>1710</v>
      </c>
      <c r="G260" s="234" t="s">
        <v>1688</v>
      </c>
    </row>
    <row r="261" spans="2:7">
      <c r="B261" s="316" t="s">
        <v>2025</v>
      </c>
      <c r="C261" s="303" t="s">
        <v>2026</v>
      </c>
      <c r="D261" s="316" t="s">
        <v>767</v>
      </c>
      <c r="E261" s="303" t="s">
        <v>1948</v>
      </c>
      <c r="F261" s="316" t="s">
        <v>1404</v>
      </c>
      <c r="G261" s="303" t="s">
        <v>1814</v>
      </c>
    </row>
    <row r="262" spans="2:7">
      <c r="B262" s="226" t="s">
        <v>2027</v>
      </c>
      <c r="C262" s="234" t="s">
        <v>2028</v>
      </c>
      <c r="D262" s="226" t="s">
        <v>2445</v>
      </c>
      <c r="E262" s="234" t="s">
        <v>1644</v>
      </c>
      <c r="F262" s="226" t="s">
        <v>2076</v>
      </c>
      <c r="G262" s="234" t="s">
        <v>389</v>
      </c>
    </row>
    <row r="263" spans="2:7">
      <c r="B263" s="316" t="s">
        <v>2029</v>
      </c>
      <c r="C263" s="303" t="s">
        <v>2030</v>
      </c>
      <c r="D263" s="316" t="s">
        <v>2446</v>
      </c>
      <c r="E263" s="303" t="s">
        <v>567</v>
      </c>
      <c r="F263" s="316" t="s">
        <v>1732</v>
      </c>
      <c r="G263" s="303" t="s">
        <v>346</v>
      </c>
    </row>
    <row r="264" spans="2:7">
      <c r="B264" s="226" t="s">
        <v>2031</v>
      </c>
      <c r="C264" s="234" t="s">
        <v>2032</v>
      </c>
      <c r="D264" s="226" t="s">
        <v>2447</v>
      </c>
      <c r="E264" s="234" t="s">
        <v>654</v>
      </c>
      <c r="F264" s="226" t="s">
        <v>1992</v>
      </c>
      <c r="G264" s="234" t="s">
        <v>5633</v>
      </c>
    </row>
    <row r="265" spans="2:7">
      <c r="B265" s="316" t="s">
        <v>2033</v>
      </c>
      <c r="C265" s="303" t="s">
        <v>2034</v>
      </c>
      <c r="D265" s="316" t="s">
        <v>2448</v>
      </c>
      <c r="E265" s="303" t="s">
        <v>650</v>
      </c>
      <c r="F265" s="316" t="s">
        <v>307</v>
      </c>
      <c r="G265" s="303" t="s">
        <v>5634</v>
      </c>
    </row>
    <row r="266" spans="2:7">
      <c r="B266" s="226" t="s">
        <v>2035</v>
      </c>
      <c r="C266" s="234" t="s">
        <v>2036</v>
      </c>
      <c r="D266" s="226" t="s">
        <v>2600</v>
      </c>
      <c r="E266" s="234" t="s">
        <v>1220</v>
      </c>
      <c r="F266" s="226" t="s">
        <v>823</v>
      </c>
      <c r="G266" s="234" t="s">
        <v>1342</v>
      </c>
    </row>
    <row r="267" spans="2:7">
      <c r="B267" s="316" t="s">
        <v>1787</v>
      </c>
      <c r="C267" s="303" t="s">
        <v>1788</v>
      </c>
      <c r="D267" s="316" t="s">
        <v>1487</v>
      </c>
      <c r="E267" s="303" t="s">
        <v>2234</v>
      </c>
      <c r="F267" s="316" t="s">
        <v>2653</v>
      </c>
      <c r="G267" s="303" t="s">
        <v>871</v>
      </c>
    </row>
    <row r="268" spans="2:7">
      <c r="B268" s="226" t="s">
        <v>1789</v>
      </c>
      <c r="C268" s="234" t="s">
        <v>1790</v>
      </c>
      <c r="D268" s="226" t="s">
        <v>2601</v>
      </c>
      <c r="E268" s="234" t="s">
        <v>3444</v>
      </c>
      <c r="F268" s="226" t="s">
        <v>1870</v>
      </c>
      <c r="G268" s="234" t="s">
        <v>1940</v>
      </c>
    </row>
    <row r="269" spans="2:7">
      <c r="B269" s="316" t="s">
        <v>1791</v>
      </c>
      <c r="C269" s="303" t="s">
        <v>1792</v>
      </c>
      <c r="D269" s="316" t="s">
        <v>1488</v>
      </c>
      <c r="E269" s="303" t="s">
        <v>374</v>
      </c>
      <c r="F269" s="316" t="s">
        <v>821</v>
      </c>
      <c r="G269" s="303" t="s">
        <v>934</v>
      </c>
    </row>
    <row r="270" spans="2:7">
      <c r="B270" s="226" t="s">
        <v>2095</v>
      </c>
      <c r="C270" s="234" t="s">
        <v>2096</v>
      </c>
      <c r="D270" s="226" t="s">
        <v>2602</v>
      </c>
      <c r="E270" s="234" t="s">
        <v>1597</v>
      </c>
      <c r="F270" s="226" t="s">
        <v>363</v>
      </c>
      <c r="G270" s="234" t="s">
        <v>324</v>
      </c>
    </row>
    <row r="271" spans="2:7">
      <c r="B271" s="316" t="s">
        <v>2097</v>
      </c>
      <c r="C271" s="303" t="s">
        <v>2098</v>
      </c>
      <c r="D271" s="316" t="s">
        <v>1962</v>
      </c>
      <c r="E271" s="303" t="s">
        <v>2844</v>
      </c>
      <c r="F271" s="316" t="s">
        <v>1408</v>
      </c>
      <c r="G271" s="303" t="s">
        <v>1819</v>
      </c>
    </row>
    <row r="272" spans="2:7">
      <c r="B272" s="226" t="s">
        <v>2131</v>
      </c>
      <c r="C272" s="234" t="s">
        <v>2132</v>
      </c>
      <c r="D272" s="226" t="s">
        <v>2777</v>
      </c>
      <c r="E272" s="234" t="s">
        <v>840</v>
      </c>
      <c r="F272" s="226" t="s">
        <v>2683</v>
      </c>
      <c r="G272" s="234" t="s">
        <v>7</v>
      </c>
    </row>
    <row r="273" spans="2:7">
      <c r="B273" s="316" t="s">
        <v>2133</v>
      </c>
      <c r="C273" s="303" t="s">
        <v>2134</v>
      </c>
      <c r="D273" s="316" t="s">
        <v>2780</v>
      </c>
      <c r="E273" s="303" t="s">
        <v>1949</v>
      </c>
      <c r="F273" s="316" t="s">
        <v>1263</v>
      </c>
      <c r="G273" s="303" t="s">
        <v>1358</v>
      </c>
    </row>
    <row r="274" spans="2:7">
      <c r="B274" s="226" t="s">
        <v>2435</v>
      </c>
      <c r="C274" s="234" t="s">
        <v>2436</v>
      </c>
      <c r="D274" s="226" t="s">
        <v>2781</v>
      </c>
      <c r="E274" s="234" t="s">
        <v>900</v>
      </c>
      <c r="F274" s="226" t="s">
        <v>1706</v>
      </c>
      <c r="G274" s="234" t="s">
        <v>1682</v>
      </c>
    </row>
    <row r="275" spans="2:7">
      <c r="B275" s="316" t="s">
        <v>2437</v>
      </c>
      <c r="C275" s="303" t="s">
        <v>2438</v>
      </c>
      <c r="D275" s="316" t="s">
        <v>2778</v>
      </c>
      <c r="E275" s="303" t="s">
        <v>3445</v>
      </c>
      <c r="F275" s="316" t="s">
        <v>2073</v>
      </c>
      <c r="G275" s="303" t="s">
        <v>74</v>
      </c>
    </row>
    <row r="276" spans="2:7">
      <c r="B276" s="226" t="s">
        <v>2439</v>
      </c>
      <c r="C276" s="234" t="s">
        <v>2440</v>
      </c>
      <c r="D276" s="226" t="s">
        <v>2779</v>
      </c>
      <c r="E276" s="234" t="s">
        <v>3446</v>
      </c>
      <c r="F276" s="226" t="s">
        <v>1736</v>
      </c>
      <c r="G276" s="234" t="s">
        <v>350</v>
      </c>
    </row>
    <row r="277" spans="2:7">
      <c r="B277" s="316" t="s">
        <v>2441</v>
      </c>
      <c r="C277" s="303" t="s">
        <v>2442</v>
      </c>
      <c r="D277" s="316" t="s">
        <v>2782</v>
      </c>
      <c r="E277" s="303" t="s">
        <v>1052</v>
      </c>
      <c r="F277" s="316" t="s">
        <v>813</v>
      </c>
      <c r="G277" s="303" t="s">
        <v>1846</v>
      </c>
    </row>
    <row r="278" spans="2:7">
      <c r="B278" s="226" t="s">
        <v>2443</v>
      </c>
      <c r="C278" s="234" t="s">
        <v>2444</v>
      </c>
      <c r="D278" s="226" t="s">
        <v>2783</v>
      </c>
      <c r="E278" s="234" t="s">
        <v>841</v>
      </c>
      <c r="F278" s="226" t="s">
        <v>1380</v>
      </c>
      <c r="G278" s="234" t="s">
        <v>1249</v>
      </c>
    </row>
    <row r="279" spans="2:7">
      <c r="B279" s="316" t="s">
        <v>848</v>
      </c>
      <c r="C279" s="303" t="s">
        <v>849</v>
      </c>
      <c r="D279" s="316" t="s">
        <v>2784</v>
      </c>
      <c r="E279" s="303" t="s">
        <v>3447</v>
      </c>
      <c r="F279" s="316" t="s">
        <v>1726</v>
      </c>
      <c r="G279" s="303" t="s">
        <v>163</v>
      </c>
    </row>
    <row r="280" spans="2:7">
      <c r="B280" s="226" t="s">
        <v>850</v>
      </c>
      <c r="C280" s="234" t="s">
        <v>851</v>
      </c>
      <c r="D280" s="226" t="s">
        <v>2785</v>
      </c>
      <c r="E280" s="234" t="s">
        <v>842</v>
      </c>
      <c r="F280" s="226" t="s">
        <v>817</v>
      </c>
      <c r="G280" s="234" t="s">
        <v>1854</v>
      </c>
    </row>
    <row r="281" spans="2:7">
      <c r="B281" s="316" t="s">
        <v>852</v>
      </c>
      <c r="C281" s="303" t="s">
        <v>853</v>
      </c>
      <c r="D281" s="316" t="s">
        <v>503</v>
      </c>
      <c r="E281" s="303" t="s">
        <v>1532</v>
      </c>
      <c r="F281" s="316" t="s">
        <v>1399</v>
      </c>
      <c r="G281" s="303" t="s">
        <v>1507</v>
      </c>
    </row>
    <row r="282" spans="2:7">
      <c r="B282" s="226" t="s">
        <v>854</v>
      </c>
      <c r="C282" s="234" t="s">
        <v>855</v>
      </c>
      <c r="D282" s="226" t="s">
        <v>504</v>
      </c>
      <c r="E282" s="234" t="s">
        <v>1533</v>
      </c>
      <c r="F282" s="226" t="s">
        <v>825</v>
      </c>
      <c r="G282" s="234" t="s">
        <v>1344</v>
      </c>
    </row>
    <row r="283" spans="2:7">
      <c r="B283" s="316" t="s">
        <v>856</v>
      </c>
      <c r="C283" s="303" t="s">
        <v>857</v>
      </c>
      <c r="D283" s="316" t="s">
        <v>505</v>
      </c>
      <c r="E283" s="303" t="s">
        <v>3448</v>
      </c>
      <c r="F283" s="316" t="s">
        <v>1410</v>
      </c>
      <c r="G283" s="303" t="s">
        <v>1681</v>
      </c>
    </row>
    <row r="284" spans="2:7">
      <c r="B284" s="226" t="s">
        <v>1154</v>
      </c>
      <c r="C284" s="234" t="s">
        <v>1155</v>
      </c>
      <c r="D284" s="226" t="s">
        <v>2561</v>
      </c>
      <c r="E284" s="234" t="s">
        <v>3449</v>
      </c>
      <c r="F284" s="226" t="s">
        <v>1866</v>
      </c>
      <c r="G284" s="234" t="s">
        <v>1936</v>
      </c>
    </row>
    <row r="285" spans="2:7">
      <c r="B285" s="316" t="s">
        <v>1156</v>
      </c>
      <c r="C285" s="303" t="s">
        <v>1157</v>
      </c>
      <c r="D285" s="316" t="s">
        <v>2562</v>
      </c>
      <c r="E285" s="303" t="s">
        <v>2260</v>
      </c>
      <c r="F285" s="316" t="s">
        <v>1738</v>
      </c>
      <c r="G285" s="303" t="s">
        <v>2046</v>
      </c>
    </row>
    <row r="286" spans="2:7">
      <c r="B286" s="226" t="s">
        <v>1759</v>
      </c>
      <c r="C286" s="234" t="s">
        <v>1760</v>
      </c>
      <c r="D286" s="226" t="s">
        <v>2563</v>
      </c>
      <c r="E286" s="234" t="s">
        <v>3450</v>
      </c>
      <c r="F286" s="226" t="s">
        <v>860</v>
      </c>
      <c r="G286" s="234" t="s">
        <v>473</v>
      </c>
    </row>
    <row r="287" spans="2:7">
      <c r="B287" s="316" t="s">
        <v>1761</v>
      </c>
      <c r="C287" s="303" t="s">
        <v>1762</v>
      </c>
      <c r="D287" s="316" t="s">
        <v>2564</v>
      </c>
      <c r="E287" s="303" t="s">
        <v>1817</v>
      </c>
      <c r="F287" s="316" t="s">
        <v>1993</v>
      </c>
      <c r="G287" s="303" t="s">
        <v>1492</v>
      </c>
    </row>
    <row r="288" spans="2:7">
      <c r="B288" s="226" t="s">
        <v>2758</v>
      </c>
      <c r="C288" s="234" t="s">
        <v>2759</v>
      </c>
      <c r="D288" s="226" t="s">
        <v>2565</v>
      </c>
      <c r="E288" s="234" t="s">
        <v>3451</v>
      </c>
      <c r="F288" s="226" t="s">
        <v>1402</v>
      </c>
      <c r="G288" s="234" t="s">
        <v>1812</v>
      </c>
    </row>
    <row r="289" spans="2:7">
      <c r="B289" s="316" t="s">
        <v>2760</v>
      </c>
      <c r="C289" s="303" t="s">
        <v>2761</v>
      </c>
      <c r="D289" s="316" t="s">
        <v>2566</v>
      </c>
      <c r="E289" s="303" t="s">
        <v>3062</v>
      </c>
      <c r="F289" s="316" t="s">
        <v>1740</v>
      </c>
      <c r="G289" s="303" t="s">
        <v>2049</v>
      </c>
    </row>
    <row r="290" spans="2:7">
      <c r="B290" s="226" t="s">
        <v>2762</v>
      </c>
      <c r="C290" s="234" t="s">
        <v>2763</v>
      </c>
      <c r="D290" s="226" t="s">
        <v>2567</v>
      </c>
      <c r="E290" s="234" t="s">
        <v>3452</v>
      </c>
      <c r="F290" s="226" t="s">
        <v>2075</v>
      </c>
      <c r="G290" s="234" t="s">
        <v>387</v>
      </c>
    </row>
    <row r="291" spans="2:7">
      <c r="B291" s="316" t="s">
        <v>2764</v>
      </c>
      <c r="C291" s="303" t="s">
        <v>2765</v>
      </c>
      <c r="D291" s="316" t="s">
        <v>2535</v>
      </c>
      <c r="E291" s="303" t="s">
        <v>566</v>
      </c>
      <c r="F291" s="316" t="s">
        <v>1512</v>
      </c>
      <c r="G291" s="303" t="s">
        <v>1498</v>
      </c>
    </row>
    <row r="292" spans="2:7">
      <c r="B292" s="226" t="s">
        <v>2766</v>
      </c>
      <c r="C292" s="234" t="s">
        <v>2767</v>
      </c>
      <c r="D292" s="226" t="s">
        <v>2261</v>
      </c>
      <c r="E292" s="234" t="s">
        <v>3453</v>
      </c>
      <c r="F292" s="226" t="s">
        <v>1990</v>
      </c>
      <c r="G292" s="234" t="s">
        <v>1489</v>
      </c>
    </row>
    <row r="293" spans="2:7">
      <c r="B293" s="316" t="s">
        <v>2768</v>
      </c>
      <c r="C293" s="303" t="s">
        <v>2069</v>
      </c>
      <c r="D293" s="316" t="s">
        <v>2262</v>
      </c>
      <c r="E293" s="303" t="s">
        <v>652</v>
      </c>
      <c r="F293" s="316" t="s">
        <v>1403</v>
      </c>
      <c r="G293" s="303" t="s">
        <v>1813</v>
      </c>
    </row>
    <row r="294" spans="2:7">
      <c r="B294" s="226" t="s">
        <v>2070</v>
      </c>
      <c r="C294" s="234" t="s">
        <v>85</v>
      </c>
      <c r="D294" s="226" t="s">
        <v>2263</v>
      </c>
      <c r="E294" s="234" t="s">
        <v>1221</v>
      </c>
      <c r="F294" s="226" t="s">
        <v>1709</v>
      </c>
      <c r="G294" s="234" t="s">
        <v>1685</v>
      </c>
    </row>
    <row r="295" spans="2:7">
      <c r="B295" s="316" t="s">
        <v>86</v>
      </c>
      <c r="C295" s="303" t="s">
        <v>87</v>
      </c>
      <c r="D295" s="316" t="s">
        <v>1850</v>
      </c>
      <c r="E295" s="303" t="s">
        <v>1536</v>
      </c>
      <c r="F295" s="316" t="s">
        <v>779</v>
      </c>
      <c r="G295" s="303" t="s">
        <v>2734</v>
      </c>
    </row>
    <row r="296" spans="2:7">
      <c r="B296" s="226" t="s">
        <v>88</v>
      </c>
      <c r="C296" s="234" t="s">
        <v>89</v>
      </c>
      <c r="D296" s="226" t="s">
        <v>2264</v>
      </c>
      <c r="E296" s="234" t="s">
        <v>3454</v>
      </c>
      <c r="F296" s="226" t="s">
        <v>1407</v>
      </c>
      <c r="G296" s="234" t="s">
        <v>1818</v>
      </c>
    </row>
    <row r="297" spans="2:7">
      <c r="B297" s="316" t="s">
        <v>90</v>
      </c>
      <c r="C297" s="303" t="s">
        <v>91</v>
      </c>
      <c r="D297" s="316" t="s">
        <v>2265</v>
      </c>
      <c r="E297" s="303" t="s">
        <v>2528</v>
      </c>
      <c r="F297" s="316" t="s">
        <v>783</v>
      </c>
      <c r="G297" s="303" t="s">
        <v>2739</v>
      </c>
    </row>
    <row r="298" spans="2:7">
      <c r="B298" s="226" t="s">
        <v>92</v>
      </c>
      <c r="C298" s="234" t="s">
        <v>93</v>
      </c>
      <c r="D298" s="226" t="s">
        <v>1848</v>
      </c>
      <c r="E298" s="234" t="s">
        <v>376</v>
      </c>
      <c r="F298" s="226" t="s">
        <v>816</v>
      </c>
      <c r="G298" s="234" t="s">
        <v>1853</v>
      </c>
    </row>
    <row r="299" spans="2:7">
      <c r="B299" s="316" t="s">
        <v>2217</v>
      </c>
      <c r="C299" s="303" t="s">
        <v>2218</v>
      </c>
      <c r="D299" s="316" t="s">
        <v>1851</v>
      </c>
      <c r="E299" s="303" t="s">
        <v>1594</v>
      </c>
      <c r="F299" s="316" t="s">
        <v>1264</v>
      </c>
      <c r="G299" s="303" t="s">
        <v>1359</v>
      </c>
    </row>
    <row r="300" spans="2:7">
      <c r="B300" s="226" t="s">
        <v>2219</v>
      </c>
      <c r="C300" s="234" t="s">
        <v>2220</v>
      </c>
      <c r="D300" s="226" t="s">
        <v>2266</v>
      </c>
      <c r="E300" s="234" t="s">
        <v>1619</v>
      </c>
      <c r="F300" s="226" t="s">
        <v>368</v>
      </c>
      <c r="G300" s="234" t="s">
        <v>469</v>
      </c>
    </row>
    <row r="301" spans="2:7">
      <c r="B301" s="316" t="s">
        <v>2221</v>
      </c>
      <c r="C301" s="303" t="s">
        <v>2222</v>
      </c>
      <c r="D301" s="316" t="s">
        <v>2267</v>
      </c>
      <c r="E301" s="303" t="s">
        <v>895</v>
      </c>
      <c r="F301" s="316" t="s">
        <v>2682</v>
      </c>
      <c r="G301" s="303" t="s">
        <v>275</v>
      </c>
    </row>
    <row r="302" spans="2:7">
      <c r="B302" s="226" t="s">
        <v>2223</v>
      </c>
      <c r="C302" s="234" t="s">
        <v>235</v>
      </c>
      <c r="D302" s="226" t="s">
        <v>2268</v>
      </c>
      <c r="E302" s="234" t="s">
        <v>3455</v>
      </c>
      <c r="F302" s="226" t="s">
        <v>1513</v>
      </c>
      <c r="G302" s="234" t="s">
        <v>1499</v>
      </c>
    </row>
    <row r="303" spans="2:7">
      <c r="B303" s="316" t="s">
        <v>236</v>
      </c>
      <c r="C303" s="303" t="s">
        <v>237</v>
      </c>
      <c r="D303" s="316" t="s">
        <v>2269</v>
      </c>
      <c r="E303" s="303" t="s">
        <v>642</v>
      </c>
      <c r="F303" s="316" t="s">
        <v>466</v>
      </c>
      <c r="G303" s="303" t="s">
        <v>2733</v>
      </c>
    </row>
    <row r="304" spans="2:7">
      <c r="B304" s="226" t="s">
        <v>238</v>
      </c>
      <c r="C304" s="234" t="s">
        <v>239</v>
      </c>
      <c r="D304" s="226" t="s">
        <v>2270</v>
      </c>
      <c r="E304" s="234" t="s">
        <v>898</v>
      </c>
      <c r="F304" s="4323" t="s">
        <v>4703</v>
      </c>
      <c r="G304" s="4324"/>
    </row>
    <row r="305" spans="2:7">
      <c r="B305" s="316" t="s">
        <v>240</v>
      </c>
      <c r="C305" s="303" t="s">
        <v>241</v>
      </c>
      <c r="D305" s="316" t="s">
        <v>2271</v>
      </c>
      <c r="E305" s="303" t="s">
        <v>3456</v>
      </c>
      <c r="F305" s="316" t="s">
        <v>947</v>
      </c>
      <c r="G305" s="303" t="s">
        <v>655</v>
      </c>
    </row>
    <row r="306" spans="2:7">
      <c r="B306" s="226" t="s">
        <v>242</v>
      </c>
      <c r="C306" s="234" t="s">
        <v>243</v>
      </c>
      <c r="D306" s="226" t="s">
        <v>2272</v>
      </c>
      <c r="E306" s="234" t="s">
        <v>2607</v>
      </c>
      <c r="F306" s="226" t="s">
        <v>948</v>
      </c>
      <c r="G306" s="234" t="s">
        <v>1367</v>
      </c>
    </row>
    <row r="307" spans="2:7">
      <c r="B307" s="316" t="s">
        <v>244</v>
      </c>
      <c r="C307" s="303" t="s">
        <v>245</v>
      </c>
      <c r="D307" s="316" t="s">
        <v>2273</v>
      </c>
      <c r="E307" s="303" t="s">
        <v>899</v>
      </c>
      <c r="F307" s="316" t="s">
        <v>949</v>
      </c>
      <c r="G307" s="303" t="s">
        <v>950</v>
      </c>
    </row>
    <row r="308" spans="2:7">
      <c r="B308" s="226" t="s">
        <v>246</v>
      </c>
      <c r="C308" s="234" t="s">
        <v>247</v>
      </c>
      <c r="D308" s="226" t="s">
        <v>2153</v>
      </c>
      <c r="E308" s="234" t="s">
        <v>3457</v>
      </c>
      <c r="F308" s="226" t="s">
        <v>951</v>
      </c>
      <c r="G308" s="234" t="s">
        <v>3519</v>
      </c>
    </row>
    <row r="309" spans="2:7">
      <c r="B309" s="316" t="s">
        <v>248</v>
      </c>
      <c r="C309" s="303" t="s">
        <v>249</v>
      </c>
      <c r="D309" s="316" t="s">
        <v>1352</v>
      </c>
      <c r="E309" s="303" t="s">
        <v>1537</v>
      </c>
      <c r="F309" s="316" t="s">
        <v>952</v>
      </c>
      <c r="G309" s="303" t="s">
        <v>1171</v>
      </c>
    </row>
    <row r="310" spans="2:7">
      <c r="B310" s="226" t="s">
        <v>250</v>
      </c>
      <c r="C310" s="234" t="s">
        <v>251</v>
      </c>
      <c r="D310" s="226" t="s">
        <v>1906</v>
      </c>
      <c r="E310" s="234" t="s">
        <v>1721</v>
      </c>
      <c r="F310" s="226" t="s">
        <v>1172</v>
      </c>
      <c r="G310" s="234" t="s">
        <v>1173</v>
      </c>
    </row>
    <row r="311" spans="2:7">
      <c r="B311" s="316" t="s">
        <v>252</v>
      </c>
      <c r="C311" s="303" t="s">
        <v>253</v>
      </c>
      <c r="D311" s="316" t="s">
        <v>1350</v>
      </c>
      <c r="E311" s="303" t="s">
        <v>377</v>
      </c>
      <c r="F311" s="316" t="s">
        <v>1174</v>
      </c>
      <c r="G311" s="303" t="s">
        <v>3524</v>
      </c>
    </row>
    <row r="312" spans="2:7">
      <c r="B312" s="226" t="s">
        <v>254</v>
      </c>
      <c r="C312" s="234" t="s">
        <v>255</v>
      </c>
      <c r="D312" s="226" t="s">
        <v>1907</v>
      </c>
      <c r="E312" s="234" t="s">
        <v>3458</v>
      </c>
      <c r="F312" s="226" t="s">
        <v>1175</v>
      </c>
      <c r="G312" s="234" t="s">
        <v>1286</v>
      </c>
    </row>
    <row r="313" spans="2:7">
      <c r="B313" s="316" t="s">
        <v>256</v>
      </c>
      <c r="C313" s="303" t="s">
        <v>257</v>
      </c>
      <c r="D313" s="316" t="s">
        <v>1353</v>
      </c>
      <c r="E313" s="303" t="s">
        <v>2325</v>
      </c>
      <c r="F313" s="316" t="s">
        <v>1287</v>
      </c>
      <c r="G313" s="303" t="s">
        <v>2554</v>
      </c>
    </row>
    <row r="314" spans="2:7">
      <c r="B314" s="226" t="s">
        <v>258</v>
      </c>
      <c r="C314" s="234" t="s">
        <v>259</v>
      </c>
      <c r="D314" s="226" t="s">
        <v>1908</v>
      </c>
      <c r="E314" s="234" t="s">
        <v>3459</v>
      </c>
      <c r="F314" s="226" t="s">
        <v>1058</v>
      </c>
      <c r="G314" s="234" t="s">
        <v>102</v>
      </c>
    </row>
    <row r="315" spans="2:7">
      <c r="B315" s="316" t="s">
        <v>260</v>
      </c>
      <c r="C315" s="303" t="s">
        <v>261</v>
      </c>
      <c r="D315" s="316" t="s">
        <v>1909</v>
      </c>
      <c r="E315" s="303" t="s">
        <v>490</v>
      </c>
      <c r="F315" s="316" t="s">
        <v>1059</v>
      </c>
      <c r="G315" s="303" t="s">
        <v>1060</v>
      </c>
    </row>
    <row r="316" spans="2:7">
      <c r="B316" s="226" t="s">
        <v>262</v>
      </c>
      <c r="C316" s="234" t="s">
        <v>263</v>
      </c>
      <c r="D316" s="226" t="s">
        <v>1910</v>
      </c>
      <c r="E316" s="234" t="s">
        <v>3460</v>
      </c>
      <c r="F316" s="226" t="s">
        <v>1061</v>
      </c>
      <c r="G316" s="234" t="s">
        <v>2055</v>
      </c>
    </row>
    <row r="317" spans="2:7">
      <c r="B317" s="316" t="s">
        <v>1067</v>
      </c>
      <c r="C317" s="303" t="s">
        <v>1068</v>
      </c>
      <c r="D317" s="316" t="s">
        <v>1911</v>
      </c>
      <c r="E317" s="303" t="s">
        <v>643</v>
      </c>
      <c r="F317" s="316" t="s">
        <v>1432</v>
      </c>
      <c r="G317" s="303" t="s">
        <v>5145</v>
      </c>
    </row>
    <row r="318" spans="2:7">
      <c r="B318" s="226" t="s">
        <v>264</v>
      </c>
      <c r="C318" s="234" t="s">
        <v>265</v>
      </c>
      <c r="D318" s="226" t="s">
        <v>2407</v>
      </c>
      <c r="E318" s="234" t="s">
        <v>3461</v>
      </c>
      <c r="F318" s="226" t="s">
        <v>604</v>
      </c>
      <c r="G318" s="234" t="s">
        <v>1306</v>
      </c>
    </row>
    <row r="319" spans="2:7">
      <c r="B319" s="316" t="s">
        <v>266</v>
      </c>
      <c r="C319" s="303" t="s">
        <v>267</v>
      </c>
      <c r="D319" s="316" t="s">
        <v>2408</v>
      </c>
      <c r="E319" s="303" t="s">
        <v>1054</v>
      </c>
      <c r="F319" s="316" t="s">
        <v>1433</v>
      </c>
      <c r="G319" s="303" t="s">
        <v>3525</v>
      </c>
    </row>
    <row r="320" spans="2:7">
      <c r="B320" s="226" t="s">
        <v>268</v>
      </c>
      <c r="C320" s="234" t="s">
        <v>269</v>
      </c>
      <c r="D320" s="226" t="s">
        <v>2409</v>
      </c>
      <c r="E320" s="234" t="s">
        <v>1053</v>
      </c>
      <c r="F320" s="226" t="s">
        <v>1781</v>
      </c>
      <c r="G320" s="234" t="s">
        <v>1782</v>
      </c>
    </row>
    <row r="321" spans="2:7">
      <c r="B321" s="316" t="s">
        <v>270</v>
      </c>
      <c r="C321" s="303" t="s">
        <v>271</v>
      </c>
      <c r="D321" s="316" t="s">
        <v>2410</v>
      </c>
      <c r="E321" s="303" t="s">
        <v>1100</v>
      </c>
      <c r="F321" s="316" t="s">
        <v>953</v>
      </c>
      <c r="G321" s="303" t="s">
        <v>5146</v>
      </c>
    </row>
    <row r="322" spans="2:7">
      <c r="B322" s="226" t="s">
        <v>272</v>
      </c>
      <c r="C322" s="234" t="s">
        <v>273</v>
      </c>
      <c r="D322" s="226" t="s">
        <v>2411</v>
      </c>
      <c r="E322" s="234" t="s">
        <v>3462</v>
      </c>
      <c r="F322" s="226" t="s">
        <v>954</v>
      </c>
      <c r="G322" s="234" t="s">
        <v>3558</v>
      </c>
    </row>
    <row r="323" spans="2:7">
      <c r="B323" s="316" t="s">
        <v>274</v>
      </c>
      <c r="C323" s="303" t="s">
        <v>2283</v>
      </c>
      <c r="D323" s="316" t="s">
        <v>1687</v>
      </c>
      <c r="E323" s="303" t="s">
        <v>1534</v>
      </c>
      <c r="F323" s="4323" t="s">
        <v>730</v>
      </c>
      <c r="G323" s="4324"/>
    </row>
    <row r="324" spans="2:7">
      <c r="B324" s="226" t="s">
        <v>2651</v>
      </c>
      <c r="C324" s="234" t="s">
        <v>2652</v>
      </c>
      <c r="D324" s="226" t="s">
        <v>2412</v>
      </c>
      <c r="E324" s="234" t="s">
        <v>1535</v>
      </c>
      <c r="F324" s="226" t="s">
        <v>2344</v>
      </c>
      <c r="G324" s="234" t="s">
        <v>2012</v>
      </c>
    </row>
    <row r="325" spans="2:7">
      <c r="B325" s="316" t="s">
        <v>2475</v>
      </c>
      <c r="C325" s="303" t="s">
        <v>2476</v>
      </c>
      <c r="D325" s="316" t="s">
        <v>1689</v>
      </c>
      <c r="E325" s="303" t="s">
        <v>375</v>
      </c>
      <c r="F325" s="316" t="s">
        <v>2345</v>
      </c>
      <c r="G325" s="303" t="s">
        <v>2346</v>
      </c>
    </row>
    <row r="326" spans="2:7">
      <c r="B326" s="226" t="s">
        <v>2477</v>
      </c>
      <c r="C326" s="234" t="s">
        <v>2478</v>
      </c>
      <c r="D326" s="226" t="s">
        <v>2413</v>
      </c>
      <c r="E326" s="234" t="s">
        <v>1593</v>
      </c>
      <c r="F326" s="226" t="s">
        <v>2347</v>
      </c>
      <c r="G326" s="234" t="s">
        <v>2646</v>
      </c>
    </row>
    <row r="327" spans="2:7">
      <c r="B327" s="316" t="s">
        <v>2479</v>
      </c>
      <c r="C327" s="303" t="s">
        <v>2480</v>
      </c>
      <c r="D327" s="316" t="s">
        <v>2414</v>
      </c>
      <c r="E327" s="303" t="s">
        <v>1518</v>
      </c>
      <c r="F327" s="316" t="s">
        <v>1942</v>
      </c>
      <c r="G327" s="303" t="s">
        <v>1943</v>
      </c>
    </row>
    <row r="328" spans="2:7">
      <c r="B328" s="226" t="s">
        <v>2481</v>
      </c>
      <c r="C328" s="234" t="s">
        <v>2482</v>
      </c>
      <c r="D328" s="226" t="s">
        <v>2415</v>
      </c>
      <c r="E328" s="234" t="s">
        <v>2323</v>
      </c>
      <c r="F328" s="226" t="s">
        <v>1944</v>
      </c>
      <c r="G328" s="234" t="s">
        <v>1945</v>
      </c>
    </row>
    <row r="329" spans="2:7">
      <c r="B329" s="316" t="s">
        <v>2483</v>
      </c>
      <c r="C329" s="303" t="s">
        <v>2484</v>
      </c>
      <c r="D329" s="316" t="s">
        <v>2416</v>
      </c>
      <c r="E329" s="303" t="s">
        <v>1686</v>
      </c>
      <c r="F329" s="316" t="s">
        <v>197</v>
      </c>
      <c r="G329" s="303" t="s">
        <v>5147</v>
      </c>
    </row>
    <row r="330" spans="2:7">
      <c r="B330" s="226" t="s">
        <v>2485</v>
      </c>
      <c r="C330" s="234" t="s">
        <v>2486</v>
      </c>
      <c r="D330" s="226" t="s">
        <v>2417</v>
      </c>
      <c r="E330" s="234" t="s">
        <v>1519</v>
      </c>
      <c r="F330" s="226" t="s">
        <v>198</v>
      </c>
      <c r="G330" s="234" t="s">
        <v>2058</v>
      </c>
    </row>
    <row r="331" spans="2:7">
      <c r="B331" s="316" t="s">
        <v>1836</v>
      </c>
      <c r="C331" s="303" t="s">
        <v>1837</v>
      </c>
      <c r="D331" s="316" t="s">
        <v>2418</v>
      </c>
      <c r="E331" s="303" t="s">
        <v>1520</v>
      </c>
      <c r="F331" s="316" t="s">
        <v>2059</v>
      </c>
      <c r="G331" s="303" t="s">
        <v>460</v>
      </c>
    </row>
    <row r="332" spans="2:7">
      <c r="B332" s="226" t="s">
        <v>1838</v>
      </c>
      <c r="C332" s="234" t="s">
        <v>1839</v>
      </c>
      <c r="D332" s="226" t="s">
        <v>2419</v>
      </c>
      <c r="E332" s="234" t="s">
        <v>1521</v>
      </c>
      <c r="F332" s="4323" t="s">
        <v>2397</v>
      </c>
      <c r="G332" s="4324"/>
    </row>
    <row r="333" spans="2:7">
      <c r="B333" s="316" t="s">
        <v>1840</v>
      </c>
      <c r="C333" s="303" t="s">
        <v>2712</v>
      </c>
      <c r="D333" s="316" t="s">
        <v>2420</v>
      </c>
      <c r="E333" s="303" t="s">
        <v>3063</v>
      </c>
      <c r="F333" s="316" t="s">
        <v>2398</v>
      </c>
      <c r="G333" s="303" t="s">
        <v>3835</v>
      </c>
    </row>
    <row r="334" spans="2:7">
      <c r="B334" s="226" t="s">
        <v>2713</v>
      </c>
      <c r="C334" s="234" t="s">
        <v>2714</v>
      </c>
      <c r="D334" s="226" t="s">
        <v>2421</v>
      </c>
      <c r="E334" s="234" t="s">
        <v>3463</v>
      </c>
      <c r="F334" s="226" t="s">
        <v>2399</v>
      </c>
      <c r="G334" s="234" t="s">
        <v>2571</v>
      </c>
    </row>
    <row r="335" spans="2:7">
      <c r="B335" s="316" t="s">
        <v>2715</v>
      </c>
      <c r="C335" s="303" t="s">
        <v>2716</v>
      </c>
      <c r="D335" s="316" t="s">
        <v>2284</v>
      </c>
      <c r="E335" s="303" t="s">
        <v>1941</v>
      </c>
      <c r="F335" s="316" t="s">
        <v>5914</v>
      </c>
      <c r="G335" s="303" t="s">
        <v>2570</v>
      </c>
    </row>
    <row r="336" spans="2:7">
      <c r="B336" s="226" t="s">
        <v>2717</v>
      </c>
      <c r="C336" s="234" t="s">
        <v>2718</v>
      </c>
      <c r="D336" s="226" t="s">
        <v>2285</v>
      </c>
      <c r="E336" s="234" t="s">
        <v>1222</v>
      </c>
      <c r="F336" s="226" t="s">
        <v>2400</v>
      </c>
      <c r="G336" s="234" t="s">
        <v>2572</v>
      </c>
    </row>
    <row r="337" spans="2:7">
      <c r="B337" s="316" t="s">
        <v>2719</v>
      </c>
      <c r="C337" s="303" t="s">
        <v>2720</v>
      </c>
      <c r="D337" s="316" t="s">
        <v>305</v>
      </c>
      <c r="E337" s="303" t="s">
        <v>1540</v>
      </c>
      <c r="F337" s="316" t="s">
        <v>1578</v>
      </c>
      <c r="G337" s="303" t="s">
        <v>1766</v>
      </c>
    </row>
    <row r="338" spans="2:7">
      <c r="B338" s="226" t="s">
        <v>2721</v>
      </c>
      <c r="C338" s="234" t="s">
        <v>2722</v>
      </c>
      <c r="D338" s="226" t="s">
        <v>2286</v>
      </c>
      <c r="E338" s="234" t="s">
        <v>3464</v>
      </c>
      <c r="F338" s="226" t="s">
        <v>1579</v>
      </c>
      <c r="G338" s="234" t="s">
        <v>1767</v>
      </c>
    </row>
    <row r="339" spans="2:7">
      <c r="B339" s="316" t="s">
        <v>2723</v>
      </c>
      <c r="C339" s="303" t="s">
        <v>2724</v>
      </c>
      <c r="D339" s="316" t="s">
        <v>1252</v>
      </c>
      <c r="E339" s="303" t="s">
        <v>378</v>
      </c>
      <c r="F339" s="316" t="s">
        <v>1580</v>
      </c>
      <c r="G339" s="303" t="s">
        <v>2568</v>
      </c>
    </row>
    <row r="340" spans="2:7">
      <c r="B340" s="226" t="s">
        <v>2725</v>
      </c>
      <c r="C340" s="234" t="s">
        <v>282</v>
      </c>
      <c r="D340" s="226" t="s">
        <v>2287</v>
      </c>
      <c r="E340" s="234" t="s">
        <v>3465</v>
      </c>
      <c r="F340" s="4323" t="s">
        <v>1335</v>
      </c>
      <c r="G340" s="4324"/>
    </row>
    <row r="341" spans="2:7">
      <c r="B341" s="316" t="s">
        <v>283</v>
      </c>
      <c r="C341" s="303" t="s">
        <v>284</v>
      </c>
      <c r="D341" s="316" t="s">
        <v>2288</v>
      </c>
      <c r="E341" s="303" t="s">
        <v>1595</v>
      </c>
      <c r="F341" s="316" t="s">
        <v>461</v>
      </c>
      <c r="G341" s="303" t="s">
        <v>462</v>
      </c>
    </row>
    <row r="342" spans="2:7">
      <c r="B342" s="226" t="s">
        <v>2188</v>
      </c>
      <c r="C342" s="234" t="s">
        <v>2189</v>
      </c>
      <c r="D342" s="226" t="s">
        <v>2289</v>
      </c>
      <c r="E342" s="234" t="s">
        <v>612</v>
      </c>
      <c r="F342" s="226" t="s">
        <v>463</v>
      </c>
      <c r="G342" s="234" t="s">
        <v>5148</v>
      </c>
    </row>
    <row r="343" spans="2:7">
      <c r="B343" s="316" t="s">
        <v>2190</v>
      </c>
      <c r="C343" s="303" t="s">
        <v>2191</v>
      </c>
      <c r="D343" s="316" t="s">
        <v>1651</v>
      </c>
      <c r="E343" s="303" t="s">
        <v>1947</v>
      </c>
      <c r="F343" s="316" t="s">
        <v>2449</v>
      </c>
      <c r="G343" s="303" t="s">
        <v>2450</v>
      </c>
    </row>
    <row r="344" spans="2:7">
      <c r="B344" s="226" t="s">
        <v>2192</v>
      </c>
      <c r="C344" s="234" t="s">
        <v>2193</v>
      </c>
      <c r="D344" s="226" t="s">
        <v>2290</v>
      </c>
      <c r="E344" s="234" t="s">
        <v>2545</v>
      </c>
      <c r="F344" s="226" t="s">
        <v>2769</v>
      </c>
      <c r="G344" s="234" t="s">
        <v>2770</v>
      </c>
    </row>
    <row r="345" spans="2:7">
      <c r="B345" s="316" t="s">
        <v>2194</v>
      </c>
      <c r="C345" s="303" t="s">
        <v>2195</v>
      </c>
      <c r="D345" s="316" t="s">
        <v>738</v>
      </c>
      <c r="E345" s="303" t="s">
        <v>641</v>
      </c>
      <c r="F345" s="316" t="s">
        <v>2771</v>
      </c>
      <c r="G345" s="303" t="s">
        <v>2772</v>
      </c>
    </row>
    <row r="346" spans="2:7">
      <c r="B346" s="226" t="s">
        <v>2196</v>
      </c>
      <c r="C346" s="234" t="s">
        <v>2197</v>
      </c>
      <c r="D346" s="226" t="s">
        <v>739</v>
      </c>
      <c r="E346" s="234" t="s">
        <v>613</v>
      </c>
      <c r="F346" s="226" t="s">
        <v>2773</v>
      </c>
      <c r="G346" s="234" t="s">
        <v>2774</v>
      </c>
    </row>
    <row r="347" spans="2:7">
      <c r="B347" s="316" t="s">
        <v>2198</v>
      </c>
      <c r="C347" s="303" t="s">
        <v>2199</v>
      </c>
      <c r="D347" s="316" t="s">
        <v>740</v>
      </c>
      <c r="E347" s="303" t="s">
        <v>614</v>
      </c>
      <c r="F347" s="316" t="s">
        <v>2306</v>
      </c>
      <c r="G347" s="303" t="s">
        <v>5149</v>
      </c>
    </row>
    <row r="348" spans="2:7">
      <c r="B348" s="226" t="s">
        <v>2200</v>
      </c>
      <c r="C348" s="234" t="s">
        <v>2068</v>
      </c>
      <c r="D348" s="226" t="s">
        <v>741</v>
      </c>
      <c r="E348" s="234" t="s">
        <v>3466</v>
      </c>
      <c r="F348" s="226" t="s">
        <v>2307</v>
      </c>
      <c r="G348" s="234" t="s">
        <v>2308</v>
      </c>
    </row>
    <row r="349" spans="2:7">
      <c r="B349" s="316" t="s">
        <v>2338</v>
      </c>
      <c r="C349" s="303" t="s">
        <v>2339</v>
      </c>
      <c r="D349" s="316" t="s">
        <v>742</v>
      </c>
      <c r="E349" s="303" t="s">
        <v>651</v>
      </c>
      <c r="F349" s="316" t="s">
        <v>2309</v>
      </c>
      <c r="G349" s="303" t="s">
        <v>2310</v>
      </c>
    </row>
    <row r="350" spans="2:7">
      <c r="B350" s="226" t="s">
        <v>2340</v>
      </c>
      <c r="C350" s="234" t="s">
        <v>2341</v>
      </c>
      <c r="D350" s="226" t="s">
        <v>743</v>
      </c>
      <c r="E350" s="234" t="s">
        <v>2611</v>
      </c>
      <c r="F350" s="226" t="s">
        <v>2311</v>
      </c>
      <c r="G350" s="234" t="s">
        <v>1599</v>
      </c>
    </row>
    <row r="351" spans="2:7" ht="13.5" thickBot="1">
      <c r="B351" s="317" t="s">
        <v>2342</v>
      </c>
      <c r="C351" s="312" t="s">
        <v>2343</v>
      </c>
      <c r="D351" s="316" t="s">
        <v>328</v>
      </c>
      <c r="E351" s="303" t="s">
        <v>1538</v>
      </c>
      <c r="F351" s="4323" t="s">
        <v>485</v>
      </c>
      <c r="G351" s="4324"/>
    </row>
    <row r="352" spans="2:7">
      <c r="B352" s="318"/>
      <c r="C352" s="318"/>
      <c r="D352" s="226" t="s">
        <v>219</v>
      </c>
      <c r="E352" s="234" t="s">
        <v>1539</v>
      </c>
      <c r="F352" s="226" t="s">
        <v>486</v>
      </c>
      <c r="G352" s="234" t="s">
        <v>1273</v>
      </c>
    </row>
    <row r="353" spans="2:7">
      <c r="B353" s="318"/>
      <c r="C353" s="318"/>
      <c r="D353" s="316" t="s">
        <v>220</v>
      </c>
      <c r="E353" s="303" t="s">
        <v>3467</v>
      </c>
      <c r="F353" s="316" t="s">
        <v>487</v>
      </c>
      <c r="G353" s="303" t="s">
        <v>488</v>
      </c>
    </row>
    <row r="354" spans="2:7">
      <c r="B354" s="318"/>
      <c r="C354" s="318"/>
      <c r="D354" s="226" t="s">
        <v>221</v>
      </c>
      <c r="E354" s="234" t="s">
        <v>3468</v>
      </c>
      <c r="F354" s="226" t="s">
        <v>1101</v>
      </c>
      <c r="G354" s="234" t="s">
        <v>1102</v>
      </c>
    </row>
    <row r="355" spans="2:7">
      <c r="B355" s="318"/>
      <c r="C355" s="318"/>
      <c r="D355" s="316" t="s">
        <v>329</v>
      </c>
      <c r="E355" s="303" t="s">
        <v>372</v>
      </c>
      <c r="F355" s="316" t="s">
        <v>1103</v>
      </c>
      <c r="G355" s="303" t="s">
        <v>1104</v>
      </c>
    </row>
    <row r="356" spans="2:7">
      <c r="B356" s="318"/>
      <c r="C356" s="318"/>
      <c r="D356" s="226" t="s">
        <v>222</v>
      </c>
      <c r="E356" s="234" t="s">
        <v>3469</v>
      </c>
      <c r="F356" s="226" t="s">
        <v>1105</v>
      </c>
      <c r="G356" s="234" t="s">
        <v>1106</v>
      </c>
    </row>
    <row r="357" spans="2:7">
      <c r="B357" s="318"/>
      <c r="C357" s="318"/>
      <c r="D357" s="316" t="s">
        <v>223</v>
      </c>
      <c r="E357" s="303" t="s">
        <v>2322</v>
      </c>
      <c r="F357" s="316" t="s">
        <v>1107</v>
      </c>
      <c r="G357" s="303" t="s">
        <v>1108</v>
      </c>
    </row>
    <row r="358" spans="2:7">
      <c r="B358" s="318"/>
      <c r="C358" s="318"/>
      <c r="D358" s="226" t="s">
        <v>224</v>
      </c>
      <c r="E358" s="234" t="s">
        <v>3470</v>
      </c>
      <c r="F358" s="226" t="s">
        <v>1109</v>
      </c>
      <c r="G358" s="234" t="s">
        <v>2599</v>
      </c>
    </row>
    <row r="359" spans="2:7">
      <c r="B359" s="318"/>
      <c r="C359" s="318"/>
      <c r="D359" s="316" t="s">
        <v>225</v>
      </c>
      <c r="E359" s="303" t="s">
        <v>1309</v>
      </c>
      <c r="F359" s="316" t="s">
        <v>1110</v>
      </c>
      <c r="G359" s="303" t="s">
        <v>1111</v>
      </c>
    </row>
    <row r="360" spans="2:7">
      <c r="B360" s="318"/>
      <c r="C360" s="318"/>
      <c r="D360" s="226" t="s">
        <v>226</v>
      </c>
      <c r="E360" s="234" t="s">
        <v>149</v>
      </c>
      <c r="F360" s="226" t="s">
        <v>1112</v>
      </c>
      <c r="G360" s="234" t="s">
        <v>359</v>
      </c>
    </row>
    <row r="361" spans="2:7">
      <c r="B361" s="318"/>
      <c r="C361" s="318"/>
      <c r="D361" s="316" t="s">
        <v>1057</v>
      </c>
      <c r="E361" s="303" t="s">
        <v>1062</v>
      </c>
      <c r="F361" s="316" t="s">
        <v>360</v>
      </c>
      <c r="G361" s="303" t="s">
        <v>361</v>
      </c>
    </row>
    <row r="362" spans="2:7">
      <c r="B362" s="318"/>
      <c r="C362" s="318"/>
      <c r="D362" s="226" t="s">
        <v>1670</v>
      </c>
      <c r="E362" s="234" t="s">
        <v>150</v>
      </c>
      <c r="F362" s="4323" t="s">
        <v>5150</v>
      </c>
      <c r="G362" s="4324"/>
    </row>
    <row r="363" spans="2:7">
      <c r="B363" s="318"/>
      <c r="C363" s="318"/>
      <c r="D363" s="316" t="s">
        <v>2052</v>
      </c>
      <c r="E363" s="303" t="s">
        <v>653</v>
      </c>
      <c r="F363" s="316" t="s">
        <v>30</v>
      </c>
      <c r="G363" s="303" t="s">
        <v>45</v>
      </c>
    </row>
    <row r="364" spans="2:7">
      <c r="B364" s="318"/>
      <c r="C364" s="318"/>
      <c r="D364" s="226" t="s">
        <v>1715</v>
      </c>
      <c r="E364" s="234" t="s">
        <v>151</v>
      </c>
      <c r="F364" s="226" t="s">
        <v>31</v>
      </c>
      <c r="G364" s="234" t="s">
        <v>46</v>
      </c>
    </row>
    <row r="365" spans="2:7">
      <c r="B365" s="318"/>
      <c r="C365" s="318"/>
      <c r="D365" s="316" t="s">
        <v>1932</v>
      </c>
      <c r="E365" s="303" t="s">
        <v>2663</v>
      </c>
      <c r="F365" s="316" t="s">
        <v>32</v>
      </c>
      <c r="G365" s="303" t="s">
        <v>47</v>
      </c>
    </row>
    <row r="366" spans="2:7">
      <c r="B366" s="318"/>
      <c r="C366" s="318"/>
      <c r="D366" s="226" t="s">
        <v>1933</v>
      </c>
      <c r="E366" s="234" t="s">
        <v>1531</v>
      </c>
      <c r="F366" s="226" t="s">
        <v>49</v>
      </c>
      <c r="G366" s="234" t="s">
        <v>48</v>
      </c>
    </row>
    <row r="367" spans="2:7">
      <c r="B367" s="318"/>
      <c r="C367" s="318"/>
      <c r="D367" s="316" t="s">
        <v>2257</v>
      </c>
      <c r="E367" s="303" t="s">
        <v>3372</v>
      </c>
      <c r="F367" s="316" t="s">
        <v>33</v>
      </c>
      <c r="G367" s="303" t="s">
        <v>50</v>
      </c>
    </row>
    <row r="368" spans="2:7">
      <c r="B368" s="318"/>
      <c r="C368" s="318"/>
      <c r="D368" s="226" t="s">
        <v>1934</v>
      </c>
      <c r="E368" s="234" t="s">
        <v>988</v>
      </c>
      <c r="F368" s="226" t="s">
        <v>34</v>
      </c>
      <c r="G368" s="234" t="s">
        <v>51</v>
      </c>
    </row>
    <row r="369" spans="2:7">
      <c r="B369" s="318"/>
      <c r="C369" s="318"/>
      <c r="D369" s="316" t="s">
        <v>2258</v>
      </c>
      <c r="E369" s="303" t="s">
        <v>2664</v>
      </c>
      <c r="F369" s="316" t="s">
        <v>53</v>
      </c>
      <c r="G369" s="303" t="s">
        <v>52</v>
      </c>
    </row>
    <row r="370" spans="2:7">
      <c r="B370" s="318"/>
      <c r="C370" s="318"/>
      <c r="D370" s="226" t="s">
        <v>554</v>
      </c>
      <c r="E370" s="234" t="s">
        <v>2665</v>
      </c>
      <c r="F370" s="226" t="s">
        <v>35</v>
      </c>
      <c r="G370" s="234" t="s">
        <v>3665</v>
      </c>
    </row>
    <row r="371" spans="2:7">
      <c r="B371" s="318"/>
      <c r="C371" s="318"/>
      <c r="D371" s="316" t="s">
        <v>2084</v>
      </c>
      <c r="E371" s="303" t="s">
        <v>100</v>
      </c>
      <c r="F371" s="316" t="s">
        <v>54</v>
      </c>
      <c r="G371" s="303" t="s">
        <v>5635</v>
      </c>
    </row>
    <row r="372" spans="2:7">
      <c r="B372" s="318"/>
      <c r="C372" s="318"/>
      <c r="D372" s="226" t="s">
        <v>1169</v>
      </c>
      <c r="E372" s="234" t="s">
        <v>2666</v>
      </c>
      <c r="F372" s="226" t="s">
        <v>36</v>
      </c>
      <c r="G372" s="234" t="s">
        <v>5636</v>
      </c>
    </row>
    <row r="373" spans="2:7" ht="13.5" thickBot="1">
      <c r="B373" s="318"/>
      <c r="C373" s="318"/>
      <c r="D373" s="316" t="s">
        <v>2085</v>
      </c>
      <c r="E373" s="303" t="s">
        <v>2667</v>
      </c>
      <c r="F373" s="317" t="s">
        <v>5637</v>
      </c>
      <c r="G373" s="312" t="s">
        <v>5151</v>
      </c>
    </row>
    <row r="374" spans="2:7">
      <c r="B374" s="318"/>
      <c r="C374" s="318"/>
      <c r="D374" s="226" t="s">
        <v>555</v>
      </c>
      <c r="E374" s="234" t="s">
        <v>3471</v>
      </c>
      <c r="F374" s="318"/>
      <c r="G374" s="318"/>
    </row>
    <row r="375" spans="2:7">
      <c r="B375" s="318"/>
      <c r="C375" s="318"/>
      <c r="D375" s="316" t="s">
        <v>1170</v>
      </c>
      <c r="E375" s="303" t="s">
        <v>2668</v>
      </c>
      <c r="F375" s="318"/>
      <c r="G375" s="318"/>
    </row>
    <row r="376" spans="2:7">
      <c r="B376" s="318"/>
      <c r="C376" s="318"/>
      <c r="D376" s="226" t="s">
        <v>2041</v>
      </c>
      <c r="E376" s="234" t="s">
        <v>2669</v>
      </c>
      <c r="F376" s="318"/>
      <c r="G376" s="318"/>
    </row>
    <row r="377" spans="2:7">
      <c r="B377" s="318"/>
      <c r="C377" s="318"/>
      <c r="D377" s="316" t="s">
        <v>1428</v>
      </c>
      <c r="E377" s="303" t="s">
        <v>2670</v>
      </c>
      <c r="F377" s="318"/>
      <c r="G377" s="318"/>
    </row>
    <row r="378" spans="2:7">
      <c r="B378" s="318"/>
      <c r="C378" s="318"/>
      <c r="D378" s="226" t="s">
        <v>1429</v>
      </c>
      <c r="E378" s="234" t="s">
        <v>1223</v>
      </c>
      <c r="F378" s="318"/>
      <c r="G378" s="318"/>
    </row>
    <row r="379" spans="2:7">
      <c r="B379" s="318"/>
      <c r="C379" s="318"/>
      <c r="D379" s="316" t="s">
        <v>1430</v>
      </c>
      <c r="E379" s="303" t="s">
        <v>2015</v>
      </c>
      <c r="F379" s="318"/>
      <c r="G379" s="318"/>
    </row>
    <row r="380" spans="2:7">
      <c r="B380" s="318"/>
      <c r="C380" s="318"/>
      <c r="D380" s="226" t="s">
        <v>1421</v>
      </c>
      <c r="E380" s="234" t="s">
        <v>2014</v>
      </c>
      <c r="F380" s="318"/>
      <c r="G380" s="318"/>
    </row>
    <row r="381" spans="2:7">
      <c r="B381" s="318"/>
      <c r="C381" s="318"/>
      <c r="D381" s="316" t="s">
        <v>1423</v>
      </c>
      <c r="E381" s="303" t="s">
        <v>3472</v>
      </c>
      <c r="F381" s="318"/>
      <c r="G381" s="318"/>
    </row>
    <row r="382" spans="2:7">
      <c r="B382" s="318"/>
      <c r="C382" s="318"/>
      <c r="D382" s="226" t="s">
        <v>1425</v>
      </c>
      <c r="E382" s="234" t="s">
        <v>901</v>
      </c>
      <c r="F382" s="318"/>
      <c r="G382" s="318"/>
    </row>
    <row r="383" spans="2:7">
      <c r="B383" s="318"/>
      <c r="C383" s="318"/>
      <c r="D383" s="316" t="s">
        <v>1424</v>
      </c>
      <c r="E383" s="303" t="s">
        <v>1596</v>
      </c>
      <c r="F383" s="318"/>
      <c r="G383" s="318"/>
    </row>
    <row r="384" spans="2:7">
      <c r="B384" s="318"/>
      <c r="C384" s="318"/>
      <c r="D384" s="226" t="s">
        <v>1427</v>
      </c>
      <c r="E384" s="234" t="s">
        <v>1984</v>
      </c>
      <c r="F384" s="318"/>
      <c r="G384" s="318"/>
    </row>
    <row r="385" spans="2:7">
      <c r="B385" s="318"/>
      <c r="C385" s="318"/>
      <c r="D385" s="316" t="s">
        <v>65</v>
      </c>
      <c r="E385" s="303" t="s">
        <v>2534</v>
      </c>
      <c r="F385" s="318"/>
      <c r="G385" s="318"/>
    </row>
    <row r="386" spans="2:7">
      <c r="B386" s="318"/>
      <c r="C386" s="318"/>
      <c r="D386" s="226" t="s">
        <v>1422</v>
      </c>
      <c r="E386" s="234" t="s">
        <v>379</v>
      </c>
      <c r="F386" s="318"/>
      <c r="G386" s="318"/>
    </row>
    <row r="387" spans="2:7">
      <c r="B387" s="318"/>
      <c r="C387" s="318"/>
      <c r="D387" s="316" t="s">
        <v>548</v>
      </c>
      <c r="E387" s="303" t="s">
        <v>640</v>
      </c>
      <c r="F387" s="318"/>
      <c r="G387" s="318"/>
    </row>
    <row r="388" spans="2:7">
      <c r="B388" s="318"/>
      <c r="C388" s="318"/>
      <c r="D388" s="226" t="s">
        <v>1426</v>
      </c>
      <c r="E388" s="234" t="s">
        <v>644</v>
      </c>
      <c r="F388" s="318"/>
      <c r="G388" s="318"/>
    </row>
    <row r="389" spans="2:7">
      <c r="B389" s="318"/>
      <c r="C389" s="318"/>
      <c r="D389" s="316" t="s">
        <v>549</v>
      </c>
      <c r="E389" s="303" t="s">
        <v>1063</v>
      </c>
      <c r="F389" s="318"/>
      <c r="G389" s="318"/>
    </row>
    <row r="390" spans="2:7">
      <c r="B390" s="318"/>
      <c r="C390" s="318"/>
      <c r="D390" s="226" t="s">
        <v>550</v>
      </c>
      <c r="E390" s="234" t="s">
        <v>1985</v>
      </c>
      <c r="F390" s="318"/>
      <c r="G390" s="318"/>
    </row>
    <row r="391" spans="2:7">
      <c r="B391" s="318"/>
      <c r="C391" s="318"/>
      <c r="D391" s="316" t="s">
        <v>551</v>
      </c>
      <c r="E391" s="303" t="s">
        <v>726</v>
      </c>
      <c r="F391" s="318"/>
      <c r="G391" s="318"/>
    </row>
    <row r="392" spans="2:7">
      <c r="B392" s="318"/>
      <c r="C392" s="318"/>
      <c r="D392" s="226" t="s">
        <v>370</v>
      </c>
      <c r="E392" s="234" t="s">
        <v>3473</v>
      </c>
      <c r="F392" s="318"/>
      <c r="G392" s="318"/>
    </row>
    <row r="393" spans="2:7" ht="13.5" thickBot="1">
      <c r="B393" s="318"/>
      <c r="C393" s="318"/>
      <c r="D393" s="317" t="s">
        <v>371</v>
      </c>
      <c r="E393" s="312" t="s">
        <v>727</v>
      </c>
      <c r="F393" s="318"/>
      <c r="G393" s="318"/>
    </row>
  </sheetData>
  <sheetProtection autoFilter="0"/>
  <autoFilter ref="B6:G509"/>
  <mergeCells count="26">
    <mergeCell ref="C1:G1"/>
    <mergeCell ref="B7:C7"/>
    <mergeCell ref="D7:E7"/>
    <mergeCell ref="F323:G323"/>
    <mergeCell ref="D247:E247"/>
    <mergeCell ref="F147:G147"/>
    <mergeCell ref="F99:G99"/>
    <mergeCell ref="F128:G128"/>
    <mergeCell ref="D252:E252"/>
    <mergeCell ref="F7:G7"/>
    <mergeCell ref="F362:G362"/>
    <mergeCell ref="B3:G3"/>
    <mergeCell ref="F351:G351"/>
    <mergeCell ref="F8:G8"/>
    <mergeCell ref="F17:G17"/>
    <mergeCell ref="F332:G332"/>
    <mergeCell ref="D105:E105"/>
    <mergeCell ref="B8:C8"/>
    <mergeCell ref="B18:C18"/>
    <mergeCell ref="F304:G304"/>
    <mergeCell ref="F340:G340"/>
    <mergeCell ref="D8:E8"/>
    <mergeCell ref="F88:G88"/>
    <mergeCell ref="B197:C197"/>
    <mergeCell ref="B156:C156"/>
    <mergeCell ref="B207:C207"/>
  </mergeCells>
  <phoneticPr fontId="9" type="noConversion"/>
  <hyperlinks>
    <hyperlink ref="B1" location="Index!A1" display="Назад"/>
  </hyperlinks>
  <pageMargins left="0.75" right="0.75" top="1" bottom="1" header="0.5" footer="0.5"/>
  <pageSetup paperSize="9" scale="77" orientation="landscape" r:id="rId1"/>
  <headerFooter alignWithMargins="0"/>
  <rowBreaks count="2" manualBreakCount="2">
    <brk id="87" max="16383" man="1"/>
    <brk id="361" max="16383" man="1"/>
  </rowBreaks>
  <drawing r:id="rId2"/>
</worksheet>
</file>

<file path=xl/worksheets/sheet117.xml><?xml version="1.0" encoding="utf-8"?>
<worksheet xmlns="http://schemas.openxmlformats.org/spreadsheetml/2006/main" xmlns:r="http://schemas.openxmlformats.org/officeDocument/2006/relationships">
  <sheetPr>
    <outlinePr summaryBelow="0"/>
  </sheetPr>
  <dimension ref="A1:G884"/>
  <sheetViews>
    <sheetView zoomScaleNormal="100" workbookViewId="0">
      <pane ySplit="7" topLeftCell="A8" activePane="bottomLeft" state="frozen"/>
      <selection pane="bottomLeft" activeCell="B1" sqref="B1"/>
    </sheetView>
  </sheetViews>
  <sheetFormatPr defaultRowHeight="12" outlineLevelRow="1"/>
  <cols>
    <col min="1" max="1" width="3.7109375" style="2120" customWidth="1"/>
    <col min="2" max="7" width="20.7109375" style="2120" customWidth="1"/>
    <col min="8" max="16384" width="9.140625" style="2120"/>
  </cols>
  <sheetData>
    <row r="1" spans="1:7" ht="12.75">
      <c r="B1" s="2119" t="s">
        <v>2706</v>
      </c>
      <c r="C1" s="3195" t="s">
        <v>8269</v>
      </c>
      <c r="D1" s="3195"/>
      <c r="E1" s="3195"/>
      <c r="F1" s="3195"/>
      <c r="G1" s="3195"/>
    </row>
    <row r="2" spans="1:7" ht="5.0999999999999996" customHeight="1"/>
    <row r="3" spans="1:7">
      <c r="B3" s="4332" t="s">
        <v>6433</v>
      </c>
      <c r="C3" s="4332"/>
      <c r="D3" s="4332"/>
      <c r="E3" s="4332"/>
      <c r="F3" s="4332"/>
      <c r="G3" s="4332"/>
    </row>
    <row r="4" spans="1:7" ht="5.0999999999999996" customHeight="1"/>
    <row r="5" spans="1:7" ht="26.1" customHeight="1">
      <c r="A5" s="2675"/>
      <c r="B5" s="4333" t="s">
        <v>9974</v>
      </c>
      <c r="C5" s="4333"/>
      <c r="D5" s="4333"/>
      <c r="E5" s="4333"/>
      <c r="F5" s="4333"/>
      <c r="G5" s="4333"/>
    </row>
    <row r="6" spans="1:7" ht="5.0999999999999996" customHeight="1"/>
    <row r="7" spans="1:7">
      <c r="B7" s="2121" t="s">
        <v>5638</v>
      </c>
      <c r="C7" s="2121" t="s">
        <v>6434</v>
      </c>
      <c r="D7" s="2121" t="s">
        <v>6435</v>
      </c>
      <c r="E7" s="2121" t="s">
        <v>6436</v>
      </c>
      <c r="F7" s="2121" t="s">
        <v>6437</v>
      </c>
      <c r="G7" s="2121" t="s">
        <v>6438</v>
      </c>
    </row>
    <row r="8" spans="1:7" s="2673" customFormat="1" ht="11.25">
      <c r="B8" s="2686"/>
      <c r="C8" s="2686"/>
      <c r="D8" s="2686"/>
      <c r="E8" s="2686"/>
      <c r="F8" s="2686"/>
      <c r="G8" s="2686"/>
    </row>
    <row r="9" spans="1:7" collapsed="1">
      <c r="B9" s="4329" t="s">
        <v>2140</v>
      </c>
      <c r="C9" s="4330"/>
      <c r="D9" s="4330"/>
      <c r="E9" s="4330"/>
      <c r="F9" s="4330"/>
      <c r="G9" s="4330"/>
    </row>
    <row r="10" spans="1:7" hidden="1" outlineLevel="1">
      <c r="B10" s="1416" t="s">
        <v>1574</v>
      </c>
      <c r="C10" s="1416" t="s">
        <v>2156</v>
      </c>
      <c r="D10" s="1416" t="s">
        <v>2156</v>
      </c>
      <c r="E10" s="1416" t="s">
        <v>2156</v>
      </c>
      <c r="F10" s="1416" t="s">
        <v>2156</v>
      </c>
      <c r="G10" s="1416" t="s">
        <v>2156</v>
      </c>
    </row>
    <row r="11" spans="1:7" hidden="1" outlineLevel="1">
      <c r="B11" s="1416" t="s">
        <v>2157</v>
      </c>
      <c r="C11" s="1416" t="s">
        <v>893</v>
      </c>
      <c r="D11" s="1416" t="s">
        <v>893</v>
      </c>
      <c r="E11" s="1887" t="s">
        <v>6439</v>
      </c>
      <c r="F11" s="1416" t="s">
        <v>893</v>
      </c>
      <c r="G11" s="1416" t="s">
        <v>893</v>
      </c>
    </row>
    <row r="12" spans="1:7" hidden="1" outlineLevel="1">
      <c r="B12" s="1416" t="s">
        <v>1575</v>
      </c>
      <c r="C12" s="1416" t="s">
        <v>2141</v>
      </c>
      <c r="D12" s="1416" t="s">
        <v>2141</v>
      </c>
      <c r="E12" s="1416" t="s">
        <v>2141</v>
      </c>
      <c r="F12" s="1416" t="s">
        <v>2141</v>
      </c>
      <c r="G12" s="1416" t="s">
        <v>2141</v>
      </c>
    </row>
    <row r="13" spans="1:7" hidden="1" outlineLevel="1">
      <c r="B13" s="1416" t="s">
        <v>1576</v>
      </c>
      <c r="C13" s="1416" t="s">
        <v>2557</v>
      </c>
      <c r="D13" s="1416" t="s">
        <v>2557</v>
      </c>
      <c r="E13" s="1416" t="s">
        <v>2557</v>
      </c>
      <c r="F13" s="1416" t="s">
        <v>2557</v>
      </c>
      <c r="G13" s="1416" t="s">
        <v>2557</v>
      </c>
    </row>
    <row r="14" spans="1:7" hidden="1" outlineLevel="1">
      <c r="B14" s="1416" t="s">
        <v>1577</v>
      </c>
      <c r="C14" s="1416" t="s">
        <v>625</v>
      </c>
      <c r="D14" s="1416" t="s">
        <v>625</v>
      </c>
      <c r="E14" s="1886" t="s">
        <v>6440</v>
      </c>
      <c r="F14" s="1416" t="s">
        <v>625</v>
      </c>
      <c r="G14" s="1416" t="s">
        <v>625</v>
      </c>
    </row>
    <row r="15" spans="1:7" hidden="1" outlineLevel="1">
      <c r="B15" s="1416" t="s">
        <v>2686</v>
      </c>
      <c r="C15" s="1416" t="s">
        <v>626</v>
      </c>
      <c r="D15" s="1887" t="s">
        <v>4418</v>
      </c>
      <c r="E15" s="1887" t="s">
        <v>4418</v>
      </c>
      <c r="F15" s="1416" t="s">
        <v>626</v>
      </c>
      <c r="G15" s="1416" t="s">
        <v>626</v>
      </c>
    </row>
    <row r="16" spans="1:7" hidden="1" outlineLevel="1">
      <c r="B16" s="1416" t="s">
        <v>2687</v>
      </c>
      <c r="C16" s="1416" t="s">
        <v>627</v>
      </c>
      <c r="D16" s="1416" t="s">
        <v>627</v>
      </c>
      <c r="E16" s="1416" t="s">
        <v>627</v>
      </c>
      <c r="F16" s="1416" t="s">
        <v>627</v>
      </c>
      <c r="G16" s="1416" t="s">
        <v>627</v>
      </c>
    </row>
    <row r="17" spans="2:7" hidden="1" outlineLevel="1">
      <c r="B17" s="1416" t="s">
        <v>2688</v>
      </c>
      <c r="C17" s="1416" t="s">
        <v>628</v>
      </c>
      <c r="D17" s="1416" t="s">
        <v>628</v>
      </c>
      <c r="E17" s="1416" t="s">
        <v>628</v>
      </c>
      <c r="F17" s="1416" t="s">
        <v>628</v>
      </c>
      <c r="G17" s="1416" t="s">
        <v>628</v>
      </c>
    </row>
    <row r="18" spans="2:7" hidden="1" outlineLevel="1">
      <c r="B18" s="1416" t="s">
        <v>2689</v>
      </c>
      <c r="C18" s="1416" t="s">
        <v>137</v>
      </c>
      <c r="D18" s="1416" t="s">
        <v>2259</v>
      </c>
      <c r="E18" s="1887" t="s">
        <v>6441</v>
      </c>
      <c r="F18" s="1416" t="s">
        <v>2259</v>
      </c>
      <c r="G18" s="1416" t="s">
        <v>2259</v>
      </c>
    </row>
    <row r="19" spans="2:7" collapsed="1">
      <c r="B19" s="4329" t="s">
        <v>5136</v>
      </c>
      <c r="C19" s="4330"/>
      <c r="D19" s="4330"/>
      <c r="E19" s="4330"/>
      <c r="F19" s="4330"/>
      <c r="G19" s="4330"/>
    </row>
    <row r="20" spans="2:7" hidden="1" outlineLevel="1">
      <c r="B20" s="1416" t="s">
        <v>1591</v>
      </c>
      <c r="C20" s="1416" t="s">
        <v>6442</v>
      </c>
      <c r="D20" s="1886" t="s">
        <v>212</v>
      </c>
      <c r="E20" s="1887" t="s">
        <v>6443</v>
      </c>
      <c r="F20" s="1886" t="s">
        <v>212</v>
      </c>
      <c r="G20" s="1886" t="s">
        <v>212</v>
      </c>
    </row>
    <row r="21" spans="2:7" hidden="1" outlineLevel="1">
      <c r="B21" s="1416" t="s">
        <v>1590</v>
      </c>
      <c r="C21" s="1416" t="s">
        <v>213</v>
      </c>
      <c r="D21" s="1416" t="s">
        <v>213</v>
      </c>
      <c r="E21" s="1887" t="s">
        <v>6444</v>
      </c>
      <c r="F21" s="1416" t="s">
        <v>213</v>
      </c>
      <c r="G21" s="1416" t="s">
        <v>213</v>
      </c>
    </row>
    <row r="22" spans="2:7" hidden="1" outlineLevel="1">
      <c r="B22" s="1416" t="s">
        <v>1589</v>
      </c>
      <c r="C22" s="1416" t="s">
        <v>214</v>
      </c>
      <c r="D22" s="1416" t="s">
        <v>214</v>
      </c>
      <c r="E22" s="1887" t="s">
        <v>6445</v>
      </c>
      <c r="F22" s="1416" t="s">
        <v>214</v>
      </c>
      <c r="G22" s="1416" t="s">
        <v>214</v>
      </c>
    </row>
    <row r="23" spans="2:7" hidden="1" outlineLevel="1">
      <c r="B23" s="1416" t="s">
        <v>1588</v>
      </c>
      <c r="C23" s="1416" t="s">
        <v>2402</v>
      </c>
      <c r="D23" s="1416" t="s">
        <v>2402</v>
      </c>
      <c r="E23" s="1416" t="s">
        <v>2402</v>
      </c>
      <c r="F23" s="1416" t="s">
        <v>2402</v>
      </c>
      <c r="G23" s="1416" t="s">
        <v>2402</v>
      </c>
    </row>
    <row r="24" spans="2:7" hidden="1" outlineLevel="1">
      <c r="B24" s="1416" t="s">
        <v>1585</v>
      </c>
      <c r="C24" s="1416" t="s">
        <v>2403</v>
      </c>
      <c r="D24" s="1416" t="s">
        <v>2403</v>
      </c>
      <c r="E24" s="1416" t="s">
        <v>2403</v>
      </c>
      <c r="F24" s="1416" t="s">
        <v>2403</v>
      </c>
      <c r="G24" s="1416" t="s">
        <v>2403</v>
      </c>
    </row>
    <row r="25" spans="2:7" hidden="1" outlineLevel="1">
      <c r="B25" s="1416" t="s">
        <v>1586</v>
      </c>
      <c r="C25" s="1416" t="s">
        <v>627</v>
      </c>
      <c r="D25" s="1416" t="s">
        <v>627</v>
      </c>
      <c r="E25" s="1416" t="s">
        <v>627</v>
      </c>
      <c r="F25" s="1416" t="s">
        <v>627</v>
      </c>
      <c r="G25" s="1416" t="s">
        <v>627</v>
      </c>
    </row>
    <row r="26" spans="2:7" hidden="1" outlineLevel="1">
      <c r="B26" s="1416" t="s">
        <v>1574</v>
      </c>
      <c r="C26" s="1416" t="s">
        <v>2156</v>
      </c>
      <c r="D26" s="1416" t="s">
        <v>2156</v>
      </c>
      <c r="E26" s="1416" t="s">
        <v>2156</v>
      </c>
      <c r="F26" s="1416" t="s">
        <v>2156</v>
      </c>
      <c r="G26" s="1416" t="s">
        <v>2156</v>
      </c>
    </row>
    <row r="27" spans="2:7" hidden="1" outlineLevel="1">
      <c r="B27" s="1416" t="s">
        <v>1583</v>
      </c>
      <c r="C27" s="1416" t="s">
        <v>2404</v>
      </c>
      <c r="D27" s="1416" t="s">
        <v>2404</v>
      </c>
      <c r="E27" s="1416" t="s">
        <v>2404</v>
      </c>
      <c r="F27" s="1416" t="s">
        <v>2404</v>
      </c>
      <c r="G27" s="1416" t="s">
        <v>2404</v>
      </c>
    </row>
    <row r="28" spans="2:7" hidden="1" outlineLevel="1">
      <c r="B28" s="1416" t="s">
        <v>1582</v>
      </c>
      <c r="C28" s="1416" t="s">
        <v>876</v>
      </c>
      <c r="D28" s="1416" t="s">
        <v>876</v>
      </c>
      <c r="E28" s="1416" t="s">
        <v>876</v>
      </c>
      <c r="F28" s="1416" t="s">
        <v>876</v>
      </c>
      <c r="G28" s="1416" t="s">
        <v>876</v>
      </c>
    </row>
    <row r="29" spans="2:7" hidden="1" outlineLevel="1">
      <c r="B29" s="1416" t="s">
        <v>1581</v>
      </c>
      <c r="C29" s="2125" t="s">
        <v>6446</v>
      </c>
      <c r="D29" s="2125" t="s">
        <v>6446</v>
      </c>
      <c r="E29" s="2126" t="s">
        <v>6447</v>
      </c>
      <c r="F29" s="2125" t="s">
        <v>6446</v>
      </c>
      <c r="G29" s="2125" t="s">
        <v>6446</v>
      </c>
    </row>
    <row r="30" spans="2:7" hidden="1" outlineLevel="1">
      <c r="B30" s="1416" t="s">
        <v>1584</v>
      </c>
      <c r="C30" s="1416" t="s">
        <v>2405</v>
      </c>
      <c r="D30" s="1416" t="s">
        <v>2405</v>
      </c>
      <c r="E30" s="1416" t="s">
        <v>2405</v>
      </c>
      <c r="F30" s="1416" t="s">
        <v>2405</v>
      </c>
      <c r="G30" s="1416" t="s">
        <v>2405</v>
      </c>
    </row>
    <row r="31" spans="2:7" ht="24" hidden="1" outlineLevel="1">
      <c r="B31" s="1416" t="s">
        <v>1960</v>
      </c>
      <c r="C31" s="1416" t="s">
        <v>1282</v>
      </c>
      <c r="D31" s="1416" t="s">
        <v>1282</v>
      </c>
      <c r="E31" s="1887" t="s">
        <v>6448</v>
      </c>
      <c r="F31" s="1886" t="s">
        <v>7279</v>
      </c>
      <c r="G31" s="1416" t="s">
        <v>1282</v>
      </c>
    </row>
    <row r="32" spans="2:7" ht="24" hidden="1" outlineLevel="1">
      <c r="B32" s="1416" t="s">
        <v>2803</v>
      </c>
      <c r="C32" s="1416" t="s">
        <v>6449</v>
      </c>
      <c r="D32" s="1416" t="s">
        <v>6449</v>
      </c>
      <c r="E32" s="1887" t="s">
        <v>6450</v>
      </c>
      <c r="F32" s="1887" t="s">
        <v>4439</v>
      </c>
      <c r="G32" s="1887" t="s">
        <v>4439</v>
      </c>
    </row>
    <row r="33" spans="2:7" ht="24" hidden="1" outlineLevel="1">
      <c r="B33" s="1416" t="s">
        <v>2804</v>
      </c>
      <c r="C33" s="1416" t="s">
        <v>6451</v>
      </c>
      <c r="D33" s="1416" t="s">
        <v>6451</v>
      </c>
      <c r="E33" s="1887" t="s">
        <v>6452</v>
      </c>
      <c r="F33" s="1887" t="s">
        <v>1284</v>
      </c>
      <c r="G33" s="1416" t="s">
        <v>6451</v>
      </c>
    </row>
    <row r="34" spans="2:7" hidden="1" outlineLevel="1">
      <c r="B34" s="1416" t="s">
        <v>2805</v>
      </c>
      <c r="C34" s="1416" t="s">
        <v>1144</v>
      </c>
      <c r="D34" s="1416" t="s">
        <v>1144</v>
      </c>
      <c r="E34" s="1887" t="s">
        <v>6453</v>
      </c>
      <c r="F34" s="1416" t="s">
        <v>1144</v>
      </c>
      <c r="G34" s="1416" t="s">
        <v>1144</v>
      </c>
    </row>
    <row r="35" spans="2:7" hidden="1" outlineLevel="1">
      <c r="B35" s="1416" t="s">
        <v>2806</v>
      </c>
      <c r="C35" s="1416" t="s">
        <v>311</v>
      </c>
      <c r="D35" s="1416" t="s">
        <v>311</v>
      </c>
      <c r="E35" s="1887" t="s">
        <v>6454</v>
      </c>
      <c r="F35" s="1416" t="s">
        <v>311</v>
      </c>
      <c r="G35" s="1416" t="s">
        <v>311</v>
      </c>
    </row>
    <row r="36" spans="2:7" ht="34.5" hidden="1" outlineLevel="1">
      <c r="B36" s="1416" t="s">
        <v>2807</v>
      </c>
      <c r="C36" s="1416" t="s">
        <v>1145</v>
      </c>
      <c r="D36" s="1416" t="s">
        <v>1145</v>
      </c>
      <c r="E36" s="1887" t="s">
        <v>6455</v>
      </c>
      <c r="F36" s="1886" t="s">
        <v>7280</v>
      </c>
      <c r="G36" s="1416" t="s">
        <v>1145</v>
      </c>
    </row>
    <row r="37" spans="2:7" ht="24" hidden="1" outlineLevel="1">
      <c r="B37" s="1416" t="s">
        <v>2575</v>
      </c>
      <c r="C37" s="1416" t="s">
        <v>1079</v>
      </c>
      <c r="D37" s="1416" t="s">
        <v>1079</v>
      </c>
      <c r="E37" s="1887" t="s">
        <v>6456</v>
      </c>
      <c r="F37" s="1416" t="s">
        <v>1079</v>
      </c>
      <c r="G37" s="1416" t="s">
        <v>1079</v>
      </c>
    </row>
    <row r="38" spans="2:7" ht="24" hidden="1" outlineLevel="1">
      <c r="B38" s="1416" t="s">
        <v>2331</v>
      </c>
      <c r="C38" s="1416" t="s">
        <v>885</v>
      </c>
      <c r="D38" s="1416" t="s">
        <v>885</v>
      </c>
      <c r="E38" s="1887" t="s">
        <v>6457</v>
      </c>
      <c r="F38" s="1416" t="s">
        <v>885</v>
      </c>
      <c r="G38" s="1416" t="s">
        <v>885</v>
      </c>
    </row>
    <row r="39" spans="2:7" ht="24" hidden="1" outlineLevel="1">
      <c r="B39" s="1416" t="s">
        <v>2332</v>
      </c>
      <c r="C39" s="1416" t="s">
        <v>886</v>
      </c>
      <c r="D39" s="1416" t="s">
        <v>886</v>
      </c>
      <c r="E39" s="1887" t="s">
        <v>6458</v>
      </c>
      <c r="F39" s="1416" t="s">
        <v>886</v>
      </c>
      <c r="G39" s="1416" t="s">
        <v>886</v>
      </c>
    </row>
    <row r="40" spans="2:7" ht="24" hidden="1" outlineLevel="1">
      <c r="B40" s="1416" t="s">
        <v>1116</v>
      </c>
      <c r="C40" s="1416" t="s">
        <v>887</v>
      </c>
      <c r="D40" s="1416" t="s">
        <v>887</v>
      </c>
      <c r="E40" s="1887" t="s">
        <v>6459</v>
      </c>
      <c r="F40" s="1416" t="s">
        <v>887</v>
      </c>
      <c r="G40" s="1416" t="s">
        <v>887</v>
      </c>
    </row>
    <row r="41" spans="2:7" ht="24" hidden="1" outlineLevel="1">
      <c r="B41" s="1416" t="s">
        <v>1117</v>
      </c>
      <c r="C41" s="1416" t="s">
        <v>888</v>
      </c>
      <c r="D41" s="1416" t="s">
        <v>888</v>
      </c>
      <c r="E41" s="1887" t="s">
        <v>6460</v>
      </c>
      <c r="F41" s="1886" t="s">
        <v>6461</v>
      </c>
      <c r="G41" s="1416" t="s">
        <v>888</v>
      </c>
    </row>
    <row r="42" spans="2:7" ht="24" hidden="1" outlineLevel="1">
      <c r="B42" s="1416" t="s">
        <v>1810</v>
      </c>
      <c r="C42" s="1416" t="s">
        <v>896</v>
      </c>
      <c r="D42" s="1416" t="s">
        <v>896</v>
      </c>
      <c r="E42" s="1887" t="s">
        <v>6462</v>
      </c>
      <c r="F42" s="1416" t="s">
        <v>896</v>
      </c>
      <c r="G42" s="1416" t="s">
        <v>896</v>
      </c>
    </row>
    <row r="43" spans="2:7" ht="24" hidden="1" outlineLevel="1">
      <c r="B43" s="1416" t="s">
        <v>521</v>
      </c>
      <c r="C43" s="1416" t="s">
        <v>897</v>
      </c>
      <c r="D43" s="1416" t="s">
        <v>897</v>
      </c>
      <c r="E43" s="1887" t="s">
        <v>6463</v>
      </c>
      <c r="F43" s="1886" t="s">
        <v>6464</v>
      </c>
      <c r="G43" s="1416" t="s">
        <v>897</v>
      </c>
    </row>
    <row r="44" spans="2:7" ht="24" hidden="1" outlineLevel="1">
      <c r="B44" s="1416" t="s">
        <v>522</v>
      </c>
      <c r="C44" s="1416" t="s">
        <v>2276</v>
      </c>
      <c r="D44" s="1416" t="s">
        <v>2276</v>
      </c>
      <c r="E44" s="1887" t="s">
        <v>6465</v>
      </c>
      <c r="F44" s="1886" t="s">
        <v>6466</v>
      </c>
      <c r="G44" s="1416" t="s">
        <v>2276</v>
      </c>
    </row>
    <row r="45" spans="2:7" ht="24" hidden="1" outlineLevel="1">
      <c r="B45" s="1416" t="s">
        <v>2162</v>
      </c>
      <c r="C45" s="1416" t="s">
        <v>967</v>
      </c>
      <c r="D45" s="1416" t="s">
        <v>967</v>
      </c>
      <c r="E45" s="1887" t="s">
        <v>6467</v>
      </c>
      <c r="F45" s="1416" t="s">
        <v>967</v>
      </c>
      <c r="G45" s="1416" t="s">
        <v>967</v>
      </c>
    </row>
    <row r="46" spans="2:7" hidden="1" outlineLevel="1">
      <c r="B46" s="1416" t="s">
        <v>2163</v>
      </c>
      <c r="C46" s="1416" t="s">
        <v>968</v>
      </c>
      <c r="D46" s="1416" t="s">
        <v>968</v>
      </c>
      <c r="E46" s="1887" t="s">
        <v>6468</v>
      </c>
      <c r="F46" s="1416" t="s">
        <v>968</v>
      </c>
      <c r="G46" s="1416" t="s">
        <v>968</v>
      </c>
    </row>
    <row r="47" spans="2:7" ht="24" hidden="1" outlineLevel="1">
      <c r="B47" s="1416" t="s">
        <v>2164</v>
      </c>
      <c r="C47" s="1416" t="s">
        <v>1573</v>
      </c>
      <c r="D47" s="1416" t="s">
        <v>1573</v>
      </c>
      <c r="E47" s="1887" t="s">
        <v>6469</v>
      </c>
      <c r="F47" s="1416" t="s">
        <v>1573</v>
      </c>
      <c r="G47" s="1416" t="s">
        <v>1573</v>
      </c>
    </row>
    <row r="48" spans="2:7" ht="24" hidden="1" outlineLevel="1">
      <c r="B48" s="1416" t="s">
        <v>2165</v>
      </c>
      <c r="C48" s="1416" t="s">
        <v>969</v>
      </c>
      <c r="D48" s="1416" t="s">
        <v>969</v>
      </c>
      <c r="E48" s="1887" t="s">
        <v>6470</v>
      </c>
      <c r="F48" s="1416" t="s">
        <v>969</v>
      </c>
      <c r="G48" s="1416" t="s">
        <v>969</v>
      </c>
    </row>
    <row r="49" spans="2:7" ht="24" hidden="1" outlineLevel="1">
      <c r="B49" s="1416" t="s">
        <v>2166</v>
      </c>
      <c r="C49" s="1416" t="s">
        <v>970</v>
      </c>
      <c r="D49" s="1416" t="s">
        <v>970</v>
      </c>
      <c r="E49" s="1887" t="s">
        <v>6471</v>
      </c>
      <c r="F49" s="1416" t="s">
        <v>970</v>
      </c>
      <c r="G49" s="1416" t="s">
        <v>970</v>
      </c>
    </row>
    <row r="50" spans="2:7" ht="24" hidden="1" outlineLevel="1">
      <c r="B50" s="1416" t="s">
        <v>2167</v>
      </c>
      <c r="C50" s="1416" t="s">
        <v>971</v>
      </c>
      <c r="D50" s="1416" t="s">
        <v>971</v>
      </c>
      <c r="E50" s="1887" t="s">
        <v>6472</v>
      </c>
      <c r="F50" s="1416" t="s">
        <v>971</v>
      </c>
      <c r="G50" s="1416" t="s">
        <v>971</v>
      </c>
    </row>
    <row r="51" spans="2:7" ht="24" hidden="1" outlineLevel="1">
      <c r="B51" s="1416" t="s">
        <v>2168</v>
      </c>
      <c r="C51" s="1416" t="s">
        <v>1325</v>
      </c>
      <c r="D51" s="1416" t="s">
        <v>1325</v>
      </c>
      <c r="E51" s="1887" t="s">
        <v>6473</v>
      </c>
      <c r="F51" s="1416" t="s">
        <v>1325</v>
      </c>
      <c r="G51" s="1416" t="s">
        <v>1325</v>
      </c>
    </row>
    <row r="52" spans="2:7" ht="24" hidden="1" outlineLevel="1">
      <c r="B52" s="1416" t="s">
        <v>2680</v>
      </c>
      <c r="C52" s="1416" t="s">
        <v>5550</v>
      </c>
      <c r="D52" s="1416" t="s">
        <v>5550</v>
      </c>
      <c r="E52" s="1887" t="s">
        <v>6474</v>
      </c>
      <c r="F52" s="1416" t="s">
        <v>5550</v>
      </c>
      <c r="G52" s="1416" t="s">
        <v>5550</v>
      </c>
    </row>
    <row r="53" spans="2:7" ht="24" hidden="1" outlineLevel="1">
      <c r="B53" s="1416" t="s">
        <v>634</v>
      </c>
      <c r="C53" s="1416" t="s">
        <v>2354</v>
      </c>
      <c r="D53" s="1416" t="s">
        <v>2354</v>
      </c>
      <c r="E53" s="1887" t="s">
        <v>6475</v>
      </c>
      <c r="F53" s="1886" t="s">
        <v>6476</v>
      </c>
      <c r="G53" s="1416" t="s">
        <v>2354</v>
      </c>
    </row>
    <row r="54" spans="2:7" ht="24" hidden="1" outlineLevel="1">
      <c r="B54" s="1416" t="s">
        <v>635</v>
      </c>
      <c r="C54" s="1416" t="s">
        <v>2352</v>
      </c>
      <c r="D54" s="1416" t="s">
        <v>2352</v>
      </c>
      <c r="E54" s="1887" t="s">
        <v>6477</v>
      </c>
      <c r="F54" s="1886" t="s">
        <v>6478</v>
      </c>
      <c r="G54" s="1416" t="s">
        <v>2352</v>
      </c>
    </row>
    <row r="55" spans="2:7" ht="24" hidden="1" outlineLevel="1">
      <c r="B55" s="1416" t="s">
        <v>636</v>
      </c>
      <c r="C55" s="1416" t="s">
        <v>2353</v>
      </c>
      <c r="D55" s="1416" t="s">
        <v>2353</v>
      </c>
      <c r="E55" s="1887" t="s">
        <v>6479</v>
      </c>
      <c r="F55" s="1416" t="s">
        <v>2353</v>
      </c>
      <c r="G55" s="1416" t="s">
        <v>2353</v>
      </c>
    </row>
    <row r="56" spans="2:7" hidden="1" outlineLevel="1">
      <c r="B56" s="1416" t="s">
        <v>637</v>
      </c>
      <c r="C56" s="1416" t="s">
        <v>2355</v>
      </c>
      <c r="D56" s="1416" t="s">
        <v>2355</v>
      </c>
      <c r="E56" s="2127" t="s">
        <v>6480</v>
      </c>
      <c r="F56" s="1886" t="s">
        <v>6481</v>
      </c>
      <c r="G56" s="1416" t="s">
        <v>2355</v>
      </c>
    </row>
    <row r="57" spans="2:7" ht="24" hidden="1" outlineLevel="1">
      <c r="B57" s="1416" t="s">
        <v>638</v>
      </c>
      <c r="C57" s="1416" t="s">
        <v>2356</v>
      </c>
      <c r="D57" s="1416" t="s">
        <v>2356</v>
      </c>
      <c r="E57" s="1887" t="s">
        <v>6482</v>
      </c>
      <c r="F57" s="1416" t="s">
        <v>2356</v>
      </c>
      <c r="G57" s="1416" t="s">
        <v>2356</v>
      </c>
    </row>
    <row r="58" spans="2:7" ht="24" hidden="1" outlineLevel="1">
      <c r="B58" s="1416" t="s">
        <v>639</v>
      </c>
      <c r="C58" s="1416" t="s">
        <v>2357</v>
      </c>
      <c r="D58" s="1416" t="s">
        <v>2357</v>
      </c>
      <c r="E58" s="1887" t="s">
        <v>6483</v>
      </c>
      <c r="F58" s="1416" t="s">
        <v>2357</v>
      </c>
      <c r="G58" s="1416" t="s">
        <v>2357</v>
      </c>
    </row>
    <row r="59" spans="2:7" ht="24" hidden="1" outlineLevel="1">
      <c r="B59" s="1416" t="s">
        <v>2293</v>
      </c>
      <c r="C59" s="1416" t="s">
        <v>2118</v>
      </c>
      <c r="D59" s="1887" t="s">
        <v>6484</v>
      </c>
      <c r="E59" s="1887" t="s">
        <v>6485</v>
      </c>
      <c r="F59" s="1416" t="s">
        <v>2118</v>
      </c>
      <c r="G59" s="1416" t="s">
        <v>2118</v>
      </c>
    </row>
    <row r="60" spans="2:7" hidden="1" outlineLevel="1">
      <c r="B60" s="1416" t="s">
        <v>2294</v>
      </c>
      <c r="C60" s="1416" t="s">
        <v>1770</v>
      </c>
      <c r="D60" s="1416" t="s">
        <v>1770</v>
      </c>
      <c r="E60" s="1887" t="s">
        <v>6486</v>
      </c>
      <c r="F60" s="1416" t="s">
        <v>1770</v>
      </c>
      <c r="G60" s="1416" t="s">
        <v>1770</v>
      </c>
    </row>
    <row r="61" spans="2:7" ht="24" hidden="1" outlineLevel="1">
      <c r="B61" s="1416" t="s">
        <v>2295</v>
      </c>
      <c r="C61" s="1416" t="s">
        <v>1771</v>
      </c>
      <c r="D61" s="1887" t="s">
        <v>5556</v>
      </c>
      <c r="E61" s="1887" t="s">
        <v>6487</v>
      </c>
      <c r="F61" s="1887" t="s">
        <v>6488</v>
      </c>
      <c r="G61" s="1887" t="s">
        <v>5556</v>
      </c>
    </row>
    <row r="62" spans="2:7" ht="24" hidden="1" outlineLevel="1">
      <c r="B62" s="1416" t="s">
        <v>774</v>
      </c>
      <c r="C62" s="1416" t="s">
        <v>1772</v>
      </c>
      <c r="D62" s="1416" t="s">
        <v>1772</v>
      </c>
      <c r="E62" s="1887" t="s">
        <v>6489</v>
      </c>
      <c r="F62" s="1886" t="s">
        <v>6490</v>
      </c>
      <c r="G62" s="1416" t="s">
        <v>1772</v>
      </c>
    </row>
    <row r="63" spans="2:7" ht="24" hidden="1" outlineLevel="1">
      <c r="B63" s="1416" t="s">
        <v>775</v>
      </c>
      <c r="C63" s="1416" t="s">
        <v>776</v>
      </c>
      <c r="D63" s="1416" t="s">
        <v>776</v>
      </c>
      <c r="E63" s="1887" t="s">
        <v>6491</v>
      </c>
      <c r="F63" s="1416" t="s">
        <v>776</v>
      </c>
      <c r="G63" s="1416" t="s">
        <v>776</v>
      </c>
    </row>
    <row r="64" spans="2:7" ht="24" hidden="1" outlineLevel="1">
      <c r="B64" s="1416" t="s">
        <v>777</v>
      </c>
      <c r="C64" s="1416" t="s">
        <v>1774</v>
      </c>
      <c r="D64" s="1416" t="s">
        <v>1774</v>
      </c>
      <c r="E64" s="1887" t="s">
        <v>6492</v>
      </c>
      <c r="F64" s="1886" t="s">
        <v>6493</v>
      </c>
      <c r="G64" s="1416" t="s">
        <v>1774</v>
      </c>
    </row>
    <row r="65" spans="2:7" ht="24" hidden="1" outlineLevel="1">
      <c r="B65" s="1416" t="s">
        <v>778</v>
      </c>
      <c r="C65" s="1416" t="s">
        <v>1775</v>
      </c>
      <c r="D65" s="1416" t="s">
        <v>1775</v>
      </c>
      <c r="E65" s="1887" t="s">
        <v>6494</v>
      </c>
      <c r="F65" s="1886" t="s">
        <v>6495</v>
      </c>
      <c r="G65" s="1416" t="s">
        <v>1775</v>
      </c>
    </row>
    <row r="66" spans="2:7" hidden="1" outlineLevel="1">
      <c r="B66" s="1416" t="s">
        <v>2062</v>
      </c>
      <c r="C66" s="1416" t="s">
        <v>492</v>
      </c>
      <c r="D66" s="1416" t="s">
        <v>492</v>
      </c>
      <c r="E66" s="1887" t="s">
        <v>6496</v>
      </c>
      <c r="F66" s="1416" t="s">
        <v>492</v>
      </c>
      <c r="G66" s="1416" t="s">
        <v>492</v>
      </c>
    </row>
    <row r="67" spans="2:7" ht="24" hidden="1" outlineLevel="1">
      <c r="B67" s="1416" t="s">
        <v>2063</v>
      </c>
      <c r="C67" s="1416" t="s">
        <v>493</v>
      </c>
      <c r="D67" s="1416" t="s">
        <v>493</v>
      </c>
      <c r="E67" s="1887" t="s">
        <v>6497</v>
      </c>
      <c r="F67" s="1416" t="s">
        <v>493</v>
      </c>
      <c r="G67" s="1416" t="s">
        <v>493</v>
      </c>
    </row>
    <row r="68" spans="2:7" ht="24" hidden="1" outlineLevel="1">
      <c r="B68" s="1416" t="s">
        <v>683</v>
      </c>
      <c r="C68" s="1416" t="s">
        <v>1160</v>
      </c>
      <c r="D68" s="1416" t="s">
        <v>1160</v>
      </c>
      <c r="E68" s="1887" t="s">
        <v>6498</v>
      </c>
      <c r="F68" s="1886" t="s">
        <v>6499</v>
      </c>
      <c r="G68" s="1416" t="s">
        <v>1160</v>
      </c>
    </row>
    <row r="69" spans="2:7" ht="34.5" hidden="1" outlineLevel="1">
      <c r="B69" s="1416" t="s">
        <v>1297</v>
      </c>
      <c r="C69" s="1416" t="s">
        <v>1161</v>
      </c>
      <c r="D69" s="1416" t="s">
        <v>1161</v>
      </c>
      <c r="E69" s="1887" t="s">
        <v>6500</v>
      </c>
      <c r="F69" s="1886" t="s">
        <v>7281</v>
      </c>
      <c r="G69" s="1416" t="s">
        <v>1161</v>
      </c>
    </row>
    <row r="70" spans="2:7" ht="24" hidden="1" outlineLevel="1">
      <c r="B70" s="1416" t="s">
        <v>1551</v>
      </c>
      <c r="C70" s="1416" t="s">
        <v>1163</v>
      </c>
      <c r="D70" s="1416" t="s">
        <v>1163</v>
      </c>
      <c r="E70" s="1887" t="s">
        <v>6501</v>
      </c>
      <c r="F70" s="1416" t="s">
        <v>1163</v>
      </c>
      <c r="G70" s="1416" t="s">
        <v>1163</v>
      </c>
    </row>
    <row r="71" spans="2:7" ht="24" hidden="1" outlineLevel="1">
      <c r="B71" s="1416" t="s">
        <v>1552</v>
      </c>
      <c r="C71" s="1416" t="s">
        <v>6502</v>
      </c>
      <c r="D71" s="1416" t="s">
        <v>6502</v>
      </c>
      <c r="E71" s="1887" t="s">
        <v>6503</v>
      </c>
      <c r="F71" s="1886" t="s">
        <v>6504</v>
      </c>
      <c r="G71" s="1886" t="s">
        <v>155</v>
      </c>
    </row>
    <row r="72" spans="2:7" ht="24" hidden="1" outlineLevel="1">
      <c r="B72" s="1416" t="s">
        <v>1553</v>
      </c>
      <c r="C72" s="1416" t="s">
        <v>1162</v>
      </c>
      <c r="D72" s="1416" t="s">
        <v>1162</v>
      </c>
      <c r="E72" s="1887" t="s">
        <v>6505</v>
      </c>
      <c r="F72" s="1886" t="s">
        <v>5561</v>
      </c>
      <c r="G72" s="1886" t="s">
        <v>5561</v>
      </c>
    </row>
    <row r="73" spans="2:7" ht="24" hidden="1" outlineLevel="1">
      <c r="B73" s="1416" t="s">
        <v>2787</v>
      </c>
      <c r="C73" s="1416" t="s">
        <v>1233</v>
      </c>
      <c r="D73" s="1416" t="s">
        <v>1233</v>
      </c>
      <c r="E73" s="1887" t="s">
        <v>6506</v>
      </c>
      <c r="F73" s="1416" t="s">
        <v>1233</v>
      </c>
      <c r="G73" s="1416" t="s">
        <v>1233</v>
      </c>
    </row>
    <row r="74" spans="2:7" ht="24" hidden="1" outlineLevel="1">
      <c r="B74" s="1416" t="s">
        <v>2788</v>
      </c>
      <c r="C74" s="1416" t="s">
        <v>1234</v>
      </c>
      <c r="D74" s="1416" t="s">
        <v>1234</v>
      </c>
      <c r="E74" s="1887" t="s">
        <v>6507</v>
      </c>
      <c r="F74" s="1416" t="s">
        <v>1234</v>
      </c>
      <c r="G74" s="1416" t="s">
        <v>1234</v>
      </c>
    </row>
    <row r="75" spans="2:7" ht="24" hidden="1" outlineLevel="1">
      <c r="B75" s="1416" t="s">
        <v>2789</v>
      </c>
      <c r="C75" s="1416" t="s">
        <v>437</v>
      </c>
      <c r="D75" s="1416" t="s">
        <v>437</v>
      </c>
      <c r="E75" s="1887" t="s">
        <v>6508</v>
      </c>
      <c r="F75" s="1416" t="s">
        <v>437</v>
      </c>
      <c r="G75" s="1416" t="s">
        <v>437</v>
      </c>
    </row>
    <row r="76" spans="2:7" ht="24" hidden="1" outlineLevel="1">
      <c r="B76" s="1416" t="s">
        <v>2790</v>
      </c>
      <c r="C76" s="1416" t="s">
        <v>438</v>
      </c>
      <c r="D76" s="1416" t="s">
        <v>438</v>
      </c>
      <c r="E76" s="1887" t="s">
        <v>6509</v>
      </c>
      <c r="F76" s="1416" t="s">
        <v>438</v>
      </c>
      <c r="G76" s="1416" t="s">
        <v>438</v>
      </c>
    </row>
    <row r="77" spans="2:7" ht="24" hidden="1" outlineLevel="1">
      <c r="B77" s="1416" t="s">
        <v>2099</v>
      </c>
      <c r="C77" s="1416" t="s">
        <v>439</v>
      </c>
      <c r="D77" s="1416" t="s">
        <v>439</v>
      </c>
      <c r="E77" s="1887" t="s">
        <v>6510</v>
      </c>
      <c r="F77" s="1886" t="s">
        <v>6511</v>
      </c>
      <c r="G77" s="1416" t="s">
        <v>439</v>
      </c>
    </row>
    <row r="78" spans="2:7" ht="24" hidden="1" outlineLevel="1">
      <c r="B78" s="1416" t="s">
        <v>2100</v>
      </c>
      <c r="C78" s="1416" t="s">
        <v>440</v>
      </c>
      <c r="D78" s="1416" t="s">
        <v>440</v>
      </c>
      <c r="E78" s="1887" t="s">
        <v>6512</v>
      </c>
      <c r="F78" s="1416" t="s">
        <v>440</v>
      </c>
      <c r="G78" s="1416" t="s">
        <v>440</v>
      </c>
    </row>
    <row r="79" spans="2:7" ht="24" hidden="1" outlineLevel="1">
      <c r="B79" s="1416" t="s">
        <v>2101</v>
      </c>
      <c r="C79" s="1416" t="s">
        <v>6513</v>
      </c>
      <c r="D79" s="1887" t="s">
        <v>5567</v>
      </c>
      <c r="E79" s="1887" t="s">
        <v>6514</v>
      </c>
      <c r="F79" s="1887" t="s">
        <v>5567</v>
      </c>
      <c r="G79" s="1887" t="s">
        <v>5567</v>
      </c>
    </row>
    <row r="80" spans="2:7" ht="24" hidden="1" outlineLevel="1">
      <c r="B80" s="1416" t="s">
        <v>2465</v>
      </c>
      <c r="C80" s="1416" t="s">
        <v>1996</v>
      </c>
      <c r="D80" s="1416" t="s">
        <v>1996</v>
      </c>
      <c r="E80" s="1887" t="s">
        <v>6515</v>
      </c>
      <c r="F80" s="1886" t="s">
        <v>6516</v>
      </c>
      <c r="G80" s="1416" t="s">
        <v>1996</v>
      </c>
    </row>
    <row r="81" spans="2:7" ht="24" hidden="1" outlineLevel="1">
      <c r="B81" s="1416" t="s">
        <v>2466</v>
      </c>
      <c r="C81" s="1416" t="s">
        <v>1997</v>
      </c>
      <c r="D81" s="1416" t="s">
        <v>1997</v>
      </c>
      <c r="E81" s="1887" t="s">
        <v>6517</v>
      </c>
      <c r="F81" s="1886" t="s">
        <v>6518</v>
      </c>
      <c r="G81" s="1887" t="s">
        <v>5575</v>
      </c>
    </row>
    <row r="82" spans="2:7" ht="24" hidden="1" outlineLevel="1">
      <c r="B82" s="1416" t="s">
        <v>2224</v>
      </c>
      <c r="C82" s="1416" t="s">
        <v>1971</v>
      </c>
      <c r="D82" s="1416" t="s">
        <v>1971</v>
      </c>
      <c r="E82" s="1887" t="s">
        <v>6519</v>
      </c>
      <c r="F82" s="1886" t="s">
        <v>5576</v>
      </c>
      <c r="G82" s="1416" t="s">
        <v>1971</v>
      </c>
    </row>
    <row r="83" spans="2:7" ht="24" hidden="1" outlineLevel="1">
      <c r="B83" s="1416" t="s">
        <v>2225</v>
      </c>
      <c r="C83" s="1416" t="s">
        <v>5577</v>
      </c>
      <c r="D83" s="1416" t="s">
        <v>5577</v>
      </c>
      <c r="E83" s="1887" t="s">
        <v>6520</v>
      </c>
      <c r="F83" s="1886" t="s">
        <v>1285</v>
      </c>
      <c r="G83" s="1416" t="s">
        <v>5577</v>
      </c>
    </row>
    <row r="84" spans="2:7" ht="24" hidden="1" outlineLevel="1">
      <c r="B84" s="1416" t="s">
        <v>2226</v>
      </c>
      <c r="C84" s="1416" t="s">
        <v>2576</v>
      </c>
      <c r="D84" s="1416" t="s">
        <v>2576</v>
      </c>
      <c r="E84" s="1887" t="s">
        <v>6521</v>
      </c>
      <c r="F84" s="1886" t="s">
        <v>5578</v>
      </c>
      <c r="G84" s="1416" t="s">
        <v>2576</v>
      </c>
    </row>
    <row r="85" spans="2:7" ht="24" hidden="1" outlineLevel="1">
      <c r="B85" s="1416" t="s">
        <v>2227</v>
      </c>
      <c r="C85" s="1416" t="s">
        <v>2577</v>
      </c>
      <c r="D85" s="1886" t="s">
        <v>6522</v>
      </c>
      <c r="E85" s="1887" t="s">
        <v>6523</v>
      </c>
      <c r="F85" s="1886" t="s">
        <v>6522</v>
      </c>
      <c r="G85" s="1886" t="s">
        <v>6524</v>
      </c>
    </row>
    <row r="86" spans="2:7" ht="24" hidden="1" outlineLevel="1">
      <c r="B86" s="1416" t="s">
        <v>2228</v>
      </c>
      <c r="C86" s="1416" t="s">
        <v>2578</v>
      </c>
      <c r="D86" s="1416" t="s">
        <v>2578</v>
      </c>
      <c r="E86" s="1887" t="s">
        <v>6525</v>
      </c>
      <c r="F86" s="1416" t="s">
        <v>2578</v>
      </c>
      <c r="G86" s="1416" t="s">
        <v>2578</v>
      </c>
    </row>
    <row r="87" spans="2:7" ht="24" hidden="1" outlineLevel="1">
      <c r="B87" s="1416" t="s">
        <v>837</v>
      </c>
      <c r="C87" s="1416" t="s">
        <v>137</v>
      </c>
      <c r="D87" s="1416" t="s">
        <v>837</v>
      </c>
      <c r="E87" s="1887" t="s">
        <v>6526</v>
      </c>
      <c r="F87" s="1886" t="s">
        <v>6527</v>
      </c>
      <c r="G87" s="1416" t="s">
        <v>1547</v>
      </c>
    </row>
    <row r="88" spans="2:7" ht="24" hidden="1" outlineLevel="1">
      <c r="B88" s="1416" t="s">
        <v>838</v>
      </c>
      <c r="C88" s="1416" t="s">
        <v>137</v>
      </c>
      <c r="D88" s="1416" t="s">
        <v>838</v>
      </c>
      <c r="E88" s="1887" t="s">
        <v>6528</v>
      </c>
      <c r="F88" s="1416" t="s">
        <v>1548</v>
      </c>
      <c r="G88" s="1416" t="s">
        <v>1548</v>
      </c>
    </row>
    <row r="89" spans="2:7" ht="24" hidden="1" outlineLevel="1">
      <c r="B89" s="1416" t="s">
        <v>839</v>
      </c>
      <c r="C89" s="1416" t="s">
        <v>137</v>
      </c>
      <c r="D89" s="1416" t="s">
        <v>839</v>
      </c>
      <c r="E89" s="1887" t="s">
        <v>6529</v>
      </c>
      <c r="F89" s="1416" t="s">
        <v>1828</v>
      </c>
      <c r="G89" s="1416" t="s">
        <v>1828</v>
      </c>
    </row>
    <row r="90" spans="2:7" ht="24" hidden="1" outlineLevel="1">
      <c r="B90" s="1416" t="s">
        <v>330</v>
      </c>
      <c r="C90" s="1416" t="s">
        <v>137</v>
      </c>
      <c r="D90" s="1416" t="s">
        <v>330</v>
      </c>
      <c r="E90" s="1887" t="s">
        <v>6530</v>
      </c>
      <c r="F90" s="1416" t="s">
        <v>1829</v>
      </c>
      <c r="G90" s="1416" t="s">
        <v>1829</v>
      </c>
    </row>
    <row r="91" spans="2:7" ht="24" hidden="1" outlineLevel="1">
      <c r="B91" s="1416" t="s">
        <v>332</v>
      </c>
      <c r="C91" s="1416" t="s">
        <v>137</v>
      </c>
      <c r="D91" s="1416" t="s">
        <v>332</v>
      </c>
      <c r="E91" s="1887" t="s">
        <v>6531</v>
      </c>
      <c r="F91" s="1416" t="s">
        <v>1830</v>
      </c>
      <c r="G91" s="1416" t="s">
        <v>1830</v>
      </c>
    </row>
    <row r="92" spans="2:7" ht="24" hidden="1" outlineLevel="1">
      <c r="B92" s="1416" t="s">
        <v>333</v>
      </c>
      <c r="C92" s="1416" t="s">
        <v>137</v>
      </c>
      <c r="D92" s="1416" t="s">
        <v>333</v>
      </c>
      <c r="E92" s="1887" t="s">
        <v>6532</v>
      </c>
      <c r="F92" s="1416" t="s">
        <v>2654</v>
      </c>
      <c r="G92" s="1416" t="s">
        <v>6533</v>
      </c>
    </row>
    <row r="93" spans="2:7" ht="24" hidden="1" outlineLevel="1">
      <c r="B93" s="1416" t="s">
        <v>1235</v>
      </c>
      <c r="C93" s="1416" t="s">
        <v>137</v>
      </c>
      <c r="D93" s="1416" t="s">
        <v>1235</v>
      </c>
      <c r="E93" s="1887" t="s">
        <v>6534</v>
      </c>
      <c r="F93" s="1886" t="s">
        <v>6535</v>
      </c>
      <c r="G93" s="1416" t="s">
        <v>6536</v>
      </c>
    </row>
    <row r="94" spans="2:7" collapsed="1">
      <c r="B94" s="4329" t="s">
        <v>5137</v>
      </c>
      <c r="C94" s="4330"/>
      <c r="D94" s="4330"/>
      <c r="E94" s="4330"/>
      <c r="F94" s="4330"/>
      <c r="G94" s="4330"/>
    </row>
    <row r="95" spans="2:7" hidden="1" outlineLevel="1">
      <c r="B95" s="1416" t="s">
        <v>769</v>
      </c>
      <c r="C95" s="1416" t="s">
        <v>5594</v>
      </c>
      <c r="D95" s="1416" t="s">
        <v>5594</v>
      </c>
      <c r="E95" s="1886" t="s">
        <v>1641</v>
      </c>
      <c r="F95" s="1416" t="s">
        <v>5594</v>
      </c>
      <c r="G95" s="1416" t="s">
        <v>5594</v>
      </c>
    </row>
    <row r="96" spans="2:7" hidden="1" outlineLevel="1">
      <c r="B96" s="1416" t="s">
        <v>770</v>
      </c>
      <c r="C96" s="1416" t="s">
        <v>1546</v>
      </c>
      <c r="D96" s="1416" t="s">
        <v>1546</v>
      </c>
      <c r="E96" s="1416" t="s">
        <v>1546</v>
      </c>
      <c r="F96" s="1416" t="s">
        <v>1546</v>
      </c>
      <c r="G96" s="1416" t="s">
        <v>1546</v>
      </c>
    </row>
    <row r="97" spans="2:7" ht="24" hidden="1" outlineLevel="1">
      <c r="B97" s="1416" t="s">
        <v>201</v>
      </c>
      <c r="C97" s="1416" t="s">
        <v>1722</v>
      </c>
      <c r="D97" s="1416" t="s">
        <v>1722</v>
      </c>
      <c r="E97" s="1887" t="s">
        <v>6537</v>
      </c>
      <c r="F97" s="1416" t="s">
        <v>1722</v>
      </c>
      <c r="G97" s="1416" t="s">
        <v>1722</v>
      </c>
    </row>
    <row r="98" spans="2:7" hidden="1" outlineLevel="1">
      <c r="B98" s="1416" t="s">
        <v>202</v>
      </c>
      <c r="C98" s="1416" t="s">
        <v>1178</v>
      </c>
      <c r="D98" s="1416" t="s">
        <v>1178</v>
      </c>
      <c r="E98" s="1416" t="s">
        <v>1178</v>
      </c>
      <c r="F98" s="1416" t="s">
        <v>1178</v>
      </c>
      <c r="G98" s="1416" t="s">
        <v>1178</v>
      </c>
    </row>
    <row r="99" spans="2:7" hidden="1" outlineLevel="1">
      <c r="B99" s="1416" t="s">
        <v>203</v>
      </c>
      <c r="C99" s="1416" t="s">
        <v>1181</v>
      </c>
      <c r="D99" s="1416" t="s">
        <v>1181</v>
      </c>
      <c r="E99" s="1887" t="s">
        <v>6538</v>
      </c>
      <c r="F99" s="1416" t="s">
        <v>1181</v>
      </c>
      <c r="G99" s="1416" t="s">
        <v>1181</v>
      </c>
    </row>
    <row r="100" spans="2:7" ht="24" hidden="1" outlineLevel="1">
      <c r="B100" s="1416" t="s">
        <v>204</v>
      </c>
      <c r="C100" s="1416" t="s">
        <v>684</v>
      </c>
      <c r="D100" s="1416" t="s">
        <v>684</v>
      </c>
      <c r="E100" s="1416" t="s">
        <v>684</v>
      </c>
      <c r="F100" s="1416" t="s">
        <v>684</v>
      </c>
      <c r="G100" s="1416" t="s">
        <v>684</v>
      </c>
    </row>
    <row r="101" spans="2:7" hidden="1" outlineLevel="1">
      <c r="B101" s="1416" t="s">
        <v>205</v>
      </c>
      <c r="C101" s="1416" t="s">
        <v>608</v>
      </c>
      <c r="D101" s="1416" t="s">
        <v>608</v>
      </c>
      <c r="E101" s="1887" t="s">
        <v>6539</v>
      </c>
      <c r="F101" s="1416" t="s">
        <v>608</v>
      </c>
      <c r="G101" s="1887" t="s">
        <v>6539</v>
      </c>
    </row>
    <row r="102" spans="2:7" hidden="1" outlineLevel="1">
      <c r="B102" s="1416" t="s">
        <v>0</v>
      </c>
      <c r="C102" s="1416" t="s">
        <v>1179</v>
      </c>
      <c r="D102" s="1416" t="s">
        <v>1179</v>
      </c>
      <c r="E102" s="1416" t="s">
        <v>1179</v>
      </c>
      <c r="F102" s="1416" t="s">
        <v>1179</v>
      </c>
      <c r="G102" s="1416" t="s">
        <v>1179</v>
      </c>
    </row>
    <row r="103" spans="2:7" hidden="1" outlineLevel="1">
      <c r="B103" s="1416" t="s">
        <v>1</v>
      </c>
      <c r="C103" s="1416" t="s">
        <v>3599</v>
      </c>
      <c r="D103" s="1416" t="s">
        <v>3599</v>
      </c>
      <c r="E103" s="1887" t="s">
        <v>6540</v>
      </c>
      <c r="F103" s="1416" t="s">
        <v>3599</v>
      </c>
      <c r="G103" s="1416" t="s">
        <v>3599</v>
      </c>
    </row>
    <row r="104" spans="2:7" hidden="1" outlineLevel="1">
      <c r="B104" s="1416" t="s">
        <v>101</v>
      </c>
      <c r="C104" s="1416" t="s">
        <v>1177</v>
      </c>
      <c r="D104" s="1416" t="s">
        <v>1177</v>
      </c>
      <c r="E104" s="1887" t="s">
        <v>6541</v>
      </c>
      <c r="F104" s="1887" t="s">
        <v>6542</v>
      </c>
      <c r="G104" s="1416" t="s">
        <v>1177</v>
      </c>
    </row>
    <row r="105" spans="2:7" hidden="1" outlineLevel="1">
      <c r="B105" s="1416" t="s">
        <v>174</v>
      </c>
      <c r="C105" s="1416" t="s">
        <v>2525</v>
      </c>
      <c r="D105" s="1416" t="s">
        <v>2525</v>
      </c>
      <c r="E105" s="1887" t="s">
        <v>6543</v>
      </c>
      <c r="F105" s="1416" t="s">
        <v>2525</v>
      </c>
      <c r="G105" s="1416" t="s">
        <v>2525</v>
      </c>
    </row>
    <row r="106" spans="2:7" hidden="1" outlineLevel="1">
      <c r="B106" s="1416" t="s">
        <v>1073</v>
      </c>
      <c r="C106" s="1416" t="s">
        <v>609</v>
      </c>
      <c r="D106" s="1416" t="s">
        <v>609</v>
      </c>
      <c r="E106" s="1887" t="s">
        <v>6544</v>
      </c>
      <c r="F106" s="1416" t="s">
        <v>609</v>
      </c>
      <c r="G106" s="1416" t="s">
        <v>609</v>
      </c>
    </row>
    <row r="107" spans="2:7" hidden="1" outlineLevel="1">
      <c r="B107" s="1416" t="s">
        <v>1225</v>
      </c>
      <c r="C107" s="1416" t="s">
        <v>2280</v>
      </c>
      <c r="D107" s="1416" t="s">
        <v>2280</v>
      </c>
      <c r="E107" s="1887" t="s">
        <v>6545</v>
      </c>
      <c r="F107" s="1416" t="s">
        <v>2280</v>
      </c>
      <c r="G107" s="1416" t="s">
        <v>2280</v>
      </c>
    </row>
    <row r="108" spans="2:7" hidden="1" outlineLevel="1">
      <c r="B108" s="1416" t="s">
        <v>1226</v>
      </c>
      <c r="C108" s="1416" t="s">
        <v>5595</v>
      </c>
      <c r="D108" s="1416" t="s">
        <v>5595</v>
      </c>
      <c r="E108" s="1887" t="s">
        <v>6546</v>
      </c>
      <c r="F108" s="1416" t="s">
        <v>5595</v>
      </c>
      <c r="G108" s="1416" t="s">
        <v>5595</v>
      </c>
    </row>
    <row r="109" spans="2:7" hidden="1" outlineLevel="1">
      <c r="B109" s="1416" t="s">
        <v>1227</v>
      </c>
      <c r="C109" s="1416" t="s">
        <v>2394</v>
      </c>
      <c r="D109" s="1416" t="s">
        <v>2394</v>
      </c>
      <c r="E109" s="1416" t="s">
        <v>2394</v>
      </c>
      <c r="F109" s="1416" t="s">
        <v>2394</v>
      </c>
      <c r="G109" s="1416" t="s">
        <v>2394</v>
      </c>
    </row>
    <row r="110" spans="2:7" ht="24" hidden="1" outlineLevel="1">
      <c r="B110" s="1416" t="s">
        <v>1228</v>
      </c>
      <c r="C110" s="1416" t="s">
        <v>6547</v>
      </c>
      <c r="D110" s="1416" t="s">
        <v>6547</v>
      </c>
      <c r="E110" s="1887" t="s">
        <v>5596</v>
      </c>
      <c r="F110" s="1887" t="s">
        <v>5596</v>
      </c>
      <c r="G110" s="1887" t="s">
        <v>6548</v>
      </c>
    </row>
    <row r="111" spans="2:7" hidden="1" outlineLevel="1">
      <c r="B111" s="1416" t="s">
        <v>1229</v>
      </c>
      <c r="C111" s="1416" t="s">
        <v>137</v>
      </c>
      <c r="D111" s="1416" t="s">
        <v>2672</v>
      </c>
      <c r="E111" s="1887" t="s">
        <v>6549</v>
      </c>
      <c r="F111" s="1416" t="s">
        <v>2672</v>
      </c>
      <c r="G111" s="1416" t="s">
        <v>2672</v>
      </c>
    </row>
    <row r="112" spans="2:7" hidden="1" outlineLevel="1">
      <c r="B112" s="1416" t="s">
        <v>771</v>
      </c>
      <c r="C112" s="1416" t="s">
        <v>611</v>
      </c>
      <c r="D112" s="1416" t="s">
        <v>611</v>
      </c>
      <c r="E112" s="1887" t="s">
        <v>6550</v>
      </c>
      <c r="F112" s="1416" t="s">
        <v>611</v>
      </c>
      <c r="G112" s="1416" t="s">
        <v>611</v>
      </c>
    </row>
    <row r="113" spans="2:7" hidden="1" outlineLevel="1">
      <c r="B113" s="1416" t="s">
        <v>1986</v>
      </c>
      <c r="C113" s="1416" t="s">
        <v>339</v>
      </c>
      <c r="D113" s="1416" t="s">
        <v>339</v>
      </c>
      <c r="E113" s="1416" t="s">
        <v>339</v>
      </c>
      <c r="F113" s="1416" t="s">
        <v>339</v>
      </c>
      <c r="G113" s="1416" t="s">
        <v>339</v>
      </c>
    </row>
    <row r="114" spans="2:7" hidden="1" outlineLevel="1">
      <c r="B114" s="1416" t="s">
        <v>632</v>
      </c>
      <c r="C114" s="1416" t="s">
        <v>152</v>
      </c>
      <c r="D114" s="1416" t="s">
        <v>152</v>
      </c>
      <c r="E114" s="1887" t="s">
        <v>6551</v>
      </c>
      <c r="F114" s="1416" t="s">
        <v>152</v>
      </c>
      <c r="G114" s="1416" t="s">
        <v>152</v>
      </c>
    </row>
    <row r="115" spans="2:7" hidden="1" outlineLevel="1">
      <c r="B115" s="1416" t="s">
        <v>633</v>
      </c>
      <c r="C115" s="1416" t="s">
        <v>122</v>
      </c>
      <c r="D115" s="1416" t="s">
        <v>122</v>
      </c>
      <c r="E115" s="1416" t="s">
        <v>122</v>
      </c>
      <c r="F115" s="1416" t="s">
        <v>122</v>
      </c>
      <c r="G115" s="1416" t="s">
        <v>122</v>
      </c>
    </row>
    <row r="116" spans="2:7" hidden="1" outlineLevel="1">
      <c r="B116" s="1416" t="s">
        <v>2636</v>
      </c>
      <c r="C116" s="1416" t="s">
        <v>489</v>
      </c>
      <c r="D116" s="1416" t="s">
        <v>489</v>
      </c>
      <c r="E116" s="1416" t="s">
        <v>489</v>
      </c>
      <c r="F116" s="1416" t="s">
        <v>489</v>
      </c>
      <c r="G116" s="1416" t="s">
        <v>489</v>
      </c>
    </row>
    <row r="117" spans="2:7" hidden="1" outlineLevel="1">
      <c r="B117" s="1416" t="s">
        <v>2637</v>
      </c>
      <c r="C117" s="1416" t="s">
        <v>123</v>
      </c>
      <c r="D117" s="1416" t="s">
        <v>123</v>
      </c>
      <c r="E117" s="1887" t="s">
        <v>6552</v>
      </c>
      <c r="F117" s="1416" t="s">
        <v>123</v>
      </c>
      <c r="G117" s="1416" t="s">
        <v>123</v>
      </c>
    </row>
    <row r="118" spans="2:7" hidden="1" outlineLevel="1">
      <c r="B118" s="1416" t="s">
        <v>2638</v>
      </c>
      <c r="C118" s="1416" t="s">
        <v>137</v>
      </c>
      <c r="D118" s="2125" t="s">
        <v>2671</v>
      </c>
      <c r="E118" s="2127" t="s">
        <v>6553</v>
      </c>
      <c r="F118" s="2125" t="s">
        <v>2671</v>
      </c>
      <c r="G118" s="2125" t="s">
        <v>2671</v>
      </c>
    </row>
    <row r="119" spans="2:7" hidden="1" outlineLevel="1">
      <c r="B119" s="1416" t="s">
        <v>2639</v>
      </c>
      <c r="C119" s="1416" t="s">
        <v>6554</v>
      </c>
      <c r="D119" s="1887" t="s">
        <v>1723</v>
      </c>
      <c r="E119" s="1416" t="s">
        <v>6554</v>
      </c>
      <c r="F119" s="1887" t="s">
        <v>1723</v>
      </c>
      <c r="G119" s="1416" t="s">
        <v>6554</v>
      </c>
    </row>
    <row r="120" spans="2:7" hidden="1" outlineLevel="1">
      <c r="B120" s="1416" t="s">
        <v>2491</v>
      </c>
      <c r="C120" s="1416" t="s">
        <v>1545</v>
      </c>
      <c r="D120" s="1416" t="s">
        <v>1545</v>
      </c>
      <c r="E120" s="1887" t="s">
        <v>6555</v>
      </c>
      <c r="F120" s="1416" t="s">
        <v>1545</v>
      </c>
      <c r="G120" s="1416" t="s">
        <v>1545</v>
      </c>
    </row>
    <row r="121" spans="2:7" hidden="1" outlineLevel="1">
      <c r="B121" s="1416" t="s">
        <v>2492</v>
      </c>
      <c r="C121" s="1416" t="s">
        <v>2281</v>
      </c>
      <c r="D121" s="1416" t="s">
        <v>2281</v>
      </c>
      <c r="E121" s="1416" t="s">
        <v>2281</v>
      </c>
      <c r="F121" s="1416" t="s">
        <v>2281</v>
      </c>
      <c r="G121" s="1416" t="s">
        <v>2281</v>
      </c>
    </row>
    <row r="122" spans="2:7" hidden="1" outlineLevel="1">
      <c r="B122" s="1416" t="s">
        <v>2493</v>
      </c>
      <c r="C122" s="1416" t="s">
        <v>1725</v>
      </c>
      <c r="D122" s="1416" t="s">
        <v>1725</v>
      </c>
      <c r="E122" s="1887" t="s">
        <v>6556</v>
      </c>
      <c r="F122" s="1416" t="s">
        <v>1725</v>
      </c>
      <c r="G122" s="1416" t="s">
        <v>1725</v>
      </c>
    </row>
    <row r="123" spans="2:7" hidden="1" outlineLevel="1">
      <c r="B123" s="1416" t="s">
        <v>2494</v>
      </c>
      <c r="C123" s="1416" t="s">
        <v>843</v>
      </c>
      <c r="D123" s="1416" t="s">
        <v>843</v>
      </c>
      <c r="E123" s="1887" t="s">
        <v>6557</v>
      </c>
      <c r="F123" s="1416" t="s">
        <v>843</v>
      </c>
      <c r="G123" s="1416" t="s">
        <v>843</v>
      </c>
    </row>
    <row r="124" spans="2:7" ht="24" hidden="1" outlineLevel="1">
      <c r="B124" s="1416" t="s">
        <v>1642</v>
      </c>
      <c r="C124" s="1416" t="s">
        <v>4626</v>
      </c>
      <c r="D124" s="1416" t="s">
        <v>4626</v>
      </c>
      <c r="E124" s="1887" t="s">
        <v>6558</v>
      </c>
      <c r="F124" s="1416" t="s">
        <v>4626</v>
      </c>
      <c r="G124" s="1887" t="s">
        <v>6558</v>
      </c>
    </row>
    <row r="125" spans="2:7" hidden="1" outlineLevel="1">
      <c r="B125" s="1416" t="s">
        <v>464</v>
      </c>
      <c r="C125" s="1416" t="s">
        <v>458</v>
      </c>
      <c r="D125" s="1416" t="s">
        <v>458</v>
      </c>
      <c r="E125" s="1416" t="s">
        <v>458</v>
      </c>
      <c r="F125" s="1416" t="s">
        <v>458</v>
      </c>
      <c r="G125" s="1416" t="s">
        <v>458</v>
      </c>
    </row>
    <row r="126" spans="2:7" hidden="1" outlineLevel="1">
      <c r="B126" s="1416" t="s">
        <v>1254</v>
      </c>
      <c r="C126" s="1416" t="s">
        <v>1724</v>
      </c>
      <c r="D126" s="1416" t="s">
        <v>1724</v>
      </c>
      <c r="E126" s="1887" t="s">
        <v>6542</v>
      </c>
      <c r="F126" s="1416" t="s">
        <v>1724</v>
      </c>
      <c r="G126" s="1416" t="s">
        <v>1724</v>
      </c>
    </row>
    <row r="127" spans="2:7" hidden="1" outlineLevel="1">
      <c r="B127" s="1416" t="s">
        <v>1255</v>
      </c>
      <c r="C127" s="1416" t="s">
        <v>340</v>
      </c>
      <c r="D127" s="1416" t="s">
        <v>340</v>
      </c>
      <c r="E127" s="1887" t="s">
        <v>6559</v>
      </c>
      <c r="F127" s="1416" t="s">
        <v>340</v>
      </c>
      <c r="G127" s="1416" t="s">
        <v>340</v>
      </c>
    </row>
    <row r="128" spans="2:7" hidden="1" outlineLevel="1">
      <c r="B128" s="1416" t="s">
        <v>1256</v>
      </c>
      <c r="C128" s="1416" t="s">
        <v>2757</v>
      </c>
      <c r="D128" s="1416" t="s">
        <v>2757</v>
      </c>
      <c r="E128" s="1887" t="s">
        <v>6560</v>
      </c>
      <c r="F128" s="1416" t="s">
        <v>2757</v>
      </c>
      <c r="G128" s="1416" t="s">
        <v>2757</v>
      </c>
    </row>
    <row r="129" spans="2:7" hidden="1" outlineLevel="1">
      <c r="B129" s="1416" t="s">
        <v>1257</v>
      </c>
      <c r="C129" s="1416" t="s">
        <v>341</v>
      </c>
      <c r="D129" s="1416" t="s">
        <v>341</v>
      </c>
      <c r="E129" s="1416" t="s">
        <v>341</v>
      </c>
      <c r="F129" s="1416" t="s">
        <v>341</v>
      </c>
      <c r="G129" s="1416" t="s">
        <v>341</v>
      </c>
    </row>
    <row r="130" spans="2:7" ht="24" hidden="1" outlineLevel="1">
      <c r="B130" s="1416" t="s">
        <v>1258</v>
      </c>
      <c r="C130" s="1416" t="s">
        <v>2526</v>
      </c>
      <c r="D130" s="1416" t="s">
        <v>2526</v>
      </c>
      <c r="E130" s="1887" t="s">
        <v>6561</v>
      </c>
      <c r="F130" s="1416" t="s">
        <v>2526</v>
      </c>
      <c r="G130" s="1416" t="s">
        <v>2526</v>
      </c>
    </row>
    <row r="131" spans="2:7" hidden="1" outlineLevel="1">
      <c r="B131" s="1416" t="s">
        <v>1259</v>
      </c>
      <c r="C131" s="1416" t="s">
        <v>342</v>
      </c>
      <c r="D131" s="1416" t="s">
        <v>342</v>
      </c>
      <c r="E131" s="1416" t="s">
        <v>342</v>
      </c>
      <c r="F131" s="1416" t="s">
        <v>342</v>
      </c>
      <c r="G131" s="1416" t="s">
        <v>342</v>
      </c>
    </row>
    <row r="132" spans="2:7" hidden="1" outlineLevel="1">
      <c r="B132" s="1416" t="s">
        <v>1260</v>
      </c>
      <c r="C132" s="1416" t="s">
        <v>2277</v>
      </c>
      <c r="D132" s="1416" t="s">
        <v>2277</v>
      </c>
      <c r="E132" s="1416" t="s">
        <v>2277</v>
      </c>
      <c r="F132" s="1416" t="s">
        <v>2277</v>
      </c>
      <c r="G132" s="1416" t="s">
        <v>2277</v>
      </c>
    </row>
    <row r="133" spans="2:7" hidden="1" outlineLevel="1">
      <c r="B133" s="1416" t="s">
        <v>1261</v>
      </c>
      <c r="C133" s="1416" t="s">
        <v>2527</v>
      </c>
      <c r="D133" s="1416" t="s">
        <v>2527</v>
      </c>
      <c r="E133" s="1416" t="s">
        <v>2527</v>
      </c>
      <c r="F133" s="1416" t="s">
        <v>2527</v>
      </c>
      <c r="G133" s="1416" t="s">
        <v>2527</v>
      </c>
    </row>
    <row r="134" spans="2:7" hidden="1" outlineLevel="1">
      <c r="B134" s="1416" t="s">
        <v>1262</v>
      </c>
      <c r="C134" s="1416" t="s">
        <v>124</v>
      </c>
      <c r="D134" s="1416" t="s">
        <v>124</v>
      </c>
      <c r="E134" s="1416" t="s">
        <v>124</v>
      </c>
      <c r="F134" s="1416" t="s">
        <v>124</v>
      </c>
      <c r="G134" s="1416" t="s">
        <v>124</v>
      </c>
    </row>
    <row r="135" spans="2:7" collapsed="1">
      <c r="B135" s="4329" t="s">
        <v>1075</v>
      </c>
      <c r="C135" s="4330"/>
      <c r="D135" s="4330"/>
      <c r="E135" s="4330"/>
      <c r="F135" s="4330"/>
      <c r="G135" s="4330"/>
    </row>
    <row r="136" spans="2:7" hidden="1" outlineLevel="1">
      <c r="B136" s="1416" t="s">
        <v>37</v>
      </c>
      <c r="C136" s="1416" t="s">
        <v>5597</v>
      </c>
      <c r="D136" s="1416" t="s">
        <v>5597</v>
      </c>
      <c r="E136" s="1887" t="s">
        <v>6562</v>
      </c>
      <c r="F136" s="1416" t="s">
        <v>5597</v>
      </c>
      <c r="G136" s="1416" t="s">
        <v>5597</v>
      </c>
    </row>
    <row r="137" spans="2:7" hidden="1" outlineLevel="1">
      <c r="B137" s="1416" t="s">
        <v>38</v>
      </c>
      <c r="C137" s="1416" t="s">
        <v>419</v>
      </c>
      <c r="D137" s="1416" t="s">
        <v>419</v>
      </c>
      <c r="E137" s="1416" t="s">
        <v>419</v>
      </c>
      <c r="F137" s="1416" t="s">
        <v>419</v>
      </c>
      <c r="G137" s="1416" t="s">
        <v>419</v>
      </c>
    </row>
    <row r="138" spans="2:7" hidden="1" outlineLevel="1">
      <c r="B138" s="1416" t="s">
        <v>39</v>
      </c>
      <c r="C138" s="1416" t="s">
        <v>5598</v>
      </c>
      <c r="D138" s="1416" t="s">
        <v>5598</v>
      </c>
      <c r="E138" s="1416" t="s">
        <v>5598</v>
      </c>
      <c r="F138" s="1416" t="s">
        <v>5598</v>
      </c>
      <c r="G138" s="1416" t="s">
        <v>5598</v>
      </c>
    </row>
    <row r="139" spans="2:7" hidden="1" outlineLevel="1">
      <c r="B139" s="1416" t="s">
        <v>41</v>
      </c>
      <c r="C139" s="1416" t="s">
        <v>5599</v>
      </c>
      <c r="D139" s="1416" t="s">
        <v>5599</v>
      </c>
      <c r="E139" s="1416" t="s">
        <v>5599</v>
      </c>
      <c r="F139" s="1416" t="s">
        <v>5599</v>
      </c>
      <c r="G139" s="1416" t="s">
        <v>5599</v>
      </c>
    </row>
    <row r="140" spans="2:7" hidden="1" outlineLevel="1">
      <c r="B140" s="1416" t="s">
        <v>1414</v>
      </c>
      <c r="C140" s="1416" t="s">
        <v>4655</v>
      </c>
      <c r="D140" s="1416" t="s">
        <v>4655</v>
      </c>
      <c r="E140" s="1416" t="s">
        <v>4655</v>
      </c>
      <c r="F140" s="1416" t="s">
        <v>4655</v>
      </c>
      <c r="G140" s="1416" t="s">
        <v>4655</v>
      </c>
    </row>
    <row r="141" spans="2:7" hidden="1" outlineLevel="1">
      <c r="B141" s="1416" t="s">
        <v>1071</v>
      </c>
      <c r="C141" s="1416" t="s">
        <v>5600</v>
      </c>
      <c r="D141" s="1416" t="s">
        <v>5600</v>
      </c>
      <c r="E141" s="1416" t="s">
        <v>6563</v>
      </c>
      <c r="F141" s="1416" t="s">
        <v>5600</v>
      </c>
      <c r="G141" s="1416" t="s">
        <v>5600</v>
      </c>
    </row>
    <row r="142" spans="2:7" hidden="1" outlineLevel="1">
      <c r="B142" s="1416" t="s">
        <v>1072</v>
      </c>
      <c r="C142" s="1416" t="s">
        <v>5601</v>
      </c>
      <c r="D142" s="1416" t="s">
        <v>5601</v>
      </c>
      <c r="E142" s="1416" t="s">
        <v>6564</v>
      </c>
      <c r="F142" s="1416" t="s">
        <v>5601</v>
      </c>
      <c r="G142" s="1416" t="s">
        <v>5601</v>
      </c>
    </row>
    <row r="143" spans="2:7" hidden="1" outlineLevel="1">
      <c r="B143" s="1416" t="s">
        <v>1224</v>
      </c>
      <c r="C143" s="1416" t="s">
        <v>5602</v>
      </c>
      <c r="D143" s="1416" t="s">
        <v>5602</v>
      </c>
      <c r="E143" s="1416" t="s">
        <v>5602</v>
      </c>
      <c r="F143" s="1416" t="s">
        <v>5602</v>
      </c>
      <c r="G143" s="1416" t="s">
        <v>5602</v>
      </c>
    </row>
    <row r="144" spans="2:7" hidden="1" outlineLevel="1">
      <c r="B144" s="1416" t="s">
        <v>1074</v>
      </c>
      <c r="C144" s="1416" t="s">
        <v>137</v>
      </c>
      <c r="D144" s="1416" t="s">
        <v>109</v>
      </c>
      <c r="E144" s="1887" t="s">
        <v>6565</v>
      </c>
      <c r="F144" s="1416" t="s">
        <v>109</v>
      </c>
      <c r="G144" s="1416" t="s">
        <v>109</v>
      </c>
    </row>
    <row r="145" spans="2:7">
      <c r="B145" s="4329" t="s">
        <v>2396</v>
      </c>
      <c r="C145" s="4330"/>
      <c r="D145" s="4330"/>
      <c r="E145" s="4330"/>
      <c r="F145" s="4330"/>
      <c r="G145" s="4330"/>
    </row>
    <row r="146" spans="2:7" ht="24" outlineLevel="1">
      <c r="B146" s="1416" t="s">
        <v>945</v>
      </c>
      <c r="C146" s="1416" t="s">
        <v>6566</v>
      </c>
      <c r="D146" s="1416" t="s">
        <v>6566</v>
      </c>
      <c r="E146" s="1887" t="s">
        <v>6567</v>
      </c>
      <c r="F146" s="1887" t="s">
        <v>6568</v>
      </c>
      <c r="G146" s="1887" t="s">
        <v>6567</v>
      </c>
    </row>
    <row r="147" spans="2:7" ht="24" outlineLevel="1">
      <c r="B147" s="1416" t="s">
        <v>2240</v>
      </c>
      <c r="C147" s="1887" t="s">
        <v>1978</v>
      </c>
      <c r="D147" s="1416" t="s">
        <v>5141</v>
      </c>
      <c r="E147" s="1887" t="s">
        <v>6569</v>
      </c>
      <c r="F147" s="1887" t="s">
        <v>6570</v>
      </c>
      <c r="G147" s="1887" t="s">
        <v>6571</v>
      </c>
    </row>
    <row r="148" spans="2:7" outlineLevel="1">
      <c r="B148" s="1416" t="s">
        <v>1662</v>
      </c>
      <c r="C148" s="1416" t="s">
        <v>1300</v>
      </c>
      <c r="D148" s="1416" t="s">
        <v>1300</v>
      </c>
      <c r="E148" s="1416" t="s">
        <v>1300</v>
      </c>
      <c r="F148" s="1416" t="s">
        <v>1300</v>
      </c>
      <c r="G148" s="1416" t="s">
        <v>1300</v>
      </c>
    </row>
    <row r="149" spans="2:7" outlineLevel="1">
      <c r="B149" s="1416" t="s">
        <v>2698</v>
      </c>
      <c r="C149" s="1416" t="s">
        <v>137</v>
      </c>
      <c r="D149" s="1416" t="s">
        <v>6572</v>
      </c>
      <c r="E149" s="1887" t="s">
        <v>6573</v>
      </c>
      <c r="F149" s="1416" t="s">
        <v>6572</v>
      </c>
      <c r="G149" s="1416" t="s">
        <v>6572</v>
      </c>
    </row>
    <row r="150" spans="2:7" outlineLevel="1">
      <c r="B150" s="1416" t="s">
        <v>719</v>
      </c>
      <c r="C150" s="1416" t="s">
        <v>6574</v>
      </c>
      <c r="D150" s="1416" t="s">
        <v>6574</v>
      </c>
      <c r="E150" s="1887" t="s">
        <v>5622</v>
      </c>
      <c r="F150" s="1416" t="s">
        <v>6574</v>
      </c>
      <c r="G150" s="1416" t="s">
        <v>6574</v>
      </c>
    </row>
    <row r="151" spans="2:7" ht="24" outlineLevel="1">
      <c r="B151" s="1416" t="s">
        <v>717</v>
      </c>
      <c r="C151" s="1416" t="s">
        <v>1806</v>
      </c>
      <c r="D151" s="1416" t="s">
        <v>1806</v>
      </c>
      <c r="E151" s="1887" t="s">
        <v>6575</v>
      </c>
      <c r="F151" s="1416" t="s">
        <v>1806</v>
      </c>
      <c r="G151" s="1416" t="s">
        <v>1806</v>
      </c>
    </row>
    <row r="152" spans="2:7" outlineLevel="1">
      <c r="B152" s="1416" t="s">
        <v>718</v>
      </c>
      <c r="C152" s="1416" t="s">
        <v>137</v>
      </c>
      <c r="D152" s="1416" t="s">
        <v>1807</v>
      </c>
      <c r="E152" s="1886" t="s">
        <v>6576</v>
      </c>
      <c r="F152" s="1416" t="s">
        <v>1807</v>
      </c>
      <c r="G152" s="1416" t="s">
        <v>1807</v>
      </c>
    </row>
    <row r="153" spans="2:7" outlineLevel="1">
      <c r="B153" s="1416" t="s">
        <v>1450</v>
      </c>
      <c r="C153" s="1416" t="s">
        <v>227</v>
      </c>
      <c r="D153" s="1416" t="s">
        <v>227</v>
      </c>
      <c r="E153" s="1416" t="s">
        <v>227</v>
      </c>
      <c r="F153" s="1416" t="s">
        <v>227</v>
      </c>
      <c r="G153" s="1416" t="s">
        <v>227</v>
      </c>
    </row>
    <row r="154" spans="2:7" ht="24" outlineLevel="1">
      <c r="B154" s="1416" t="s">
        <v>531</v>
      </c>
      <c r="C154" s="1416" t="s">
        <v>6577</v>
      </c>
      <c r="D154" s="1416" t="s">
        <v>6577</v>
      </c>
      <c r="E154" s="1887" t="s">
        <v>5586</v>
      </c>
      <c r="F154" s="1887" t="s">
        <v>6578</v>
      </c>
      <c r="G154" s="1416" t="s">
        <v>6577</v>
      </c>
    </row>
    <row r="155" spans="2:7" outlineLevel="1">
      <c r="B155" s="1416" t="s">
        <v>709</v>
      </c>
      <c r="C155" s="1416" t="s">
        <v>1097</v>
      </c>
      <c r="D155" s="1416" t="s">
        <v>1097</v>
      </c>
      <c r="E155" s="1416" t="s">
        <v>1097</v>
      </c>
      <c r="F155" s="1416" t="s">
        <v>1097</v>
      </c>
      <c r="G155" s="1416" t="s">
        <v>1097</v>
      </c>
    </row>
    <row r="156" spans="2:7" outlineLevel="1">
      <c r="B156" s="1416" t="s">
        <v>529</v>
      </c>
      <c r="C156" s="1416" t="s">
        <v>6579</v>
      </c>
      <c r="D156" s="1416" t="s">
        <v>6579</v>
      </c>
      <c r="E156" s="1887" t="s">
        <v>6580</v>
      </c>
      <c r="F156" s="1887" t="s">
        <v>6581</v>
      </c>
      <c r="G156" s="1416" t="s">
        <v>6579</v>
      </c>
    </row>
    <row r="157" spans="2:7" outlineLevel="1">
      <c r="B157" s="1416" t="s">
        <v>708</v>
      </c>
      <c r="C157" s="1416" t="s">
        <v>2525</v>
      </c>
      <c r="D157" s="1416" t="s">
        <v>2525</v>
      </c>
      <c r="E157" s="1887" t="s">
        <v>6582</v>
      </c>
      <c r="F157" s="1416" t="s">
        <v>2525</v>
      </c>
      <c r="G157" s="1416" t="s">
        <v>2525</v>
      </c>
    </row>
    <row r="158" spans="2:7" outlineLevel="1">
      <c r="B158" s="1416" t="s">
        <v>667</v>
      </c>
      <c r="C158" s="1416" t="s">
        <v>1276</v>
      </c>
      <c r="D158" s="1416" t="s">
        <v>1276</v>
      </c>
      <c r="E158" s="1416" t="s">
        <v>1276</v>
      </c>
      <c r="F158" s="1416" t="s">
        <v>1276</v>
      </c>
      <c r="G158" s="1416" t="s">
        <v>1276</v>
      </c>
    </row>
    <row r="159" spans="2:7" ht="24" outlineLevel="1">
      <c r="B159" s="1416" t="s">
        <v>1944</v>
      </c>
      <c r="C159" s="1416" t="s">
        <v>137</v>
      </c>
      <c r="D159" s="1416" t="s">
        <v>2009</v>
      </c>
      <c r="E159" s="1886" t="s">
        <v>6583</v>
      </c>
      <c r="F159" s="1416" t="s">
        <v>2009</v>
      </c>
      <c r="G159" s="1416" t="s">
        <v>2009</v>
      </c>
    </row>
    <row r="160" spans="2:7" outlineLevel="1">
      <c r="B160" s="1416" t="s">
        <v>1293</v>
      </c>
      <c r="C160" s="1416" t="s">
        <v>6584</v>
      </c>
      <c r="D160" s="1886" t="s">
        <v>2230</v>
      </c>
      <c r="E160" s="1887" t="s">
        <v>6585</v>
      </c>
      <c r="F160" s="1886" t="s">
        <v>2230</v>
      </c>
      <c r="G160" s="1886" t="s">
        <v>2230</v>
      </c>
    </row>
    <row r="161" spans="2:7" outlineLevel="1">
      <c r="B161" s="1416" t="s">
        <v>2241</v>
      </c>
      <c r="C161" s="1416" t="s">
        <v>1979</v>
      </c>
      <c r="D161" s="1416" t="s">
        <v>1979</v>
      </c>
      <c r="E161" s="1887" t="s">
        <v>6586</v>
      </c>
      <c r="F161" s="1887" t="s">
        <v>6587</v>
      </c>
      <c r="G161" s="1416" t="s">
        <v>1979</v>
      </c>
    </row>
    <row r="162" spans="2:7" outlineLevel="1">
      <c r="B162" s="1416" t="s">
        <v>2550</v>
      </c>
      <c r="C162" s="1416" t="s">
        <v>6588</v>
      </c>
      <c r="D162" s="1416" t="s">
        <v>6588</v>
      </c>
      <c r="E162" s="1887" t="s">
        <v>6589</v>
      </c>
      <c r="F162" s="1416" t="s">
        <v>6588</v>
      </c>
      <c r="G162" s="1887" t="s">
        <v>2685</v>
      </c>
    </row>
    <row r="163" spans="2:7" outlineLevel="1">
      <c r="B163" s="1416" t="s">
        <v>2751</v>
      </c>
      <c r="C163" s="1416" t="s">
        <v>6590</v>
      </c>
      <c r="D163" s="1887" t="s">
        <v>5576</v>
      </c>
      <c r="E163" s="1887" t="s">
        <v>6591</v>
      </c>
      <c r="F163" s="1887" t="s">
        <v>5576</v>
      </c>
      <c r="G163" s="1887" t="s">
        <v>5576</v>
      </c>
    </row>
    <row r="164" spans="2:7" outlineLevel="1">
      <c r="B164" s="1416" t="s">
        <v>1656</v>
      </c>
      <c r="C164" s="1416" t="s">
        <v>1657</v>
      </c>
      <c r="D164" s="1416" t="s">
        <v>1657</v>
      </c>
      <c r="E164" s="1416" t="s">
        <v>1657</v>
      </c>
      <c r="F164" s="1416" t="s">
        <v>1657</v>
      </c>
      <c r="G164" s="1416" t="s">
        <v>1657</v>
      </c>
    </row>
    <row r="165" spans="2:7" outlineLevel="1">
      <c r="B165" s="1416" t="s">
        <v>541</v>
      </c>
      <c r="C165" s="1416" t="s">
        <v>6592</v>
      </c>
      <c r="D165" s="1887" t="s">
        <v>542</v>
      </c>
      <c r="E165" s="1887" t="s">
        <v>542</v>
      </c>
      <c r="F165" s="1887" t="s">
        <v>542</v>
      </c>
      <c r="G165" s="1887" t="s">
        <v>542</v>
      </c>
    </row>
    <row r="166" spans="2:7" outlineLevel="1">
      <c r="B166" s="1416" t="s">
        <v>2694</v>
      </c>
      <c r="C166" s="1416" t="s">
        <v>137</v>
      </c>
      <c r="D166" s="1416" t="s">
        <v>6593</v>
      </c>
      <c r="E166" s="1887" t="s">
        <v>6594</v>
      </c>
      <c r="F166" s="1416" t="s">
        <v>6593</v>
      </c>
      <c r="G166" s="1416" t="s">
        <v>6593</v>
      </c>
    </row>
    <row r="167" spans="2:7" outlineLevel="1">
      <c r="B167" s="1416" t="s">
        <v>1056</v>
      </c>
      <c r="C167" s="1416" t="s">
        <v>1096</v>
      </c>
      <c r="D167" s="1416" t="s">
        <v>1096</v>
      </c>
      <c r="E167" s="1887" t="s">
        <v>6595</v>
      </c>
      <c r="F167" s="1416" t="s">
        <v>1096</v>
      </c>
      <c r="G167" s="1416" t="s">
        <v>1096</v>
      </c>
    </row>
    <row r="168" spans="2:7" outlineLevel="1">
      <c r="B168" s="1416" t="s">
        <v>1457</v>
      </c>
      <c r="C168" s="1416" t="s">
        <v>5604</v>
      </c>
      <c r="D168" s="1416" t="s">
        <v>5604</v>
      </c>
      <c r="E168" s="1887" t="s">
        <v>6596</v>
      </c>
      <c r="F168" s="1416" t="s">
        <v>5604</v>
      </c>
      <c r="G168" s="1416" t="s">
        <v>5604</v>
      </c>
    </row>
    <row r="169" spans="2:7" outlineLevel="1">
      <c r="B169" s="1416" t="s">
        <v>532</v>
      </c>
      <c r="C169" s="1416" t="s">
        <v>533</v>
      </c>
      <c r="D169" s="1416" t="s">
        <v>533</v>
      </c>
      <c r="E169" s="1416" t="s">
        <v>533</v>
      </c>
      <c r="F169" s="1416" t="s">
        <v>533</v>
      </c>
      <c r="G169" s="1416" t="s">
        <v>533</v>
      </c>
    </row>
    <row r="170" spans="2:7" outlineLevel="1">
      <c r="B170" s="1416" t="s">
        <v>1227</v>
      </c>
      <c r="C170" s="1416" t="s">
        <v>2394</v>
      </c>
      <c r="D170" s="1416" t="s">
        <v>2394</v>
      </c>
      <c r="E170" s="1416" t="s">
        <v>2394</v>
      </c>
      <c r="F170" s="1416" t="s">
        <v>2394</v>
      </c>
      <c r="G170" s="1416" t="s">
        <v>2394</v>
      </c>
    </row>
    <row r="171" spans="2:7" outlineLevel="1">
      <c r="B171" s="1416" t="s">
        <v>1455</v>
      </c>
      <c r="C171" s="1416" t="s">
        <v>1456</v>
      </c>
      <c r="D171" s="1416" t="s">
        <v>1456</v>
      </c>
      <c r="E171" s="1416" t="s">
        <v>1456</v>
      </c>
      <c r="F171" s="1416" t="s">
        <v>1456</v>
      </c>
      <c r="G171" s="1416" t="s">
        <v>1456</v>
      </c>
    </row>
    <row r="172" spans="2:7" outlineLevel="1">
      <c r="B172" s="1416" t="s">
        <v>2704</v>
      </c>
      <c r="C172" s="1416" t="s">
        <v>137</v>
      </c>
      <c r="D172" s="1416" t="s">
        <v>5605</v>
      </c>
      <c r="E172" s="1887" t="s">
        <v>6597</v>
      </c>
      <c r="F172" s="1887" t="s">
        <v>6598</v>
      </c>
      <c r="G172" s="1416" t="s">
        <v>5605</v>
      </c>
    </row>
    <row r="173" spans="2:7" outlineLevel="1">
      <c r="B173" s="1416" t="s">
        <v>1664</v>
      </c>
      <c r="C173" s="1416" t="s">
        <v>42</v>
      </c>
      <c r="D173" s="1416" t="s">
        <v>42</v>
      </c>
      <c r="E173" s="1416" t="s">
        <v>42</v>
      </c>
      <c r="F173" s="1416" t="s">
        <v>42</v>
      </c>
      <c r="G173" s="1416" t="s">
        <v>42</v>
      </c>
    </row>
    <row r="174" spans="2:7" outlineLevel="1">
      <c r="B174" s="1416" t="s">
        <v>2143</v>
      </c>
      <c r="C174" s="1416" t="s">
        <v>1978</v>
      </c>
      <c r="D174" s="1416" t="s">
        <v>1978</v>
      </c>
      <c r="E174" s="1416" t="s">
        <v>1978</v>
      </c>
      <c r="F174" s="1416" t="s">
        <v>1978</v>
      </c>
      <c r="G174" s="1416" t="s">
        <v>1978</v>
      </c>
    </row>
    <row r="175" spans="2:7" ht="24" outlineLevel="1">
      <c r="B175" s="1416" t="s">
        <v>2753</v>
      </c>
      <c r="C175" s="1416" t="s">
        <v>5606</v>
      </c>
      <c r="D175" s="1416" t="s">
        <v>5606</v>
      </c>
      <c r="E175" s="1416" t="s">
        <v>5606</v>
      </c>
      <c r="F175" s="1416" t="s">
        <v>5606</v>
      </c>
      <c r="G175" s="1416" t="s">
        <v>5606</v>
      </c>
    </row>
    <row r="176" spans="2:7" outlineLevel="1">
      <c r="B176" s="1416" t="s">
        <v>2700</v>
      </c>
      <c r="C176" s="1416" t="s">
        <v>137</v>
      </c>
      <c r="D176" s="1416" t="s">
        <v>6095</v>
      </c>
      <c r="E176" s="1887" t="s">
        <v>6599</v>
      </c>
      <c r="F176" s="1416" t="s">
        <v>6095</v>
      </c>
      <c r="G176" s="1416" t="s">
        <v>6095</v>
      </c>
    </row>
    <row r="177" spans="2:7" outlineLevel="1">
      <c r="B177" s="1416" t="s">
        <v>2244</v>
      </c>
      <c r="C177" s="1416" t="s">
        <v>6600</v>
      </c>
      <c r="D177" s="1887" t="s">
        <v>2083</v>
      </c>
      <c r="E177" s="1887" t="s">
        <v>2083</v>
      </c>
      <c r="F177" s="1887" t="s">
        <v>2083</v>
      </c>
      <c r="G177" s="1887" t="s">
        <v>2083</v>
      </c>
    </row>
    <row r="178" spans="2:7" outlineLevel="1">
      <c r="B178" s="1416" t="s">
        <v>2697</v>
      </c>
      <c r="C178" s="1416" t="s">
        <v>137</v>
      </c>
      <c r="D178" s="1416" t="s">
        <v>6601</v>
      </c>
      <c r="E178" s="1887" t="s">
        <v>6602</v>
      </c>
      <c r="F178" s="1416" t="s">
        <v>6601</v>
      </c>
      <c r="G178" s="1416" t="s">
        <v>6601</v>
      </c>
    </row>
    <row r="179" spans="2:7" outlineLevel="1">
      <c r="B179" s="1416" t="s">
        <v>1055</v>
      </c>
      <c r="C179" s="1416" t="s">
        <v>1095</v>
      </c>
      <c r="D179" s="1416" t="s">
        <v>1095</v>
      </c>
      <c r="E179" s="1887" t="s">
        <v>6603</v>
      </c>
      <c r="F179" s="1416" t="s">
        <v>1095</v>
      </c>
      <c r="G179" s="1416" t="s">
        <v>1095</v>
      </c>
    </row>
    <row r="180" spans="2:7" outlineLevel="1">
      <c r="B180" s="1416" t="s">
        <v>723</v>
      </c>
      <c r="C180" s="1416" t="s">
        <v>724</v>
      </c>
      <c r="D180" s="1416" t="s">
        <v>724</v>
      </c>
      <c r="E180" s="1416" t="s">
        <v>724</v>
      </c>
      <c r="F180" s="1416" t="s">
        <v>724</v>
      </c>
      <c r="G180" s="1416" t="s">
        <v>724</v>
      </c>
    </row>
    <row r="181" spans="2:7" outlineLevel="1">
      <c r="B181" s="1416" t="s">
        <v>539</v>
      </c>
      <c r="C181" s="1416" t="s">
        <v>540</v>
      </c>
      <c r="D181" s="1416" t="s">
        <v>540</v>
      </c>
      <c r="E181" s="1887" t="s">
        <v>6604</v>
      </c>
      <c r="F181" s="1416" t="s">
        <v>540</v>
      </c>
      <c r="G181" s="1416" t="s">
        <v>540</v>
      </c>
    </row>
    <row r="182" spans="2:7" ht="24" outlineLevel="1">
      <c r="B182" s="1416" t="s">
        <v>716</v>
      </c>
      <c r="C182" s="1416" t="s">
        <v>1805</v>
      </c>
      <c r="D182" s="1416" t="s">
        <v>1805</v>
      </c>
      <c r="E182" s="1887" t="s">
        <v>6605</v>
      </c>
      <c r="F182" s="1416" t="s">
        <v>1805</v>
      </c>
      <c r="G182" s="1416" t="s">
        <v>1805</v>
      </c>
    </row>
    <row r="183" spans="2:7" outlineLevel="1">
      <c r="B183" s="1416" t="s">
        <v>721</v>
      </c>
      <c r="C183" s="1416" t="s">
        <v>1843</v>
      </c>
      <c r="D183" s="1416" t="s">
        <v>1843</v>
      </c>
      <c r="E183" s="1416" t="s">
        <v>1843</v>
      </c>
      <c r="F183" s="1416" t="s">
        <v>1843</v>
      </c>
      <c r="G183" s="1416" t="s">
        <v>1843</v>
      </c>
    </row>
    <row r="184" spans="2:7" outlineLevel="1">
      <c r="B184" s="1416" t="s">
        <v>2695</v>
      </c>
      <c r="C184" s="1416" t="s">
        <v>137</v>
      </c>
      <c r="D184" s="1416" t="s">
        <v>6097</v>
      </c>
      <c r="E184" s="1887" t="s">
        <v>6606</v>
      </c>
      <c r="F184" s="1416" t="s">
        <v>6097</v>
      </c>
      <c r="G184" s="1416" t="s">
        <v>6097</v>
      </c>
    </row>
    <row r="185" spans="2:7" outlineLevel="1">
      <c r="B185" s="1416" t="s">
        <v>1446</v>
      </c>
      <c r="C185" s="1416" t="s">
        <v>5607</v>
      </c>
      <c r="D185" s="1416" t="s">
        <v>5607</v>
      </c>
      <c r="E185" s="1887" t="s">
        <v>6607</v>
      </c>
      <c r="F185" s="1416" t="s">
        <v>5607</v>
      </c>
      <c r="G185" s="1416" t="s">
        <v>5607</v>
      </c>
    </row>
    <row r="186" spans="2:7" ht="24" outlineLevel="1">
      <c r="B186" s="1416" t="s">
        <v>1447</v>
      </c>
      <c r="C186" s="1416" t="s">
        <v>6608</v>
      </c>
      <c r="D186" s="1416" t="s">
        <v>6608</v>
      </c>
      <c r="E186" s="1887" t="s">
        <v>6609</v>
      </c>
      <c r="F186" s="1416" t="s">
        <v>6608</v>
      </c>
      <c r="G186" s="1886" t="s">
        <v>1434</v>
      </c>
    </row>
    <row r="187" spans="2:7" outlineLevel="1">
      <c r="B187" s="1416" t="s">
        <v>2636</v>
      </c>
      <c r="C187" s="1416" t="s">
        <v>489</v>
      </c>
      <c r="D187" s="1416" t="s">
        <v>489</v>
      </c>
      <c r="E187" s="1416" t="s">
        <v>489</v>
      </c>
      <c r="F187" s="1416" t="s">
        <v>489</v>
      </c>
      <c r="G187" s="1416" t="s">
        <v>489</v>
      </c>
    </row>
    <row r="188" spans="2:7" outlineLevel="1">
      <c r="B188" s="1416" t="s">
        <v>1049</v>
      </c>
      <c r="C188" s="1416" t="s">
        <v>941</v>
      </c>
      <c r="D188" s="1416" t="s">
        <v>941</v>
      </c>
      <c r="E188" s="1887" t="s">
        <v>6610</v>
      </c>
      <c r="F188" s="1887" t="s">
        <v>6611</v>
      </c>
      <c r="G188" s="1416" t="s">
        <v>941</v>
      </c>
    </row>
    <row r="189" spans="2:7" outlineLevel="1">
      <c r="B189" s="1416" t="s">
        <v>942</v>
      </c>
      <c r="C189" s="1416" t="s">
        <v>6612</v>
      </c>
      <c r="D189" s="1887" t="s">
        <v>6613</v>
      </c>
      <c r="E189" s="1887" t="s">
        <v>2130</v>
      </c>
      <c r="F189" s="1887" t="s">
        <v>943</v>
      </c>
      <c r="G189" s="1887" t="s">
        <v>6613</v>
      </c>
    </row>
    <row r="190" spans="2:7" outlineLevel="1">
      <c r="B190" s="1416" t="s">
        <v>1659</v>
      </c>
      <c r="C190" s="1416" t="s">
        <v>2044</v>
      </c>
      <c r="D190" s="1416" t="s">
        <v>2044</v>
      </c>
      <c r="E190" s="1887" t="s">
        <v>6614</v>
      </c>
      <c r="F190" s="1416" t="s">
        <v>6615</v>
      </c>
      <c r="G190" s="1416" t="s">
        <v>6615</v>
      </c>
    </row>
    <row r="191" spans="2:7" outlineLevel="1">
      <c r="B191" s="1416" t="s">
        <v>543</v>
      </c>
      <c r="C191" s="1416" t="s">
        <v>6616</v>
      </c>
      <c r="D191" s="1887" t="s">
        <v>1292</v>
      </c>
      <c r="E191" s="1886" t="s">
        <v>6617</v>
      </c>
      <c r="F191" s="1887" t="s">
        <v>1292</v>
      </c>
      <c r="G191" s="1887" t="s">
        <v>1292</v>
      </c>
    </row>
    <row r="192" spans="2:7" outlineLevel="1">
      <c r="B192" s="1416" t="s">
        <v>1658</v>
      </c>
      <c r="C192" s="1416" t="s">
        <v>5608</v>
      </c>
      <c r="D192" s="1416" t="s">
        <v>5608</v>
      </c>
      <c r="E192" s="1416" t="s">
        <v>5608</v>
      </c>
      <c r="F192" s="1416" t="s">
        <v>5608</v>
      </c>
      <c r="G192" s="1416" t="s">
        <v>5608</v>
      </c>
    </row>
    <row r="193" spans="2:7" outlineLevel="1">
      <c r="B193" s="1416" t="s">
        <v>229</v>
      </c>
      <c r="C193" s="1416" t="s">
        <v>228</v>
      </c>
      <c r="D193" s="1416" t="s">
        <v>228</v>
      </c>
      <c r="E193" s="1416" t="s">
        <v>228</v>
      </c>
      <c r="F193" s="1416" t="s">
        <v>228</v>
      </c>
      <c r="G193" s="1416" t="s">
        <v>228</v>
      </c>
    </row>
    <row r="194" spans="2:7" ht="24" outlineLevel="1">
      <c r="B194" s="1416" t="s">
        <v>712</v>
      </c>
      <c r="C194" s="1416" t="s">
        <v>6618</v>
      </c>
      <c r="D194" s="1416" t="s">
        <v>6618</v>
      </c>
      <c r="E194" s="1887" t="s">
        <v>6619</v>
      </c>
      <c r="F194" s="1416" t="s">
        <v>6618</v>
      </c>
      <c r="G194" s="1886" t="s">
        <v>7174</v>
      </c>
    </row>
    <row r="195" spans="2:7" ht="24" outlineLevel="1">
      <c r="B195" s="1416" t="s">
        <v>713</v>
      </c>
      <c r="C195" s="1416" t="s">
        <v>6620</v>
      </c>
      <c r="D195" s="1416" t="s">
        <v>6620</v>
      </c>
      <c r="E195" s="1887" t="s">
        <v>6542</v>
      </c>
      <c r="F195" s="1416" t="s">
        <v>6620</v>
      </c>
      <c r="G195" s="1886" t="s">
        <v>7175</v>
      </c>
    </row>
    <row r="196" spans="2:7" outlineLevel="1">
      <c r="B196" s="1416" t="s">
        <v>524</v>
      </c>
      <c r="C196" s="1416" t="s">
        <v>525</v>
      </c>
      <c r="D196" s="1416" t="s">
        <v>525</v>
      </c>
      <c r="E196" s="1887" t="s">
        <v>6621</v>
      </c>
      <c r="F196" s="1416" t="s">
        <v>525</v>
      </c>
      <c r="G196" s="1416" t="s">
        <v>525</v>
      </c>
    </row>
    <row r="197" spans="2:7" outlineLevel="1">
      <c r="B197" s="1416" t="s">
        <v>1294</v>
      </c>
      <c r="C197" s="1416" t="s">
        <v>6622</v>
      </c>
      <c r="D197" s="1887" t="s">
        <v>6623</v>
      </c>
      <c r="E197" s="1887" t="s">
        <v>6624</v>
      </c>
      <c r="F197" s="1886" t="s">
        <v>1295</v>
      </c>
      <c r="G197" s="1887" t="s">
        <v>6625</v>
      </c>
    </row>
    <row r="198" spans="2:7" outlineLevel="1">
      <c r="B198" s="1416" t="s">
        <v>2703</v>
      </c>
      <c r="C198" s="1416" t="s">
        <v>137</v>
      </c>
      <c r="D198" s="1416" t="s">
        <v>5609</v>
      </c>
      <c r="E198" s="1887" t="s">
        <v>6626</v>
      </c>
      <c r="F198" s="1416" t="s">
        <v>5609</v>
      </c>
      <c r="G198" s="1416" t="s">
        <v>5609</v>
      </c>
    </row>
    <row r="199" spans="2:7" outlineLevel="1">
      <c r="B199" s="1416" t="s">
        <v>1452</v>
      </c>
      <c r="C199" s="1416" t="s">
        <v>358</v>
      </c>
      <c r="D199" s="1416" t="s">
        <v>358</v>
      </c>
      <c r="E199" s="1416" t="s">
        <v>358</v>
      </c>
      <c r="F199" s="1416" t="s">
        <v>358</v>
      </c>
      <c r="G199" s="1416" t="s">
        <v>358</v>
      </c>
    </row>
    <row r="200" spans="2:7" outlineLevel="1">
      <c r="B200" s="1416" t="s">
        <v>1983</v>
      </c>
      <c r="C200" s="1416" t="s">
        <v>1982</v>
      </c>
      <c r="D200" s="1416" t="s">
        <v>1982</v>
      </c>
      <c r="E200" s="1416" t="s">
        <v>1982</v>
      </c>
      <c r="F200" s="1416" t="s">
        <v>1982</v>
      </c>
      <c r="G200" s="1416" t="s">
        <v>1982</v>
      </c>
    </row>
    <row r="201" spans="2:7" outlineLevel="1">
      <c r="B201" s="1416" t="s">
        <v>711</v>
      </c>
      <c r="C201" s="1416" t="s">
        <v>6627</v>
      </c>
      <c r="D201" s="1416" t="s">
        <v>6627</v>
      </c>
      <c r="E201" s="1887" t="s">
        <v>6628</v>
      </c>
      <c r="F201" s="1416" t="s">
        <v>6627</v>
      </c>
      <c r="G201" s="1416" t="s">
        <v>6627</v>
      </c>
    </row>
    <row r="202" spans="2:7" outlineLevel="1">
      <c r="B202" s="1416" t="s">
        <v>172</v>
      </c>
      <c r="C202" s="1416" t="s">
        <v>2692</v>
      </c>
      <c r="D202" s="1416" t="s">
        <v>2692</v>
      </c>
      <c r="E202" s="1416" t="s">
        <v>2692</v>
      </c>
      <c r="F202" s="1416" t="s">
        <v>2692</v>
      </c>
      <c r="G202" s="1416" t="s">
        <v>2692</v>
      </c>
    </row>
    <row r="203" spans="2:7" outlineLevel="1">
      <c r="B203" s="1416" t="s">
        <v>1078</v>
      </c>
      <c r="C203" s="1416" t="s">
        <v>5611</v>
      </c>
      <c r="D203" s="1416" t="s">
        <v>5611</v>
      </c>
      <c r="E203" s="1416" t="s">
        <v>5611</v>
      </c>
      <c r="F203" s="1416" t="s">
        <v>5611</v>
      </c>
      <c r="G203" s="1416" t="s">
        <v>5611</v>
      </c>
    </row>
    <row r="204" spans="2:7" outlineLevel="1">
      <c r="B204" s="1416" t="s">
        <v>1958</v>
      </c>
      <c r="C204" s="1416" t="s">
        <v>1981</v>
      </c>
      <c r="D204" s="1416" t="s">
        <v>1981</v>
      </c>
      <c r="E204" s="1416" t="s">
        <v>1981</v>
      </c>
      <c r="F204" s="1416" t="s">
        <v>1981</v>
      </c>
      <c r="G204" s="1416" t="s">
        <v>1981</v>
      </c>
    </row>
    <row r="205" spans="2:7" outlineLevel="1">
      <c r="B205" s="1416" t="s">
        <v>538</v>
      </c>
      <c r="C205" s="1416" t="s">
        <v>2523</v>
      </c>
      <c r="D205" s="1416" t="s">
        <v>2523</v>
      </c>
      <c r="E205" s="1416" t="s">
        <v>2523</v>
      </c>
      <c r="F205" s="1416" t="s">
        <v>2523</v>
      </c>
      <c r="G205" s="1416" t="s">
        <v>2523</v>
      </c>
    </row>
    <row r="206" spans="2:7" outlineLevel="1">
      <c r="B206" s="1416" t="s">
        <v>722</v>
      </c>
      <c r="C206" s="1416" t="s">
        <v>5612</v>
      </c>
      <c r="D206" s="1416" t="s">
        <v>5612</v>
      </c>
      <c r="E206" s="1887" t="s">
        <v>6629</v>
      </c>
      <c r="F206" s="1416" t="s">
        <v>5612</v>
      </c>
      <c r="G206" s="1416" t="s">
        <v>5612</v>
      </c>
    </row>
    <row r="207" spans="2:7" ht="24" outlineLevel="1">
      <c r="B207" s="1416" t="s">
        <v>1077</v>
      </c>
      <c r="C207" s="1416" t="s">
        <v>173</v>
      </c>
      <c r="D207" s="1416" t="s">
        <v>173</v>
      </c>
      <c r="E207" s="1887" t="s">
        <v>6630</v>
      </c>
      <c r="F207" s="1416" t="s">
        <v>173</v>
      </c>
      <c r="G207" s="1416" t="s">
        <v>173</v>
      </c>
    </row>
    <row r="208" spans="2:7" outlineLevel="1">
      <c r="B208" s="1416" t="s">
        <v>2243</v>
      </c>
      <c r="C208" s="1886" t="s">
        <v>6631</v>
      </c>
      <c r="D208" s="1886" t="s">
        <v>6631</v>
      </c>
      <c r="E208" s="1416" t="s">
        <v>1123</v>
      </c>
      <c r="F208" s="1416" t="s">
        <v>1123</v>
      </c>
      <c r="G208" s="1416" t="s">
        <v>1123</v>
      </c>
    </row>
    <row r="209" spans="2:7" outlineLevel="1">
      <c r="B209" s="1416" t="s">
        <v>2245</v>
      </c>
      <c r="C209" s="1416" t="s">
        <v>1980</v>
      </c>
      <c r="D209" s="1416" t="s">
        <v>1980</v>
      </c>
      <c r="E209" s="1887" t="s">
        <v>6632</v>
      </c>
      <c r="F209" s="1416" t="s">
        <v>1980</v>
      </c>
      <c r="G209" s="1416" t="s">
        <v>1980</v>
      </c>
    </row>
    <row r="210" spans="2:7" outlineLevel="1">
      <c r="B210" s="1416" t="s">
        <v>1370</v>
      </c>
      <c r="C210" s="1416" t="s">
        <v>5613</v>
      </c>
      <c r="D210" s="1416" t="s">
        <v>5613</v>
      </c>
      <c r="E210" s="1887" t="s">
        <v>6633</v>
      </c>
      <c r="F210" s="1416" t="s">
        <v>5613</v>
      </c>
      <c r="G210" s="1416" t="s">
        <v>5613</v>
      </c>
    </row>
    <row r="211" spans="2:7" outlineLevel="1">
      <c r="B211" s="1416" t="s">
        <v>315</v>
      </c>
      <c r="C211" s="1416" t="s">
        <v>6634</v>
      </c>
      <c r="D211" s="1416" t="s">
        <v>6634</v>
      </c>
      <c r="E211" s="1887" t="s">
        <v>6635</v>
      </c>
      <c r="F211" s="1887" t="s">
        <v>6635</v>
      </c>
      <c r="G211" s="1416" t="s">
        <v>6636</v>
      </c>
    </row>
    <row r="212" spans="2:7" outlineLevel="1">
      <c r="B212" s="1416" t="s">
        <v>1660</v>
      </c>
      <c r="C212" s="1416" t="s">
        <v>1661</v>
      </c>
      <c r="D212" s="1416" t="s">
        <v>1661</v>
      </c>
      <c r="E212" s="1887" t="s">
        <v>6537</v>
      </c>
      <c r="F212" s="1416" t="s">
        <v>1661</v>
      </c>
      <c r="G212" s="1416" t="s">
        <v>1661</v>
      </c>
    </row>
    <row r="213" spans="2:7" outlineLevel="1">
      <c r="B213" s="1416" t="s">
        <v>534</v>
      </c>
      <c r="C213" s="1416" t="s">
        <v>5614</v>
      </c>
      <c r="D213" s="1416" t="s">
        <v>5614</v>
      </c>
      <c r="E213" s="1887" t="s">
        <v>530</v>
      </c>
      <c r="F213" s="1416" t="s">
        <v>5614</v>
      </c>
      <c r="G213" s="1416" t="s">
        <v>5614</v>
      </c>
    </row>
    <row r="214" spans="2:7" outlineLevel="1">
      <c r="B214" s="1416" t="s">
        <v>1959</v>
      </c>
      <c r="C214" s="1416" t="s">
        <v>5615</v>
      </c>
      <c r="D214" s="1416" t="s">
        <v>5615</v>
      </c>
      <c r="E214" s="1887" t="s">
        <v>6637</v>
      </c>
      <c r="F214" s="1416" t="s">
        <v>5615</v>
      </c>
      <c r="G214" s="1416" t="s">
        <v>5615</v>
      </c>
    </row>
    <row r="215" spans="2:7" outlineLevel="1">
      <c r="B215" s="1416" t="s">
        <v>2551</v>
      </c>
      <c r="C215" s="1416" t="s">
        <v>666</v>
      </c>
      <c r="D215" s="1416" t="s">
        <v>666</v>
      </c>
      <c r="E215" s="1416" t="s">
        <v>6638</v>
      </c>
      <c r="F215" s="1416" t="s">
        <v>666</v>
      </c>
      <c r="G215" s="1416" t="s">
        <v>666</v>
      </c>
    </row>
    <row r="216" spans="2:7" ht="24" outlineLevel="1">
      <c r="B216" s="1416" t="s">
        <v>319</v>
      </c>
      <c r="C216" s="1416" t="s">
        <v>1929</v>
      </c>
      <c r="D216" s="1416" t="s">
        <v>1929</v>
      </c>
      <c r="E216" s="1886" t="s">
        <v>6639</v>
      </c>
      <c r="F216" s="1416" t="s">
        <v>1929</v>
      </c>
      <c r="G216" s="1416" t="s">
        <v>1929</v>
      </c>
    </row>
    <row r="217" spans="2:7" ht="24" outlineLevel="1">
      <c r="B217" s="1416" t="s">
        <v>317</v>
      </c>
      <c r="C217" s="1416" t="s">
        <v>318</v>
      </c>
      <c r="D217" s="1416" t="s">
        <v>318</v>
      </c>
      <c r="E217" s="1887" t="s">
        <v>6640</v>
      </c>
      <c r="F217" s="1416" t="s">
        <v>318</v>
      </c>
      <c r="G217" s="1416" t="s">
        <v>318</v>
      </c>
    </row>
    <row r="218" spans="2:7" ht="24" outlineLevel="1">
      <c r="B218" s="1416" t="s">
        <v>1443</v>
      </c>
      <c r="C218" s="1416" t="s">
        <v>1444</v>
      </c>
      <c r="D218" s="1416" t="s">
        <v>1444</v>
      </c>
      <c r="E218" s="1886" t="s">
        <v>6641</v>
      </c>
      <c r="F218" s="1416" t="s">
        <v>1444</v>
      </c>
      <c r="G218" s="1416" t="s">
        <v>1444</v>
      </c>
    </row>
    <row r="219" spans="2:7" outlineLevel="1">
      <c r="B219" s="1416" t="s">
        <v>710</v>
      </c>
      <c r="C219" s="1416" t="s">
        <v>5616</v>
      </c>
      <c r="D219" s="1416" t="s">
        <v>5616</v>
      </c>
      <c r="E219" s="1887" t="s">
        <v>6642</v>
      </c>
      <c r="F219" s="1416" t="s">
        <v>5616</v>
      </c>
      <c r="G219" s="1416" t="s">
        <v>5616</v>
      </c>
    </row>
    <row r="220" spans="2:7" outlineLevel="1">
      <c r="B220" s="1416" t="s">
        <v>946</v>
      </c>
      <c r="C220" s="1416" t="s">
        <v>1753</v>
      </c>
      <c r="D220" s="1416" t="s">
        <v>1753</v>
      </c>
      <c r="E220" s="1416" t="s">
        <v>1753</v>
      </c>
      <c r="F220" s="1416" t="s">
        <v>1753</v>
      </c>
      <c r="G220" s="1416" t="s">
        <v>1753</v>
      </c>
    </row>
    <row r="221" spans="2:7" outlineLevel="1">
      <c r="B221" s="1416" t="s">
        <v>1850</v>
      </c>
      <c r="C221" s="1416" t="s">
        <v>6643</v>
      </c>
      <c r="D221" s="1416" t="s">
        <v>6643</v>
      </c>
      <c r="E221" s="1887" t="s">
        <v>1536</v>
      </c>
      <c r="F221" s="1416" t="s">
        <v>6643</v>
      </c>
      <c r="G221" s="1416" t="s">
        <v>6643</v>
      </c>
    </row>
    <row r="222" spans="2:7" outlineLevel="1">
      <c r="B222" s="1416" t="s">
        <v>1259</v>
      </c>
      <c r="C222" s="1416" t="s">
        <v>337</v>
      </c>
      <c r="D222" s="1416" t="s">
        <v>337</v>
      </c>
      <c r="E222" s="1416" t="s">
        <v>337</v>
      </c>
      <c r="F222" s="1416" t="s">
        <v>337</v>
      </c>
      <c r="G222" s="1886" t="s">
        <v>342</v>
      </c>
    </row>
    <row r="223" spans="2:7" outlineLevel="1">
      <c r="B223" s="1416" t="s">
        <v>1663</v>
      </c>
      <c r="C223" s="1416" t="s">
        <v>5618</v>
      </c>
      <c r="D223" s="1416" t="s">
        <v>5618</v>
      </c>
      <c r="E223" s="1887" t="s">
        <v>6644</v>
      </c>
      <c r="F223" s="1416" t="s">
        <v>5618</v>
      </c>
      <c r="G223" s="1416" t="s">
        <v>5618</v>
      </c>
    </row>
    <row r="224" spans="2:7" outlineLevel="1">
      <c r="B224" s="1416" t="s">
        <v>715</v>
      </c>
      <c r="C224" s="2125" t="s">
        <v>5619</v>
      </c>
      <c r="D224" s="2125" t="s">
        <v>5619</v>
      </c>
      <c r="E224" s="2127" t="s">
        <v>6645</v>
      </c>
      <c r="F224" s="2125" t="s">
        <v>5619</v>
      </c>
      <c r="G224" s="2125" t="s">
        <v>5619</v>
      </c>
    </row>
    <row r="225" spans="2:7" outlineLevel="1">
      <c r="B225" s="1416" t="s">
        <v>2701</v>
      </c>
      <c r="C225" s="1416" t="s">
        <v>137</v>
      </c>
      <c r="D225" s="1416" t="s">
        <v>6646</v>
      </c>
      <c r="E225" s="1887" t="s">
        <v>6647</v>
      </c>
      <c r="F225" s="1416" t="s">
        <v>6646</v>
      </c>
      <c r="G225" s="1416" t="s">
        <v>6646</v>
      </c>
    </row>
    <row r="226" spans="2:7" ht="24" outlineLevel="1">
      <c r="B226" s="1416" t="s">
        <v>535</v>
      </c>
      <c r="C226" s="1416" t="s">
        <v>2631</v>
      </c>
      <c r="D226" s="1416" t="s">
        <v>2631</v>
      </c>
      <c r="E226" s="1416" t="s">
        <v>2631</v>
      </c>
      <c r="F226" s="1416" t="s">
        <v>2631</v>
      </c>
      <c r="G226" s="1416" t="s">
        <v>2631</v>
      </c>
    </row>
    <row r="227" spans="2:7" outlineLevel="1">
      <c r="B227" s="1416" t="s">
        <v>1451</v>
      </c>
      <c r="C227" s="1416" t="s">
        <v>2144</v>
      </c>
      <c r="D227" s="1416" t="s">
        <v>2144</v>
      </c>
      <c r="E227" s="1416" t="s">
        <v>2144</v>
      </c>
      <c r="F227" s="1416" t="s">
        <v>2144</v>
      </c>
      <c r="G227" s="1416" t="s">
        <v>2144</v>
      </c>
    </row>
    <row r="228" spans="2:7" outlineLevel="1">
      <c r="B228" s="1416" t="s">
        <v>2696</v>
      </c>
      <c r="C228" s="1416" t="s">
        <v>137</v>
      </c>
      <c r="D228" s="1416" t="s">
        <v>6098</v>
      </c>
      <c r="E228" s="1887" t="s">
        <v>6648</v>
      </c>
      <c r="F228" s="1416" t="s">
        <v>6098</v>
      </c>
      <c r="G228" s="1416" t="s">
        <v>6098</v>
      </c>
    </row>
    <row r="229" spans="2:7" outlineLevel="1">
      <c r="B229" s="1416" t="s">
        <v>2702</v>
      </c>
      <c r="C229" s="1416" t="s">
        <v>137</v>
      </c>
      <c r="D229" s="1416" t="s">
        <v>6649</v>
      </c>
      <c r="E229" s="1887" t="s">
        <v>6650</v>
      </c>
      <c r="F229" s="1416" t="s">
        <v>6649</v>
      </c>
      <c r="G229" s="1886" t="s">
        <v>6651</v>
      </c>
    </row>
    <row r="230" spans="2:7" outlineLevel="1">
      <c r="B230" s="1416" t="s">
        <v>2242</v>
      </c>
      <c r="C230" s="1416" t="s">
        <v>876</v>
      </c>
      <c r="D230" s="1416" t="s">
        <v>876</v>
      </c>
      <c r="E230" s="1887" t="s">
        <v>6652</v>
      </c>
      <c r="F230" s="1416" t="s">
        <v>876</v>
      </c>
      <c r="G230" s="1416" t="s">
        <v>876</v>
      </c>
    </row>
    <row r="231" spans="2:7" outlineLevel="1">
      <c r="B231" s="1416" t="s">
        <v>1448</v>
      </c>
      <c r="C231" s="1416" t="s">
        <v>1449</v>
      </c>
      <c r="D231" s="1416" t="s">
        <v>1449</v>
      </c>
      <c r="E231" s="1887" t="s">
        <v>6653</v>
      </c>
      <c r="F231" s="1416" t="s">
        <v>1449</v>
      </c>
      <c r="G231" s="1416" t="s">
        <v>1449</v>
      </c>
    </row>
    <row r="232" spans="2:7" outlineLevel="1">
      <c r="B232" s="1416" t="s">
        <v>2693</v>
      </c>
      <c r="C232" s="1416" t="s">
        <v>137</v>
      </c>
      <c r="D232" s="1416" t="s">
        <v>5623</v>
      </c>
      <c r="E232" s="1886" t="s">
        <v>6654</v>
      </c>
      <c r="F232" s="1416" t="s">
        <v>5623</v>
      </c>
      <c r="G232" s="1416" t="s">
        <v>5623</v>
      </c>
    </row>
    <row r="233" spans="2:7" outlineLevel="1">
      <c r="B233" s="1416" t="s">
        <v>2699</v>
      </c>
      <c r="C233" s="1416" t="s">
        <v>137</v>
      </c>
      <c r="D233" s="1416" t="s">
        <v>2008</v>
      </c>
      <c r="E233" s="1416" t="s">
        <v>2008</v>
      </c>
      <c r="F233" s="1416" t="s">
        <v>2008</v>
      </c>
      <c r="G233" s="1416" t="s">
        <v>2008</v>
      </c>
    </row>
    <row r="234" spans="2:7" outlineLevel="1">
      <c r="B234" s="1416" t="s">
        <v>944</v>
      </c>
      <c r="C234" s="1416" t="s">
        <v>2487</v>
      </c>
      <c r="D234" s="1416" t="s">
        <v>2487</v>
      </c>
      <c r="E234" s="1416" t="s">
        <v>2487</v>
      </c>
      <c r="F234" s="1416" t="s">
        <v>2487</v>
      </c>
      <c r="G234" s="1416" t="s">
        <v>2487</v>
      </c>
    </row>
    <row r="235" spans="2:7" outlineLevel="1">
      <c r="B235" s="1416" t="s">
        <v>536</v>
      </c>
      <c r="C235" s="1416" t="s">
        <v>5621</v>
      </c>
      <c r="D235" s="1416" t="s">
        <v>5621</v>
      </c>
      <c r="E235" s="1887" t="s">
        <v>6655</v>
      </c>
      <c r="F235" s="1416" t="s">
        <v>5621</v>
      </c>
      <c r="G235" s="1416" t="s">
        <v>5621</v>
      </c>
    </row>
    <row r="236" spans="2:7" outlineLevel="1">
      <c r="B236" s="1416" t="s">
        <v>537</v>
      </c>
      <c r="C236" s="1416" t="s">
        <v>412</v>
      </c>
      <c r="D236" s="1416" t="s">
        <v>412</v>
      </c>
      <c r="E236" s="1887" t="s">
        <v>6656</v>
      </c>
      <c r="F236" s="1416" t="s">
        <v>412</v>
      </c>
      <c r="G236" s="1416" t="s">
        <v>412</v>
      </c>
    </row>
    <row r="237" spans="2:7" outlineLevel="1">
      <c r="B237" s="1416" t="s">
        <v>1453</v>
      </c>
      <c r="C237" s="1416" t="s">
        <v>1454</v>
      </c>
      <c r="D237" s="1416" t="s">
        <v>1454</v>
      </c>
      <c r="E237" s="1887" t="s">
        <v>6657</v>
      </c>
      <c r="F237" s="1416" t="s">
        <v>1454</v>
      </c>
      <c r="G237" s="1416" t="s">
        <v>1454</v>
      </c>
    </row>
    <row r="238" spans="2:7" outlineLevel="1">
      <c r="B238" s="1416" t="s">
        <v>527</v>
      </c>
      <c r="C238" s="1416" t="s">
        <v>528</v>
      </c>
      <c r="D238" s="1416" t="s">
        <v>528</v>
      </c>
      <c r="E238" s="1416" t="s">
        <v>528</v>
      </c>
      <c r="F238" s="1887" t="s">
        <v>6658</v>
      </c>
      <c r="G238" s="1887" t="s">
        <v>6658</v>
      </c>
    </row>
    <row r="239" spans="2:7" outlineLevel="1">
      <c r="B239" s="1416" t="s">
        <v>714</v>
      </c>
      <c r="C239" s="1416" t="s">
        <v>1804</v>
      </c>
      <c r="D239" s="1416" t="s">
        <v>1804</v>
      </c>
      <c r="E239" s="1416" t="s">
        <v>1804</v>
      </c>
      <c r="F239" s="1416" t="s">
        <v>1804</v>
      </c>
      <c r="G239" s="1416" t="s">
        <v>1804</v>
      </c>
    </row>
    <row r="240" spans="2:7" outlineLevel="1">
      <c r="B240" s="1416" t="s">
        <v>526</v>
      </c>
      <c r="C240" s="1416" t="s">
        <v>1522</v>
      </c>
      <c r="D240" s="1416" t="s">
        <v>1522</v>
      </c>
      <c r="E240" s="1416" t="s">
        <v>1522</v>
      </c>
      <c r="F240" s="1416" t="s">
        <v>1522</v>
      </c>
      <c r="G240" s="1416" t="s">
        <v>1522</v>
      </c>
    </row>
    <row r="241" spans="2:7" outlineLevel="1">
      <c r="B241" s="1416" t="s">
        <v>1445</v>
      </c>
      <c r="C241" s="1416" t="s">
        <v>875</v>
      </c>
      <c r="D241" s="1416" t="s">
        <v>875</v>
      </c>
      <c r="E241" s="1416" t="s">
        <v>875</v>
      </c>
      <c r="F241" s="1416" t="s">
        <v>875</v>
      </c>
      <c r="G241" s="1416" t="s">
        <v>875</v>
      </c>
    </row>
    <row r="242" spans="2:7" ht="24" outlineLevel="1">
      <c r="B242" s="1416"/>
      <c r="C242" s="1416" t="s">
        <v>6659</v>
      </c>
      <c r="D242" s="1416" t="s">
        <v>6659</v>
      </c>
      <c r="E242" s="1887" t="s">
        <v>6660</v>
      </c>
      <c r="F242" s="1416" t="s">
        <v>6659</v>
      </c>
      <c r="G242" s="1416" t="s">
        <v>6659</v>
      </c>
    </row>
    <row r="243" spans="2:7" outlineLevel="1">
      <c r="B243" s="1416"/>
      <c r="C243" s="1416" t="s">
        <v>6661</v>
      </c>
      <c r="D243" s="1416" t="s">
        <v>6661</v>
      </c>
      <c r="E243" s="1416" t="s">
        <v>6661</v>
      </c>
      <c r="F243" s="1416" t="s">
        <v>6661</v>
      </c>
      <c r="G243" s="1416" t="s">
        <v>6661</v>
      </c>
    </row>
    <row r="244" spans="2:7" outlineLevel="1">
      <c r="B244" s="1416"/>
      <c r="C244" s="1416" t="s">
        <v>6662</v>
      </c>
      <c r="D244" s="1416" t="s">
        <v>6662</v>
      </c>
      <c r="E244" s="1887" t="s">
        <v>6663</v>
      </c>
      <c r="F244" s="1887" t="s">
        <v>6664</v>
      </c>
      <c r="G244" s="1887" t="s">
        <v>6663</v>
      </c>
    </row>
    <row r="245" spans="2:7" outlineLevel="1">
      <c r="B245" s="1416"/>
      <c r="C245" s="1416" t="s">
        <v>6665</v>
      </c>
      <c r="D245" s="1416" t="s">
        <v>6665</v>
      </c>
      <c r="E245" s="1887" t="s">
        <v>6666</v>
      </c>
      <c r="F245" s="1887" t="s">
        <v>6667</v>
      </c>
      <c r="G245" s="1416" t="s">
        <v>6665</v>
      </c>
    </row>
    <row r="246" spans="2:7" collapsed="1">
      <c r="B246" s="4329" t="s">
        <v>1556</v>
      </c>
      <c r="C246" s="4330"/>
      <c r="D246" s="4330"/>
      <c r="E246" s="4330"/>
      <c r="F246" s="4330"/>
      <c r="G246" s="4330"/>
    </row>
    <row r="247" spans="2:7" hidden="1" outlineLevel="1">
      <c r="B247" s="1416" t="s">
        <v>2348</v>
      </c>
      <c r="C247" s="1416" t="s">
        <v>685</v>
      </c>
      <c r="D247" s="1416" t="s">
        <v>685</v>
      </c>
      <c r="E247" s="1887" t="s">
        <v>6668</v>
      </c>
      <c r="F247" s="1416" t="s">
        <v>685</v>
      </c>
      <c r="G247" s="1416" t="s">
        <v>685</v>
      </c>
    </row>
    <row r="248" spans="2:7" hidden="1" outlineLevel="1">
      <c r="B248" s="1416" t="s">
        <v>2349</v>
      </c>
      <c r="C248" s="1416" t="s">
        <v>4016</v>
      </c>
      <c r="D248" s="1416" t="s">
        <v>4016</v>
      </c>
      <c r="E248" s="1887" t="s">
        <v>6669</v>
      </c>
      <c r="F248" s="1416" t="s">
        <v>4016</v>
      </c>
      <c r="G248" s="1416" t="s">
        <v>4016</v>
      </c>
    </row>
    <row r="249" spans="2:7" hidden="1" outlineLevel="1">
      <c r="B249" s="1416" t="s">
        <v>402</v>
      </c>
      <c r="C249" s="1416" t="s">
        <v>927</v>
      </c>
      <c r="D249" s="1416" t="s">
        <v>927</v>
      </c>
      <c r="E249" s="1416" t="s">
        <v>927</v>
      </c>
      <c r="F249" s="1416" t="s">
        <v>927</v>
      </c>
      <c r="G249" s="1416" t="s">
        <v>927</v>
      </c>
    </row>
    <row r="250" spans="2:7" hidden="1" outlineLevel="1">
      <c r="B250" s="1416" t="s">
        <v>2536</v>
      </c>
      <c r="C250" s="1416" t="s">
        <v>2019</v>
      </c>
      <c r="D250" s="1416" t="s">
        <v>2019</v>
      </c>
      <c r="E250" s="1416" t="s">
        <v>2019</v>
      </c>
      <c r="F250" s="1416" t="s">
        <v>2019</v>
      </c>
      <c r="G250" s="1416" t="s">
        <v>2019</v>
      </c>
    </row>
    <row r="251" spans="2:7" hidden="1" outlineLevel="1">
      <c r="B251" s="1416" t="s">
        <v>384</v>
      </c>
      <c r="C251" s="1416" t="s">
        <v>386</v>
      </c>
      <c r="D251" s="1416" t="s">
        <v>386</v>
      </c>
      <c r="E251" s="1416" t="s">
        <v>386</v>
      </c>
      <c r="F251" s="1416" t="s">
        <v>386</v>
      </c>
      <c r="G251" s="1416" t="s">
        <v>386</v>
      </c>
    </row>
    <row r="252" spans="2:7" ht="24" hidden="1" outlineLevel="1">
      <c r="B252" s="1416" t="s">
        <v>2537</v>
      </c>
      <c r="C252" s="1416" t="s">
        <v>6670</v>
      </c>
      <c r="D252" s="1416" t="s">
        <v>6670</v>
      </c>
      <c r="E252" s="1887" t="s">
        <v>6671</v>
      </c>
      <c r="F252" s="1416" t="s">
        <v>6670</v>
      </c>
      <c r="G252" s="1887" t="s">
        <v>1744</v>
      </c>
    </row>
    <row r="253" spans="2:7" ht="24" hidden="1" outlineLevel="1">
      <c r="B253" s="1416" t="s">
        <v>2538</v>
      </c>
      <c r="C253" s="1416" t="s">
        <v>6672</v>
      </c>
      <c r="D253" s="1416" t="s">
        <v>6672</v>
      </c>
      <c r="E253" s="1887" t="s">
        <v>2018</v>
      </c>
      <c r="F253" s="1416" t="s">
        <v>6672</v>
      </c>
      <c r="G253" s="1887" t="s">
        <v>2018</v>
      </c>
    </row>
    <row r="254" spans="2:7" hidden="1" outlineLevel="1">
      <c r="B254" s="1416" t="s">
        <v>2539</v>
      </c>
      <c r="C254" s="1416" t="s">
        <v>4029</v>
      </c>
      <c r="D254" s="1416" t="s">
        <v>4029</v>
      </c>
      <c r="E254" s="1887" t="s">
        <v>6673</v>
      </c>
      <c r="F254" s="1416" t="s">
        <v>4029</v>
      </c>
      <c r="G254" s="1416" t="s">
        <v>4029</v>
      </c>
    </row>
    <row r="255" spans="2:7" ht="24" hidden="1" outlineLevel="1">
      <c r="B255" s="1416" t="s">
        <v>2573</v>
      </c>
      <c r="C255" s="1416" t="s">
        <v>4032</v>
      </c>
      <c r="D255" s="1416" t="s">
        <v>4032</v>
      </c>
      <c r="E255" s="1887" t="s">
        <v>6674</v>
      </c>
      <c r="F255" s="1887" t="s">
        <v>6675</v>
      </c>
      <c r="G255" s="1887" t="s">
        <v>6676</v>
      </c>
    </row>
    <row r="256" spans="2:7" ht="24" hidden="1" outlineLevel="1">
      <c r="B256" s="1416" t="s">
        <v>2574</v>
      </c>
      <c r="C256" s="1887" t="s">
        <v>6677</v>
      </c>
      <c r="D256" s="1887" t="s">
        <v>6677</v>
      </c>
      <c r="E256" s="1887" t="s">
        <v>6678</v>
      </c>
      <c r="F256" s="1416" t="s">
        <v>5142</v>
      </c>
      <c r="G256" s="1416" t="s">
        <v>5142</v>
      </c>
    </row>
    <row r="257" spans="2:7" ht="24" hidden="1" outlineLevel="1">
      <c r="B257" s="1416" t="s">
        <v>1800</v>
      </c>
      <c r="C257" s="1416" t="s">
        <v>937</v>
      </c>
      <c r="D257" s="1416" t="s">
        <v>6679</v>
      </c>
      <c r="E257" s="1887" t="s">
        <v>6680</v>
      </c>
      <c r="F257" s="1416" t="s">
        <v>937</v>
      </c>
      <c r="G257" s="1416" t="s">
        <v>937</v>
      </c>
    </row>
    <row r="258" spans="2:7" hidden="1" outlineLevel="1">
      <c r="B258" s="1416" t="s">
        <v>1801</v>
      </c>
      <c r="C258" s="1416" t="s">
        <v>4036</v>
      </c>
      <c r="D258" s="1416" t="s">
        <v>4036</v>
      </c>
      <c r="E258" s="1887" t="s">
        <v>6681</v>
      </c>
      <c r="F258" s="1416" t="s">
        <v>4036</v>
      </c>
      <c r="G258" s="1416" t="s">
        <v>4036</v>
      </c>
    </row>
    <row r="259" spans="2:7" hidden="1" outlineLevel="1">
      <c r="B259" s="1416" t="s">
        <v>1802</v>
      </c>
      <c r="C259" s="1416" t="s">
        <v>1803</v>
      </c>
      <c r="D259" s="1416" t="s">
        <v>1803</v>
      </c>
      <c r="E259" s="1887" t="s">
        <v>6682</v>
      </c>
      <c r="F259" s="1416" t="s">
        <v>1803</v>
      </c>
      <c r="G259" s="1416" t="s">
        <v>1803</v>
      </c>
    </row>
    <row r="260" spans="2:7" ht="24" hidden="1" outlineLevel="1">
      <c r="B260" s="1416" t="s">
        <v>552</v>
      </c>
      <c r="C260" s="1416" t="s">
        <v>4039</v>
      </c>
      <c r="D260" s="1416" t="s">
        <v>4039</v>
      </c>
      <c r="E260" s="1887" t="s">
        <v>6683</v>
      </c>
      <c r="F260" s="1887" t="s">
        <v>6684</v>
      </c>
      <c r="G260" s="1416" t="s">
        <v>4039</v>
      </c>
    </row>
    <row r="261" spans="2:7" ht="24" hidden="1" outlineLevel="1">
      <c r="B261" s="1416" t="s">
        <v>553</v>
      </c>
      <c r="C261" s="1416" t="s">
        <v>929</v>
      </c>
      <c r="D261" s="1416" t="s">
        <v>929</v>
      </c>
      <c r="E261" s="1887" t="s">
        <v>6685</v>
      </c>
      <c r="F261" s="1416" t="s">
        <v>929</v>
      </c>
      <c r="G261" s="1416" t="s">
        <v>929</v>
      </c>
    </row>
    <row r="262" spans="2:7" hidden="1" outlineLevel="1">
      <c r="B262" s="1416" t="s">
        <v>1193</v>
      </c>
      <c r="C262" s="1416" t="s">
        <v>1194</v>
      </c>
      <c r="D262" s="1416" t="s">
        <v>1194</v>
      </c>
      <c r="E262" s="1416" t="s">
        <v>1194</v>
      </c>
      <c r="F262" s="1416" t="s">
        <v>1194</v>
      </c>
      <c r="G262" s="1416" t="s">
        <v>1194</v>
      </c>
    </row>
    <row r="263" spans="2:7" ht="24" hidden="1" outlineLevel="1">
      <c r="B263" s="1416" t="s">
        <v>1195</v>
      </c>
      <c r="C263" s="1416" t="s">
        <v>1196</v>
      </c>
      <c r="D263" s="1416" t="s">
        <v>6686</v>
      </c>
      <c r="E263" s="1887" t="s">
        <v>6687</v>
      </c>
      <c r="F263" s="1416" t="s">
        <v>1196</v>
      </c>
      <c r="G263" s="1416" t="s">
        <v>1196</v>
      </c>
    </row>
    <row r="264" spans="2:7" hidden="1" outlineLevel="1">
      <c r="B264" s="1416" t="s">
        <v>1197</v>
      </c>
      <c r="C264" s="1416" t="s">
        <v>6688</v>
      </c>
      <c r="D264" s="1416" t="s">
        <v>6688</v>
      </c>
      <c r="E264" s="1416" t="s">
        <v>6688</v>
      </c>
      <c r="F264" s="1416" t="s">
        <v>6688</v>
      </c>
      <c r="G264" s="1416" t="s">
        <v>6688</v>
      </c>
    </row>
    <row r="265" spans="2:7" hidden="1" outlineLevel="1">
      <c r="B265" s="1416" t="s">
        <v>1211</v>
      </c>
      <c r="C265" s="1416" t="s">
        <v>1212</v>
      </c>
      <c r="D265" s="1416" t="s">
        <v>1212</v>
      </c>
      <c r="E265" s="1416" t="s">
        <v>1212</v>
      </c>
      <c r="F265" s="1887" t="s">
        <v>6689</v>
      </c>
      <c r="G265" s="1416" t="s">
        <v>1212</v>
      </c>
    </row>
    <row r="266" spans="2:7" ht="24" hidden="1" outlineLevel="1">
      <c r="B266" s="1416" t="s">
        <v>1213</v>
      </c>
      <c r="C266" s="1416" t="s">
        <v>1328</v>
      </c>
      <c r="D266" s="1416" t="s">
        <v>1328</v>
      </c>
      <c r="E266" s="1416" t="s">
        <v>1328</v>
      </c>
      <c r="F266" s="1416" t="s">
        <v>1328</v>
      </c>
      <c r="G266" s="1416" t="s">
        <v>1328</v>
      </c>
    </row>
    <row r="267" spans="2:7" hidden="1" outlineLevel="1">
      <c r="B267" s="1416" t="s">
        <v>1891</v>
      </c>
      <c r="C267" s="1416" t="s">
        <v>1752</v>
      </c>
      <c r="D267" s="1416" t="s">
        <v>1752</v>
      </c>
      <c r="E267" s="1416" t="s">
        <v>1752</v>
      </c>
      <c r="F267" s="1416" t="s">
        <v>1752</v>
      </c>
      <c r="G267" s="1416" t="s">
        <v>1752</v>
      </c>
    </row>
    <row r="268" spans="2:7" hidden="1" outlineLevel="1">
      <c r="B268" s="1416" t="s">
        <v>1892</v>
      </c>
      <c r="C268" s="1416" t="s">
        <v>1893</v>
      </c>
      <c r="D268" s="1416" t="s">
        <v>1893</v>
      </c>
      <c r="E268" s="1416" t="s">
        <v>1893</v>
      </c>
      <c r="F268" s="1416" t="s">
        <v>1893</v>
      </c>
      <c r="G268" s="1416" t="s">
        <v>1893</v>
      </c>
    </row>
    <row r="269" spans="2:7" ht="24" hidden="1" outlineLevel="1">
      <c r="B269" s="1416" t="s">
        <v>1084</v>
      </c>
      <c r="C269" s="1416" t="s">
        <v>6690</v>
      </c>
      <c r="D269" s="1887" t="s">
        <v>6691</v>
      </c>
      <c r="E269" s="1887" t="s">
        <v>1085</v>
      </c>
      <c r="F269" s="1416" t="s">
        <v>6690</v>
      </c>
      <c r="G269" s="1887" t="s">
        <v>6692</v>
      </c>
    </row>
    <row r="270" spans="2:7" ht="24" hidden="1" outlineLevel="1">
      <c r="B270" s="1416" t="s">
        <v>1086</v>
      </c>
      <c r="C270" s="1416" t="s">
        <v>936</v>
      </c>
      <c r="D270" s="1416" t="s">
        <v>936</v>
      </c>
      <c r="E270" s="1887" t="s">
        <v>6693</v>
      </c>
      <c r="F270" s="1416" t="s">
        <v>936</v>
      </c>
      <c r="G270" s="1416" t="s">
        <v>936</v>
      </c>
    </row>
    <row r="271" spans="2:7" hidden="1" outlineLevel="1">
      <c r="B271" s="1416" t="s">
        <v>1087</v>
      </c>
      <c r="C271" s="1416" t="s">
        <v>930</v>
      </c>
      <c r="D271" s="1416" t="s">
        <v>930</v>
      </c>
      <c r="E271" s="1887" t="s">
        <v>6694</v>
      </c>
      <c r="F271" s="1416" t="s">
        <v>930</v>
      </c>
      <c r="G271" s="1416" t="s">
        <v>930</v>
      </c>
    </row>
    <row r="272" spans="2:7" ht="24" hidden="1" outlineLevel="1">
      <c r="B272" s="1416" t="s">
        <v>1088</v>
      </c>
      <c r="C272" s="1416" t="s">
        <v>1329</v>
      </c>
      <c r="D272" s="1416" t="s">
        <v>1329</v>
      </c>
      <c r="E272" s="1887" t="s">
        <v>6695</v>
      </c>
      <c r="F272" s="1416" t="s">
        <v>1329</v>
      </c>
      <c r="G272" s="1416" t="s">
        <v>1329</v>
      </c>
    </row>
    <row r="273" spans="2:7" hidden="1" outlineLevel="1">
      <c r="B273" s="1416" t="s">
        <v>1089</v>
      </c>
      <c r="C273" s="1416" t="s">
        <v>6696</v>
      </c>
      <c r="D273" s="1416" t="s">
        <v>6696</v>
      </c>
      <c r="E273" s="1887" t="s">
        <v>6697</v>
      </c>
      <c r="F273" s="1887" t="s">
        <v>4058</v>
      </c>
      <c r="G273" s="1416" t="s">
        <v>6696</v>
      </c>
    </row>
    <row r="274" spans="2:7" ht="24" hidden="1" outlineLevel="1">
      <c r="B274" s="1416" t="s">
        <v>1090</v>
      </c>
      <c r="C274" s="1416" t="s">
        <v>4060</v>
      </c>
      <c r="D274" s="1416" t="s">
        <v>4060</v>
      </c>
      <c r="E274" s="1887" t="s">
        <v>6698</v>
      </c>
      <c r="F274" s="1416" t="s">
        <v>4060</v>
      </c>
      <c r="G274" s="1416" t="s">
        <v>4060</v>
      </c>
    </row>
    <row r="275" spans="2:7" hidden="1" outlineLevel="1">
      <c r="B275" s="2125" t="s">
        <v>2598</v>
      </c>
      <c r="C275" s="2125" t="s">
        <v>1020</v>
      </c>
      <c r="D275" s="2125" t="s">
        <v>1020</v>
      </c>
      <c r="E275" s="2125" t="s">
        <v>1020</v>
      </c>
      <c r="F275" s="2125" t="s">
        <v>1020</v>
      </c>
      <c r="G275" s="2125" t="s">
        <v>1020</v>
      </c>
    </row>
    <row r="276" spans="2:7" ht="24" hidden="1" outlineLevel="1">
      <c r="B276" s="1416" t="s">
        <v>1021</v>
      </c>
      <c r="C276" s="1416" t="s">
        <v>931</v>
      </c>
      <c r="D276" s="1416" t="s">
        <v>931</v>
      </c>
      <c r="E276" s="1887" t="s">
        <v>6699</v>
      </c>
      <c r="F276" s="1416" t="s">
        <v>931</v>
      </c>
      <c r="G276" s="1416" t="s">
        <v>931</v>
      </c>
    </row>
    <row r="277" spans="2:7" hidden="1" outlineLevel="1">
      <c r="B277" s="1416" t="s">
        <v>1022</v>
      </c>
      <c r="C277" s="1416" t="s">
        <v>4065</v>
      </c>
      <c r="D277" s="1416" t="s">
        <v>4065</v>
      </c>
      <c r="E277" s="1887" t="s">
        <v>6700</v>
      </c>
      <c r="F277" s="1416" t="s">
        <v>4065</v>
      </c>
      <c r="G277" s="1416" t="s">
        <v>4065</v>
      </c>
    </row>
    <row r="278" spans="2:7" hidden="1" outlineLevel="1">
      <c r="B278" s="1416" t="s">
        <v>1023</v>
      </c>
      <c r="C278" s="1416" t="s">
        <v>2791</v>
      </c>
      <c r="D278" s="1416" t="s">
        <v>2791</v>
      </c>
      <c r="E278" s="1887" t="s">
        <v>6701</v>
      </c>
      <c r="F278" s="1416" t="s">
        <v>2791</v>
      </c>
      <c r="G278" s="1416" t="s">
        <v>2791</v>
      </c>
    </row>
    <row r="279" spans="2:7" hidden="1" outlineLevel="1">
      <c r="B279" s="1416" t="s">
        <v>1024</v>
      </c>
      <c r="C279" s="1886" t="s">
        <v>6702</v>
      </c>
      <c r="D279" s="1416" t="s">
        <v>6703</v>
      </c>
      <c r="E279" s="1886" t="s">
        <v>6704</v>
      </c>
      <c r="F279" s="1416" t="s">
        <v>6703</v>
      </c>
      <c r="G279" s="1416" t="s">
        <v>6703</v>
      </c>
    </row>
    <row r="280" spans="2:7" ht="36" hidden="1" outlineLevel="1">
      <c r="B280" s="1416" t="s">
        <v>1125</v>
      </c>
      <c r="C280" s="1416" t="s">
        <v>1844</v>
      </c>
      <c r="D280" s="1416" t="s">
        <v>1844</v>
      </c>
      <c r="E280" s="1887" t="s">
        <v>6705</v>
      </c>
      <c r="F280" s="1416" t="s">
        <v>1844</v>
      </c>
      <c r="G280" s="1416" t="s">
        <v>1844</v>
      </c>
    </row>
    <row r="281" spans="2:7" hidden="1" outlineLevel="1">
      <c r="B281" s="1416" t="s">
        <v>1126</v>
      </c>
      <c r="C281" s="1416" t="s">
        <v>1330</v>
      </c>
      <c r="D281" s="1416" t="s">
        <v>1330</v>
      </c>
      <c r="E281" s="1416" t="s">
        <v>1330</v>
      </c>
      <c r="F281" s="1416" t="s">
        <v>1330</v>
      </c>
      <c r="G281" s="1416" t="s">
        <v>1330</v>
      </c>
    </row>
    <row r="282" spans="2:7" hidden="1" outlineLevel="1">
      <c r="B282" s="1416" t="s">
        <v>1127</v>
      </c>
      <c r="C282" s="1416" t="s">
        <v>1128</v>
      </c>
      <c r="D282" s="1416" t="s">
        <v>1128</v>
      </c>
      <c r="E282" s="1416" t="s">
        <v>1128</v>
      </c>
      <c r="F282" s="1416" t="s">
        <v>1128</v>
      </c>
      <c r="G282" s="1416" t="s">
        <v>1128</v>
      </c>
    </row>
    <row r="283" spans="2:7" ht="24" hidden="1" outlineLevel="1">
      <c r="B283" s="1416" t="s">
        <v>1129</v>
      </c>
      <c r="C283" s="1416" t="s">
        <v>2126</v>
      </c>
      <c r="D283" s="1416" t="s">
        <v>2126</v>
      </c>
      <c r="E283" s="1887" t="s">
        <v>6706</v>
      </c>
      <c r="F283" s="1416" t="s">
        <v>2126</v>
      </c>
      <c r="G283" s="1416" t="s">
        <v>2126</v>
      </c>
    </row>
    <row r="284" spans="2:7" ht="24" hidden="1" outlineLevel="1">
      <c r="B284" s="1416" t="s">
        <v>1130</v>
      </c>
      <c r="C284" s="1416" t="s">
        <v>432</v>
      </c>
      <c r="D284" s="1416" t="s">
        <v>432</v>
      </c>
      <c r="E284" s="1887" t="s">
        <v>6707</v>
      </c>
      <c r="F284" s="1416" t="s">
        <v>432</v>
      </c>
      <c r="G284" s="1416" t="s">
        <v>432</v>
      </c>
    </row>
    <row r="285" spans="2:7" ht="24" hidden="1" outlineLevel="1">
      <c r="B285" s="1416" t="s">
        <v>1131</v>
      </c>
      <c r="C285" s="1416" t="s">
        <v>4080</v>
      </c>
      <c r="D285" s="1416" t="s">
        <v>4080</v>
      </c>
      <c r="E285" s="1887" t="s">
        <v>6708</v>
      </c>
      <c r="F285" s="1416" t="s">
        <v>4080</v>
      </c>
      <c r="G285" s="1416" t="s">
        <v>4080</v>
      </c>
    </row>
    <row r="286" spans="2:7" hidden="1" outlineLevel="1">
      <c r="B286" s="1416" t="s">
        <v>1132</v>
      </c>
      <c r="C286" s="1416" t="s">
        <v>1133</v>
      </c>
      <c r="D286" s="1416" t="s">
        <v>1133</v>
      </c>
      <c r="E286" s="1887" t="s">
        <v>6709</v>
      </c>
      <c r="F286" s="1416" t="s">
        <v>1133</v>
      </c>
      <c r="G286" s="1416" t="s">
        <v>1133</v>
      </c>
    </row>
    <row r="287" spans="2:7" ht="24" hidden="1" outlineLevel="1">
      <c r="B287" s="1416" t="s">
        <v>1134</v>
      </c>
      <c r="C287" s="1416" t="s">
        <v>795</v>
      </c>
      <c r="D287" s="1416" t="s">
        <v>795</v>
      </c>
      <c r="E287" s="1887" t="s">
        <v>6710</v>
      </c>
      <c r="F287" s="1416" t="s">
        <v>795</v>
      </c>
      <c r="G287" s="1416" t="s">
        <v>795</v>
      </c>
    </row>
    <row r="288" spans="2:7" ht="24" hidden="1" outlineLevel="1">
      <c r="B288" s="1416" t="s">
        <v>796</v>
      </c>
      <c r="C288" s="1416" t="s">
        <v>4084</v>
      </c>
      <c r="D288" s="1416" t="s">
        <v>4084</v>
      </c>
      <c r="E288" s="1887" t="s">
        <v>6711</v>
      </c>
      <c r="F288" s="1416" t="s">
        <v>4084</v>
      </c>
      <c r="G288" s="1416" t="s">
        <v>4084</v>
      </c>
    </row>
    <row r="289" spans="2:7" ht="24" hidden="1" outlineLevel="1">
      <c r="B289" s="1416" t="s">
        <v>797</v>
      </c>
      <c r="C289" s="1416" t="s">
        <v>798</v>
      </c>
      <c r="D289" s="1886" t="s">
        <v>4086</v>
      </c>
      <c r="E289" s="1887" t="s">
        <v>6712</v>
      </c>
      <c r="F289" s="1886" t="s">
        <v>4086</v>
      </c>
      <c r="G289" s="1886" t="s">
        <v>4086</v>
      </c>
    </row>
    <row r="290" spans="2:7" ht="24" hidden="1" outlineLevel="1">
      <c r="B290" s="1416" t="s">
        <v>799</v>
      </c>
      <c r="C290" s="1416" t="s">
        <v>800</v>
      </c>
      <c r="D290" s="1416" t="s">
        <v>800</v>
      </c>
      <c r="E290" s="1416" t="s">
        <v>800</v>
      </c>
      <c r="F290" s="1416" t="s">
        <v>800</v>
      </c>
      <c r="G290" s="1416" t="s">
        <v>800</v>
      </c>
    </row>
    <row r="291" spans="2:7" ht="24" hidden="1" outlineLevel="1">
      <c r="B291" s="1416" t="s">
        <v>801</v>
      </c>
      <c r="C291" s="1416" t="s">
        <v>4090</v>
      </c>
      <c r="D291" s="1416" t="s">
        <v>4090</v>
      </c>
      <c r="E291" s="1887" t="s">
        <v>6713</v>
      </c>
      <c r="F291" s="1416" t="s">
        <v>4090</v>
      </c>
      <c r="G291" s="1416" t="s">
        <v>4090</v>
      </c>
    </row>
    <row r="292" spans="2:7" ht="24" hidden="1" outlineLevel="1">
      <c r="B292" s="1416" t="s">
        <v>802</v>
      </c>
      <c r="C292" s="1416" t="s">
        <v>6714</v>
      </c>
      <c r="D292" s="1416" t="s">
        <v>6714</v>
      </c>
      <c r="E292" s="1887" t="s">
        <v>432</v>
      </c>
      <c r="F292" s="1416" t="s">
        <v>2204</v>
      </c>
      <c r="G292" s="1416" t="s">
        <v>2204</v>
      </c>
    </row>
    <row r="293" spans="2:7" hidden="1" outlineLevel="1">
      <c r="B293" s="1416" t="s">
        <v>433</v>
      </c>
      <c r="C293" s="1416" t="s">
        <v>2203</v>
      </c>
      <c r="D293" s="1416" t="s">
        <v>2203</v>
      </c>
      <c r="E293" s="1887" t="s">
        <v>6715</v>
      </c>
      <c r="F293" s="1416" t="s">
        <v>2203</v>
      </c>
      <c r="G293" s="1416" t="s">
        <v>2203</v>
      </c>
    </row>
    <row r="294" spans="2:7" hidden="1" outlineLevel="1">
      <c r="B294" s="1416" t="s">
        <v>434</v>
      </c>
      <c r="C294" s="1416" t="s">
        <v>2201</v>
      </c>
      <c r="D294" s="1416" t="s">
        <v>2201</v>
      </c>
      <c r="E294" s="1416" t="s">
        <v>2201</v>
      </c>
      <c r="F294" s="1416" t="s">
        <v>2201</v>
      </c>
      <c r="G294" s="1416" t="s">
        <v>2201</v>
      </c>
    </row>
    <row r="295" spans="2:7" hidden="1" outlineLevel="1">
      <c r="B295" s="1416" t="s">
        <v>435</v>
      </c>
      <c r="C295" s="1887" t="s">
        <v>6716</v>
      </c>
      <c r="D295" s="1416" t="s">
        <v>2202</v>
      </c>
      <c r="E295" s="1887" t="s">
        <v>6717</v>
      </c>
      <c r="F295" s="1416" t="s">
        <v>2202</v>
      </c>
      <c r="G295" s="1416" t="s">
        <v>2202</v>
      </c>
    </row>
    <row r="296" spans="2:7" hidden="1" outlineLevel="1">
      <c r="B296" s="1416" t="s">
        <v>436</v>
      </c>
      <c r="C296" s="1416" t="s">
        <v>3966</v>
      </c>
      <c r="D296" s="1416" t="s">
        <v>3966</v>
      </c>
      <c r="E296" s="1887" t="s">
        <v>6718</v>
      </c>
      <c r="F296" s="1416" t="s">
        <v>3966</v>
      </c>
      <c r="G296" s="1416" t="s">
        <v>3966</v>
      </c>
    </row>
    <row r="297" spans="2:7" hidden="1" outlineLevel="1">
      <c r="B297" s="1416" t="s">
        <v>2505</v>
      </c>
      <c r="C297" s="1416" t="s">
        <v>2106</v>
      </c>
      <c r="D297" s="1416" t="s">
        <v>2106</v>
      </c>
      <c r="E297" s="1887" t="s">
        <v>6719</v>
      </c>
      <c r="F297" s="1416" t="s">
        <v>2106</v>
      </c>
      <c r="G297" s="1416" t="s">
        <v>2106</v>
      </c>
    </row>
    <row r="298" spans="2:7" hidden="1" outlineLevel="1">
      <c r="B298" s="1416" t="s">
        <v>2506</v>
      </c>
      <c r="C298" s="1416" t="s">
        <v>409</v>
      </c>
      <c r="D298" s="1887" t="s">
        <v>2107</v>
      </c>
      <c r="E298" s="1887" t="s">
        <v>6720</v>
      </c>
      <c r="F298" s="1887" t="s">
        <v>2107</v>
      </c>
      <c r="G298" s="1887" t="s">
        <v>2107</v>
      </c>
    </row>
    <row r="299" spans="2:7" hidden="1" outlineLevel="1">
      <c r="B299" s="1416" t="s">
        <v>2507</v>
      </c>
      <c r="C299" s="1416" t="s">
        <v>6721</v>
      </c>
      <c r="D299" s="1416" t="s">
        <v>6721</v>
      </c>
      <c r="E299" s="1887" t="s">
        <v>6722</v>
      </c>
      <c r="F299" s="1416" t="s">
        <v>6721</v>
      </c>
      <c r="G299" s="1416" t="s">
        <v>6721</v>
      </c>
    </row>
    <row r="300" spans="2:7" hidden="1" outlineLevel="1">
      <c r="B300" s="1416" t="s">
        <v>2509</v>
      </c>
      <c r="C300" s="1416" t="s">
        <v>1675</v>
      </c>
      <c r="D300" s="1416" t="s">
        <v>1675</v>
      </c>
      <c r="E300" s="1887" t="s">
        <v>6723</v>
      </c>
      <c r="F300" s="1416" t="s">
        <v>1675</v>
      </c>
      <c r="G300" s="1416" t="s">
        <v>1675</v>
      </c>
    </row>
    <row r="301" spans="2:7" ht="24" hidden="1" outlineLevel="1">
      <c r="B301" s="1416" t="s">
        <v>2510</v>
      </c>
      <c r="C301" s="1416" t="s">
        <v>1674</v>
      </c>
      <c r="D301" s="1416" t="s">
        <v>1674</v>
      </c>
      <c r="E301" s="1887" t="s">
        <v>6724</v>
      </c>
      <c r="F301" s="1416" t="s">
        <v>1674</v>
      </c>
      <c r="G301" s="1416" t="s">
        <v>1674</v>
      </c>
    </row>
    <row r="302" spans="2:7" hidden="1" outlineLevel="1">
      <c r="B302" s="1416" t="s">
        <v>2511</v>
      </c>
      <c r="C302" s="1416" t="s">
        <v>6725</v>
      </c>
      <c r="D302" s="1416" t="s">
        <v>6725</v>
      </c>
      <c r="E302" s="1887" t="s">
        <v>1192</v>
      </c>
      <c r="F302" s="1887" t="s">
        <v>1192</v>
      </c>
      <c r="G302" s="1416" t="s">
        <v>6725</v>
      </c>
    </row>
    <row r="303" spans="2:7" hidden="1" outlineLevel="1">
      <c r="B303" s="1416" t="s">
        <v>2512</v>
      </c>
      <c r="C303" s="1416" t="s">
        <v>2513</v>
      </c>
      <c r="D303" s="1416" t="s">
        <v>2513</v>
      </c>
      <c r="E303" s="1416" t="s">
        <v>2513</v>
      </c>
      <c r="F303" s="1416" t="s">
        <v>2513</v>
      </c>
      <c r="G303" s="1416" t="s">
        <v>2513</v>
      </c>
    </row>
    <row r="304" spans="2:7" hidden="1" outlineLevel="1">
      <c r="B304" s="1416" t="s">
        <v>2514</v>
      </c>
      <c r="C304" s="1416" t="s">
        <v>2515</v>
      </c>
      <c r="D304" s="1416" t="s">
        <v>2515</v>
      </c>
      <c r="E304" s="1887" t="s">
        <v>6726</v>
      </c>
      <c r="F304" s="1416" t="s">
        <v>2515</v>
      </c>
      <c r="G304" s="1416" t="s">
        <v>2515</v>
      </c>
    </row>
    <row r="305" spans="2:7" hidden="1" outlineLevel="1">
      <c r="B305" s="1416" t="s">
        <v>2516</v>
      </c>
      <c r="C305" s="1416" t="s">
        <v>4097</v>
      </c>
      <c r="D305" s="1416" t="s">
        <v>4097</v>
      </c>
      <c r="E305" s="1887" t="s">
        <v>6727</v>
      </c>
      <c r="F305" s="1416" t="s">
        <v>4097</v>
      </c>
      <c r="G305" s="1416" t="s">
        <v>4097</v>
      </c>
    </row>
    <row r="306" spans="2:7" hidden="1" outlineLevel="1">
      <c r="B306" s="1416" t="s">
        <v>2517</v>
      </c>
      <c r="C306" s="1416" t="s">
        <v>2518</v>
      </c>
      <c r="D306" s="1416" t="s">
        <v>2518</v>
      </c>
      <c r="E306" s="1887" t="s">
        <v>6728</v>
      </c>
      <c r="F306" s="1416" t="s">
        <v>2518</v>
      </c>
      <c r="G306" s="1416" t="s">
        <v>2518</v>
      </c>
    </row>
    <row r="307" spans="2:7" hidden="1" outlineLevel="1">
      <c r="B307" s="1416" t="s">
        <v>2519</v>
      </c>
      <c r="C307" s="1416" t="s">
        <v>932</v>
      </c>
      <c r="D307" s="1416" t="s">
        <v>932</v>
      </c>
      <c r="E307" s="1887" t="s">
        <v>6729</v>
      </c>
      <c r="F307" s="1416" t="s">
        <v>932</v>
      </c>
      <c r="G307" s="1416" t="s">
        <v>932</v>
      </c>
    </row>
    <row r="308" spans="2:7" hidden="1" outlineLevel="1">
      <c r="B308" s="1416" t="s">
        <v>2520</v>
      </c>
      <c r="C308" s="1416" t="s">
        <v>725</v>
      </c>
      <c r="D308" s="1416" t="s">
        <v>725</v>
      </c>
      <c r="E308" s="1887" t="s">
        <v>6730</v>
      </c>
      <c r="F308" s="1416" t="s">
        <v>725</v>
      </c>
      <c r="G308" s="1416" t="s">
        <v>725</v>
      </c>
    </row>
    <row r="309" spans="2:7" ht="24" hidden="1" outlineLevel="1">
      <c r="B309" s="1416" t="s">
        <v>2521</v>
      </c>
      <c r="C309" s="1416" t="s">
        <v>1894</v>
      </c>
      <c r="D309" s="1416" t="s">
        <v>1894</v>
      </c>
      <c r="E309" s="1887" t="s">
        <v>6731</v>
      </c>
      <c r="F309" s="1416" t="s">
        <v>1894</v>
      </c>
      <c r="G309" s="1416" t="s">
        <v>1894</v>
      </c>
    </row>
    <row r="310" spans="2:7" ht="24" hidden="1" outlineLevel="1">
      <c r="B310" s="1416" t="s">
        <v>423</v>
      </c>
      <c r="C310" s="1416" t="s">
        <v>5143</v>
      </c>
      <c r="D310" s="1416" t="s">
        <v>5143</v>
      </c>
      <c r="E310" s="1887" t="s">
        <v>6732</v>
      </c>
      <c r="F310" s="1887" t="s">
        <v>6732</v>
      </c>
      <c r="G310" s="1416" t="s">
        <v>4104</v>
      </c>
    </row>
    <row r="311" spans="2:7" ht="24" hidden="1" outlineLevel="1">
      <c r="B311" s="1416" t="s">
        <v>424</v>
      </c>
      <c r="C311" s="1416" t="s">
        <v>4106</v>
      </c>
      <c r="D311" s="1416" t="s">
        <v>4106</v>
      </c>
      <c r="E311" s="1887" t="s">
        <v>6733</v>
      </c>
      <c r="F311" s="1416" t="s">
        <v>4106</v>
      </c>
      <c r="G311" s="1416" t="s">
        <v>4106</v>
      </c>
    </row>
    <row r="312" spans="2:7" ht="24" hidden="1" outlineLevel="1">
      <c r="B312" s="1416" t="s">
        <v>425</v>
      </c>
      <c r="C312" s="1416" t="s">
        <v>426</v>
      </c>
      <c r="D312" s="1416" t="s">
        <v>426</v>
      </c>
      <c r="E312" s="1887" t="s">
        <v>6734</v>
      </c>
      <c r="F312" s="1416" t="s">
        <v>426</v>
      </c>
      <c r="G312" s="1416" t="s">
        <v>426</v>
      </c>
    </row>
    <row r="313" spans="2:7" hidden="1" outlineLevel="1">
      <c r="B313" s="1416" t="s">
        <v>427</v>
      </c>
      <c r="C313" s="1416" t="s">
        <v>1895</v>
      </c>
      <c r="D313" s="1416" t="s">
        <v>1895</v>
      </c>
      <c r="E313" s="2127" t="s">
        <v>6735</v>
      </c>
      <c r="F313" s="1416" t="s">
        <v>1895</v>
      </c>
      <c r="G313" s="1416" t="s">
        <v>1895</v>
      </c>
    </row>
    <row r="314" spans="2:7" ht="24" hidden="1" outlineLevel="1">
      <c r="B314" s="1416" t="s">
        <v>428</v>
      </c>
      <c r="C314" s="1416" t="s">
        <v>1896</v>
      </c>
      <c r="D314" s="1416" t="s">
        <v>1896</v>
      </c>
      <c r="E314" s="1887" t="s">
        <v>6736</v>
      </c>
      <c r="F314" s="1416" t="s">
        <v>1896</v>
      </c>
      <c r="G314" s="1416" t="s">
        <v>1896</v>
      </c>
    </row>
    <row r="315" spans="2:7" hidden="1" outlineLevel="1">
      <c r="B315" s="1416" t="s">
        <v>178</v>
      </c>
      <c r="C315" s="1416" t="s">
        <v>1897</v>
      </c>
      <c r="D315" s="1416" t="s">
        <v>1897</v>
      </c>
      <c r="E315" s="1416" t="s">
        <v>6737</v>
      </c>
      <c r="F315" s="1416" t="s">
        <v>1897</v>
      </c>
      <c r="G315" s="1416" t="s">
        <v>1897</v>
      </c>
    </row>
    <row r="316" spans="2:7" hidden="1" outlineLevel="1">
      <c r="B316" s="1416" t="s">
        <v>179</v>
      </c>
      <c r="C316" s="1416" t="s">
        <v>757</v>
      </c>
      <c r="D316" s="1416" t="s">
        <v>757</v>
      </c>
      <c r="E316" s="1887" t="s">
        <v>6738</v>
      </c>
      <c r="F316" s="1416" t="s">
        <v>757</v>
      </c>
      <c r="G316" s="1416" t="s">
        <v>757</v>
      </c>
    </row>
    <row r="317" spans="2:7" hidden="1" outlineLevel="1">
      <c r="B317" s="1416" t="s">
        <v>180</v>
      </c>
      <c r="C317" s="1416" t="s">
        <v>181</v>
      </c>
      <c r="D317" s="1416" t="s">
        <v>181</v>
      </c>
      <c r="E317" s="1416" t="s">
        <v>181</v>
      </c>
      <c r="F317" s="1416" t="s">
        <v>181</v>
      </c>
      <c r="G317" s="1416" t="s">
        <v>181</v>
      </c>
    </row>
    <row r="318" spans="2:7" hidden="1" outlineLevel="1">
      <c r="B318" s="1416" t="s">
        <v>1333</v>
      </c>
      <c r="C318" s="1416" t="s">
        <v>2395</v>
      </c>
      <c r="D318" s="1416" t="s">
        <v>2395</v>
      </c>
      <c r="E318" s="1416" t="s">
        <v>2395</v>
      </c>
      <c r="F318" s="1416" t="s">
        <v>2395</v>
      </c>
      <c r="G318" s="1416" t="s">
        <v>2395</v>
      </c>
    </row>
    <row r="319" spans="2:7" hidden="1" outlineLevel="1">
      <c r="B319" s="1416" t="s">
        <v>995</v>
      </c>
      <c r="C319" s="1416" t="s">
        <v>996</v>
      </c>
      <c r="D319" s="1416" t="s">
        <v>996</v>
      </c>
      <c r="E319" s="1416" t="s">
        <v>996</v>
      </c>
      <c r="F319" s="1416" t="s">
        <v>996</v>
      </c>
      <c r="G319" s="1416" t="s">
        <v>996</v>
      </c>
    </row>
    <row r="320" spans="2:7" hidden="1" outlineLevel="1">
      <c r="B320" s="1416" t="s">
        <v>997</v>
      </c>
      <c r="C320" s="1416" t="s">
        <v>998</v>
      </c>
      <c r="D320" s="1416" t="s">
        <v>998</v>
      </c>
      <c r="E320" s="1416" t="s">
        <v>998</v>
      </c>
      <c r="F320" s="1416" t="s">
        <v>998</v>
      </c>
      <c r="G320" s="1416" t="s">
        <v>998</v>
      </c>
    </row>
    <row r="321" spans="2:7" ht="24" hidden="1" outlineLevel="1">
      <c r="B321" s="1416" t="s">
        <v>2154</v>
      </c>
      <c r="C321" s="1416" t="s">
        <v>171</v>
      </c>
      <c r="D321" s="1416" t="s">
        <v>171</v>
      </c>
      <c r="E321" s="1887" t="s">
        <v>6739</v>
      </c>
      <c r="F321" s="1416" t="s">
        <v>171</v>
      </c>
      <c r="G321" s="1416" t="s">
        <v>171</v>
      </c>
    </row>
    <row r="322" spans="2:7" hidden="1" outlineLevel="1">
      <c r="B322" s="1416" t="s">
        <v>2155</v>
      </c>
      <c r="C322" s="1416" t="s">
        <v>2334</v>
      </c>
      <c r="D322" s="1416" t="s">
        <v>2334</v>
      </c>
      <c r="E322" s="1887" t="s">
        <v>6740</v>
      </c>
      <c r="F322" s="1887" t="s">
        <v>6741</v>
      </c>
      <c r="G322" s="1416" t="s">
        <v>2334</v>
      </c>
    </row>
    <row r="323" spans="2:7" hidden="1" outlineLevel="1">
      <c r="B323" s="1416" t="s">
        <v>1094</v>
      </c>
      <c r="C323" s="1416" t="s">
        <v>2335</v>
      </c>
      <c r="D323" s="1416" t="s">
        <v>2335</v>
      </c>
      <c r="E323" s="1887" t="s">
        <v>6742</v>
      </c>
      <c r="F323" s="1416" t="s">
        <v>2335</v>
      </c>
      <c r="G323" s="1416" t="s">
        <v>2335</v>
      </c>
    </row>
    <row r="324" spans="2:7" hidden="1" outlineLevel="1">
      <c r="B324" s="1416" t="s">
        <v>990</v>
      </c>
      <c r="C324" s="1416" t="s">
        <v>4116</v>
      </c>
      <c r="D324" s="1416" t="s">
        <v>4116</v>
      </c>
      <c r="E324" s="1887" t="s">
        <v>6743</v>
      </c>
      <c r="F324" s="1416" t="s">
        <v>4116</v>
      </c>
      <c r="G324" s="1416" t="s">
        <v>4116</v>
      </c>
    </row>
    <row r="325" spans="2:7" hidden="1" outlineLevel="1">
      <c r="B325" s="1416" t="s">
        <v>991</v>
      </c>
      <c r="C325" s="1416" t="s">
        <v>356</v>
      </c>
      <c r="D325" s="1416" t="s">
        <v>356</v>
      </c>
      <c r="E325" s="1416" t="s">
        <v>356</v>
      </c>
      <c r="F325" s="1416" t="s">
        <v>356</v>
      </c>
      <c r="G325" s="1416" t="s">
        <v>356</v>
      </c>
    </row>
    <row r="326" spans="2:7" hidden="1" outlineLevel="1">
      <c r="B326" s="1416" t="s">
        <v>992</v>
      </c>
      <c r="C326" s="1416" t="s">
        <v>6744</v>
      </c>
      <c r="D326" s="1416" t="s">
        <v>6744</v>
      </c>
      <c r="E326" s="1887" t="s">
        <v>6745</v>
      </c>
      <c r="F326" s="1416" t="s">
        <v>6744</v>
      </c>
      <c r="G326" s="1416" t="s">
        <v>6744</v>
      </c>
    </row>
    <row r="327" spans="2:7" ht="24" hidden="1" outlineLevel="1">
      <c r="B327" s="1416" t="s">
        <v>1312</v>
      </c>
      <c r="C327" s="1416" t="s">
        <v>1313</v>
      </c>
      <c r="D327" s="1416" t="s">
        <v>1313</v>
      </c>
      <c r="E327" s="1887" t="s">
        <v>6746</v>
      </c>
      <c r="F327" s="1416" t="s">
        <v>1313</v>
      </c>
      <c r="G327" s="1416" t="s">
        <v>1313</v>
      </c>
    </row>
    <row r="328" spans="2:7" hidden="1" outlineLevel="1">
      <c r="B328" s="1416" t="s">
        <v>1314</v>
      </c>
      <c r="C328" s="1416" t="s">
        <v>1315</v>
      </c>
      <c r="D328" s="1416" t="s">
        <v>1315</v>
      </c>
      <c r="E328" s="1416" t="s">
        <v>1315</v>
      </c>
      <c r="F328" s="1416" t="s">
        <v>1315</v>
      </c>
      <c r="G328" s="1416" t="s">
        <v>1315</v>
      </c>
    </row>
    <row r="329" spans="2:7" hidden="1" outlineLevel="1">
      <c r="B329" s="1416" t="s">
        <v>1316</v>
      </c>
      <c r="C329" s="1416" t="s">
        <v>1317</v>
      </c>
      <c r="D329" s="1416" t="s">
        <v>1317</v>
      </c>
      <c r="E329" s="1416" t="s">
        <v>1317</v>
      </c>
      <c r="F329" s="1416" t="s">
        <v>1317</v>
      </c>
      <c r="G329" s="1416" t="s">
        <v>1317</v>
      </c>
    </row>
    <row r="330" spans="2:7" ht="24" hidden="1" outlineLevel="1">
      <c r="B330" s="1416" t="s">
        <v>1318</v>
      </c>
      <c r="C330" s="1886" t="s">
        <v>1898</v>
      </c>
      <c r="D330" s="1416" t="s">
        <v>1637</v>
      </c>
      <c r="E330" s="1887" t="s">
        <v>6747</v>
      </c>
      <c r="F330" s="1416" t="s">
        <v>1637</v>
      </c>
      <c r="G330" s="1887" t="s">
        <v>6748</v>
      </c>
    </row>
    <row r="331" spans="2:7" hidden="1" outlineLevel="1">
      <c r="B331" s="1416" t="s">
        <v>1319</v>
      </c>
      <c r="C331" s="1416" t="s">
        <v>4126</v>
      </c>
      <c r="D331" s="1416" t="s">
        <v>4126</v>
      </c>
      <c r="E331" s="1416" t="s">
        <v>4126</v>
      </c>
      <c r="F331" s="1416" t="s">
        <v>4126</v>
      </c>
      <c r="G331" s="1416" t="s">
        <v>4126</v>
      </c>
    </row>
    <row r="332" spans="2:7" hidden="1" outlineLevel="1">
      <c r="B332" s="1416" t="s">
        <v>1120</v>
      </c>
      <c r="C332" s="1416" t="s">
        <v>758</v>
      </c>
      <c r="D332" s="1416" t="s">
        <v>758</v>
      </c>
      <c r="E332" s="1887" t="s">
        <v>6749</v>
      </c>
      <c r="F332" s="1416" t="s">
        <v>758</v>
      </c>
      <c r="G332" s="1416" t="s">
        <v>758</v>
      </c>
    </row>
    <row r="333" spans="2:7" ht="24" hidden="1" outlineLevel="1">
      <c r="B333" s="1416" t="s">
        <v>1204</v>
      </c>
      <c r="C333" s="1416" t="s">
        <v>6750</v>
      </c>
      <c r="D333" s="1887" t="s">
        <v>4130</v>
      </c>
      <c r="E333" s="1887" t="s">
        <v>4130</v>
      </c>
      <c r="F333" s="1887" t="s">
        <v>4130</v>
      </c>
      <c r="G333" s="1887" t="s">
        <v>4130</v>
      </c>
    </row>
    <row r="334" spans="2:7" hidden="1" outlineLevel="1">
      <c r="B334" s="1416" t="s">
        <v>1205</v>
      </c>
      <c r="C334" s="1416" t="s">
        <v>6751</v>
      </c>
      <c r="D334" s="1887" t="s">
        <v>759</v>
      </c>
      <c r="E334" s="1887" t="s">
        <v>6752</v>
      </c>
      <c r="F334" s="1887" t="s">
        <v>759</v>
      </c>
      <c r="G334" s="1887" t="s">
        <v>759</v>
      </c>
    </row>
    <row r="335" spans="2:7" hidden="1" outlineLevel="1">
      <c r="B335" s="2125" t="s">
        <v>1913</v>
      </c>
      <c r="C335" s="2125" t="s">
        <v>6753</v>
      </c>
      <c r="D335" s="2127" t="s">
        <v>4133</v>
      </c>
      <c r="E335" s="2127" t="s">
        <v>6754</v>
      </c>
      <c r="F335" s="2127" t="s">
        <v>4133</v>
      </c>
      <c r="G335" s="2127" t="s">
        <v>4133</v>
      </c>
    </row>
    <row r="336" spans="2:7" ht="24" hidden="1" outlineLevel="1">
      <c r="B336" s="1416" t="s">
        <v>1914</v>
      </c>
      <c r="C336" s="1416" t="s">
        <v>6755</v>
      </c>
      <c r="D336" s="1887" t="s">
        <v>2127</v>
      </c>
      <c r="E336" s="1887" t="s">
        <v>2127</v>
      </c>
      <c r="F336" s="1887" t="s">
        <v>2127</v>
      </c>
      <c r="G336" s="1887" t="s">
        <v>2127</v>
      </c>
    </row>
    <row r="337" spans="2:7" hidden="1" outlineLevel="1">
      <c r="B337" s="1416" t="s">
        <v>1915</v>
      </c>
      <c r="C337" s="1416" t="s">
        <v>1899</v>
      </c>
      <c r="D337" s="1416" t="s">
        <v>1899</v>
      </c>
      <c r="E337" s="1887" t="s">
        <v>6756</v>
      </c>
      <c r="F337" s="1416" t="s">
        <v>1899</v>
      </c>
      <c r="G337" s="1416" t="s">
        <v>1899</v>
      </c>
    </row>
    <row r="338" spans="2:7" hidden="1" outlineLevel="1">
      <c r="B338" s="1416" t="s">
        <v>1916</v>
      </c>
      <c r="C338" s="1416" t="s">
        <v>4136</v>
      </c>
      <c r="D338" s="1416" t="s">
        <v>4136</v>
      </c>
      <c r="E338" s="1416" t="s">
        <v>4136</v>
      </c>
      <c r="F338" s="1887" t="s">
        <v>6757</v>
      </c>
      <c r="G338" s="1416" t="s">
        <v>4136</v>
      </c>
    </row>
    <row r="339" spans="2:7" hidden="1" outlineLevel="1">
      <c r="B339" s="1416" t="s">
        <v>1917</v>
      </c>
      <c r="C339" s="1416" t="s">
        <v>4138</v>
      </c>
      <c r="D339" s="1416" t="s">
        <v>4138</v>
      </c>
      <c r="E339" s="1416" t="s">
        <v>4138</v>
      </c>
      <c r="F339" s="1887" t="s">
        <v>6758</v>
      </c>
      <c r="G339" s="1416" t="s">
        <v>4138</v>
      </c>
    </row>
    <row r="340" spans="2:7" hidden="1" outlineLevel="1">
      <c r="B340" s="1416" t="s">
        <v>1918</v>
      </c>
      <c r="C340" s="1416" t="s">
        <v>4140</v>
      </c>
      <c r="D340" s="1416" t="s">
        <v>4140</v>
      </c>
      <c r="E340" s="1416" t="s">
        <v>4140</v>
      </c>
      <c r="F340" s="1887" t="s">
        <v>6759</v>
      </c>
      <c r="G340" s="1416" t="s">
        <v>4140</v>
      </c>
    </row>
    <row r="341" spans="2:7" hidden="1" outlineLevel="1">
      <c r="B341" s="1416" t="s">
        <v>1919</v>
      </c>
      <c r="C341" s="1416" t="s">
        <v>4142</v>
      </c>
      <c r="D341" s="1416" t="s">
        <v>4142</v>
      </c>
      <c r="E341" s="1416" t="s">
        <v>4142</v>
      </c>
      <c r="F341" s="1887" t="s">
        <v>6760</v>
      </c>
      <c r="G341" s="1416" t="s">
        <v>4142</v>
      </c>
    </row>
    <row r="342" spans="2:7" hidden="1" outlineLevel="1">
      <c r="B342" s="1416" t="s">
        <v>1920</v>
      </c>
      <c r="C342" s="1416" t="s">
        <v>4144</v>
      </c>
      <c r="D342" s="1416" t="s">
        <v>4144</v>
      </c>
      <c r="E342" s="1887" t="s">
        <v>6761</v>
      </c>
      <c r="F342" s="1416" t="s">
        <v>4144</v>
      </c>
      <c r="G342" s="1416" t="s">
        <v>4144</v>
      </c>
    </row>
    <row r="343" spans="2:7" hidden="1" outlineLevel="1">
      <c r="B343" s="1416" t="s">
        <v>1921</v>
      </c>
      <c r="C343" s="1416" t="s">
        <v>4146</v>
      </c>
      <c r="D343" s="1416" t="s">
        <v>4146</v>
      </c>
      <c r="E343" s="1887" t="s">
        <v>6762</v>
      </c>
      <c r="F343" s="1416" t="s">
        <v>4146</v>
      </c>
      <c r="G343" s="1416" t="s">
        <v>4146</v>
      </c>
    </row>
    <row r="344" spans="2:7" hidden="1" outlineLevel="1">
      <c r="B344" s="1416" t="s">
        <v>1922</v>
      </c>
      <c r="C344" s="1416" t="s">
        <v>2630</v>
      </c>
      <c r="D344" s="1416" t="s">
        <v>2630</v>
      </c>
      <c r="E344" s="1887" t="s">
        <v>6763</v>
      </c>
      <c r="F344" s="1416" t="s">
        <v>2630</v>
      </c>
      <c r="G344" s="1416" t="s">
        <v>2630</v>
      </c>
    </row>
    <row r="345" spans="2:7" hidden="1" outlineLevel="1">
      <c r="B345" s="1416" t="s">
        <v>1923</v>
      </c>
      <c r="C345" s="1416" t="s">
        <v>6764</v>
      </c>
      <c r="D345" s="1416" t="s">
        <v>6764</v>
      </c>
      <c r="E345" s="1887" t="s">
        <v>6765</v>
      </c>
      <c r="F345" s="1887" t="s">
        <v>2590</v>
      </c>
      <c r="G345" s="1887" t="s">
        <v>2590</v>
      </c>
    </row>
    <row r="346" spans="2:7" ht="24" hidden="1" outlineLevel="1">
      <c r="B346" s="1416" t="s">
        <v>1924</v>
      </c>
      <c r="C346" s="1416" t="s">
        <v>4151</v>
      </c>
      <c r="D346" s="1416" t="s">
        <v>4151</v>
      </c>
      <c r="E346" s="1887" t="s">
        <v>6766</v>
      </c>
      <c r="F346" s="1416" t="s">
        <v>4151</v>
      </c>
      <c r="G346" s="1416" t="s">
        <v>4151</v>
      </c>
    </row>
    <row r="347" spans="2:7" hidden="1" outlineLevel="1">
      <c r="B347" s="1416" t="s">
        <v>1925</v>
      </c>
      <c r="C347" s="1416" t="s">
        <v>1626</v>
      </c>
      <c r="D347" s="1416" t="s">
        <v>1626</v>
      </c>
      <c r="E347" s="1416" t="s">
        <v>1626</v>
      </c>
      <c r="F347" s="1416" t="s">
        <v>1626</v>
      </c>
      <c r="G347" s="1416" t="s">
        <v>1626</v>
      </c>
    </row>
    <row r="348" spans="2:7" ht="24" hidden="1" outlineLevel="1">
      <c r="B348" s="1416" t="s">
        <v>1627</v>
      </c>
      <c r="C348" s="1416" t="s">
        <v>2541</v>
      </c>
      <c r="D348" s="1416" t="s">
        <v>2541</v>
      </c>
      <c r="E348" s="1887" t="s">
        <v>6767</v>
      </c>
      <c r="F348" s="1416" t="s">
        <v>2541</v>
      </c>
      <c r="G348" s="1416" t="s">
        <v>2541</v>
      </c>
    </row>
    <row r="349" spans="2:7" hidden="1" outlineLevel="1">
      <c r="B349" s="1416" t="s">
        <v>1628</v>
      </c>
      <c r="C349" s="1416" t="s">
        <v>1900</v>
      </c>
      <c r="D349" s="1416" t="s">
        <v>1900</v>
      </c>
      <c r="E349" s="1887" t="s">
        <v>6768</v>
      </c>
      <c r="F349" s="1416" t="s">
        <v>1900</v>
      </c>
      <c r="G349" s="1416" t="s">
        <v>1900</v>
      </c>
    </row>
    <row r="350" spans="2:7" ht="24" hidden="1" outlineLevel="1">
      <c r="B350" s="1416" t="s">
        <v>1629</v>
      </c>
      <c r="C350" s="1416" t="s">
        <v>2588</v>
      </c>
      <c r="D350" s="1416" t="s">
        <v>2588</v>
      </c>
      <c r="E350" s="1887" t="s">
        <v>6769</v>
      </c>
      <c r="F350" s="1416" t="s">
        <v>2588</v>
      </c>
      <c r="G350" s="1416" t="s">
        <v>2588</v>
      </c>
    </row>
    <row r="351" spans="2:7" hidden="1" outlineLevel="1">
      <c r="B351" s="1416" t="s">
        <v>1630</v>
      </c>
      <c r="C351" s="1416" t="s">
        <v>2542</v>
      </c>
      <c r="D351" s="1416" t="s">
        <v>2542</v>
      </c>
      <c r="E351" s="1887" t="s">
        <v>6770</v>
      </c>
      <c r="F351" s="1416" t="s">
        <v>2542</v>
      </c>
      <c r="G351" s="1416" t="s">
        <v>2542</v>
      </c>
    </row>
    <row r="352" spans="2:7" hidden="1" outlineLevel="1">
      <c r="B352" s="1416" t="s">
        <v>1631</v>
      </c>
      <c r="C352" s="1416" t="s">
        <v>6771</v>
      </c>
      <c r="D352" s="1416" t="s">
        <v>6771</v>
      </c>
      <c r="E352" s="1887" t="s">
        <v>6772</v>
      </c>
      <c r="F352" s="1416" t="s">
        <v>6771</v>
      </c>
      <c r="G352" s="1416" t="s">
        <v>6771</v>
      </c>
    </row>
    <row r="353" spans="2:7" hidden="1" outlineLevel="1">
      <c r="B353" s="1416" t="s">
        <v>2315</v>
      </c>
      <c r="C353" s="1416" t="s">
        <v>6773</v>
      </c>
      <c r="D353" s="1416" t="s">
        <v>6773</v>
      </c>
      <c r="E353" s="1887" t="s">
        <v>6774</v>
      </c>
      <c r="F353" s="1416" t="s">
        <v>6773</v>
      </c>
      <c r="G353" s="1416" t="s">
        <v>6773</v>
      </c>
    </row>
    <row r="354" spans="2:7" hidden="1" outlineLevel="1">
      <c r="B354" s="1416" t="s">
        <v>2317</v>
      </c>
      <c r="C354" s="1416" t="s">
        <v>6775</v>
      </c>
      <c r="D354" s="1416" t="s">
        <v>6775</v>
      </c>
      <c r="E354" s="1887" t="s">
        <v>6776</v>
      </c>
      <c r="F354" s="1416" t="s">
        <v>6775</v>
      </c>
      <c r="G354" s="1416" t="s">
        <v>6775</v>
      </c>
    </row>
    <row r="355" spans="2:7" ht="24" hidden="1" outlineLevel="1">
      <c r="B355" s="1416" t="s">
        <v>2318</v>
      </c>
      <c r="C355" s="1416" t="s">
        <v>6777</v>
      </c>
      <c r="D355" s="1416" t="s">
        <v>6777</v>
      </c>
      <c r="E355" s="1887" t="s">
        <v>6778</v>
      </c>
      <c r="F355" s="1416" t="s">
        <v>6777</v>
      </c>
      <c r="G355" s="1416" t="s">
        <v>6777</v>
      </c>
    </row>
    <row r="356" spans="2:7" ht="24" hidden="1" outlineLevel="1">
      <c r="B356" s="1416" t="s">
        <v>2320</v>
      </c>
      <c r="C356" s="1416" t="s">
        <v>2589</v>
      </c>
      <c r="D356" s="1416" t="s">
        <v>2589</v>
      </c>
      <c r="E356" s="1887" t="s">
        <v>6779</v>
      </c>
      <c r="F356" s="1416" t="s">
        <v>2589</v>
      </c>
      <c r="G356" s="1416" t="s">
        <v>2589</v>
      </c>
    </row>
    <row r="357" spans="2:7" ht="24" hidden="1" outlineLevel="1">
      <c r="B357" s="1416" t="s">
        <v>2321</v>
      </c>
      <c r="C357" s="1416" t="s">
        <v>2543</v>
      </c>
      <c r="D357" s="1416" t="s">
        <v>2543</v>
      </c>
      <c r="E357" s="1887" t="s">
        <v>6780</v>
      </c>
      <c r="F357" s="1416" t="s">
        <v>2543</v>
      </c>
      <c r="G357" s="1416" t="s">
        <v>2543</v>
      </c>
    </row>
    <row r="358" spans="2:7" ht="24" hidden="1" outlineLevel="1">
      <c r="B358" s="1416" t="s">
        <v>1889</v>
      </c>
      <c r="C358" s="1416" t="s">
        <v>2544</v>
      </c>
      <c r="D358" s="1416" t="s">
        <v>2544</v>
      </c>
      <c r="E358" s="1887" t="s">
        <v>6781</v>
      </c>
      <c r="F358" s="1416" t="s">
        <v>2544</v>
      </c>
      <c r="G358" s="1416" t="s">
        <v>2544</v>
      </c>
    </row>
    <row r="359" spans="2:7" ht="24" hidden="1" outlineLevel="1">
      <c r="B359" s="1416" t="s">
        <v>2088</v>
      </c>
      <c r="C359" s="1416" t="s">
        <v>4364</v>
      </c>
      <c r="D359" s="1416" t="s">
        <v>4364</v>
      </c>
      <c r="E359" s="1887" t="s">
        <v>6782</v>
      </c>
      <c r="F359" s="1416" t="s">
        <v>4364</v>
      </c>
      <c r="G359" s="1416" t="s">
        <v>4364</v>
      </c>
    </row>
    <row r="360" spans="2:7" ht="24" hidden="1" outlineLevel="1">
      <c r="B360" s="1416" t="s">
        <v>2089</v>
      </c>
      <c r="C360" s="1416" t="s">
        <v>2124</v>
      </c>
      <c r="D360" s="1416" t="s">
        <v>2124</v>
      </c>
      <c r="E360" s="1887" t="s">
        <v>6783</v>
      </c>
      <c r="F360" s="1416" t="s">
        <v>2124</v>
      </c>
      <c r="G360" s="1416" t="s">
        <v>2124</v>
      </c>
    </row>
    <row r="361" spans="2:7" ht="24" hidden="1" outlineLevel="1">
      <c r="B361" s="1416" t="s">
        <v>2090</v>
      </c>
      <c r="C361" s="1416" t="s">
        <v>2125</v>
      </c>
      <c r="D361" s="1416" t="s">
        <v>2125</v>
      </c>
      <c r="E361" s="1887" t="s">
        <v>6784</v>
      </c>
      <c r="F361" s="1416" t="s">
        <v>2125</v>
      </c>
      <c r="G361" s="1416" t="s">
        <v>2125</v>
      </c>
    </row>
    <row r="362" spans="2:7" ht="24" hidden="1" outlineLevel="1">
      <c r="B362" s="1416" t="s">
        <v>2213</v>
      </c>
      <c r="C362" s="1416" t="s">
        <v>5625</v>
      </c>
      <c r="D362" s="1416" t="s">
        <v>5625</v>
      </c>
      <c r="E362" s="1887" t="s">
        <v>6785</v>
      </c>
      <c r="F362" s="1416" t="s">
        <v>5625</v>
      </c>
      <c r="G362" s="1416" t="s">
        <v>5625</v>
      </c>
    </row>
    <row r="363" spans="2:7" ht="24" hidden="1" outlineLevel="1">
      <c r="B363" s="1416" t="s">
        <v>2214</v>
      </c>
      <c r="C363" s="1416" t="s">
        <v>6786</v>
      </c>
      <c r="D363" s="1416" t="s">
        <v>6786</v>
      </c>
      <c r="E363" s="1887" t="s">
        <v>6787</v>
      </c>
      <c r="F363" s="1416" t="s">
        <v>6786</v>
      </c>
      <c r="G363" s="1416" t="s">
        <v>6786</v>
      </c>
    </row>
    <row r="364" spans="2:7" ht="24" hidden="1" outlineLevel="1">
      <c r="B364" s="1416" t="s">
        <v>454</v>
      </c>
      <c r="C364" s="1416" t="s">
        <v>6788</v>
      </c>
      <c r="D364" s="1416" t="s">
        <v>6788</v>
      </c>
      <c r="E364" s="1887" t="s">
        <v>6789</v>
      </c>
      <c r="F364" s="1416" t="s">
        <v>6788</v>
      </c>
      <c r="G364" s="1416" t="s">
        <v>6788</v>
      </c>
    </row>
    <row r="365" spans="2:7" ht="24" hidden="1" outlineLevel="1">
      <c r="B365" s="1416" t="s">
        <v>2603</v>
      </c>
      <c r="C365" s="1416" t="s">
        <v>6790</v>
      </c>
      <c r="D365" s="1416" t="s">
        <v>6790</v>
      </c>
      <c r="E365" s="1887" t="s">
        <v>6791</v>
      </c>
      <c r="F365" s="1416" t="s">
        <v>6790</v>
      </c>
      <c r="G365" s="1416" t="s">
        <v>6790</v>
      </c>
    </row>
    <row r="366" spans="2:7" hidden="1" outlineLevel="1">
      <c r="B366" s="1416" t="s">
        <v>2604</v>
      </c>
      <c r="C366" s="1416" t="s">
        <v>4179</v>
      </c>
      <c r="D366" s="1416" t="s">
        <v>4179</v>
      </c>
      <c r="E366" s="1887" t="s">
        <v>6792</v>
      </c>
      <c r="F366" s="1416" t="s">
        <v>4179</v>
      </c>
      <c r="G366" s="1416" t="s">
        <v>4179</v>
      </c>
    </row>
    <row r="367" spans="2:7" hidden="1" outlineLevel="1">
      <c r="B367" s="1416" t="s">
        <v>2605</v>
      </c>
      <c r="C367" s="1416" t="s">
        <v>4181</v>
      </c>
      <c r="D367" s="1416" t="s">
        <v>4181</v>
      </c>
      <c r="E367" s="1887" t="s">
        <v>6793</v>
      </c>
      <c r="F367" s="1416" t="s">
        <v>4181</v>
      </c>
      <c r="G367" s="1416" t="s">
        <v>4181</v>
      </c>
    </row>
    <row r="368" spans="2:7" hidden="1" outlineLevel="1">
      <c r="B368" s="1416" t="s">
        <v>2606</v>
      </c>
      <c r="C368" s="1416" t="s">
        <v>4183</v>
      </c>
      <c r="D368" s="1416" t="s">
        <v>4183</v>
      </c>
      <c r="E368" s="1887" t="s">
        <v>6794</v>
      </c>
      <c r="F368" s="1416" t="s">
        <v>4183</v>
      </c>
      <c r="G368" s="1416" t="s">
        <v>4183</v>
      </c>
    </row>
    <row r="369" spans="2:7" hidden="1" outlineLevel="1">
      <c r="B369" s="1416" t="s">
        <v>57</v>
      </c>
      <c r="C369" s="1416" t="s">
        <v>4185</v>
      </c>
      <c r="D369" s="1416" t="s">
        <v>4185</v>
      </c>
      <c r="E369" s="1887" t="s">
        <v>6795</v>
      </c>
      <c r="F369" s="1416" t="s">
        <v>4185</v>
      </c>
      <c r="G369" s="1416" t="s">
        <v>4185</v>
      </c>
    </row>
    <row r="370" spans="2:7" hidden="1" outlineLevel="1">
      <c r="B370" s="1416" t="s">
        <v>1561</v>
      </c>
      <c r="C370" s="1416" t="s">
        <v>4187</v>
      </c>
      <c r="D370" s="1416" t="s">
        <v>4187</v>
      </c>
      <c r="E370" s="1887" t="s">
        <v>6796</v>
      </c>
      <c r="F370" s="1416" t="s">
        <v>4187</v>
      </c>
      <c r="G370" s="1416" t="s">
        <v>4187</v>
      </c>
    </row>
    <row r="371" spans="2:7" ht="24" hidden="1" outlineLevel="1">
      <c r="B371" s="1416" t="s">
        <v>1562</v>
      </c>
      <c r="C371" s="1416" t="s">
        <v>1327</v>
      </c>
      <c r="D371" s="1416" t="s">
        <v>1327</v>
      </c>
      <c r="E371" s="1887" t="s">
        <v>6797</v>
      </c>
      <c r="F371" s="1416" t="s">
        <v>1327</v>
      </c>
      <c r="G371" s="1416" t="s">
        <v>1327</v>
      </c>
    </row>
    <row r="372" spans="2:7" hidden="1" outlineLevel="1">
      <c r="B372" s="1416" t="s">
        <v>1563</v>
      </c>
      <c r="C372" s="1416" t="s">
        <v>2002</v>
      </c>
      <c r="D372" s="1416" t="s">
        <v>2002</v>
      </c>
      <c r="E372" s="1416" t="s">
        <v>2002</v>
      </c>
      <c r="F372" s="1416" t="s">
        <v>2002</v>
      </c>
      <c r="G372" s="1416" t="s">
        <v>2002</v>
      </c>
    </row>
    <row r="373" spans="2:7" hidden="1" outlineLevel="1">
      <c r="B373" s="1416" t="s">
        <v>2003</v>
      </c>
      <c r="C373" s="1416" t="s">
        <v>2004</v>
      </c>
      <c r="D373" s="1416" t="s">
        <v>2004</v>
      </c>
      <c r="E373" s="1416" t="s">
        <v>2004</v>
      </c>
      <c r="F373" s="1416" t="s">
        <v>2004</v>
      </c>
      <c r="G373" s="1416" t="s">
        <v>2004</v>
      </c>
    </row>
    <row r="374" spans="2:7" ht="24" hidden="1" outlineLevel="1">
      <c r="B374" s="1416" t="s">
        <v>2005</v>
      </c>
      <c r="C374" s="1416" t="s">
        <v>137</v>
      </c>
      <c r="D374" s="1416" t="s">
        <v>4192</v>
      </c>
      <c r="E374" s="1887" t="s">
        <v>6798</v>
      </c>
      <c r="F374" s="1416" t="s">
        <v>4192</v>
      </c>
      <c r="G374" s="1416" t="s">
        <v>4192</v>
      </c>
    </row>
    <row r="375" spans="2:7" hidden="1" outlineLevel="1">
      <c r="B375" s="1416" t="s">
        <v>2006</v>
      </c>
      <c r="C375" s="1416" t="s">
        <v>137</v>
      </c>
      <c r="D375" s="1416" t="s">
        <v>2007</v>
      </c>
      <c r="E375" s="1416" t="s">
        <v>2007</v>
      </c>
      <c r="F375" s="1416" t="s">
        <v>2007</v>
      </c>
      <c r="G375" s="1416" t="s">
        <v>2007</v>
      </c>
    </row>
    <row r="376" spans="2:7" hidden="1" outlineLevel="1">
      <c r="B376" s="1416" t="s">
        <v>380</v>
      </c>
      <c r="C376" s="1416" t="s">
        <v>137</v>
      </c>
      <c r="D376" s="1416" t="s">
        <v>405</v>
      </c>
      <c r="E376" s="1887" t="s">
        <v>6799</v>
      </c>
      <c r="F376" s="1416" t="s">
        <v>405</v>
      </c>
      <c r="G376" s="1416" t="s">
        <v>405</v>
      </c>
    </row>
    <row r="377" spans="2:7" ht="24" hidden="1" outlineLevel="1">
      <c r="B377" s="1416" t="s">
        <v>2726</v>
      </c>
      <c r="C377" s="1416" t="s">
        <v>137</v>
      </c>
      <c r="D377" s="1416" t="s">
        <v>6800</v>
      </c>
      <c r="E377" s="1887" t="s">
        <v>6801</v>
      </c>
      <c r="F377" s="1416" t="s">
        <v>6800</v>
      </c>
      <c r="G377" s="1416" t="s">
        <v>6800</v>
      </c>
    </row>
    <row r="378" spans="2:7" hidden="1" outlineLevel="1">
      <c r="B378" s="1416" t="s">
        <v>2727</v>
      </c>
      <c r="C378" s="1416" t="s">
        <v>137</v>
      </c>
      <c r="D378" s="1416" t="s">
        <v>2728</v>
      </c>
      <c r="E378" s="1887" t="s">
        <v>6802</v>
      </c>
      <c r="F378" s="1416" t="s">
        <v>2728</v>
      </c>
      <c r="G378" s="1416" t="s">
        <v>2728</v>
      </c>
    </row>
    <row r="379" spans="2:7" hidden="1" outlineLevel="1">
      <c r="B379" s="1416" t="s">
        <v>2729</v>
      </c>
      <c r="C379" s="1416" t="s">
        <v>137</v>
      </c>
      <c r="D379" s="1416" t="s">
        <v>2730</v>
      </c>
      <c r="E379" s="1886" t="s">
        <v>6803</v>
      </c>
      <c r="F379" s="1416" t="s">
        <v>2730</v>
      </c>
      <c r="G379" s="1416" t="s">
        <v>2730</v>
      </c>
    </row>
    <row r="380" spans="2:7" hidden="1" outlineLevel="1">
      <c r="B380" s="1416" t="s">
        <v>2613</v>
      </c>
      <c r="C380" s="1416" t="s">
        <v>137</v>
      </c>
      <c r="D380" s="1416" t="s">
        <v>407</v>
      </c>
      <c r="E380" s="1887" t="s">
        <v>6804</v>
      </c>
      <c r="F380" s="1416" t="s">
        <v>407</v>
      </c>
      <c r="G380" s="1416" t="s">
        <v>407</v>
      </c>
    </row>
    <row r="381" spans="2:7" ht="24" hidden="1" outlineLevel="1">
      <c r="B381" s="1416" t="s">
        <v>2614</v>
      </c>
      <c r="C381" s="1416" t="s">
        <v>137</v>
      </c>
      <c r="D381" s="1416" t="s">
        <v>404</v>
      </c>
      <c r="E381" s="1887" t="s">
        <v>6805</v>
      </c>
      <c r="F381" s="1416" t="s">
        <v>404</v>
      </c>
      <c r="G381" s="1416" t="s">
        <v>404</v>
      </c>
    </row>
    <row r="382" spans="2:7" hidden="1" outlineLevel="1">
      <c r="B382" s="1416" t="s">
        <v>2615</v>
      </c>
      <c r="C382" s="1416" t="s">
        <v>137</v>
      </c>
      <c r="D382" s="1416" t="s">
        <v>2129</v>
      </c>
      <c r="E382" s="1887" t="s">
        <v>624</v>
      </c>
      <c r="F382" s="1416" t="s">
        <v>2129</v>
      </c>
      <c r="G382" s="1416" t="s">
        <v>2129</v>
      </c>
    </row>
    <row r="383" spans="2:7" hidden="1" outlineLevel="1">
      <c r="B383" s="1416" t="s">
        <v>2616</v>
      </c>
      <c r="C383" s="1416" t="s">
        <v>137</v>
      </c>
      <c r="D383" s="1416" t="s">
        <v>2617</v>
      </c>
      <c r="E383" s="1416" t="s">
        <v>2617</v>
      </c>
      <c r="F383" s="1416" t="s">
        <v>2617</v>
      </c>
      <c r="G383" s="1416" t="s">
        <v>2617</v>
      </c>
    </row>
    <row r="384" spans="2:7" hidden="1" outlineLevel="1">
      <c r="B384" s="1416" t="s">
        <v>2618</v>
      </c>
      <c r="C384" s="1416" t="s">
        <v>137</v>
      </c>
      <c r="D384" s="1416" t="s">
        <v>2504</v>
      </c>
      <c r="E384" s="1416" t="s">
        <v>2504</v>
      </c>
      <c r="F384" s="1416" t="s">
        <v>2504</v>
      </c>
      <c r="G384" s="1416" t="s">
        <v>2504</v>
      </c>
    </row>
    <row r="385" spans="2:7" hidden="1" outlineLevel="1">
      <c r="B385" s="1416" t="s">
        <v>1994</v>
      </c>
      <c r="C385" s="1416" t="s">
        <v>137</v>
      </c>
      <c r="D385" s="1416" t="s">
        <v>406</v>
      </c>
      <c r="E385" s="1887" t="s">
        <v>6806</v>
      </c>
      <c r="F385" s="1416" t="s">
        <v>406</v>
      </c>
      <c r="G385" s="1416" t="s">
        <v>406</v>
      </c>
    </row>
    <row r="386" spans="2:7" hidden="1" outlineLevel="1">
      <c r="B386" s="1416" t="s">
        <v>1995</v>
      </c>
      <c r="C386" s="1416" t="s">
        <v>137</v>
      </c>
      <c r="D386" s="1416" t="s">
        <v>362</v>
      </c>
      <c r="E386" s="1416" t="s">
        <v>362</v>
      </c>
      <c r="F386" s="1416" t="s">
        <v>362</v>
      </c>
      <c r="G386" s="1416" t="s">
        <v>362</v>
      </c>
    </row>
    <row r="387" spans="2:7" hidden="1" outlineLevel="1">
      <c r="B387" s="1416" t="s">
        <v>2065</v>
      </c>
      <c r="C387" s="1416" t="s">
        <v>137</v>
      </c>
      <c r="D387" s="1416" t="s">
        <v>2066</v>
      </c>
      <c r="E387" s="1416" t="s">
        <v>2066</v>
      </c>
      <c r="F387" s="1416" t="s">
        <v>2066</v>
      </c>
      <c r="G387" s="1416" t="s">
        <v>2066</v>
      </c>
    </row>
    <row r="388" spans="2:7" collapsed="1">
      <c r="B388" s="4329" t="s">
        <v>3621</v>
      </c>
      <c r="C388" s="4330"/>
      <c r="D388" s="4330"/>
      <c r="E388" s="4330"/>
      <c r="F388" s="4330"/>
      <c r="G388" s="4330"/>
    </row>
    <row r="389" spans="2:7" hidden="1" outlineLevel="1">
      <c r="B389" s="1416" t="s">
        <v>761</v>
      </c>
      <c r="C389" s="1416" t="s">
        <v>2232</v>
      </c>
      <c r="D389" s="1416" t="s">
        <v>2232</v>
      </c>
      <c r="E389" s="1416" t="s">
        <v>2232</v>
      </c>
      <c r="F389" s="1416" t="s">
        <v>2232</v>
      </c>
      <c r="G389" s="1416" t="s">
        <v>2232</v>
      </c>
    </row>
    <row r="390" spans="2:7" hidden="1" outlineLevel="1">
      <c r="B390" s="1416" t="s">
        <v>762</v>
      </c>
      <c r="C390" s="1416" t="s">
        <v>2233</v>
      </c>
      <c r="D390" s="1416" t="s">
        <v>2233</v>
      </c>
      <c r="E390" s="1416" t="s">
        <v>2233</v>
      </c>
      <c r="F390" s="1416" t="s">
        <v>2233</v>
      </c>
      <c r="G390" s="1416" t="s">
        <v>2233</v>
      </c>
    </row>
    <row r="391" spans="2:7" hidden="1" outlineLevel="1">
      <c r="B391" s="1416" t="s">
        <v>1250</v>
      </c>
      <c r="C391" s="1416" t="s">
        <v>6807</v>
      </c>
      <c r="D391" s="1416" t="s">
        <v>6807</v>
      </c>
      <c r="E391" s="1887" t="s">
        <v>343</v>
      </c>
      <c r="F391" s="1887" t="s">
        <v>373</v>
      </c>
      <c r="G391" s="1887" t="s">
        <v>373</v>
      </c>
    </row>
    <row r="392" spans="2:7" hidden="1" outlineLevel="1">
      <c r="B392" s="1416" t="s">
        <v>763</v>
      </c>
      <c r="C392" s="1416" t="s">
        <v>343</v>
      </c>
      <c r="D392" s="1416" t="s">
        <v>343</v>
      </c>
      <c r="E392" s="1887" t="s">
        <v>6807</v>
      </c>
      <c r="F392" s="1887" t="s">
        <v>6808</v>
      </c>
      <c r="G392" s="1887" t="s">
        <v>6808</v>
      </c>
    </row>
    <row r="393" spans="2:7" hidden="1" outlineLevel="1">
      <c r="B393" s="1416" t="s">
        <v>629</v>
      </c>
      <c r="C393" s="1416" t="s">
        <v>2324</v>
      </c>
      <c r="D393" s="1416" t="s">
        <v>2324</v>
      </c>
      <c r="E393" s="1416" t="s">
        <v>2324</v>
      </c>
      <c r="F393" s="1416" t="s">
        <v>2324</v>
      </c>
      <c r="G393" s="1416" t="s">
        <v>2324</v>
      </c>
    </row>
    <row r="394" spans="2:7" hidden="1" outlineLevel="1">
      <c r="B394" s="1416" t="s">
        <v>764</v>
      </c>
      <c r="C394" s="1416" t="s">
        <v>344</v>
      </c>
      <c r="D394" s="1416" t="s">
        <v>344</v>
      </c>
      <c r="E394" s="1416" t="s">
        <v>344</v>
      </c>
      <c r="F394" s="1416" t="s">
        <v>344</v>
      </c>
      <c r="G394" s="1416" t="s">
        <v>344</v>
      </c>
    </row>
    <row r="395" spans="2:7" hidden="1" outlineLevel="1">
      <c r="B395" s="1416" t="s">
        <v>765</v>
      </c>
      <c r="C395" s="1416" t="s">
        <v>2152</v>
      </c>
      <c r="D395" s="1416" t="s">
        <v>2152</v>
      </c>
      <c r="E395" s="1887" t="s">
        <v>6809</v>
      </c>
      <c r="F395" s="1887" t="s">
        <v>6809</v>
      </c>
      <c r="G395" s="1887" t="s">
        <v>6809</v>
      </c>
    </row>
    <row r="396" spans="2:7" hidden="1" outlineLevel="1">
      <c r="B396" s="1416" t="s">
        <v>766</v>
      </c>
      <c r="C396" s="1416" t="s">
        <v>1645</v>
      </c>
      <c r="D396" s="1416" t="s">
        <v>1645</v>
      </c>
      <c r="E396" s="1416" t="s">
        <v>1645</v>
      </c>
      <c r="F396" s="1416" t="s">
        <v>1645</v>
      </c>
      <c r="G396" s="1416" t="s">
        <v>1645</v>
      </c>
    </row>
    <row r="397" spans="2:7" hidden="1" outlineLevel="1">
      <c r="B397" s="1416" t="s">
        <v>767</v>
      </c>
      <c r="C397" s="1416" t="s">
        <v>1948</v>
      </c>
      <c r="D397" s="1416" t="s">
        <v>1948</v>
      </c>
      <c r="E397" s="1416" t="s">
        <v>1948</v>
      </c>
      <c r="F397" s="1416" t="s">
        <v>1948</v>
      </c>
      <c r="G397" s="1416" t="s">
        <v>1948</v>
      </c>
    </row>
    <row r="398" spans="2:7" hidden="1" outlineLevel="1">
      <c r="B398" s="1416" t="s">
        <v>2445</v>
      </c>
      <c r="C398" s="1416" t="s">
        <v>1644</v>
      </c>
      <c r="D398" s="1416" t="s">
        <v>1644</v>
      </c>
      <c r="E398" s="1416" t="s">
        <v>1644</v>
      </c>
      <c r="F398" s="1416" t="s">
        <v>1644</v>
      </c>
      <c r="G398" s="1416" t="s">
        <v>1644</v>
      </c>
    </row>
    <row r="399" spans="2:7" hidden="1" outlineLevel="1">
      <c r="B399" s="1416" t="s">
        <v>2446</v>
      </c>
      <c r="C399" s="1416" t="s">
        <v>6810</v>
      </c>
      <c r="D399" s="1887" t="s">
        <v>567</v>
      </c>
      <c r="E399" s="1887" t="s">
        <v>6811</v>
      </c>
      <c r="F399" s="1887" t="s">
        <v>567</v>
      </c>
      <c r="G399" s="1887" t="s">
        <v>567</v>
      </c>
    </row>
    <row r="400" spans="2:7" hidden="1" outlineLevel="1">
      <c r="B400" s="1416" t="s">
        <v>2447</v>
      </c>
      <c r="C400" s="1416" t="s">
        <v>654</v>
      </c>
      <c r="D400" s="1416" t="s">
        <v>654</v>
      </c>
      <c r="E400" s="1416" t="s">
        <v>654</v>
      </c>
      <c r="F400" s="1416" t="s">
        <v>654</v>
      </c>
      <c r="G400" s="1416" t="s">
        <v>654</v>
      </c>
    </row>
    <row r="401" spans="2:7" hidden="1" outlineLevel="1">
      <c r="B401" s="1416" t="s">
        <v>2448</v>
      </c>
      <c r="C401" s="1416" t="s">
        <v>650</v>
      </c>
      <c r="D401" s="1416" t="s">
        <v>650</v>
      </c>
      <c r="E401" s="1416" t="s">
        <v>650</v>
      </c>
      <c r="F401" s="1416" t="s">
        <v>650</v>
      </c>
      <c r="G401" s="1416" t="s">
        <v>650</v>
      </c>
    </row>
    <row r="402" spans="2:7" hidden="1" outlineLevel="1">
      <c r="B402" s="1416" t="s">
        <v>2600</v>
      </c>
      <c r="C402" s="1416" t="s">
        <v>1220</v>
      </c>
      <c r="D402" s="1416" t="s">
        <v>1220</v>
      </c>
      <c r="E402" s="1416" t="s">
        <v>1220</v>
      </c>
      <c r="F402" s="1416" t="s">
        <v>1220</v>
      </c>
      <c r="G402" s="1416" t="s">
        <v>1220</v>
      </c>
    </row>
    <row r="403" spans="2:7" hidden="1" outlineLevel="1">
      <c r="B403" s="1416" t="s">
        <v>1487</v>
      </c>
      <c r="C403" s="1416" t="s">
        <v>2234</v>
      </c>
      <c r="D403" s="1416" t="s">
        <v>2234</v>
      </c>
      <c r="E403" s="1416" t="s">
        <v>2234</v>
      </c>
      <c r="F403" s="1416" t="s">
        <v>2234</v>
      </c>
      <c r="G403" s="1416" t="s">
        <v>2234</v>
      </c>
    </row>
    <row r="404" spans="2:7" hidden="1" outlineLevel="1">
      <c r="B404" s="1416" t="s">
        <v>2601</v>
      </c>
      <c r="C404" s="1416" t="s">
        <v>3444</v>
      </c>
      <c r="D404" s="1416" t="s">
        <v>3444</v>
      </c>
      <c r="E404" s="1416" t="s">
        <v>3444</v>
      </c>
      <c r="F404" s="1416" t="s">
        <v>3444</v>
      </c>
      <c r="G404" s="1416" t="s">
        <v>3444</v>
      </c>
    </row>
    <row r="405" spans="2:7" hidden="1" outlineLevel="1">
      <c r="B405" s="1416" t="s">
        <v>1488</v>
      </c>
      <c r="C405" s="1416" t="s">
        <v>374</v>
      </c>
      <c r="D405" s="1416" t="s">
        <v>374</v>
      </c>
      <c r="E405" s="1416" t="s">
        <v>374</v>
      </c>
      <c r="F405" s="1416" t="s">
        <v>374</v>
      </c>
      <c r="G405" s="1416" t="s">
        <v>374</v>
      </c>
    </row>
    <row r="406" spans="2:7" hidden="1" outlineLevel="1">
      <c r="B406" s="1416" t="s">
        <v>2602</v>
      </c>
      <c r="C406" s="1416" t="s">
        <v>1597</v>
      </c>
      <c r="D406" s="1416" t="s">
        <v>1597</v>
      </c>
      <c r="E406" s="1416" t="s">
        <v>1597</v>
      </c>
      <c r="F406" s="1416" t="s">
        <v>1597</v>
      </c>
      <c r="G406" s="1416" t="s">
        <v>1597</v>
      </c>
    </row>
    <row r="407" spans="2:7" hidden="1" outlineLevel="1">
      <c r="B407" s="1416" t="s">
        <v>1962</v>
      </c>
      <c r="C407" s="1416" t="s">
        <v>2844</v>
      </c>
      <c r="D407" s="1416" t="s">
        <v>2844</v>
      </c>
      <c r="E407" s="1416" t="s">
        <v>2844</v>
      </c>
      <c r="F407" s="1886" t="s">
        <v>6812</v>
      </c>
      <c r="G407" s="1887" t="s">
        <v>889</v>
      </c>
    </row>
    <row r="408" spans="2:7" hidden="1" outlineLevel="1">
      <c r="B408" s="1416" t="s">
        <v>2777</v>
      </c>
      <c r="C408" s="1416" t="s">
        <v>6813</v>
      </c>
      <c r="D408" s="1887" t="s">
        <v>840</v>
      </c>
      <c r="E408" s="1887" t="s">
        <v>6814</v>
      </c>
      <c r="F408" s="1887" t="s">
        <v>6815</v>
      </c>
      <c r="G408" s="1887" t="s">
        <v>6815</v>
      </c>
    </row>
    <row r="409" spans="2:7" hidden="1" outlineLevel="1">
      <c r="B409" s="1416" t="s">
        <v>2780</v>
      </c>
      <c r="C409" s="1416" t="s">
        <v>1949</v>
      </c>
      <c r="D409" s="1416" t="s">
        <v>1949</v>
      </c>
      <c r="E409" s="1416" t="s">
        <v>1949</v>
      </c>
      <c r="F409" s="1416" t="s">
        <v>1949</v>
      </c>
      <c r="G409" s="1416" t="s">
        <v>1949</v>
      </c>
    </row>
    <row r="410" spans="2:7" hidden="1" outlineLevel="1">
      <c r="B410" s="1416" t="s">
        <v>2781</v>
      </c>
      <c r="C410" s="1416" t="s">
        <v>900</v>
      </c>
      <c r="D410" s="1416" t="s">
        <v>900</v>
      </c>
      <c r="E410" s="1416" t="s">
        <v>900</v>
      </c>
      <c r="F410" s="1416" t="s">
        <v>900</v>
      </c>
      <c r="G410" s="1416" t="s">
        <v>900</v>
      </c>
    </row>
    <row r="411" spans="2:7" hidden="1" outlineLevel="1">
      <c r="B411" s="1416" t="s">
        <v>2778</v>
      </c>
      <c r="C411" s="1416" t="s">
        <v>6816</v>
      </c>
      <c r="D411" s="1887" t="s">
        <v>6817</v>
      </c>
      <c r="E411" s="1886" t="s">
        <v>6818</v>
      </c>
      <c r="F411" s="1887" t="s">
        <v>6817</v>
      </c>
      <c r="G411" s="1887" t="s">
        <v>6819</v>
      </c>
    </row>
    <row r="412" spans="2:7" hidden="1" outlineLevel="1">
      <c r="B412" s="1416" t="s">
        <v>2779</v>
      </c>
      <c r="C412" s="1416" t="s">
        <v>6820</v>
      </c>
      <c r="D412" s="1886" t="s">
        <v>6821</v>
      </c>
      <c r="E412" s="1887" t="s">
        <v>6822</v>
      </c>
      <c r="F412" s="1886" t="s">
        <v>6821</v>
      </c>
      <c r="G412" s="1886" t="s">
        <v>3446</v>
      </c>
    </row>
    <row r="413" spans="2:7" hidden="1" outlineLevel="1">
      <c r="B413" s="1416" t="s">
        <v>2782</v>
      </c>
      <c r="C413" s="1416" t="s">
        <v>1052</v>
      </c>
      <c r="D413" s="1416" t="s">
        <v>1052</v>
      </c>
      <c r="E413" s="1416" t="s">
        <v>1052</v>
      </c>
      <c r="F413" s="1416" t="s">
        <v>1052</v>
      </c>
      <c r="G413" s="1416" t="s">
        <v>1052</v>
      </c>
    </row>
    <row r="414" spans="2:7" hidden="1" outlineLevel="1">
      <c r="B414" s="1416" t="s">
        <v>2783</v>
      </c>
      <c r="C414" s="1416" t="s">
        <v>841</v>
      </c>
      <c r="D414" s="1416" t="s">
        <v>841</v>
      </c>
      <c r="E414" s="1416" t="s">
        <v>841</v>
      </c>
      <c r="F414" s="1416" t="s">
        <v>841</v>
      </c>
      <c r="G414" s="1416" t="s">
        <v>841</v>
      </c>
    </row>
    <row r="415" spans="2:7" hidden="1" outlineLevel="1">
      <c r="B415" s="1416" t="s">
        <v>2784</v>
      </c>
      <c r="C415" s="1416" t="s">
        <v>3447</v>
      </c>
      <c r="D415" s="1416" t="s">
        <v>3447</v>
      </c>
      <c r="E415" s="1416" t="s">
        <v>3447</v>
      </c>
      <c r="F415" s="1416" t="s">
        <v>3447</v>
      </c>
      <c r="G415" s="1416" t="s">
        <v>3447</v>
      </c>
    </row>
    <row r="416" spans="2:7" hidden="1" outlineLevel="1">
      <c r="B416" s="1416" t="s">
        <v>2785</v>
      </c>
      <c r="C416" s="1416" t="s">
        <v>842</v>
      </c>
      <c r="D416" s="1416" t="s">
        <v>842</v>
      </c>
      <c r="E416" s="1416" t="s">
        <v>842</v>
      </c>
      <c r="F416" s="1416" t="s">
        <v>842</v>
      </c>
      <c r="G416" s="1416" t="s">
        <v>842</v>
      </c>
    </row>
    <row r="417" spans="2:7" hidden="1" outlineLevel="1">
      <c r="B417" s="1416" t="s">
        <v>503</v>
      </c>
      <c r="C417" s="1416" t="s">
        <v>1532</v>
      </c>
      <c r="D417" s="1416" t="s">
        <v>1532</v>
      </c>
      <c r="E417" s="1416" t="s">
        <v>1532</v>
      </c>
      <c r="F417" s="1416" t="s">
        <v>1532</v>
      </c>
      <c r="G417" s="1416" t="s">
        <v>1532</v>
      </c>
    </row>
    <row r="418" spans="2:7" hidden="1" outlineLevel="1">
      <c r="B418" s="1416" t="s">
        <v>504</v>
      </c>
      <c r="C418" s="1416" t="s">
        <v>6823</v>
      </c>
      <c r="D418" s="1887" t="s">
        <v>1533</v>
      </c>
      <c r="E418" s="1887" t="s">
        <v>6824</v>
      </c>
      <c r="F418" s="1887" t="s">
        <v>1533</v>
      </c>
      <c r="G418" s="1887" t="s">
        <v>1533</v>
      </c>
    </row>
    <row r="419" spans="2:7" hidden="1" outlineLevel="1">
      <c r="B419" s="1416" t="s">
        <v>505</v>
      </c>
      <c r="C419" s="1416" t="s">
        <v>6825</v>
      </c>
      <c r="D419" s="1886" t="s">
        <v>3448</v>
      </c>
      <c r="E419" s="1886" t="s">
        <v>3448</v>
      </c>
      <c r="F419" s="1886" t="s">
        <v>3448</v>
      </c>
      <c r="G419" s="1886" t="s">
        <v>3448</v>
      </c>
    </row>
    <row r="420" spans="2:7" hidden="1" outlineLevel="1">
      <c r="B420" s="1416" t="s">
        <v>2561</v>
      </c>
      <c r="C420" s="1416" t="s">
        <v>6826</v>
      </c>
      <c r="D420" s="1886" t="s">
        <v>3449</v>
      </c>
      <c r="E420" s="1886" t="s">
        <v>3449</v>
      </c>
      <c r="F420" s="1886" t="s">
        <v>3449</v>
      </c>
      <c r="G420" s="1886" t="s">
        <v>3449</v>
      </c>
    </row>
    <row r="421" spans="2:7" hidden="1" outlineLevel="1">
      <c r="B421" s="1416" t="s">
        <v>2562</v>
      </c>
      <c r="C421" s="1416" t="s">
        <v>2260</v>
      </c>
      <c r="D421" s="1416" t="s">
        <v>2260</v>
      </c>
      <c r="E421" s="1416" t="s">
        <v>2260</v>
      </c>
      <c r="F421" s="1416" t="s">
        <v>2260</v>
      </c>
      <c r="G421" s="1416" t="s">
        <v>2260</v>
      </c>
    </row>
    <row r="422" spans="2:7" hidden="1" outlineLevel="1">
      <c r="B422" s="1416" t="s">
        <v>2563</v>
      </c>
      <c r="C422" s="1416" t="s">
        <v>6827</v>
      </c>
      <c r="D422" s="1887" t="s">
        <v>3450</v>
      </c>
      <c r="E422" s="1416" t="s">
        <v>6827</v>
      </c>
      <c r="F422" s="1887" t="s">
        <v>3450</v>
      </c>
      <c r="G422" s="1887" t="s">
        <v>3450</v>
      </c>
    </row>
    <row r="423" spans="2:7" hidden="1" outlineLevel="1">
      <c r="B423" s="1416" t="s">
        <v>2564</v>
      </c>
      <c r="C423" s="1416" t="s">
        <v>1817</v>
      </c>
      <c r="D423" s="1416" t="s">
        <v>1817</v>
      </c>
      <c r="E423" s="1416" t="s">
        <v>1817</v>
      </c>
      <c r="F423" s="1416" t="s">
        <v>1817</v>
      </c>
      <c r="G423" s="1416" t="s">
        <v>1817</v>
      </c>
    </row>
    <row r="424" spans="2:7" hidden="1" outlineLevel="1">
      <c r="B424" s="1416" t="s">
        <v>2565</v>
      </c>
      <c r="C424" s="1416" t="s">
        <v>6828</v>
      </c>
      <c r="D424" s="1887" t="s">
        <v>6829</v>
      </c>
      <c r="E424" s="1887" t="s">
        <v>3451</v>
      </c>
      <c r="F424" s="1887" t="s">
        <v>6829</v>
      </c>
      <c r="G424" s="1887" t="s">
        <v>3451</v>
      </c>
    </row>
    <row r="425" spans="2:7" hidden="1" outlineLevel="1">
      <c r="B425" s="1416" t="s">
        <v>2566</v>
      </c>
      <c r="C425" s="1416" t="s">
        <v>6830</v>
      </c>
      <c r="D425" s="1416" t="s">
        <v>6830</v>
      </c>
      <c r="E425" s="1886" t="s">
        <v>3062</v>
      </c>
      <c r="F425" s="1886" t="s">
        <v>3062</v>
      </c>
      <c r="G425" s="1886" t="s">
        <v>3062</v>
      </c>
    </row>
    <row r="426" spans="2:7" hidden="1" outlineLevel="1">
      <c r="B426" s="1416" t="s">
        <v>2567</v>
      </c>
      <c r="C426" s="1416" t="s">
        <v>6831</v>
      </c>
      <c r="D426" s="1887" t="s">
        <v>6832</v>
      </c>
      <c r="E426" s="1887" t="s">
        <v>6833</v>
      </c>
      <c r="F426" s="1887" t="s">
        <v>3452</v>
      </c>
      <c r="G426" s="1887" t="s">
        <v>3452</v>
      </c>
    </row>
    <row r="427" spans="2:7" hidden="1" outlineLevel="1">
      <c r="B427" s="1416" t="s">
        <v>2535</v>
      </c>
      <c r="C427" s="1416" t="s">
        <v>566</v>
      </c>
      <c r="D427" s="1416" t="s">
        <v>566</v>
      </c>
      <c r="E427" s="1416" t="s">
        <v>566</v>
      </c>
      <c r="F427" s="1416" t="s">
        <v>566</v>
      </c>
      <c r="G427" s="1416" t="s">
        <v>566</v>
      </c>
    </row>
    <row r="428" spans="2:7" hidden="1" outlineLevel="1">
      <c r="B428" s="1416" t="s">
        <v>2261</v>
      </c>
      <c r="C428" s="1416" t="s">
        <v>6834</v>
      </c>
      <c r="D428" s="1887" t="s">
        <v>6835</v>
      </c>
      <c r="E428" s="1887" t="s">
        <v>6836</v>
      </c>
      <c r="F428" s="1887" t="s">
        <v>6835</v>
      </c>
      <c r="G428" s="1416" t="s">
        <v>6834</v>
      </c>
    </row>
    <row r="429" spans="2:7" hidden="1" outlineLevel="1">
      <c r="B429" s="1416" t="s">
        <v>2262</v>
      </c>
      <c r="C429" s="1416" t="s">
        <v>652</v>
      </c>
      <c r="D429" s="1416" t="s">
        <v>652</v>
      </c>
      <c r="E429" s="1416" t="s">
        <v>652</v>
      </c>
      <c r="F429" s="1416" t="s">
        <v>652</v>
      </c>
      <c r="G429" s="1416" t="s">
        <v>652</v>
      </c>
    </row>
    <row r="430" spans="2:7" hidden="1" outlineLevel="1">
      <c r="B430" s="1416" t="s">
        <v>2263</v>
      </c>
      <c r="C430" s="1416" t="s">
        <v>1221</v>
      </c>
      <c r="D430" s="1416" t="s">
        <v>1221</v>
      </c>
      <c r="E430" s="1416" t="s">
        <v>1221</v>
      </c>
      <c r="F430" s="1416" t="s">
        <v>1221</v>
      </c>
      <c r="G430" s="1416" t="s">
        <v>1221</v>
      </c>
    </row>
    <row r="431" spans="2:7" hidden="1" outlineLevel="1">
      <c r="B431" s="1416" t="s">
        <v>1850</v>
      </c>
      <c r="C431" s="1416" t="s">
        <v>1536</v>
      </c>
      <c r="D431" s="1416" t="s">
        <v>1536</v>
      </c>
      <c r="E431" s="1416" t="s">
        <v>1536</v>
      </c>
      <c r="F431" s="1416" t="s">
        <v>1536</v>
      </c>
      <c r="G431" s="1416" t="s">
        <v>1536</v>
      </c>
    </row>
    <row r="432" spans="2:7" hidden="1" outlineLevel="1">
      <c r="B432" s="1416" t="s">
        <v>2264</v>
      </c>
      <c r="C432" s="1416" t="s">
        <v>3454</v>
      </c>
      <c r="D432" s="1886" t="s">
        <v>6837</v>
      </c>
      <c r="E432" s="1886" t="s">
        <v>6838</v>
      </c>
      <c r="F432" s="1886" t="s">
        <v>6837</v>
      </c>
      <c r="G432" s="1416" t="s">
        <v>3454</v>
      </c>
    </row>
    <row r="433" spans="2:7" hidden="1" outlineLevel="1">
      <c r="B433" s="1416" t="s">
        <v>2265</v>
      </c>
      <c r="C433" s="1416" t="s">
        <v>2528</v>
      </c>
      <c r="D433" s="1416" t="s">
        <v>2528</v>
      </c>
      <c r="E433" s="1887" t="s">
        <v>6839</v>
      </c>
      <c r="F433" s="1416" t="s">
        <v>2528</v>
      </c>
      <c r="G433" s="1887" t="s">
        <v>6839</v>
      </c>
    </row>
    <row r="434" spans="2:7" hidden="1" outlineLevel="1">
      <c r="B434" s="1416" t="s">
        <v>1848</v>
      </c>
      <c r="C434" s="1416" t="s">
        <v>376</v>
      </c>
      <c r="D434" s="1416" t="s">
        <v>376</v>
      </c>
      <c r="E434" s="1416" t="s">
        <v>376</v>
      </c>
      <c r="F434" s="1416" t="s">
        <v>376</v>
      </c>
      <c r="G434" s="1416" t="s">
        <v>376</v>
      </c>
    </row>
    <row r="435" spans="2:7" hidden="1" outlineLevel="1">
      <c r="B435" s="1416" t="s">
        <v>1851</v>
      </c>
      <c r="C435" s="1416" t="s">
        <v>1594</v>
      </c>
      <c r="D435" s="1416" t="s">
        <v>1594</v>
      </c>
      <c r="E435" s="1887" t="s">
        <v>55</v>
      </c>
      <c r="F435" s="1416" t="s">
        <v>1594</v>
      </c>
      <c r="G435" s="1416" t="s">
        <v>1594</v>
      </c>
    </row>
    <row r="436" spans="2:7" hidden="1" outlineLevel="1">
      <c r="B436" s="1416" t="s">
        <v>2266</v>
      </c>
      <c r="C436" s="1416" t="s">
        <v>1619</v>
      </c>
      <c r="D436" s="1416" t="s">
        <v>1619</v>
      </c>
      <c r="E436" s="1416" t="s">
        <v>1619</v>
      </c>
      <c r="F436" s="1416" t="s">
        <v>1619</v>
      </c>
      <c r="G436" s="1887" t="s">
        <v>55</v>
      </c>
    </row>
    <row r="437" spans="2:7" hidden="1" outlineLevel="1">
      <c r="B437" s="1416" t="s">
        <v>2267</v>
      </c>
      <c r="C437" s="1416" t="s">
        <v>895</v>
      </c>
      <c r="D437" s="1416" t="s">
        <v>895</v>
      </c>
      <c r="E437" s="1416" t="s">
        <v>895</v>
      </c>
      <c r="F437" s="1416" t="s">
        <v>895</v>
      </c>
      <c r="G437" s="1416" t="s">
        <v>895</v>
      </c>
    </row>
    <row r="438" spans="2:7" hidden="1" outlineLevel="1">
      <c r="B438" s="1416" t="s">
        <v>2268</v>
      </c>
      <c r="C438" s="1416" t="s">
        <v>6840</v>
      </c>
      <c r="D438" s="1887" t="s">
        <v>6841</v>
      </c>
      <c r="E438" s="1416" t="s">
        <v>6840</v>
      </c>
      <c r="F438" s="1887" t="s">
        <v>6841</v>
      </c>
      <c r="G438" s="1887" t="s">
        <v>3455</v>
      </c>
    </row>
    <row r="439" spans="2:7" hidden="1" outlineLevel="1">
      <c r="B439" s="1416" t="s">
        <v>2269</v>
      </c>
      <c r="C439" s="1416" t="s">
        <v>642</v>
      </c>
      <c r="D439" s="1416" t="s">
        <v>642</v>
      </c>
      <c r="E439" s="1416" t="s">
        <v>642</v>
      </c>
      <c r="F439" s="1416" t="s">
        <v>642</v>
      </c>
      <c r="G439" s="1416" t="s">
        <v>642</v>
      </c>
    </row>
    <row r="440" spans="2:7" hidden="1" outlineLevel="1">
      <c r="B440" s="1416" t="s">
        <v>2270</v>
      </c>
      <c r="C440" s="1416" t="s">
        <v>6842</v>
      </c>
      <c r="D440" s="1887" t="s">
        <v>898</v>
      </c>
      <c r="E440" s="1887" t="s">
        <v>6843</v>
      </c>
      <c r="F440" s="1887" t="s">
        <v>898</v>
      </c>
      <c r="G440" s="1887" t="s">
        <v>898</v>
      </c>
    </row>
    <row r="441" spans="2:7" hidden="1" outlineLevel="1">
      <c r="B441" s="1416" t="s">
        <v>2271</v>
      </c>
      <c r="C441" s="1416" t="s">
        <v>3456</v>
      </c>
      <c r="D441" s="1416" t="s">
        <v>3456</v>
      </c>
      <c r="E441" s="1416" t="s">
        <v>3456</v>
      </c>
      <c r="F441" s="1416" t="s">
        <v>3456</v>
      </c>
      <c r="G441" s="1416" t="s">
        <v>3456</v>
      </c>
    </row>
    <row r="442" spans="2:7" hidden="1" outlineLevel="1">
      <c r="B442" s="1416" t="s">
        <v>2272</v>
      </c>
      <c r="C442" s="1416" t="s">
        <v>2607</v>
      </c>
      <c r="D442" s="1416" t="s">
        <v>2607</v>
      </c>
      <c r="E442" s="1887" t="s">
        <v>6844</v>
      </c>
      <c r="F442" s="1416" t="s">
        <v>2607</v>
      </c>
      <c r="G442" s="1887" t="s">
        <v>6845</v>
      </c>
    </row>
    <row r="443" spans="2:7" hidden="1" outlineLevel="1">
      <c r="B443" s="1416" t="s">
        <v>2273</v>
      </c>
      <c r="C443" s="1416" t="s">
        <v>899</v>
      </c>
      <c r="D443" s="1416" t="s">
        <v>899</v>
      </c>
      <c r="E443" s="1416" t="s">
        <v>899</v>
      </c>
      <c r="F443" s="1416" t="s">
        <v>899</v>
      </c>
      <c r="G443" s="1416" t="s">
        <v>899</v>
      </c>
    </row>
    <row r="444" spans="2:7" hidden="1" outlineLevel="1">
      <c r="B444" s="1416" t="s">
        <v>2153</v>
      </c>
      <c r="C444" s="1416" t="s">
        <v>6846</v>
      </c>
      <c r="D444" s="1887" t="s">
        <v>3457</v>
      </c>
      <c r="E444" s="1887" t="s">
        <v>6847</v>
      </c>
      <c r="F444" s="1887" t="s">
        <v>3457</v>
      </c>
      <c r="G444" s="1887" t="s">
        <v>3457</v>
      </c>
    </row>
    <row r="445" spans="2:7" hidden="1" outlineLevel="1">
      <c r="B445" s="1416" t="s">
        <v>1352</v>
      </c>
      <c r="C445" s="1416" t="s">
        <v>1537</v>
      </c>
      <c r="D445" s="1416" t="s">
        <v>1537</v>
      </c>
      <c r="E445" s="1416" t="s">
        <v>1537</v>
      </c>
      <c r="F445" s="1416" t="s">
        <v>1537</v>
      </c>
      <c r="G445" s="1416" t="s">
        <v>1537</v>
      </c>
    </row>
    <row r="446" spans="2:7" hidden="1" outlineLevel="1">
      <c r="B446" s="1416" t="s">
        <v>1906</v>
      </c>
      <c r="C446" s="1416" t="s">
        <v>1721</v>
      </c>
      <c r="D446" s="1416" t="s">
        <v>1721</v>
      </c>
      <c r="E446" s="1416" t="s">
        <v>1721</v>
      </c>
      <c r="F446" s="1416" t="s">
        <v>1721</v>
      </c>
      <c r="G446" s="1416" t="s">
        <v>1721</v>
      </c>
    </row>
    <row r="447" spans="2:7" hidden="1" outlineLevel="1">
      <c r="B447" s="1416" t="s">
        <v>1350</v>
      </c>
      <c r="C447" s="1416" t="s">
        <v>377</v>
      </c>
      <c r="D447" s="1416" t="s">
        <v>377</v>
      </c>
      <c r="E447" s="1416" t="s">
        <v>377</v>
      </c>
      <c r="F447" s="1416" t="s">
        <v>377</v>
      </c>
      <c r="G447" s="1416" t="s">
        <v>377</v>
      </c>
    </row>
    <row r="448" spans="2:7" hidden="1" outlineLevel="1">
      <c r="B448" s="1416" t="s">
        <v>1907</v>
      </c>
      <c r="C448" s="1416" t="s">
        <v>6848</v>
      </c>
      <c r="D448" s="1887" t="s">
        <v>3458</v>
      </c>
      <c r="E448" s="1887" t="s">
        <v>6849</v>
      </c>
      <c r="F448" s="1887" t="s">
        <v>3458</v>
      </c>
      <c r="G448" s="1887" t="s">
        <v>3458</v>
      </c>
    </row>
    <row r="449" spans="2:7" hidden="1" outlineLevel="1">
      <c r="B449" s="1416" t="s">
        <v>1353</v>
      </c>
      <c r="C449" s="1416" t="s">
        <v>3459</v>
      </c>
      <c r="D449" s="1416" t="s">
        <v>3459</v>
      </c>
      <c r="E449" s="1887" t="s">
        <v>2325</v>
      </c>
      <c r="F449" s="1887" t="s">
        <v>2325</v>
      </c>
      <c r="G449" s="1887" t="s">
        <v>2325</v>
      </c>
    </row>
    <row r="450" spans="2:7" hidden="1" outlineLevel="1">
      <c r="B450" s="1416" t="s">
        <v>1908</v>
      </c>
      <c r="C450" s="1416" t="s">
        <v>6850</v>
      </c>
      <c r="D450" s="1887" t="s">
        <v>6851</v>
      </c>
      <c r="E450" s="1887" t="s">
        <v>6852</v>
      </c>
      <c r="F450" s="1416" t="s">
        <v>6850</v>
      </c>
      <c r="G450" s="1887" t="s">
        <v>6851</v>
      </c>
    </row>
    <row r="451" spans="2:7" hidden="1" outlineLevel="1">
      <c r="B451" s="1416" t="s">
        <v>1909</v>
      </c>
      <c r="C451" s="1416" t="s">
        <v>490</v>
      </c>
      <c r="D451" s="1416" t="s">
        <v>490</v>
      </c>
      <c r="E451" s="1416" t="s">
        <v>490</v>
      </c>
      <c r="F451" s="1416" t="s">
        <v>490</v>
      </c>
      <c r="G451" s="1416" t="s">
        <v>490</v>
      </c>
    </row>
    <row r="452" spans="2:7" hidden="1" outlineLevel="1">
      <c r="B452" s="1416" t="s">
        <v>1910</v>
      </c>
      <c r="C452" s="1416" t="s">
        <v>3460</v>
      </c>
      <c r="D452" s="1416" t="s">
        <v>3460</v>
      </c>
      <c r="E452" s="1416" t="s">
        <v>3460</v>
      </c>
      <c r="F452" s="1416" t="s">
        <v>6853</v>
      </c>
      <c r="G452" s="1887" t="s">
        <v>6854</v>
      </c>
    </row>
    <row r="453" spans="2:7" hidden="1" outlineLevel="1">
      <c r="B453" s="1416" t="s">
        <v>1911</v>
      </c>
      <c r="C453" s="1416" t="s">
        <v>643</v>
      </c>
      <c r="D453" s="1416" t="s">
        <v>643</v>
      </c>
      <c r="E453" s="1416" t="s">
        <v>643</v>
      </c>
      <c r="F453" s="1416" t="s">
        <v>643</v>
      </c>
      <c r="G453" s="1416" t="s">
        <v>643</v>
      </c>
    </row>
    <row r="454" spans="2:7" ht="24" hidden="1" outlineLevel="1">
      <c r="B454" s="1416" t="s">
        <v>2407</v>
      </c>
      <c r="C454" s="1416" t="s">
        <v>6855</v>
      </c>
      <c r="D454" s="1886" t="s">
        <v>6856</v>
      </c>
      <c r="E454" s="1886" t="s">
        <v>6857</v>
      </c>
      <c r="F454" s="1886" t="s">
        <v>6856</v>
      </c>
      <c r="G454" s="1887" t="s">
        <v>6858</v>
      </c>
    </row>
    <row r="455" spans="2:7" hidden="1" outlineLevel="1">
      <c r="B455" s="1416" t="s">
        <v>2408</v>
      </c>
      <c r="C455" s="1416" t="s">
        <v>1054</v>
      </c>
      <c r="D455" s="1416" t="s">
        <v>1054</v>
      </c>
      <c r="E455" s="1416" t="s">
        <v>1054</v>
      </c>
      <c r="F455" s="1416" t="s">
        <v>1054</v>
      </c>
      <c r="G455" s="1416" t="s">
        <v>1054</v>
      </c>
    </row>
    <row r="456" spans="2:7" hidden="1" outlineLevel="1">
      <c r="B456" s="1416" t="s">
        <v>2409</v>
      </c>
      <c r="C456" s="1416" t="s">
        <v>1053</v>
      </c>
      <c r="D456" s="1416" t="s">
        <v>1053</v>
      </c>
      <c r="E456" s="1416" t="s">
        <v>1053</v>
      </c>
      <c r="F456" s="1416" t="s">
        <v>1053</v>
      </c>
      <c r="G456" s="1416" t="s">
        <v>1053</v>
      </c>
    </row>
    <row r="457" spans="2:7" hidden="1" outlineLevel="1">
      <c r="B457" s="1416" t="s">
        <v>2410</v>
      </c>
      <c r="C457" s="1416" t="s">
        <v>1100</v>
      </c>
      <c r="D457" s="1416" t="s">
        <v>1100</v>
      </c>
      <c r="E457" s="1416" t="s">
        <v>1100</v>
      </c>
      <c r="F457" s="1416" t="s">
        <v>1100</v>
      </c>
      <c r="G457" s="1416" t="s">
        <v>1100</v>
      </c>
    </row>
    <row r="458" spans="2:7" hidden="1" outlineLevel="1">
      <c r="B458" s="1416" t="s">
        <v>2411</v>
      </c>
      <c r="C458" s="1416" t="s">
        <v>3462</v>
      </c>
      <c r="D458" s="1416" t="s">
        <v>3462</v>
      </c>
      <c r="E458" s="1416" t="s">
        <v>3462</v>
      </c>
      <c r="F458" s="1416" t="s">
        <v>3462</v>
      </c>
      <c r="G458" s="1416" t="s">
        <v>3462</v>
      </c>
    </row>
    <row r="459" spans="2:7" hidden="1" outlineLevel="1">
      <c r="B459" s="1416" t="s">
        <v>1687</v>
      </c>
      <c r="C459" s="1416" t="s">
        <v>1534</v>
      </c>
      <c r="D459" s="1416" t="s">
        <v>1534</v>
      </c>
      <c r="E459" s="1416" t="s">
        <v>1534</v>
      </c>
      <c r="F459" s="1416" t="s">
        <v>1534</v>
      </c>
      <c r="G459" s="1416" t="s">
        <v>1534</v>
      </c>
    </row>
    <row r="460" spans="2:7" hidden="1" outlineLevel="1">
      <c r="B460" s="1416" t="s">
        <v>2412</v>
      </c>
      <c r="C460" s="1416" t="s">
        <v>6859</v>
      </c>
      <c r="D460" s="1887" t="s">
        <v>1535</v>
      </c>
      <c r="E460" s="1887" t="s">
        <v>1535</v>
      </c>
      <c r="F460" s="1887" t="s">
        <v>1535</v>
      </c>
      <c r="G460" s="1887" t="s">
        <v>1535</v>
      </c>
    </row>
    <row r="461" spans="2:7" hidden="1" outlineLevel="1">
      <c r="B461" s="1416" t="s">
        <v>1689</v>
      </c>
      <c r="C461" s="1416" t="s">
        <v>375</v>
      </c>
      <c r="D461" s="1887" t="s">
        <v>6860</v>
      </c>
      <c r="E461" s="1416" t="s">
        <v>375</v>
      </c>
      <c r="F461" s="1416" t="s">
        <v>375</v>
      </c>
      <c r="G461" s="1416" t="s">
        <v>375</v>
      </c>
    </row>
    <row r="462" spans="2:7" hidden="1" outlineLevel="1">
      <c r="B462" s="1416" t="s">
        <v>2413</v>
      </c>
      <c r="C462" s="1416" t="s">
        <v>1593</v>
      </c>
      <c r="D462" s="1887" t="s">
        <v>6861</v>
      </c>
      <c r="E462" s="1416" t="s">
        <v>1593</v>
      </c>
      <c r="F462" s="1416" t="s">
        <v>1593</v>
      </c>
      <c r="G462" s="1416" t="s">
        <v>1593</v>
      </c>
    </row>
    <row r="463" spans="2:7" hidden="1" outlineLevel="1">
      <c r="B463" s="1416" t="s">
        <v>2414</v>
      </c>
      <c r="C463" s="1416" t="s">
        <v>1518</v>
      </c>
      <c r="D463" s="1416" t="s">
        <v>1518</v>
      </c>
      <c r="E463" s="1887" t="s">
        <v>6862</v>
      </c>
      <c r="F463" s="1416" t="s">
        <v>1518</v>
      </c>
      <c r="G463" s="1416" t="s">
        <v>1518</v>
      </c>
    </row>
    <row r="464" spans="2:7" hidden="1" outlineLevel="1">
      <c r="B464" s="1416" t="s">
        <v>2415</v>
      </c>
      <c r="C464" s="1416" t="s">
        <v>2323</v>
      </c>
      <c r="D464" s="1416" t="s">
        <v>2323</v>
      </c>
      <c r="E464" s="1416" t="s">
        <v>2323</v>
      </c>
      <c r="F464" s="1416" t="s">
        <v>2323</v>
      </c>
      <c r="G464" s="1416" t="s">
        <v>2323</v>
      </c>
    </row>
    <row r="465" spans="2:7" hidden="1" outlineLevel="1">
      <c r="B465" s="1416" t="s">
        <v>2416</v>
      </c>
      <c r="C465" s="1416" t="s">
        <v>1686</v>
      </c>
      <c r="D465" s="1416" t="s">
        <v>1686</v>
      </c>
      <c r="E465" s="1416" t="s">
        <v>1686</v>
      </c>
      <c r="F465" s="1416" t="s">
        <v>1686</v>
      </c>
      <c r="G465" s="1416" t="s">
        <v>1686</v>
      </c>
    </row>
    <row r="466" spans="2:7" hidden="1" outlineLevel="1">
      <c r="B466" s="1416" t="s">
        <v>2417</v>
      </c>
      <c r="C466" s="1416" t="s">
        <v>1519</v>
      </c>
      <c r="D466" s="1416" t="s">
        <v>1519</v>
      </c>
      <c r="E466" s="1416" t="s">
        <v>1519</v>
      </c>
      <c r="F466" s="1416" t="s">
        <v>1519</v>
      </c>
      <c r="G466" s="1416" t="s">
        <v>1519</v>
      </c>
    </row>
    <row r="467" spans="2:7" hidden="1" outlineLevel="1">
      <c r="B467" s="1416" t="s">
        <v>2418</v>
      </c>
      <c r="C467" s="1416" t="s">
        <v>1520</v>
      </c>
      <c r="D467" s="1416" t="s">
        <v>1520</v>
      </c>
      <c r="E467" s="1887" t="s">
        <v>6863</v>
      </c>
      <c r="F467" s="1416" t="s">
        <v>1520</v>
      </c>
      <c r="G467" s="1416" t="s">
        <v>1520</v>
      </c>
    </row>
    <row r="468" spans="2:7" hidden="1" outlineLevel="1">
      <c r="B468" s="1416" t="s">
        <v>2419</v>
      </c>
      <c r="C468" s="1416" t="s">
        <v>1521</v>
      </c>
      <c r="D468" s="1416" t="s">
        <v>1521</v>
      </c>
      <c r="E468" s="1887" t="s">
        <v>6864</v>
      </c>
      <c r="F468" s="1416" t="s">
        <v>1521</v>
      </c>
      <c r="G468" s="1416" t="s">
        <v>1521</v>
      </c>
    </row>
    <row r="469" spans="2:7" hidden="1" outlineLevel="1">
      <c r="B469" s="1416" t="s">
        <v>2420</v>
      </c>
      <c r="C469" s="1416" t="s">
        <v>6865</v>
      </c>
      <c r="D469" s="1416" t="s">
        <v>6865</v>
      </c>
      <c r="E469" s="1887" t="s">
        <v>3063</v>
      </c>
      <c r="F469" s="1887" t="s">
        <v>3063</v>
      </c>
      <c r="G469" s="1887" t="s">
        <v>3063</v>
      </c>
    </row>
    <row r="470" spans="2:7" hidden="1" outlineLevel="1">
      <c r="B470" s="1416" t="s">
        <v>2421</v>
      </c>
      <c r="C470" s="1416" t="s">
        <v>6866</v>
      </c>
      <c r="D470" s="1886" t="s">
        <v>6867</v>
      </c>
      <c r="E470" s="1887" t="s">
        <v>6868</v>
      </c>
      <c r="F470" s="1887" t="s">
        <v>6869</v>
      </c>
      <c r="G470" s="1887" t="s">
        <v>6869</v>
      </c>
    </row>
    <row r="471" spans="2:7" hidden="1" outlineLevel="1">
      <c r="B471" s="1416" t="s">
        <v>2284</v>
      </c>
      <c r="C471" s="1416" t="s">
        <v>1941</v>
      </c>
      <c r="D471" s="1416" t="s">
        <v>1941</v>
      </c>
      <c r="E471" s="1416" t="s">
        <v>1941</v>
      </c>
      <c r="F471" s="1416" t="s">
        <v>1941</v>
      </c>
      <c r="G471" s="1416" t="s">
        <v>1941</v>
      </c>
    </row>
    <row r="472" spans="2:7" hidden="1" outlineLevel="1">
      <c r="B472" s="1416" t="s">
        <v>2285</v>
      </c>
      <c r="C472" s="1416" t="s">
        <v>1222</v>
      </c>
      <c r="D472" s="1416" t="s">
        <v>1222</v>
      </c>
      <c r="E472" s="1416" t="s">
        <v>1222</v>
      </c>
      <c r="F472" s="1416" t="s">
        <v>1222</v>
      </c>
      <c r="G472" s="1416" t="s">
        <v>1222</v>
      </c>
    </row>
    <row r="473" spans="2:7" hidden="1" outlineLevel="1">
      <c r="B473" s="1416" t="s">
        <v>305</v>
      </c>
      <c r="C473" s="1416" t="s">
        <v>1540</v>
      </c>
      <c r="D473" s="1416" t="s">
        <v>1540</v>
      </c>
      <c r="E473" s="1416" t="s">
        <v>1540</v>
      </c>
      <c r="F473" s="1416" t="s">
        <v>1540</v>
      </c>
      <c r="G473" s="1416" t="s">
        <v>1540</v>
      </c>
    </row>
    <row r="474" spans="2:7" hidden="1" outlineLevel="1">
      <c r="B474" s="1416" t="s">
        <v>2286</v>
      </c>
      <c r="C474" s="1416" t="s">
        <v>3464</v>
      </c>
      <c r="D474" s="1416" t="s">
        <v>3464</v>
      </c>
      <c r="E474" s="1886" t="s">
        <v>6870</v>
      </c>
      <c r="F474" s="1416" t="s">
        <v>3464</v>
      </c>
      <c r="G474" s="1416" t="s">
        <v>3464</v>
      </c>
    </row>
    <row r="475" spans="2:7" hidden="1" outlineLevel="1">
      <c r="B475" s="1416" t="s">
        <v>1252</v>
      </c>
      <c r="C475" s="1416" t="s">
        <v>6871</v>
      </c>
      <c r="D475" s="1887" t="s">
        <v>378</v>
      </c>
      <c r="E475" s="1887" t="s">
        <v>378</v>
      </c>
      <c r="F475" s="1887" t="s">
        <v>378</v>
      </c>
      <c r="G475" s="1887" t="s">
        <v>378</v>
      </c>
    </row>
    <row r="476" spans="2:7" hidden="1" outlineLevel="1">
      <c r="B476" s="1416" t="s">
        <v>2287</v>
      </c>
      <c r="C476" s="1416" t="s">
        <v>3465</v>
      </c>
      <c r="D476" s="1416" t="s">
        <v>3465</v>
      </c>
      <c r="E476" s="1886" t="s">
        <v>6872</v>
      </c>
      <c r="F476" s="1416" t="s">
        <v>3465</v>
      </c>
      <c r="G476" s="1416" t="s">
        <v>3465</v>
      </c>
    </row>
    <row r="477" spans="2:7" hidden="1" outlineLevel="1">
      <c r="B477" s="1416" t="s">
        <v>2288</v>
      </c>
      <c r="C477" s="1416" t="s">
        <v>1595</v>
      </c>
      <c r="D477" s="1887" t="s">
        <v>6873</v>
      </c>
      <c r="E477" s="1887" t="s">
        <v>6874</v>
      </c>
      <c r="F477" s="1416" t="s">
        <v>1595</v>
      </c>
      <c r="G477" s="1416" t="s">
        <v>1595</v>
      </c>
    </row>
    <row r="478" spans="2:7" hidden="1" outlineLevel="1">
      <c r="B478" s="1416" t="s">
        <v>2289</v>
      </c>
      <c r="C478" s="1416" t="s">
        <v>612</v>
      </c>
      <c r="D478" s="1416" t="s">
        <v>612</v>
      </c>
      <c r="E478" s="1887" t="s">
        <v>6875</v>
      </c>
      <c r="F478" s="1887" t="s">
        <v>6876</v>
      </c>
      <c r="G478" s="1416" t="s">
        <v>612</v>
      </c>
    </row>
    <row r="479" spans="2:7" hidden="1" outlineLevel="1">
      <c r="B479" s="1416" t="s">
        <v>1651</v>
      </c>
      <c r="C479" s="1416" t="s">
        <v>1947</v>
      </c>
      <c r="D479" s="1416" t="s">
        <v>1947</v>
      </c>
      <c r="E479" s="1416" t="s">
        <v>1947</v>
      </c>
      <c r="F479" s="1416" t="s">
        <v>1947</v>
      </c>
      <c r="G479" s="1416" t="s">
        <v>1947</v>
      </c>
    </row>
    <row r="480" spans="2:7" hidden="1" outlineLevel="1">
      <c r="B480" s="1416" t="s">
        <v>2290</v>
      </c>
      <c r="C480" s="1416" t="s">
        <v>2545</v>
      </c>
      <c r="D480" s="1416" t="s">
        <v>2545</v>
      </c>
      <c r="E480" s="1416" t="s">
        <v>2545</v>
      </c>
      <c r="F480" s="1416" t="s">
        <v>2545</v>
      </c>
      <c r="G480" s="1416" t="s">
        <v>2545</v>
      </c>
    </row>
    <row r="481" spans="2:7" hidden="1" outlineLevel="1">
      <c r="B481" s="1416" t="s">
        <v>738</v>
      </c>
      <c r="C481" s="1416" t="s">
        <v>641</v>
      </c>
      <c r="D481" s="1416" t="s">
        <v>641</v>
      </c>
      <c r="E481" s="1887" t="s">
        <v>6877</v>
      </c>
      <c r="F481" s="1416" t="s">
        <v>641</v>
      </c>
      <c r="G481" s="1416" t="s">
        <v>641</v>
      </c>
    </row>
    <row r="482" spans="2:7" hidden="1" outlineLevel="1">
      <c r="B482" s="1416" t="s">
        <v>739</v>
      </c>
      <c r="C482" s="1416" t="s">
        <v>6878</v>
      </c>
      <c r="D482" s="1887" t="s">
        <v>613</v>
      </c>
      <c r="E482" s="1887" t="s">
        <v>6879</v>
      </c>
      <c r="F482" s="1887" t="s">
        <v>613</v>
      </c>
      <c r="G482" s="1887" t="s">
        <v>613</v>
      </c>
    </row>
    <row r="483" spans="2:7" hidden="1" outlineLevel="1">
      <c r="B483" s="1416" t="s">
        <v>740</v>
      </c>
      <c r="C483" s="1416" t="s">
        <v>6880</v>
      </c>
      <c r="D483" s="1416" t="s">
        <v>6880</v>
      </c>
      <c r="E483" s="1887" t="s">
        <v>614</v>
      </c>
      <c r="F483" s="1416" t="s">
        <v>6880</v>
      </c>
      <c r="G483" s="1887" t="s">
        <v>614</v>
      </c>
    </row>
    <row r="484" spans="2:7" hidden="1" outlineLevel="1">
      <c r="B484" s="1416" t="s">
        <v>741</v>
      </c>
      <c r="C484" s="1416" t="s">
        <v>6881</v>
      </c>
      <c r="D484" s="1887" t="s">
        <v>6882</v>
      </c>
      <c r="E484" s="1887" t="s">
        <v>3466</v>
      </c>
      <c r="F484" s="1887" t="s">
        <v>6882</v>
      </c>
      <c r="G484" s="1887" t="s">
        <v>3466</v>
      </c>
    </row>
    <row r="485" spans="2:7" hidden="1" outlineLevel="1">
      <c r="B485" s="1416" t="s">
        <v>742</v>
      </c>
      <c r="C485" s="1416" t="s">
        <v>651</v>
      </c>
      <c r="D485" s="1416" t="s">
        <v>651</v>
      </c>
      <c r="E485" s="1416" t="s">
        <v>651</v>
      </c>
      <c r="F485" s="1416" t="s">
        <v>651</v>
      </c>
      <c r="G485" s="1416" t="s">
        <v>651</v>
      </c>
    </row>
    <row r="486" spans="2:7" hidden="1" outlineLevel="1">
      <c r="B486" s="1416" t="s">
        <v>743</v>
      </c>
      <c r="C486" s="1416" t="s">
        <v>2611</v>
      </c>
      <c r="D486" s="1416" t="s">
        <v>2611</v>
      </c>
      <c r="E486" s="1416" t="s">
        <v>2611</v>
      </c>
      <c r="F486" s="1416" t="s">
        <v>2611</v>
      </c>
      <c r="G486" s="1416" t="s">
        <v>2611</v>
      </c>
    </row>
    <row r="487" spans="2:7" hidden="1" outlineLevel="1">
      <c r="B487" s="1416" t="s">
        <v>328</v>
      </c>
      <c r="C487" s="1416" t="s">
        <v>1538</v>
      </c>
      <c r="D487" s="1416" t="s">
        <v>1538</v>
      </c>
      <c r="E487" s="1416" t="s">
        <v>1538</v>
      </c>
      <c r="F487" s="1416" t="s">
        <v>1538</v>
      </c>
      <c r="G487" s="1416" t="s">
        <v>1538</v>
      </c>
    </row>
    <row r="488" spans="2:7" hidden="1" outlineLevel="1">
      <c r="B488" s="1416" t="s">
        <v>219</v>
      </c>
      <c r="C488" s="1416" t="s">
        <v>1539</v>
      </c>
      <c r="D488" s="1416" t="s">
        <v>1539</v>
      </c>
      <c r="E488" s="1416" t="s">
        <v>1539</v>
      </c>
      <c r="F488" s="1416" t="s">
        <v>1539</v>
      </c>
      <c r="G488" s="1416" t="s">
        <v>1539</v>
      </c>
    </row>
    <row r="489" spans="2:7" hidden="1" outlineLevel="1">
      <c r="B489" s="1416" t="s">
        <v>220</v>
      </c>
      <c r="C489" s="1416" t="s">
        <v>6883</v>
      </c>
      <c r="D489" s="1887" t="s">
        <v>6884</v>
      </c>
      <c r="E489" s="1887" t="s">
        <v>3467</v>
      </c>
      <c r="F489" s="1887" t="s">
        <v>6884</v>
      </c>
      <c r="G489" s="1887" t="s">
        <v>3467</v>
      </c>
    </row>
    <row r="490" spans="2:7" hidden="1" outlineLevel="1">
      <c r="B490" s="1416" t="s">
        <v>221</v>
      </c>
      <c r="C490" s="1416" t="s">
        <v>6885</v>
      </c>
      <c r="D490" s="1887" t="s">
        <v>3468</v>
      </c>
      <c r="E490" s="1887" t="s">
        <v>6886</v>
      </c>
      <c r="F490" s="1887" t="s">
        <v>3468</v>
      </c>
      <c r="G490" s="1887" t="s">
        <v>3468</v>
      </c>
    </row>
    <row r="491" spans="2:7" hidden="1" outlineLevel="1">
      <c r="B491" s="1416" t="s">
        <v>329</v>
      </c>
      <c r="C491" s="1416" t="s">
        <v>372</v>
      </c>
      <c r="D491" s="1416" t="s">
        <v>372</v>
      </c>
      <c r="E491" s="1416" t="s">
        <v>372</v>
      </c>
      <c r="F491" s="1416" t="s">
        <v>372</v>
      </c>
      <c r="G491" s="1416" t="s">
        <v>372</v>
      </c>
    </row>
    <row r="492" spans="2:7" hidden="1" outlineLevel="1">
      <c r="B492" s="1416" t="s">
        <v>222</v>
      </c>
      <c r="C492" s="1416" t="s">
        <v>3469</v>
      </c>
      <c r="D492" s="1416" t="s">
        <v>3469</v>
      </c>
      <c r="E492" s="1886" t="s">
        <v>6887</v>
      </c>
      <c r="F492" s="1416" t="s">
        <v>3469</v>
      </c>
      <c r="G492" s="1416" t="s">
        <v>3469</v>
      </c>
    </row>
    <row r="493" spans="2:7" hidden="1" outlineLevel="1">
      <c r="B493" s="1416" t="s">
        <v>223</v>
      </c>
      <c r="C493" s="1416" t="s">
        <v>2322</v>
      </c>
      <c r="D493" s="1887" t="s">
        <v>6888</v>
      </c>
      <c r="E493" s="1416" t="s">
        <v>2322</v>
      </c>
      <c r="F493" s="1416" t="s">
        <v>2322</v>
      </c>
      <c r="G493" s="1416" t="s">
        <v>2322</v>
      </c>
    </row>
    <row r="494" spans="2:7" hidden="1" outlineLevel="1">
      <c r="B494" s="1416" t="s">
        <v>224</v>
      </c>
      <c r="C494" s="1416" t="s">
        <v>3470</v>
      </c>
      <c r="D494" s="1887" t="s">
        <v>6889</v>
      </c>
      <c r="E494" s="1416" t="s">
        <v>3470</v>
      </c>
      <c r="F494" s="1887" t="s">
        <v>6890</v>
      </c>
      <c r="G494" s="1416" t="s">
        <v>3470</v>
      </c>
    </row>
    <row r="495" spans="2:7" hidden="1" outlineLevel="1">
      <c r="B495" s="1416" t="s">
        <v>225</v>
      </c>
      <c r="C495" s="1416" t="s">
        <v>6891</v>
      </c>
      <c r="D495" s="1887" t="s">
        <v>1309</v>
      </c>
      <c r="E495" s="1416" t="s">
        <v>6891</v>
      </c>
      <c r="F495" s="1887" t="s">
        <v>1309</v>
      </c>
      <c r="G495" s="1887" t="s">
        <v>1309</v>
      </c>
    </row>
    <row r="496" spans="2:7" hidden="1" outlineLevel="1">
      <c r="B496" s="1416" t="s">
        <v>226</v>
      </c>
      <c r="C496" s="1416" t="s">
        <v>149</v>
      </c>
      <c r="D496" s="1416" t="s">
        <v>149</v>
      </c>
      <c r="E496" s="1887" t="s">
        <v>6892</v>
      </c>
      <c r="F496" s="1887" t="s">
        <v>6893</v>
      </c>
      <c r="G496" s="1416" t="s">
        <v>149</v>
      </c>
    </row>
    <row r="497" spans="2:7" hidden="1" outlineLevel="1">
      <c r="B497" s="1416" t="s">
        <v>1057</v>
      </c>
      <c r="C497" s="1416" t="s">
        <v>1062</v>
      </c>
      <c r="D497" s="1416" t="s">
        <v>1062</v>
      </c>
      <c r="E497" s="1416" t="s">
        <v>1062</v>
      </c>
      <c r="F497" s="1416" t="s">
        <v>1062</v>
      </c>
      <c r="G497" s="1416" t="s">
        <v>1062</v>
      </c>
    </row>
    <row r="498" spans="2:7" hidden="1" outlineLevel="1">
      <c r="B498" s="1416" t="s">
        <v>1670</v>
      </c>
      <c r="C498" s="1416" t="s">
        <v>150</v>
      </c>
      <c r="D498" s="1416" t="s">
        <v>150</v>
      </c>
      <c r="E498" s="1887" t="s">
        <v>6894</v>
      </c>
      <c r="F498" s="1416" t="s">
        <v>150</v>
      </c>
      <c r="G498" s="1887" t="s">
        <v>6895</v>
      </c>
    </row>
    <row r="499" spans="2:7" hidden="1" outlineLevel="1">
      <c r="B499" s="1416" t="s">
        <v>2052</v>
      </c>
      <c r="C499" s="1416" t="s">
        <v>6896</v>
      </c>
      <c r="D499" s="1887" t="s">
        <v>653</v>
      </c>
      <c r="E499" s="1887" t="s">
        <v>653</v>
      </c>
      <c r="F499" s="1887" t="s">
        <v>653</v>
      </c>
      <c r="G499" s="1887" t="s">
        <v>653</v>
      </c>
    </row>
    <row r="500" spans="2:7" hidden="1" outlineLevel="1">
      <c r="B500" s="1416" t="s">
        <v>1715</v>
      </c>
      <c r="C500" s="1416" t="s">
        <v>6897</v>
      </c>
      <c r="D500" s="1887" t="s">
        <v>151</v>
      </c>
      <c r="E500" s="1887" t="s">
        <v>151</v>
      </c>
      <c r="F500" s="1887" t="s">
        <v>151</v>
      </c>
      <c r="G500" s="1887" t="s">
        <v>151</v>
      </c>
    </row>
    <row r="501" spans="2:7" hidden="1" outlineLevel="1">
      <c r="B501" s="1416" t="s">
        <v>1932</v>
      </c>
      <c r="C501" s="1416" t="s">
        <v>137</v>
      </c>
      <c r="D501" s="1416" t="s">
        <v>2663</v>
      </c>
      <c r="E501" s="1887" t="s">
        <v>6898</v>
      </c>
      <c r="F501" s="1416" t="s">
        <v>2663</v>
      </c>
      <c r="G501" s="1887" t="s">
        <v>6898</v>
      </c>
    </row>
    <row r="502" spans="2:7" hidden="1" outlineLevel="1">
      <c r="B502" s="1416" t="s">
        <v>1933</v>
      </c>
      <c r="C502" s="1416" t="s">
        <v>137</v>
      </c>
      <c r="D502" s="1416" t="s">
        <v>1531</v>
      </c>
      <c r="E502" s="1416" t="s">
        <v>1531</v>
      </c>
      <c r="F502" s="1416" t="s">
        <v>1531</v>
      </c>
      <c r="G502" s="1416" t="s">
        <v>1531</v>
      </c>
    </row>
    <row r="503" spans="2:7" hidden="1" outlineLevel="1">
      <c r="B503" s="1416" t="s">
        <v>2257</v>
      </c>
      <c r="C503" s="1416" t="s">
        <v>6899</v>
      </c>
      <c r="D503" s="2127" t="s">
        <v>6900</v>
      </c>
      <c r="E503" s="2127" t="s">
        <v>6901</v>
      </c>
      <c r="F503" s="2127" t="s">
        <v>6900</v>
      </c>
      <c r="G503" s="2127" t="s">
        <v>6900</v>
      </c>
    </row>
    <row r="504" spans="2:7" hidden="1" outlineLevel="1">
      <c r="B504" s="1416" t="s">
        <v>1934</v>
      </c>
      <c r="C504" s="1416" t="s">
        <v>137</v>
      </c>
      <c r="D504" s="1416" t="s">
        <v>6902</v>
      </c>
      <c r="E504" s="1887" t="s">
        <v>6903</v>
      </c>
      <c r="F504" s="1416" t="s">
        <v>6902</v>
      </c>
      <c r="G504" s="1416" t="s">
        <v>6902</v>
      </c>
    </row>
    <row r="505" spans="2:7" hidden="1" outlineLevel="1">
      <c r="B505" s="1416" t="s">
        <v>2258</v>
      </c>
      <c r="C505" s="1416" t="s">
        <v>6904</v>
      </c>
      <c r="D505" s="1887" t="s">
        <v>2664</v>
      </c>
      <c r="E505" s="1887" t="s">
        <v>6905</v>
      </c>
      <c r="F505" s="1887" t="s">
        <v>2664</v>
      </c>
      <c r="G505" s="1887" t="s">
        <v>6906</v>
      </c>
    </row>
    <row r="506" spans="2:7" hidden="1" outlineLevel="1">
      <c r="B506" s="1416" t="s">
        <v>554</v>
      </c>
      <c r="C506" s="1416" t="s">
        <v>137</v>
      </c>
      <c r="D506" s="1416" t="s">
        <v>2665</v>
      </c>
      <c r="E506" s="1886" t="s">
        <v>6907</v>
      </c>
      <c r="F506" s="1416" t="s">
        <v>2665</v>
      </c>
      <c r="G506" s="1887" t="s">
        <v>6908</v>
      </c>
    </row>
    <row r="507" spans="2:7" hidden="1" outlineLevel="1">
      <c r="B507" s="1416" t="s">
        <v>2084</v>
      </c>
      <c r="C507" s="1416" t="s">
        <v>6909</v>
      </c>
      <c r="D507" s="1887" t="s">
        <v>6910</v>
      </c>
      <c r="E507" s="1887" t="s">
        <v>6911</v>
      </c>
      <c r="F507" s="1887" t="s">
        <v>6910</v>
      </c>
      <c r="G507" s="1887" t="s">
        <v>6910</v>
      </c>
    </row>
    <row r="508" spans="2:7" ht="24" hidden="1" outlineLevel="1">
      <c r="B508" s="1416" t="s">
        <v>1169</v>
      </c>
      <c r="C508" s="1416" t="s">
        <v>137</v>
      </c>
      <c r="D508" s="1416" t="s">
        <v>2666</v>
      </c>
      <c r="E508" s="1887" t="s">
        <v>6912</v>
      </c>
      <c r="F508" s="1416" t="s">
        <v>2666</v>
      </c>
      <c r="G508" s="1887" t="s">
        <v>6913</v>
      </c>
    </row>
    <row r="509" spans="2:7" hidden="1" outlineLevel="1">
      <c r="B509" s="1416" t="s">
        <v>2085</v>
      </c>
      <c r="C509" s="1416" t="s">
        <v>6914</v>
      </c>
      <c r="D509" s="1887" t="s">
        <v>2667</v>
      </c>
      <c r="E509" s="1887" t="s">
        <v>6915</v>
      </c>
      <c r="F509" s="1887" t="s">
        <v>2667</v>
      </c>
      <c r="G509" s="1887" t="s">
        <v>6916</v>
      </c>
    </row>
    <row r="510" spans="2:7" hidden="1" outlineLevel="1">
      <c r="B510" s="1416" t="s">
        <v>555</v>
      </c>
      <c r="C510" s="1416" t="s">
        <v>137</v>
      </c>
      <c r="D510" s="1416" t="s">
        <v>6917</v>
      </c>
      <c r="E510" s="1886" t="s">
        <v>6918</v>
      </c>
      <c r="F510" s="1416" t="s">
        <v>6917</v>
      </c>
      <c r="G510" s="1416" t="s">
        <v>6917</v>
      </c>
    </row>
    <row r="511" spans="2:7" ht="24" hidden="1" outlineLevel="1">
      <c r="B511" s="1416" t="s">
        <v>1170</v>
      </c>
      <c r="C511" s="1416" t="s">
        <v>137</v>
      </c>
      <c r="D511" s="1416" t="s">
        <v>2668</v>
      </c>
      <c r="E511" s="1887" t="s">
        <v>6919</v>
      </c>
      <c r="F511" s="1416" t="s">
        <v>2668</v>
      </c>
      <c r="G511" s="1416" t="s">
        <v>2668</v>
      </c>
    </row>
    <row r="512" spans="2:7" hidden="1" outlineLevel="1">
      <c r="B512" s="1416" t="s">
        <v>2041</v>
      </c>
      <c r="C512" s="1416" t="s">
        <v>137</v>
      </c>
      <c r="D512" s="2125" t="s">
        <v>2669</v>
      </c>
      <c r="E512" s="2127" t="s">
        <v>6920</v>
      </c>
      <c r="F512" s="2125" t="s">
        <v>2669</v>
      </c>
      <c r="G512" s="2127" t="s">
        <v>6921</v>
      </c>
    </row>
    <row r="513" spans="2:7" hidden="1" outlineLevel="1">
      <c r="B513" s="1416" t="s">
        <v>1428</v>
      </c>
      <c r="C513" s="1416" t="s">
        <v>137</v>
      </c>
      <c r="D513" s="1416" t="s">
        <v>2670</v>
      </c>
      <c r="E513" s="1887" t="s">
        <v>6922</v>
      </c>
      <c r="F513" s="1416" t="s">
        <v>2670</v>
      </c>
      <c r="G513" s="1887" t="s">
        <v>6922</v>
      </c>
    </row>
    <row r="514" spans="2:7" hidden="1" outlineLevel="1">
      <c r="B514" s="1416" t="s">
        <v>1429</v>
      </c>
      <c r="C514" s="1416" t="s">
        <v>137</v>
      </c>
      <c r="D514" s="1416" t="s">
        <v>1223</v>
      </c>
      <c r="E514" s="1416" t="s">
        <v>1223</v>
      </c>
      <c r="F514" s="1416" t="s">
        <v>1223</v>
      </c>
      <c r="G514" s="1416" t="s">
        <v>1223</v>
      </c>
    </row>
    <row r="515" spans="2:7" hidden="1" outlineLevel="1">
      <c r="B515" s="1416" t="s">
        <v>1430</v>
      </c>
      <c r="C515" s="1416" t="s">
        <v>137</v>
      </c>
      <c r="D515" s="1416" t="s">
        <v>2015</v>
      </c>
      <c r="E515" s="1416" t="s">
        <v>2015</v>
      </c>
      <c r="F515" s="1416" t="s">
        <v>2015</v>
      </c>
      <c r="G515" s="1416" t="s">
        <v>2015</v>
      </c>
    </row>
    <row r="516" spans="2:7" hidden="1" outlineLevel="1">
      <c r="B516" s="1416" t="s">
        <v>1421</v>
      </c>
      <c r="C516" s="1416" t="s">
        <v>137</v>
      </c>
      <c r="D516" s="1416" t="s">
        <v>2014</v>
      </c>
      <c r="E516" s="1887" t="s">
        <v>6923</v>
      </c>
      <c r="F516" s="1416" t="s">
        <v>2014</v>
      </c>
      <c r="G516" s="1887" t="s">
        <v>6923</v>
      </c>
    </row>
    <row r="517" spans="2:7" hidden="1" outlineLevel="1">
      <c r="B517" s="1416" t="s">
        <v>1423</v>
      </c>
      <c r="C517" s="1416" t="s">
        <v>137</v>
      </c>
      <c r="D517" s="1416" t="s">
        <v>6924</v>
      </c>
      <c r="E517" s="1887" t="s">
        <v>6925</v>
      </c>
      <c r="F517" s="1887" t="s">
        <v>6926</v>
      </c>
      <c r="G517" s="1887" t="s">
        <v>3472</v>
      </c>
    </row>
    <row r="518" spans="2:7" hidden="1" outlineLevel="1">
      <c r="B518" s="1416" t="s">
        <v>1425</v>
      </c>
      <c r="C518" s="1416" t="s">
        <v>137</v>
      </c>
      <c r="D518" s="1416" t="s">
        <v>901</v>
      </c>
      <c r="E518" s="1416" t="s">
        <v>901</v>
      </c>
      <c r="F518" s="1416" t="s">
        <v>901</v>
      </c>
      <c r="G518" s="1416" t="s">
        <v>901</v>
      </c>
    </row>
    <row r="519" spans="2:7" hidden="1" outlineLevel="1">
      <c r="B519" s="1416" t="s">
        <v>1424</v>
      </c>
      <c r="C519" s="1416" t="s">
        <v>137</v>
      </c>
      <c r="D519" s="1416" t="s">
        <v>1596</v>
      </c>
      <c r="E519" s="1416" t="s">
        <v>1596</v>
      </c>
      <c r="F519" s="1416" t="s">
        <v>1596</v>
      </c>
      <c r="G519" s="1416" t="s">
        <v>1596</v>
      </c>
    </row>
    <row r="520" spans="2:7" hidden="1" outlineLevel="1">
      <c r="B520" s="1416" t="s">
        <v>1427</v>
      </c>
      <c r="C520" s="1416" t="s">
        <v>1984</v>
      </c>
      <c r="D520" s="1416" t="s">
        <v>1984</v>
      </c>
      <c r="E520" s="1416" t="s">
        <v>1984</v>
      </c>
      <c r="F520" s="1416" t="s">
        <v>1984</v>
      </c>
      <c r="G520" s="1416" t="s">
        <v>1984</v>
      </c>
    </row>
    <row r="521" spans="2:7" hidden="1" outlineLevel="1">
      <c r="B521" s="1416" t="s">
        <v>65</v>
      </c>
      <c r="C521" s="1416" t="s">
        <v>2534</v>
      </c>
      <c r="D521" s="1416" t="s">
        <v>2534</v>
      </c>
      <c r="E521" s="1416" t="s">
        <v>2534</v>
      </c>
      <c r="F521" s="1416" t="s">
        <v>2534</v>
      </c>
      <c r="G521" s="1416" t="s">
        <v>2534</v>
      </c>
    </row>
    <row r="522" spans="2:7" hidden="1" outlineLevel="1">
      <c r="B522" s="1416" t="s">
        <v>1422</v>
      </c>
      <c r="C522" s="1416" t="s">
        <v>137</v>
      </c>
      <c r="D522" s="1416" t="s">
        <v>379</v>
      </c>
      <c r="E522" s="1887" t="s">
        <v>6927</v>
      </c>
      <c r="F522" s="1416" t="s">
        <v>379</v>
      </c>
      <c r="G522" s="1416" t="s">
        <v>379</v>
      </c>
    </row>
    <row r="523" spans="2:7" hidden="1" outlineLevel="1">
      <c r="B523" s="1416" t="s">
        <v>548</v>
      </c>
      <c r="C523" s="1416" t="s">
        <v>137</v>
      </c>
      <c r="D523" s="1416" t="s">
        <v>640</v>
      </c>
      <c r="E523" s="1416" t="s">
        <v>640</v>
      </c>
      <c r="F523" s="1416" t="s">
        <v>640</v>
      </c>
      <c r="G523" s="1416" t="s">
        <v>640</v>
      </c>
    </row>
    <row r="524" spans="2:7" hidden="1" outlineLevel="1">
      <c r="B524" s="1416" t="s">
        <v>1426</v>
      </c>
      <c r="C524" s="1416" t="s">
        <v>137</v>
      </c>
      <c r="D524" s="1416" t="s">
        <v>644</v>
      </c>
      <c r="E524" s="1416" t="s">
        <v>644</v>
      </c>
      <c r="F524" s="1416" t="s">
        <v>644</v>
      </c>
      <c r="G524" s="1416" t="s">
        <v>644</v>
      </c>
    </row>
    <row r="525" spans="2:7" hidden="1" outlineLevel="1">
      <c r="B525" s="1416" t="s">
        <v>549</v>
      </c>
      <c r="C525" s="1416" t="s">
        <v>137</v>
      </c>
      <c r="D525" s="1416" t="s">
        <v>1063</v>
      </c>
      <c r="E525" s="1887" t="s">
        <v>6928</v>
      </c>
      <c r="F525" s="1416" t="s">
        <v>1063</v>
      </c>
      <c r="G525" s="1416" t="s">
        <v>1063</v>
      </c>
    </row>
    <row r="526" spans="2:7" hidden="1" outlineLevel="1">
      <c r="B526" s="1416" t="s">
        <v>550</v>
      </c>
      <c r="C526" s="1416" t="s">
        <v>137</v>
      </c>
      <c r="D526" s="1416" t="s">
        <v>1985</v>
      </c>
      <c r="E526" s="1416" t="s">
        <v>1985</v>
      </c>
      <c r="F526" s="1416" t="s">
        <v>1985</v>
      </c>
      <c r="G526" s="1416" t="s">
        <v>1985</v>
      </c>
    </row>
    <row r="527" spans="2:7" hidden="1" outlineLevel="1">
      <c r="B527" s="1416" t="s">
        <v>551</v>
      </c>
      <c r="C527" s="1416" t="s">
        <v>137</v>
      </c>
      <c r="D527" s="1416" t="s">
        <v>726</v>
      </c>
      <c r="E527" s="1416" t="s">
        <v>726</v>
      </c>
      <c r="F527" s="1416" t="s">
        <v>726</v>
      </c>
      <c r="G527" s="1416" t="s">
        <v>726</v>
      </c>
    </row>
    <row r="528" spans="2:7" hidden="1" outlineLevel="1">
      <c r="B528" s="1416" t="s">
        <v>370</v>
      </c>
      <c r="C528" s="1416" t="s">
        <v>137</v>
      </c>
      <c r="D528" s="1416" t="s">
        <v>6929</v>
      </c>
      <c r="E528" s="1416" t="s">
        <v>6929</v>
      </c>
      <c r="F528" s="1416" t="s">
        <v>6929</v>
      </c>
      <c r="G528" s="1416" t="s">
        <v>6929</v>
      </c>
    </row>
    <row r="529" spans="2:7" hidden="1" outlineLevel="1">
      <c r="B529" s="1416" t="s">
        <v>371</v>
      </c>
      <c r="C529" s="1416" t="s">
        <v>137</v>
      </c>
      <c r="D529" s="1416" t="s">
        <v>727</v>
      </c>
      <c r="E529" s="1416" t="s">
        <v>727</v>
      </c>
      <c r="F529" s="1416" t="s">
        <v>727</v>
      </c>
      <c r="G529" s="1416" t="s">
        <v>727</v>
      </c>
    </row>
    <row r="530" spans="2:7" collapsed="1">
      <c r="B530" s="4329" t="s">
        <v>2021</v>
      </c>
      <c r="C530" s="4330"/>
      <c r="D530" s="4330"/>
      <c r="E530" s="4330"/>
      <c r="F530" s="4330"/>
      <c r="G530" s="4330"/>
    </row>
    <row r="531" spans="2:7" hidden="1" outlineLevel="1">
      <c r="B531" s="1416" t="s">
        <v>1375</v>
      </c>
      <c r="C531" s="1416" t="s">
        <v>827</v>
      </c>
      <c r="D531" s="1416" t="s">
        <v>827</v>
      </c>
      <c r="E531" s="1416" t="s">
        <v>827</v>
      </c>
      <c r="F531" s="1416" t="s">
        <v>827</v>
      </c>
      <c r="G531" s="1416" t="s">
        <v>827</v>
      </c>
    </row>
    <row r="532" spans="2:7" hidden="1" outlineLevel="1">
      <c r="B532" s="1416" t="s">
        <v>1376</v>
      </c>
      <c r="C532" s="1416" t="s">
        <v>828</v>
      </c>
      <c r="D532" s="1416" t="s">
        <v>828</v>
      </c>
      <c r="E532" s="1416" t="s">
        <v>828</v>
      </c>
      <c r="F532" s="1416" t="s">
        <v>828</v>
      </c>
      <c r="G532" s="1416" t="s">
        <v>828</v>
      </c>
    </row>
    <row r="533" spans="2:7" hidden="1" outlineLevel="1">
      <c r="B533" s="1416" t="s">
        <v>183</v>
      </c>
      <c r="C533" s="1416" t="s">
        <v>829</v>
      </c>
      <c r="D533" s="1416" t="s">
        <v>829</v>
      </c>
      <c r="E533" s="1887" t="s">
        <v>6930</v>
      </c>
      <c r="F533" s="1416" t="s">
        <v>829</v>
      </c>
      <c r="G533" s="1416" t="s">
        <v>829</v>
      </c>
    </row>
    <row r="534" spans="2:7" hidden="1" outlineLevel="1">
      <c r="B534" s="1416" t="s">
        <v>184</v>
      </c>
      <c r="C534" s="1416" t="s">
        <v>830</v>
      </c>
      <c r="D534" s="1416" t="s">
        <v>830</v>
      </c>
      <c r="E534" s="1416" t="s">
        <v>6931</v>
      </c>
      <c r="F534" s="1416" t="s">
        <v>830</v>
      </c>
      <c r="G534" s="1416" t="s">
        <v>6931</v>
      </c>
    </row>
    <row r="535" spans="2:7" hidden="1" outlineLevel="1">
      <c r="B535" s="1416" t="s">
        <v>185</v>
      </c>
      <c r="C535" s="1416" t="s">
        <v>1001</v>
      </c>
      <c r="D535" s="1416" t="s">
        <v>1001</v>
      </c>
      <c r="E535" s="1416" t="s">
        <v>1001</v>
      </c>
      <c r="F535" s="1416" t="s">
        <v>1001</v>
      </c>
      <c r="G535" s="1416" t="s">
        <v>1001</v>
      </c>
    </row>
    <row r="536" spans="2:7" hidden="1" outlineLevel="1">
      <c r="B536" s="1416" t="s">
        <v>186</v>
      </c>
      <c r="C536" s="1416" t="s">
        <v>6932</v>
      </c>
      <c r="D536" s="1416" t="s">
        <v>6932</v>
      </c>
      <c r="E536" s="1887" t="s">
        <v>6933</v>
      </c>
      <c r="F536" s="1887" t="s">
        <v>6934</v>
      </c>
      <c r="G536" s="1887" t="s">
        <v>6935</v>
      </c>
    </row>
    <row r="537" spans="2:7" hidden="1" outlineLevel="1">
      <c r="B537" s="1416" t="s">
        <v>187</v>
      </c>
      <c r="C537" s="1416" t="s">
        <v>6936</v>
      </c>
      <c r="D537" s="1416" t="s">
        <v>6936</v>
      </c>
      <c r="E537" s="1887" t="s">
        <v>6937</v>
      </c>
      <c r="F537" s="1887" t="s">
        <v>6938</v>
      </c>
      <c r="G537" s="1887" t="s">
        <v>6938</v>
      </c>
    </row>
    <row r="538" spans="2:7" hidden="1" outlineLevel="1">
      <c r="B538" s="1416" t="s">
        <v>188</v>
      </c>
      <c r="C538" s="1416" t="s">
        <v>1002</v>
      </c>
      <c r="D538" s="1416" t="s">
        <v>1002</v>
      </c>
      <c r="E538" s="1416" t="s">
        <v>1002</v>
      </c>
      <c r="F538" s="1416" t="s">
        <v>1002</v>
      </c>
      <c r="G538" s="1416" t="s">
        <v>1002</v>
      </c>
    </row>
    <row r="539" spans="2:7" collapsed="1">
      <c r="B539" s="4329" t="s">
        <v>1368</v>
      </c>
      <c r="C539" s="4330"/>
      <c r="D539" s="4330"/>
      <c r="E539" s="4330"/>
      <c r="F539" s="4330"/>
      <c r="G539" s="4330"/>
    </row>
    <row r="540" spans="2:7" hidden="1" outlineLevel="1">
      <c r="B540" s="1416" t="s">
        <v>789</v>
      </c>
      <c r="C540" s="1416" t="s">
        <v>2838</v>
      </c>
      <c r="D540" s="1886" t="s">
        <v>5144</v>
      </c>
      <c r="E540" s="1887" t="s">
        <v>6939</v>
      </c>
      <c r="F540" s="1886" t="s">
        <v>5144</v>
      </c>
      <c r="G540" s="1886" t="s">
        <v>5144</v>
      </c>
    </row>
    <row r="541" spans="2:7" hidden="1" outlineLevel="1">
      <c r="B541" s="1416" t="s">
        <v>790</v>
      </c>
      <c r="C541" s="1416" t="s">
        <v>6940</v>
      </c>
      <c r="D541" s="1886" t="s">
        <v>2383</v>
      </c>
      <c r="E541" s="1886" t="s">
        <v>2383</v>
      </c>
      <c r="F541" s="1886" t="s">
        <v>2383</v>
      </c>
      <c r="G541" s="1886" t="s">
        <v>2383</v>
      </c>
    </row>
    <row r="542" spans="2:7" hidden="1" outlineLevel="1">
      <c r="B542" s="1416" t="s">
        <v>791</v>
      </c>
      <c r="C542" s="1416" t="s">
        <v>6941</v>
      </c>
      <c r="D542" s="1416" t="s">
        <v>6941</v>
      </c>
      <c r="E542" s="1886" t="s">
        <v>6942</v>
      </c>
      <c r="F542" s="1416" t="s">
        <v>6941</v>
      </c>
      <c r="G542" s="1416" t="s">
        <v>6941</v>
      </c>
    </row>
    <row r="543" spans="2:7" hidden="1" outlineLevel="1">
      <c r="B543" s="1416" t="s">
        <v>792</v>
      </c>
      <c r="C543" s="1416" t="s">
        <v>1305</v>
      </c>
      <c r="D543" s="1416" t="s">
        <v>1305</v>
      </c>
      <c r="E543" s="1887" t="s">
        <v>6943</v>
      </c>
      <c r="F543" s="1416" t="s">
        <v>1305</v>
      </c>
      <c r="G543" s="1887" t="s">
        <v>6943</v>
      </c>
    </row>
    <row r="544" spans="2:7" hidden="1" outlineLevel="1">
      <c r="B544" s="1416" t="s">
        <v>105</v>
      </c>
      <c r="C544" s="1416" t="s">
        <v>2384</v>
      </c>
      <c r="D544" s="1416" t="s">
        <v>2384</v>
      </c>
      <c r="E544" s="1416" t="s">
        <v>2384</v>
      </c>
      <c r="F544" s="1416" t="s">
        <v>2384</v>
      </c>
      <c r="G544" s="1416" t="s">
        <v>2384</v>
      </c>
    </row>
    <row r="545" spans="2:7" hidden="1" outlineLevel="1">
      <c r="B545" s="1416" t="s">
        <v>106</v>
      </c>
      <c r="C545" s="1416" t="s">
        <v>3328</v>
      </c>
      <c r="D545" s="1416" t="s">
        <v>3328</v>
      </c>
      <c r="E545" s="1887" t="s">
        <v>6944</v>
      </c>
      <c r="F545" s="1416" t="s">
        <v>3328</v>
      </c>
      <c r="G545" s="1887" t="s">
        <v>6944</v>
      </c>
    </row>
    <row r="546" spans="2:7" hidden="1" outlineLevel="1">
      <c r="B546" s="1416" t="s">
        <v>107</v>
      </c>
      <c r="C546" s="1416" t="s">
        <v>2385</v>
      </c>
      <c r="D546" s="1416" t="s">
        <v>2385</v>
      </c>
      <c r="E546" s="1416" t="s">
        <v>2385</v>
      </c>
      <c r="F546" s="1416" t="s">
        <v>2385</v>
      </c>
      <c r="G546" s="1416" t="s">
        <v>3369</v>
      </c>
    </row>
    <row r="547" spans="2:7" hidden="1" outlineLevel="1">
      <c r="B547" s="1416" t="s">
        <v>108</v>
      </c>
      <c r="C547" s="1416" t="s">
        <v>2386</v>
      </c>
      <c r="D547" s="1416" t="s">
        <v>2386</v>
      </c>
      <c r="E547" s="1887" t="s">
        <v>6945</v>
      </c>
      <c r="F547" s="1416" t="s">
        <v>2386</v>
      </c>
      <c r="G547" s="1416" t="s">
        <v>2386</v>
      </c>
    </row>
    <row r="548" spans="2:7" ht="24" hidden="1" outlineLevel="1">
      <c r="B548" s="1416" t="s">
        <v>591</v>
      </c>
      <c r="C548" s="1416" t="s">
        <v>6946</v>
      </c>
      <c r="D548" s="1886" t="s">
        <v>2387</v>
      </c>
      <c r="E548" s="1887" t="s">
        <v>6947</v>
      </c>
      <c r="F548" s="1886" t="s">
        <v>2387</v>
      </c>
      <c r="G548" s="1886" t="s">
        <v>2387</v>
      </c>
    </row>
    <row r="549" spans="2:7" hidden="1" outlineLevel="1">
      <c r="B549" s="1416" t="s">
        <v>592</v>
      </c>
      <c r="C549" s="1416" t="s">
        <v>6948</v>
      </c>
      <c r="D549" s="1887" t="s">
        <v>2388</v>
      </c>
      <c r="E549" s="1887" t="s">
        <v>6949</v>
      </c>
      <c r="F549" s="1887" t="s">
        <v>2388</v>
      </c>
      <c r="G549" s="1887" t="s">
        <v>2388</v>
      </c>
    </row>
    <row r="550" spans="2:7" hidden="1" outlineLevel="1">
      <c r="B550" s="1416" t="s">
        <v>593</v>
      </c>
      <c r="C550" s="1416" t="s">
        <v>6950</v>
      </c>
      <c r="D550" s="1886" t="s">
        <v>2389</v>
      </c>
      <c r="E550" s="1886" t="s">
        <v>2389</v>
      </c>
      <c r="F550" s="1886" t="s">
        <v>2389</v>
      </c>
      <c r="G550" s="1886" t="s">
        <v>2389</v>
      </c>
    </row>
    <row r="551" spans="2:7" hidden="1" outlineLevel="1">
      <c r="B551" s="1416" t="s">
        <v>594</v>
      </c>
      <c r="C551" s="1416" t="s">
        <v>2390</v>
      </c>
      <c r="D551" s="1416" t="s">
        <v>2390</v>
      </c>
      <c r="E551" s="1887" t="s">
        <v>6951</v>
      </c>
      <c r="F551" s="1416" t="s">
        <v>2390</v>
      </c>
      <c r="G551" s="1416" t="s">
        <v>2390</v>
      </c>
    </row>
    <row r="552" spans="2:7" hidden="1" outlineLevel="1">
      <c r="B552" s="1416" t="s">
        <v>595</v>
      </c>
      <c r="C552" s="1416" t="s">
        <v>2391</v>
      </c>
      <c r="D552" s="1416" t="s">
        <v>2391</v>
      </c>
      <c r="E552" s="1416" t="s">
        <v>2391</v>
      </c>
      <c r="F552" s="1416" t="s">
        <v>2391</v>
      </c>
      <c r="G552" s="1416" t="s">
        <v>2391</v>
      </c>
    </row>
    <row r="553" spans="2:7" hidden="1" outlineLevel="1">
      <c r="B553" s="1416" t="s">
        <v>596</v>
      </c>
      <c r="C553" s="1416" t="s">
        <v>866</v>
      </c>
      <c r="D553" s="1416" t="s">
        <v>866</v>
      </c>
      <c r="E553" s="1416" t="s">
        <v>866</v>
      </c>
      <c r="F553" s="1416" t="s">
        <v>866</v>
      </c>
      <c r="G553" s="1416" t="s">
        <v>866</v>
      </c>
    </row>
    <row r="554" spans="2:7" hidden="1" outlineLevel="1">
      <c r="B554" s="1416" t="s">
        <v>597</v>
      </c>
      <c r="C554" s="1416" t="s">
        <v>874</v>
      </c>
      <c r="D554" s="1416" t="s">
        <v>874</v>
      </c>
      <c r="E554" s="1416" t="s">
        <v>874</v>
      </c>
      <c r="F554" s="1416" t="s">
        <v>874</v>
      </c>
      <c r="G554" s="1416" t="s">
        <v>874</v>
      </c>
    </row>
    <row r="555" spans="2:7" hidden="1" outlineLevel="1">
      <c r="B555" s="1416" t="s">
        <v>598</v>
      </c>
      <c r="C555" s="1416" t="s">
        <v>6952</v>
      </c>
      <c r="D555" s="1416" t="s">
        <v>6952</v>
      </c>
      <c r="E555" s="1416" t="s">
        <v>6952</v>
      </c>
      <c r="F555" s="1416" t="s">
        <v>6952</v>
      </c>
      <c r="G555" s="1416" t="s">
        <v>6952</v>
      </c>
    </row>
    <row r="556" spans="2:7" hidden="1" outlineLevel="1">
      <c r="B556" s="1416" t="s">
        <v>599</v>
      </c>
      <c r="C556" s="1416" t="s">
        <v>2553</v>
      </c>
      <c r="D556" s="1416" t="s">
        <v>2553</v>
      </c>
      <c r="E556" s="1887" t="s">
        <v>6953</v>
      </c>
      <c r="F556" s="1416" t="s">
        <v>2553</v>
      </c>
      <c r="G556" s="1416" t="s">
        <v>2553</v>
      </c>
    </row>
    <row r="557" spans="2:7" hidden="1" outlineLevel="1">
      <c r="B557" s="1416" t="s">
        <v>600</v>
      </c>
      <c r="C557" s="1416" t="s">
        <v>2554</v>
      </c>
      <c r="D557" s="1416" t="s">
        <v>2554</v>
      </c>
      <c r="E557" s="1887" t="s">
        <v>6954</v>
      </c>
      <c r="F557" s="1416" t="s">
        <v>2554</v>
      </c>
      <c r="G557" s="1887" t="s">
        <v>6954</v>
      </c>
    </row>
    <row r="558" spans="2:7" hidden="1" outlineLevel="1">
      <c r="B558" s="1416" t="s">
        <v>601</v>
      </c>
      <c r="C558" s="1416" t="s">
        <v>2555</v>
      </c>
      <c r="D558" s="1416" t="s">
        <v>2555</v>
      </c>
      <c r="E558" s="1887" t="s">
        <v>6955</v>
      </c>
      <c r="F558" s="1416" t="s">
        <v>2555</v>
      </c>
      <c r="G558" s="1416" t="s">
        <v>2555</v>
      </c>
    </row>
    <row r="559" spans="2:7" hidden="1" outlineLevel="1">
      <c r="B559" s="1416" t="s">
        <v>602</v>
      </c>
      <c r="C559" s="1416" t="s">
        <v>2556</v>
      </c>
      <c r="D559" s="1416" t="s">
        <v>2556</v>
      </c>
      <c r="E559" s="1887" t="s">
        <v>6956</v>
      </c>
      <c r="F559" s="1416" t="s">
        <v>2556</v>
      </c>
      <c r="G559" s="1416" t="s">
        <v>2556</v>
      </c>
    </row>
    <row r="560" spans="2:7" hidden="1" outlineLevel="1">
      <c r="B560" s="1416" t="s">
        <v>603</v>
      </c>
      <c r="C560" s="1416" t="s">
        <v>867</v>
      </c>
      <c r="D560" s="1416" t="s">
        <v>867</v>
      </c>
      <c r="E560" s="1416" t="s">
        <v>867</v>
      </c>
      <c r="F560" s="1416" t="s">
        <v>867</v>
      </c>
      <c r="G560" s="1416" t="s">
        <v>867</v>
      </c>
    </row>
    <row r="561" spans="2:7" hidden="1" outlineLevel="1">
      <c r="B561" s="1416" t="s">
        <v>604</v>
      </c>
      <c r="C561" s="1887" t="s">
        <v>6957</v>
      </c>
      <c r="D561" s="1416" t="s">
        <v>1306</v>
      </c>
      <c r="E561" s="1416" t="s">
        <v>1306</v>
      </c>
      <c r="F561" s="1416" t="s">
        <v>1306</v>
      </c>
      <c r="G561" s="1416" t="s">
        <v>1306</v>
      </c>
    </row>
    <row r="562" spans="2:7" hidden="1" outlineLevel="1">
      <c r="B562" s="1416" t="s">
        <v>1576</v>
      </c>
      <c r="C562" s="1416" t="s">
        <v>2557</v>
      </c>
      <c r="D562" s="1416" t="s">
        <v>2557</v>
      </c>
      <c r="E562" s="1416" t="s">
        <v>2557</v>
      </c>
      <c r="F562" s="1416" t="s">
        <v>2557</v>
      </c>
      <c r="G562" s="1416" t="s">
        <v>2557</v>
      </c>
    </row>
    <row r="563" spans="2:7" hidden="1" outlineLevel="1">
      <c r="B563" s="1416" t="s">
        <v>605</v>
      </c>
      <c r="C563" s="1416" t="s">
        <v>2452</v>
      </c>
      <c r="D563" s="1416" t="s">
        <v>2452</v>
      </c>
      <c r="E563" s="1887" t="s">
        <v>6958</v>
      </c>
      <c r="F563" s="1416" t="s">
        <v>2452</v>
      </c>
      <c r="G563" s="1887" t="s">
        <v>6959</v>
      </c>
    </row>
    <row r="564" spans="2:7" hidden="1" outlineLevel="1">
      <c r="B564" s="1416" t="s">
        <v>606</v>
      </c>
      <c r="C564" s="1416" t="s">
        <v>1308</v>
      </c>
      <c r="D564" s="1416" t="s">
        <v>1308</v>
      </c>
      <c r="E564" s="1887" t="s">
        <v>6960</v>
      </c>
      <c r="F564" s="1416" t="s">
        <v>1308</v>
      </c>
      <c r="G564" s="1416" t="s">
        <v>1308</v>
      </c>
    </row>
    <row r="565" spans="2:7" ht="24" hidden="1" outlineLevel="1">
      <c r="B565" s="1416" t="s">
        <v>413</v>
      </c>
      <c r="C565" s="1416" t="s">
        <v>6961</v>
      </c>
      <c r="D565" s="1887" t="s">
        <v>6962</v>
      </c>
      <c r="E565" s="1887" t="s">
        <v>6963</v>
      </c>
      <c r="F565" s="1887" t="s">
        <v>6962</v>
      </c>
      <c r="G565" s="1887" t="s">
        <v>6964</v>
      </c>
    </row>
    <row r="566" spans="2:7" hidden="1" outlineLevel="1">
      <c r="B566" s="1416" t="s">
        <v>414</v>
      </c>
      <c r="C566" s="1416" t="s">
        <v>2559</v>
      </c>
      <c r="D566" s="1416" t="s">
        <v>2559</v>
      </c>
      <c r="E566" s="1416" t="s">
        <v>2559</v>
      </c>
      <c r="F566" s="1416" t="s">
        <v>2559</v>
      </c>
      <c r="G566" s="1416" t="s">
        <v>2559</v>
      </c>
    </row>
    <row r="567" spans="2:7" hidden="1" outlineLevel="1">
      <c r="B567" s="1416" t="s">
        <v>415</v>
      </c>
      <c r="C567" s="1416" t="s">
        <v>2560</v>
      </c>
      <c r="D567" s="1416" t="s">
        <v>2560</v>
      </c>
      <c r="E567" s="1416" t="s">
        <v>2560</v>
      </c>
      <c r="F567" s="1416" t="s">
        <v>2560</v>
      </c>
      <c r="G567" s="1416" t="s">
        <v>2560</v>
      </c>
    </row>
    <row r="568" spans="2:7" hidden="1" outlineLevel="1">
      <c r="B568" s="1416" t="s">
        <v>416</v>
      </c>
      <c r="C568" s="1416" t="s">
        <v>1201</v>
      </c>
      <c r="D568" s="1416" t="s">
        <v>1201</v>
      </c>
      <c r="E568" s="1416" t="s">
        <v>1201</v>
      </c>
      <c r="F568" s="1416" t="s">
        <v>1201</v>
      </c>
      <c r="G568" s="1416" t="s">
        <v>1201</v>
      </c>
    </row>
    <row r="569" spans="2:7" hidden="1" outlineLevel="1">
      <c r="B569" s="1416" t="s">
        <v>417</v>
      </c>
      <c r="C569" s="1416" t="s">
        <v>2184</v>
      </c>
      <c r="D569" s="1416" t="s">
        <v>2184</v>
      </c>
      <c r="E569" s="1416" t="s">
        <v>2184</v>
      </c>
      <c r="F569" s="1416" t="s">
        <v>2184</v>
      </c>
      <c r="G569" s="1416" t="s">
        <v>2184</v>
      </c>
    </row>
    <row r="570" spans="2:7" hidden="1" outlineLevel="1">
      <c r="B570" s="1416" t="s">
        <v>1963</v>
      </c>
      <c r="C570" s="1416" t="s">
        <v>2185</v>
      </c>
      <c r="D570" s="1416" t="s">
        <v>2185</v>
      </c>
      <c r="E570" s="1887" t="s">
        <v>6965</v>
      </c>
      <c r="F570" s="1416" t="s">
        <v>2185</v>
      </c>
      <c r="G570" s="1887" t="s">
        <v>6965</v>
      </c>
    </row>
    <row r="571" spans="2:7" hidden="1" outlineLevel="1">
      <c r="B571" s="1416" t="s">
        <v>1964</v>
      </c>
      <c r="C571" s="1416" t="s">
        <v>2186</v>
      </c>
      <c r="D571" s="1416" t="s">
        <v>2186</v>
      </c>
      <c r="E571" s="1887" t="s">
        <v>6966</v>
      </c>
      <c r="F571" s="1416" t="s">
        <v>2186</v>
      </c>
      <c r="G571" s="1887" t="s">
        <v>6966</v>
      </c>
    </row>
    <row r="572" spans="2:7" hidden="1" outlineLevel="1">
      <c r="B572" s="1416" t="s">
        <v>1965</v>
      </c>
      <c r="C572" s="1416" t="s">
        <v>2187</v>
      </c>
      <c r="D572" s="1416" t="s">
        <v>2187</v>
      </c>
      <c r="E572" s="1887" t="s">
        <v>6967</v>
      </c>
      <c r="F572" s="1416" t="s">
        <v>2187</v>
      </c>
      <c r="G572" s="1887" t="s">
        <v>6967</v>
      </c>
    </row>
    <row r="573" spans="2:7" hidden="1" outlineLevel="1">
      <c r="B573" s="1416" t="s">
        <v>914</v>
      </c>
      <c r="C573" s="1416" t="s">
        <v>2237</v>
      </c>
      <c r="D573" s="1416" t="s">
        <v>2237</v>
      </c>
      <c r="E573" s="1887" t="s">
        <v>6968</v>
      </c>
      <c r="F573" s="1416" t="s">
        <v>2237</v>
      </c>
      <c r="G573" s="1887" t="s">
        <v>6968</v>
      </c>
    </row>
    <row r="574" spans="2:7" hidden="1" outlineLevel="1">
      <c r="B574" s="1416" t="s">
        <v>915</v>
      </c>
      <c r="C574" s="1416" t="s">
        <v>6969</v>
      </c>
      <c r="D574" s="1416" t="s">
        <v>6969</v>
      </c>
      <c r="E574" s="1886" t="s">
        <v>3304</v>
      </c>
      <c r="F574" s="1416" t="s">
        <v>6969</v>
      </c>
      <c r="G574" s="1886" t="s">
        <v>3304</v>
      </c>
    </row>
    <row r="575" spans="2:7" hidden="1" outlineLevel="1">
      <c r="B575" s="1416" t="s">
        <v>916</v>
      </c>
      <c r="C575" s="1416" t="s">
        <v>6970</v>
      </c>
      <c r="D575" s="1886" t="s">
        <v>102</v>
      </c>
      <c r="E575" s="1887" t="s">
        <v>6971</v>
      </c>
      <c r="F575" s="1886" t="s">
        <v>102</v>
      </c>
      <c r="G575" s="1886" t="s">
        <v>102</v>
      </c>
    </row>
    <row r="576" spans="2:7" hidden="1" outlineLevel="1">
      <c r="B576" s="1416" t="s">
        <v>917</v>
      </c>
      <c r="C576" s="1416" t="s">
        <v>1668</v>
      </c>
      <c r="D576" s="1416" t="s">
        <v>1668</v>
      </c>
      <c r="E576" s="1416" t="s">
        <v>1668</v>
      </c>
      <c r="F576" s="1416" t="s">
        <v>1668</v>
      </c>
      <c r="G576" s="1416" t="s">
        <v>1668</v>
      </c>
    </row>
    <row r="577" spans="2:7" hidden="1" outlineLevel="1">
      <c r="B577" s="1416" t="s">
        <v>918</v>
      </c>
      <c r="C577" s="1416" t="s">
        <v>680</v>
      </c>
      <c r="D577" s="1416" t="s">
        <v>680</v>
      </c>
      <c r="E577" s="1416" t="s">
        <v>680</v>
      </c>
      <c r="F577" s="1416" t="s">
        <v>680</v>
      </c>
      <c r="G577" s="1416" t="s">
        <v>680</v>
      </c>
    </row>
    <row r="578" spans="2:7" hidden="1" outlineLevel="1">
      <c r="B578" s="1416" t="s">
        <v>919</v>
      </c>
      <c r="C578" s="1416" t="s">
        <v>5630</v>
      </c>
      <c r="D578" s="1416" t="s">
        <v>5630</v>
      </c>
      <c r="E578" s="1887" t="s">
        <v>1214</v>
      </c>
      <c r="F578" s="1416" t="s">
        <v>5630</v>
      </c>
      <c r="G578" s="1887" t="s">
        <v>1214</v>
      </c>
    </row>
    <row r="579" spans="2:7" hidden="1" outlineLevel="1">
      <c r="B579" s="1416" t="s">
        <v>920</v>
      </c>
      <c r="C579" s="1416" t="s">
        <v>6972</v>
      </c>
      <c r="D579" s="1886" t="s">
        <v>2369</v>
      </c>
      <c r="E579" s="1887" t="s">
        <v>6973</v>
      </c>
      <c r="F579" s="1886" t="s">
        <v>2369</v>
      </c>
      <c r="G579" s="1887" t="s">
        <v>6974</v>
      </c>
    </row>
    <row r="580" spans="2:7" hidden="1" outlineLevel="1">
      <c r="B580" s="1416" t="s">
        <v>921</v>
      </c>
      <c r="C580" s="1416" t="s">
        <v>2370</v>
      </c>
      <c r="D580" s="1416" t="s">
        <v>2370</v>
      </c>
      <c r="E580" s="1887" t="s">
        <v>6975</v>
      </c>
      <c r="F580" s="1416" t="s">
        <v>2370</v>
      </c>
      <c r="G580" s="1416" t="s">
        <v>2370</v>
      </c>
    </row>
    <row r="581" spans="2:7" hidden="1" outlineLevel="1">
      <c r="B581" s="1416" t="s">
        <v>922</v>
      </c>
      <c r="C581" s="1886" t="s">
        <v>6976</v>
      </c>
      <c r="D581" s="1416" t="s">
        <v>1150</v>
      </c>
      <c r="E581" s="1886" t="s">
        <v>6976</v>
      </c>
      <c r="F581" s="1416" t="s">
        <v>1150</v>
      </c>
      <c r="G581" s="1416" t="s">
        <v>1150</v>
      </c>
    </row>
    <row r="582" spans="2:7" hidden="1" outlineLevel="1">
      <c r="B582" s="1416" t="s">
        <v>923</v>
      </c>
      <c r="C582" s="1886" t="s">
        <v>6977</v>
      </c>
      <c r="D582" s="1886" t="s">
        <v>6977</v>
      </c>
      <c r="E582" s="1416" t="s">
        <v>2056</v>
      </c>
      <c r="F582" s="1886" t="s">
        <v>6977</v>
      </c>
      <c r="G582" s="1416" t="s">
        <v>2056</v>
      </c>
    </row>
    <row r="583" spans="2:7" hidden="1" outlineLevel="1">
      <c r="B583" s="1416" t="s">
        <v>924</v>
      </c>
      <c r="C583" s="1416" t="s">
        <v>2371</v>
      </c>
      <c r="D583" s="1416" t="s">
        <v>2371</v>
      </c>
      <c r="E583" s="1416" t="s">
        <v>2371</v>
      </c>
      <c r="F583" s="1416" t="s">
        <v>2371</v>
      </c>
      <c r="G583" s="1416" t="s">
        <v>2371</v>
      </c>
    </row>
    <row r="584" spans="2:7" hidden="1" outlineLevel="1">
      <c r="B584" s="1416" t="s">
        <v>925</v>
      </c>
      <c r="C584" s="1416" t="s">
        <v>2372</v>
      </c>
      <c r="D584" s="1416" t="s">
        <v>2372</v>
      </c>
      <c r="E584" s="1887" t="s">
        <v>6978</v>
      </c>
      <c r="F584" s="1416" t="s">
        <v>2372</v>
      </c>
      <c r="G584" s="1416" t="s">
        <v>2372</v>
      </c>
    </row>
    <row r="585" spans="2:7" hidden="1" outlineLevel="1">
      <c r="B585" s="1416" t="s">
        <v>926</v>
      </c>
      <c r="C585" s="1416" t="s">
        <v>1152</v>
      </c>
      <c r="D585" s="1416" t="s">
        <v>1152</v>
      </c>
      <c r="E585" s="1416" t="s">
        <v>1152</v>
      </c>
      <c r="F585" s="1416" t="s">
        <v>1152</v>
      </c>
      <c r="G585" s="1416" t="s">
        <v>1152</v>
      </c>
    </row>
    <row r="586" spans="2:7" hidden="1" outlineLevel="1">
      <c r="B586" s="1416" t="s">
        <v>1972</v>
      </c>
      <c r="C586" s="1416" t="s">
        <v>1147</v>
      </c>
      <c r="D586" s="1416" t="s">
        <v>1147</v>
      </c>
      <c r="E586" s="1416" t="s">
        <v>1147</v>
      </c>
      <c r="F586" s="1416" t="s">
        <v>1147</v>
      </c>
      <c r="G586" s="1416" t="s">
        <v>1147</v>
      </c>
    </row>
    <row r="587" spans="2:7" hidden="1" outlineLevel="1">
      <c r="B587" s="1416" t="s">
        <v>1973</v>
      </c>
      <c r="C587" s="1416" t="s">
        <v>2373</v>
      </c>
      <c r="D587" s="1416" t="s">
        <v>2373</v>
      </c>
      <c r="E587" s="1887" t="s">
        <v>6979</v>
      </c>
      <c r="F587" s="1416" t="s">
        <v>2373</v>
      </c>
      <c r="G587" s="1416" t="s">
        <v>2373</v>
      </c>
    </row>
    <row r="588" spans="2:7" hidden="1" outlineLevel="1">
      <c r="B588" s="1416" t="s">
        <v>1974</v>
      </c>
      <c r="C588" s="1416" t="s">
        <v>2374</v>
      </c>
      <c r="D588" s="1416" t="s">
        <v>2374</v>
      </c>
      <c r="E588" s="1416" t="s">
        <v>2374</v>
      </c>
      <c r="F588" s="1416" t="s">
        <v>2374</v>
      </c>
      <c r="G588" s="1416" t="s">
        <v>2374</v>
      </c>
    </row>
    <row r="589" spans="2:7" hidden="1" outlineLevel="1">
      <c r="B589" s="1416" t="s">
        <v>1975</v>
      </c>
      <c r="C589" s="1416" t="s">
        <v>2375</v>
      </c>
      <c r="D589" s="1416" t="s">
        <v>2375</v>
      </c>
      <c r="E589" s="1416" t="s">
        <v>2375</v>
      </c>
      <c r="F589" s="1416" t="s">
        <v>2375</v>
      </c>
      <c r="G589" s="1416" t="s">
        <v>2375</v>
      </c>
    </row>
    <row r="590" spans="2:7" hidden="1" outlineLevel="1">
      <c r="B590" s="1416" t="s">
        <v>1976</v>
      </c>
      <c r="C590" s="1416" t="s">
        <v>2376</v>
      </c>
      <c r="D590" s="1416" t="s">
        <v>2376</v>
      </c>
      <c r="E590" s="1416" t="s">
        <v>2376</v>
      </c>
      <c r="F590" s="1416" t="s">
        <v>2376</v>
      </c>
      <c r="G590" s="1416" t="s">
        <v>2376</v>
      </c>
    </row>
    <row r="591" spans="2:7" hidden="1" outlineLevel="1">
      <c r="B591" s="1416" t="s">
        <v>1977</v>
      </c>
      <c r="C591" s="1416" t="s">
        <v>2377</v>
      </c>
      <c r="D591" s="1416" t="s">
        <v>2377</v>
      </c>
      <c r="E591" s="1887" t="s">
        <v>6980</v>
      </c>
      <c r="F591" s="1416" t="s">
        <v>2377</v>
      </c>
      <c r="G591" s="1416" t="s">
        <v>2377</v>
      </c>
    </row>
    <row r="592" spans="2:7" hidden="1" outlineLevel="1">
      <c r="B592" s="1416" t="s">
        <v>745</v>
      </c>
      <c r="C592" s="1416" t="s">
        <v>2378</v>
      </c>
      <c r="D592" s="1416" t="s">
        <v>2378</v>
      </c>
      <c r="E592" s="1416" t="s">
        <v>2378</v>
      </c>
      <c r="F592" s="1416" t="s">
        <v>2378</v>
      </c>
      <c r="G592" s="1416" t="s">
        <v>2378</v>
      </c>
    </row>
    <row r="593" spans="2:7" hidden="1" outlineLevel="1">
      <c r="B593" s="1416" t="s">
        <v>746</v>
      </c>
      <c r="C593" s="1887" t="s">
        <v>6981</v>
      </c>
      <c r="D593" s="1416" t="s">
        <v>2379</v>
      </c>
      <c r="E593" s="1416" t="s">
        <v>2379</v>
      </c>
      <c r="F593" s="1416" t="s">
        <v>2379</v>
      </c>
      <c r="G593" s="1416" t="s">
        <v>2379</v>
      </c>
    </row>
    <row r="594" spans="2:7" hidden="1" outlineLevel="1">
      <c r="B594" s="1416" t="s">
        <v>747</v>
      </c>
      <c r="C594" s="1416" t="s">
        <v>2380</v>
      </c>
      <c r="D594" s="1416" t="s">
        <v>2380</v>
      </c>
      <c r="E594" s="1887" t="s">
        <v>6982</v>
      </c>
      <c r="F594" s="1416" t="s">
        <v>2380</v>
      </c>
      <c r="G594" s="1416" t="s">
        <v>2380</v>
      </c>
    </row>
    <row r="595" spans="2:7" hidden="1" outlineLevel="1">
      <c r="B595" s="1416" t="s">
        <v>748</v>
      </c>
      <c r="C595" s="1416" t="s">
        <v>6983</v>
      </c>
      <c r="D595" s="1887" t="s">
        <v>2381</v>
      </c>
      <c r="E595" s="1416" t="s">
        <v>6983</v>
      </c>
      <c r="F595" s="1887" t="s">
        <v>2381</v>
      </c>
      <c r="G595" s="1887" t="s">
        <v>2381</v>
      </c>
    </row>
    <row r="596" spans="2:7" hidden="1" outlineLevel="1">
      <c r="B596" s="1416" t="s">
        <v>749</v>
      </c>
      <c r="C596" s="1416" t="s">
        <v>2382</v>
      </c>
      <c r="D596" s="1416" t="s">
        <v>2382</v>
      </c>
      <c r="E596" s="1416" t="s">
        <v>2382</v>
      </c>
      <c r="F596" s="1416" t="s">
        <v>2382</v>
      </c>
      <c r="G596" s="1416" t="s">
        <v>2382</v>
      </c>
    </row>
    <row r="597" spans="2:7" hidden="1" outlineLevel="1">
      <c r="B597" s="1416" t="s">
        <v>750</v>
      </c>
      <c r="C597" s="1416" t="s">
        <v>137</v>
      </c>
      <c r="D597" s="1416" t="s">
        <v>6984</v>
      </c>
      <c r="E597" s="1887" t="s">
        <v>6985</v>
      </c>
      <c r="F597" s="1416" t="s">
        <v>6984</v>
      </c>
      <c r="G597" s="1886" t="s">
        <v>624</v>
      </c>
    </row>
    <row r="598" spans="2:7" hidden="1" outlineLevel="1">
      <c r="B598" s="1416" t="s">
        <v>546</v>
      </c>
      <c r="C598" s="1416" t="s">
        <v>681</v>
      </c>
      <c r="D598" s="1416" t="s">
        <v>681</v>
      </c>
      <c r="E598" s="1887" t="s">
        <v>6986</v>
      </c>
      <c r="F598" s="1416" t="s">
        <v>681</v>
      </c>
      <c r="G598" s="1416" t="s">
        <v>681</v>
      </c>
    </row>
    <row r="599" spans="2:7" hidden="1" outlineLevel="1">
      <c r="B599" s="1416" t="s">
        <v>547</v>
      </c>
      <c r="C599" s="1416" t="s">
        <v>682</v>
      </c>
      <c r="D599" s="1416" t="s">
        <v>682</v>
      </c>
      <c r="E599" s="1416" t="s">
        <v>682</v>
      </c>
      <c r="F599" s="1416" t="s">
        <v>682</v>
      </c>
      <c r="G599" s="1416" t="s">
        <v>682</v>
      </c>
    </row>
    <row r="600" spans="2:7" hidden="1" outlineLevel="1">
      <c r="B600" s="1416" t="s">
        <v>94</v>
      </c>
      <c r="C600" s="1416" t="s">
        <v>2274</v>
      </c>
      <c r="D600" s="1416" t="s">
        <v>2274</v>
      </c>
      <c r="E600" s="1416" t="s">
        <v>2274</v>
      </c>
      <c r="F600" s="1416" t="s">
        <v>2274</v>
      </c>
      <c r="G600" s="1416" t="s">
        <v>2274</v>
      </c>
    </row>
    <row r="601" spans="2:7" hidden="1" outlineLevel="1">
      <c r="B601" s="1416" t="s">
        <v>95</v>
      </c>
      <c r="C601" s="1416" t="s">
        <v>2275</v>
      </c>
      <c r="D601" s="1416" t="s">
        <v>2275</v>
      </c>
      <c r="E601" s="1416" t="s">
        <v>2275</v>
      </c>
      <c r="F601" s="1416" t="s">
        <v>2275</v>
      </c>
      <c r="G601" s="1416" t="s">
        <v>2275</v>
      </c>
    </row>
    <row r="602" spans="2:7" hidden="1" outlineLevel="1">
      <c r="B602" s="1416" t="s">
        <v>96</v>
      </c>
      <c r="C602" s="1416" t="s">
        <v>2359</v>
      </c>
      <c r="D602" s="1416" t="s">
        <v>2359</v>
      </c>
      <c r="E602" s="1887" t="s">
        <v>6987</v>
      </c>
      <c r="F602" s="1416" t="s">
        <v>2359</v>
      </c>
      <c r="G602" s="1416" t="s">
        <v>2359</v>
      </c>
    </row>
    <row r="603" spans="2:7" hidden="1" outlineLevel="1">
      <c r="B603" s="1416" t="s">
        <v>114</v>
      </c>
      <c r="C603" s="1416" t="s">
        <v>2360</v>
      </c>
      <c r="D603" s="1416" t="s">
        <v>2360</v>
      </c>
      <c r="E603" s="1887" t="s">
        <v>6988</v>
      </c>
      <c r="F603" s="1416" t="s">
        <v>2360</v>
      </c>
      <c r="G603" s="1416" t="s">
        <v>2360</v>
      </c>
    </row>
    <row r="604" spans="2:7" hidden="1" outlineLevel="1">
      <c r="B604" s="1416" t="s">
        <v>793</v>
      </c>
      <c r="C604" s="2125" t="s">
        <v>6989</v>
      </c>
      <c r="D604" s="1887" t="s">
        <v>2361</v>
      </c>
      <c r="E604" s="1887" t="s">
        <v>6990</v>
      </c>
      <c r="F604" s="1887" t="s">
        <v>2361</v>
      </c>
      <c r="G604" s="1887" t="s">
        <v>6991</v>
      </c>
    </row>
    <row r="605" spans="2:7" hidden="1" outlineLevel="1">
      <c r="B605" s="1416" t="s">
        <v>794</v>
      </c>
      <c r="C605" s="1416" t="s">
        <v>2362</v>
      </c>
      <c r="D605" s="1416" t="s">
        <v>2362</v>
      </c>
      <c r="E605" s="1887" t="s">
        <v>6992</v>
      </c>
      <c r="F605" s="1416" t="s">
        <v>2362</v>
      </c>
      <c r="G605" s="1416" t="s">
        <v>2362</v>
      </c>
    </row>
    <row r="606" spans="2:7" hidden="1" outlineLevel="1">
      <c r="B606" s="1416" t="s">
        <v>2084</v>
      </c>
      <c r="C606" s="1416" t="s">
        <v>6909</v>
      </c>
      <c r="D606" s="1887" t="s">
        <v>6910</v>
      </c>
      <c r="E606" s="1887" t="s">
        <v>6911</v>
      </c>
      <c r="F606" s="1887" t="s">
        <v>6910</v>
      </c>
      <c r="G606" s="1887" t="s">
        <v>6993</v>
      </c>
    </row>
    <row r="607" spans="2:7" hidden="1" outlineLevel="1">
      <c r="B607" s="1416" t="s">
        <v>2085</v>
      </c>
      <c r="C607" s="1416" t="s">
        <v>6914</v>
      </c>
      <c r="D607" s="1887" t="s">
        <v>6916</v>
      </c>
      <c r="E607" s="1887" t="s">
        <v>6915</v>
      </c>
      <c r="F607" s="1887" t="s">
        <v>6916</v>
      </c>
      <c r="G607" s="1887" t="s">
        <v>6994</v>
      </c>
    </row>
    <row r="608" spans="2:7" hidden="1" outlineLevel="1">
      <c r="B608" s="1416" t="s">
        <v>2258</v>
      </c>
      <c r="C608" s="1416" t="s">
        <v>6904</v>
      </c>
      <c r="D608" s="1887" t="s">
        <v>6906</v>
      </c>
      <c r="E608" s="1887" t="s">
        <v>6905</v>
      </c>
      <c r="F608" s="1887" t="s">
        <v>6906</v>
      </c>
      <c r="G608" s="1887" t="s">
        <v>6995</v>
      </c>
    </row>
    <row r="609" spans="2:7" hidden="1" outlineLevel="1">
      <c r="B609" s="1416" t="s">
        <v>2257</v>
      </c>
      <c r="C609" s="1416" t="s">
        <v>6899</v>
      </c>
      <c r="D609" s="2127" t="s">
        <v>6900</v>
      </c>
      <c r="E609" s="2127" t="s">
        <v>6901</v>
      </c>
      <c r="F609" s="2127" t="s">
        <v>6900</v>
      </c>
      <c r="G609" s="1887" t="s">
        <v>6996</v>
      </c>
    </row>
    <row r="610" spans="2:7" collapsed="1">
      <c r="B610" s="4329" t="s">
        <v>1746</v>
      </c>
      <c r="C610" s="4330"/>
      <c r="D610" s="4330"/>
      <c r="E610" s="4330"/>
      <c r="F610" s="4330"/>
      <c r="G610" s="4330"/>
    </row>
    <row r="611" spans="2:7" hidden="1" outlineLevel="1">
      <c r="B611" s="1416" t="s">
        <v>1003</v>
      </c>
      <c r="C611" s="1416" t="s">
        <v>119</v>
      </c>
      <c r="D611" s="1416" t="s">
        <v>119</v>
      </c>
      <c r="E611" s="1416" t="s">
        <v>119</v>
      </c>
      <c r="F611" s="1416" t="s">
        <v>119</v>
      </c>
      <c r="G611" s="1416" t="s">
        <v>119</v>
      </c>
    </row>
    <row r="612" spans="2:7" hidden="1" outlineLevel="1">
      <c r="B612" s="1416" t="s">
        <v>1004</v>
      </c>
      <c r="C612" s="1416" t="s">
        <v>120</v>
      </c>
      <c r="D612" s="1416" t="s">
        <v>120</v>
      </c>
      <c r="E612" s="1416" t="s">
        <v>120</v>
      </c>
      <c r="F612" s="1416" t="s">
        <v>120</v>
      </c>
      <c r="G612" s="1416" t="s">
        <v>120</v>
      </c>
    </row>
    <row r="613" spans="2:7" hidden="1" outlineLevel="1">
      <c r="B613" s="1416" t="s">
        <v>1005</v>
      </c>
      <c r="C613" s="1416" t="s">
        <v>2312</v>
      </c>
      <c r="D613" s="1416" t="s">
        <v>2312</v>
      </c>
      <c r="E613" s="1887" t="s">
        <v>6997</v>
      </c>
      <c r="F613" s="1887" t="s">
        <v>6998</v>
      </c>
      <c r="G613" s="1887" t="s">
        <v>6998</v>
      </c>
    </row>
    <row r="614" spans="2:7" hidden="1" outlineLevel="1">
      <c r="B614" s="1416" t="s">
        <v>1006</v>
      </c>
      <c r="C614" s="1416" t="s">
        <v>6999</v>
      </c>
      <c r="D614" s="1886" t="s">
        <v>2313</v>
      </c>
      <c r="E614" s="1886" t="s">
        <v>2313</v>
      </c>
      <c r="F614" s="1886" t="s">
        <v>2313</v>
      </c>
      <c r="G614" s="1886" t="s">
        <v>2313</v>
      </c>
    </row>
    <row r="615" spans="2:7" hidden="1" outlineLevel="1">
      <c r="B615" s="1416" t="s">
        <v>1007</v>
      </c>
      <c r="C615" s="1416" t="s">
        <v>81</v>
      </c>
      <c r="D615" s="1416" t="s">
        <v>81</v>
      </c>
      <c r="E615" s="1887" t="s">
        <v>7000</v>
      </c>
      <c r="F615" s="1887" t="s">
        <v>1008</v>
      </c>
      <c r="G615" s="1887" t="s">
        <v>1460</v>
      </c>
    </row>
    <row r="616" spans="2:7" hidden="1" outlineLevel="1">
      <c r="B616" s="1416" t="s">
        <v>1009</v>
      </c>
      <c r="C616" s="1416" t="s">
        <v>1461</v>
      </c>
      <c r="D616" s="1886" t="s">
        <v>5730</v>
      </c>
      <c r="E616" s="1887" t="s">
        <v>7001</v>
      </c>
      <c r="F616" s="1886" t="s">
        <v>1010</v>
      </c>
      <c r="G616" s="1416" t="s">
        <v>1461</v>
      </c>
    </row>
    <row r="617" spans="2:7" hidden="1" outlineLevel="1">
      <c r="B617" s="1416" t="s">
        <v>1011</v>
      </c>
      <c r="C617" s="1416" t="s">
        <v>1462</v>
      </c>
      <c r="D617" s="1416" t="s">
        <v>1462</v>
      </c>
      <c r="E617" s="1887" t="s">
        <v>7002</v>
      </c>
      <c r="F617" s="1887" t="s">
        <v>1012</v>
      </c>
      <c r="G617" s="1416" t="s">
        <v>1462</v>
      </c>
    </row>
    <row r="618" spans="2:7" hidden="1" outlineLevel="1">
      <c r="B618" s="1416" t="s">
        <v>1013</v>
      </c>
      <c r="C618" s="1416" t="s">
        <v>7003</v>
      </c>
      <c r="D618" s="1416" t="s">
        <v>7003</v>
      </c>
      <c r="E618" s="1887" t="s">
        <v>7004</v>
      </c>
      <c r="F618" s="1416" t="s">
        <v>7003</v>
      </c>
      <c r="G618" s="1887" t="s">
        <v>1014</v>
      </c>
    </row>
    <row r="619" spans="2:7" hidden="1" outlineLevel="1">
      <c r="B619" s="1416" t="s">
        <v>1015</v>
      </c>
      <c r="C619" s="1416" t="s">
        <v>3608</v>
      </c>
      <c r="D619" s="1416" t="s">
        <v>3608</v>
      </c>
      <c r="E619" s="1887" t="s">
        <v>7005</v>
      </c>
      <c r="F619" s="1416" t="s">
        <v>3608</v>
      </c>
      <c r="G619" s="1416" t="s">
        <v>3608</v>
      </c>
    </row>
    <row r="620" spans="2:7" hidden="1" outlineLevel="1">
      <c r="B620" s="1416" t="s">
        <v>1016</v>
      </c>
      <c r="C620" s="1416" t="s">
        <v>1017</v>
      </c>
      <c r="D620" s="1416" t="s">
        <v>1017</v>
      </c>
      <c r="E620" s="1887" t="s">
        <v>7006</v>
      </c>
      <c r="F620" s="1416" t="s">
        <v>1017</v>
      </c>
      <c r="G620" s="1416" t="s">
        <v>1017</v>
      </c>
    </row>
    <row r="621" spans="2:7" collapsed="1">
      <c r="B621" s="4329" t="s">
        <v>2146</v>
      </c>
      <c r="C621" s="4330"/>
      <c r="D621" s="4330"/>
      <c r="E621" s="4330"/>
      <c r="F621" s="4330"/>
      <c r="G621" s="4330"/>
    </row>
    <row r="622" spans="2:7" hidden="1" outlineLevel="1">
      <c r="B622" s="1416" t="s">
        <v>1246</v>
      </c>
      <c r="C622" s="1416" t="s">
        <v>103</v>
      </c>
      <c r="D622" s="1416" t="s">
        <v>103</v>
      </c>
      <c r="E622" s="1887" t="s">
        <v>7007</v>
      </c>
      <c r="F622" s="1416" t="s">
        <v>103</v>
      </c>
      <c r="G622" s="1416" t="s">
        <v>103</v>
      </c>
    </row>
    <row r="623" spans="2:7" hidden="1" outlineLevel="1">
      <c r="B623" s="1416" t="s">
        <v>1247</v>
      </c>
      <c r="C623" s="1416" t="s">
        <v>136</v>
      </c>
      <c r="D623" s="1416" t="s">
        <v>136</v>
      </c>
      <c r="E623" s="1416" t="s">
        <v>343</v>
      </c>
      <c r="F623" s="1887" t="s">
        <v>6978</v>
      </c>
      <c r="G623" s="1416" t="s">
        <v>136</v>
      </c>
    </row>
    <row r="624" spans="2:7" hidden="1" outlineLevel="1">
      <c r="B624" s="1416" t="s">
        <v>1248</v>
      </c>
      <c r="C624" s="1416" t="s">
        <v>1441</v>
      </c>
      <c r="D624" s="1416" t="s">
        <v>1441</v>
      </c>
      <c r="E624" s="1416" t="s">
        <v>1441</v>
      </c>
      <c r="F624" s="1416" t="s">
        <v>1441</v>
      </c>
      <c r="G624" s="1416" t="s">
        <v>1441</v>
      </c>
    </row>
    <row r="625" spans="2:7" hidden="1" outlineLevel="1">
      <c r="B625" s="1416" t="s">
        <v>615</v>
      </c>
      <c r="C625" s="1416" t="s">
        <v>1442</v>
      </c>
      <c r="D625" s="1416" t="s">
        <v>1442</v>
      </c>
      <c r="E625" s="1416" t="s">
        <v>1442</v>
      </c>
      <c r="F625" s="1416" t="s">
        <v>1442</v>
      </c>
      <c r="G625" s="1416" t="s">
        <v>1442</v>
      </c>
    </row>
    <row r="626" spans="2:7" hidden="1" outlineLevel="1">
      <c r="B626" s="1416" t="s">
        <v>616</v>
      </c>
      <c r="C626" s="1416" t="s">
        <v>1149</v>
      </c>
      <c r="D626" s="1416" t="s">
        <v>1149</v>
      </c>
      <c r="E626" s="1416" t="s">
        <v>1149</v>
      </c>
      <c r="F626" s="1416" t="s">
        <v>1149</v>
      </c>
      <c r="G626" s="1416" t="s">
        <v>1149</v>
      </c>
    </row>
    <row r="627" spans="2:7" hidden="1" outlineLevel="1">
      <c r="B627" s="1416" t="s">
        <v>617</v>
      </c>
      <c r="C627" s="1416" t="s">
        <v>71</v>
      </c>
      <c r="D627" s="1416" t="s">
        <v>71</v>
      </c>
      <c r="E627" s="1416" t="s">
        <v>71</v>
      </c>
      <c r="F627" s="1416" t="s">
        <v>71</v>
      </c>
      <c r="G627" s="1416" t="s">
        <v>71</v>
      </c>
    </row>
    <row r="628" spans="2:7" hidden="1" outlineLevel="1">
      <c r="B628" s="1416" t="s">
        <v>618</v>
      </c>
      <c r="C628" s="1416" t="s">
        <v>135</v>
      </c>
      <c r="D628" s="1416" t="s">
        <v>135</v>
      </c>
      <c r="E628" s="1416" t="s">
        <v>135</v>
      </c>
      <c r="F628" s="1416" t="s">
        <v>135</v>
      </c>
      <c r="G628" s="1416" t="s">
        <v>135</v>
      </c>
    </row>
    <row r="629" spans="2:7" hidden="1" outlineLevel="1">
      <c r="B629" s="1416" t="s">
        <v>619</v>
      </c>
      <c r="C629" s="1416" t="s">
        <v>391</v>
      </c>
      <c r="D629" s="1416" t="s">
        <v>391</v>
      </c>
      <c r="E629" s="1416" t="s">
        <v>391</v>
      </c>
      <c r="F629" s="1416" t="s">
        <v>391</v>
      </c>
      <c r="G629" s="1416" t="s">
        <v>391</v>
      </c>
    </row>
    <row r="630" spans="2:7" hidden="1" outlineLevel="1">
      <c r="B630" s="1416" t="s">
        <v>1025</v>
      </c>
      <c r="C630" s="1416" t="s">
        <v>869</v>
      </c>
      <c r="D630" s="1416" t="s">
        <v>869</v>
      </c>
      <c r="E630" s="1416" t="s">
        <v>869</v>
      </c>
      <c r="F630" s="1416" t="s">
        <v>869</v>
      </c>
      <c r="G630" s="1416" t="s">
        <v>869</v>
      </c>
    </row>
    <row r="631" spans="2:7" hidden="1" outlineLevel="1">
      <c r="B631" s="1416" t="s">
        <v>1026</v>
      </c>
      <c r="C631" s="1416" t="s">
        <v>2377</v>
      </c>
      <c r="D631" s="1416" t="s">
        <v>2377</v>
      </c>
      <c r="E631" s="1416" t="s">
        <v>2377</v>
      </c>
      <c r="F631" s="1416" t="s">
        <v>2377</v>
      </c>
      <c r="G631" s="1416" t="s">
        <v>2377</v>
      </c>
    </row>
    <row r="632" spans="2:7" hidden="1" outlineLevel="1">
      <c r="B632" s="1416" t="s">
        <v>1369</v>
      </c>
      <c r="C632" s="1416" t="s">
        <v>562</v>
      </c>
      <c r="D632" s="1416" t="s">
        <v>562</v>
      </c>
      <c r="E632" s="1416" t="s">
        <v>562</v>
      </c>
      <c r="F632" s="1416" t="s">
        <v>562</v>
      </c>
      <c r="G632" s="1416" t="s">
        <v>562</v>
      </c>
    </row>
    <row r="633" spans="2:7" hidden="1" outlineLevel="1">
      <c r="B633" s="1416" t="s">
        <v>1027</v>
      </c>
      <c r="C633" s="1416" t="s">
        <v>873</v>
      </c>
      <c r="D633" s="1416" t="s">
        <v>873</v>
      </c>
      <c r="E633" s="1887" t="s">
        <v>7008</v>
      </c>
      <c r="F633" s="1887" t="s">
        <v>7008</v>
      </c>
      <c r="G633" s="1887" t="s">
        <v>7008</v>
      </c>
    </row>
    <row r="634" spans="2:7" hidden="1" outlineLevel="1">
      <c r="B634" s="1416" t="s">
        <v>1028</v>
      </c>
      <c r="C634" s="1416" t="s">
        <v>2333</v>
      </c>
      <c r="D634" s="1416" t="s">
        <v>2333</v>
      </c>
      <c r="E634" s="1887" t="s">
        <v>7009</v>
      </c>
      <c r="F634" s="1416" t="s">
        <v>2333</v>
      </c>
      <c r="G634" s="1887" t="s">
        <v>7009</v>
      </c>
    </row>
    <row r="635" spans="2:7" hidden="1" outlineLevel="1">
      <c r="B635" s="1416" t="s">
        <v>1029</v>
      </c>
      <c r="C635" s="1416" t="s">
        <v>73</v>
      </c>
      <c r="D635" s="1416" t="s">
        <v>73</v>
      </c>
      <c r="E635" s="1887" t="s">
        <v>7010</v>
      </c>
      <c r="F635" s="1887" t="s">
        <v>7011</v>
      </c>
      <c r="G635" s="1887" t="s">
        <v>7011</v>
      </c>
    </row>
    <row r="636" spans="2:7" hidden="1" outlineLevel="1">
      <c r="B636" s="1416" t="s">
        <v>1030</v>
      </c>
      <c r="C636" s="1416" t="s">
        <v>97</v>
      </c>
      <c r="D636" s="1416" t="s">
        <v>97</v>
      </c>
      <c r="E636" s="1416" t="s">
        <v>97</v>
      </c>
      <c r="F636" s="1416" t="s">
        <v>97</v>
      </c>
      <c r="G636" s="1416" t="s">
        <v>97</v>
      </c>
    </row>
    <row r="637" spans="2:7" hidden="1" outlineLevel="1">
      <c r="B637" s="1416" t="s">
        <v>1031</v>
      </c>
      <c r="C637" s="1416" t="s">
        <v>98</v>
      </c>
      <c r="D637" s="1416" t="s">
        <v>98</v>
      </c>
      <c r="E637" s="1416" t="s">
        <v>98</v>
      </c>
      <c r="F637" s="1416" t="s">
        <v>98</v>
      </c>
      <c r="G637" s="1416" t="s">
        <v>98</v>
      </c>
    </row>
    <row r="638" spans="2:7" hidden="1" outlineLevel="1">
      <c r="B638" s="1416" t="s">
        <v>1032</v>
      </c>
      <c r="C638" s="1416" t="s">
        <v>99</v>
      </c>
      <c r="D638" s="1416" t="s">
        <v>99</v>
      </c>
      <c r="E638" s="1416" t="s">
        <v>99</v>
      </c>
      <c r="F638" s="1416" t="s">
        <v>99</v>
      </c>
      <c r="G638" s="1416" t="s">
        <v>99</v>
      </c>
    </row>
    <row r="639" spans="2:7" hidden="1" outlineLevel="1">
      <c r="B639" s="1416" t="s">
        <v>1033</v>
      </c>
      <c r="C639" s="1416" t="s">
        <v>865</v>
      </c>
      <c r="D639" s="1416" t="s">
        <v>865</v>
      </c>
      <c r="E639" s="1416" t="s">
        <v>865</v>
      </c>
      <c r="F639" s="1416" t="s">
        <v>865</v>
      </c>
      <c r="G639" s="1416" t="s">
        <v>865</v>
      </c>
    </row>
    <row r="640" spans="2:7" hidden="1" outlineLevel="1">
      <c r="B640" s="1416" t="s">
        <v>1370</v>
      </c>
      <c r="C640" s="1416" t="s">
        <v>345</v>
      </c>
      <c r="D640" s="1416" t="s">
        <v>345</v>
      </c>
      <c r="E640" s="1887" t="s">
        <v>7012</v>
      </c>
      <c r="F640" s="1416" t="s">
        <v>345</v>
      </c>
      <c r="G640" s="1416" t="s">
        <v>345</v>
      </c>
    </row>
    <row r="641" spans="2:7" hidden="1" outlineLevel="1">
      <c r="B641" s="1416" t="s">
        <v>1371</v>
      </c>
      <c r="C641" s="1416" t="s">
        <v>388</v>
      </c>
      <c r="D641" s="1416" t="s">
        <v>388</v>
      </c>
      <c r="E641" s="1416" t="s">
        <v>388</v>
      </c>
      <c r="F641" s="1416" t="s">
        <v>388</v>
      </c>
      <c r="G641" s="1416" t="s">
        <v>388</v>
      </c>
    </row>
    <row r="642" spans="2:7" hidden="1" outlineLevel="1">
      <c r="B642" s="1416" t="s">
        <v>1372</v>
      </c>
      <c r="C642" s="1416" t="s">
        <v>385</v>
      </c>
      <c r="D642" s="1416" t="s">
        <v>385</v>
      </c>
      <c r="E642" s="1887" t="s">
        <v>3613</v>
      </c>
      <c r="F642" s="1416" t="s">
        <v>385</v>
      </c>
      <c r="G642" s="1416" t="s">
        <v>385</v>
      </c>
    </row>
    <row r="643" spans="2:7" hidden="1" outlineLevel="1">
      <c r="B643" s="1416" t="s">
        <v>1034</v>
      </c>
      <c r="C643" s="1416" t="s">
        <v>216</v>
      </c>
      <c r="D643" s="1416" t="s">
        <v>216</v>
      </c>
      <c r="E643" s="1416" t="s">
        <v>216</v>
      </c>
      <c r="F643" s="1887" t="s">
        <v>7013</v>
      </c>
      <c r="G643" s="1887" t="s">
        <v>7013</v>
      </c>
    </row>
    <row r="644" spans="2:7" hidden="1" outlineLevel="1">
      <c r="B644" s="1416" t="s">
        <v>1035</v>
      </c>
      <c r="C644" s="1416" t="s">
        <v>75</v>
      </c>
      <c r="D644" s="1416" t="s">
        <v>75</v>
      </c>
      <c r="E644" s="1887" t="s">
        <v>119</v>
      </c>
      <c r="F644" s="1416" t="s">
        <v>75</v>
      </c>
      <c r="G644" s="1416" t="s">
        <v>75</v>
      </c>
    </row>
    <row r="645" spans="2:7" hidden="1" outlineLevel="1">
      <c r="B645" s="1416" t="s">
        <v>1373</v>
      </c>
      <c r="C645" s="1416" t="s">
        <v>5</v>
      </c>
      <c r="D645" s="1416" t="s">
        <v>5</v>
      </c>
      <c r="E645" s="1887" t="s">
        <v>120</v>
      </c>
      <c r="F645" s="1887" t="s">
        <v>120</v>
      </c>
      <c r="G645" s="1887" t="s">
        <v>7014</v>
      </c>
    </row>
    <row r="646" spans="2:7" hidden="1" outlineLevel="1">
      <c r="B646" s="1416" t="s">
        <v>1036</v>
      </c>
      <c r="C646" s="1416" t="s">
        <v>1142</v>
      </c>
      <c r="D646" s="1416" t="s">
        <v>1142</v>
      </c>
      <c r="E646" s="1887" t="s">
        <v>7015</v>
      </c>
      <c r="F646" s="1416" t="s">
        <v>1142</v>
      </c>
      <c r="G646" s="1416" t="s">
        <v>1142</v>
      </c>
    </row>
    <row r="647" spans="2:7" hidden="1" outlineLevel="1">
      <c r="B647" s="1416" t="s">
        <v>2298</v>
      </c>
      <c r="C647" s="1416" t="s">
        <v>1275</v>
      </c>
      <c r="D647" s="1416" t="s">
        <v>1275</v>
      </c>
      <c r="E647" s="1887" t="s">
        <v>7016</v>
      </c>
      <c r="F647" s="1416" t="s">
        <v>1275</v>
      </c>
      <c r="G647" s="1416" t="s">
        <v>1275</v>
      </c>
    </row>
    <row r="648" spans="2:7" hidden="1" outlineLevel="1">
      <c r="B648" s="1416" t="s">
        <v>1374</v>
      </c>
      <c r="C648" s="1416" t="s">
        <v>720</v>
      </c>
      <c r="D648" s="1416" t="s">
        <v>720</v>
      </c>
      <c r="E648" s="1887" t="s">
        <v>7017</v>
      </c>
      <c r="F648" s="1416" t="s">
        <v>720</v>
      </c>
      <c r="G648" s="1416" t="s">
        <v>720</v>
      </c>
    </row>
    <row r="649" spans="2:7" hidden="1" outlineLevel="1">
      <c r="B649" s="1416" t="s">
        <v>964</v>
      </c>
      <c r="C649" s="1416" t="s">
        <v>392</v>
      </c>
      <c r="D649" s="1416" t="s">
        <v>392</v>
      </c>
      <c r="E649" s="1887" t="s">
        <v>680</v>
      </c>
      <c r="F649" s="1416" t="s">
        <v>392</v>
      </c>
      <c r="G649" s="1416" t="s">
        <v>392</v>
      </c>
    </row>
    <row r="650" spans="2:7" collapsed="1">
      <c r="B650" s="4329" t="s">
        <v>2710</v>
      </c>
      <c r="C650" s="4330"/>
      <c r="D650" s="4330"/>
      <c r="E650" s="4330"/>
      <c r="F650" s="4330"/>
      <c r="G650" s="4330"/>
    </row>
    <row r="651" spans="2:7" hidden="1" outlineLevel="1">
      <c r="B651" s="1416" t="s">
        <v>189</v>
      </c>
      <c r="C651" s="1416" t="s">
        <v>2152</v>
      </c>
      <c r="D651" s="1416" t="s">
        <v>2152</v>
      </c>
      <c r="E651" s="1416" t="s">
        <v>2152</v>
      </c>
      <c r="F651" s="1416" t="s">
        <v>2152</v>
      </c>
      <c r="G651" s="1416" t="s">
        <v>2152</v>
      </c>
    </row>
    <row r="652" spans="2:7" hidden="1" outlineLevel="1">
      <c r="B652" s="1416" t="s">
        <v>190</v>
      </c>
      <c r="C652" s="1416" t="s">
        <v>390</v>
      </c>
      <c r="D652" s="1416" t="s">
        <v>390</v>
      </c>
      <c r="E652" s="1887" t="s">
        <v>7018</v>
      </c>
      <c r="F652" s="1887" t="s">
        <v>7019</v>
      </c>
      <c r="G652" s="1416" t="s">
        <v>390</v>
      </c>
    </row>
    <row r="653" spans="2:7" hidden="1" outlineLevel="1">
      <c r="B653" s="1416" t="s">
        <v>191</v>
      </c>
      <c r="C653" s="1416" t="s">
        <v>2020</v>
      </c>
      <c r="D653" s="1416" t="s">
        <v>2020</v>
      </c>
      <c r="E653" s="1416" t="s">
        <v>2020</v>
      </c>
      <c r="F653" s="1887" t="s">
        <v>7007</v>
      </c>
      <c r="G653" s="1416" t="s">
        <v>2020</v>
      </c>
    </row>
    <row r="654" spans="2:7" hidden="1" outlineLevel="1">
      <c r="B654" s="1416" t="s">
        <v>192</v>
      </c>
      <c r="C654" s="1416" t="s">
        <v>1497</v>
      </c>
      <c r="D654" s="1416" t="s">
        <v>1497</v>
      </c>
      <c r="E654" s="1416" t="s">
        <v>1497</v>
      </c>
      <c r="F654" s="1416" t="s">
        <v>1497</v>
      </c>
      <c r="G654" s="1416" t="s">
        <v>1497</v>
      </c>
    </row>
    <row r="655" spans="2:7" hidden="1" outlineLevel="1">
      <c r="B655" s="1416" t="s">
        <v>193</v>
      </c>
      <c r="C655" s="1416" t="s">
        <v>1506</v>
      </c>
      <c r="D655" s="1416" t="s">
        <v>1506</v>
      </c>
      <c r="E655" s="1416" t="s">
        <v>1506</v>
      </c>
      <c r="F655" s="1416" t="s">
        <v>1506</v>
      </c>
      <c r="G655" s="1416" t="s">
        <v>1506</v>
      </c>
    </row>
    <row r="656" spans="2:7" hidden="1" outlineLevel="1">
      <c r="B656" s="1416" t="s">
        <v>194</v>
      </c>
      <c r="C656" s="1416" t="s">
        <v>1817</v>
      </c>
      <c r="D656" s="1416" t="s">
        <v>1817</v>
      </c>
      <c r="E656" s="1887" t="s">
        <v>1063</v>
      </c>
      <c r="F656" s="1887" t="s">
        <v>6928</v>
      </c>
      <c r="G656" s="1416" t="s">
        <v>1817</v>
      </c>
    </row>
    <row r="657" spans="2:7" hidden="1" outlineLevel="1">
      <c r="B657" s="1416" t="s">
        <v>2082</v>
      </c>
      <c r="C657" s="1416" t="s">
        <v>1686</v>
      </c>
      <c r="D657" s="1416" t="s">
        <v>1686</v>
      </c>
      <c r="E657" s="1887" t="s">
        <v>7020</v>
      </c>
      <c r="F657" s="1416" t="s">
        <v>1686</v>
      </c>
      <c r="G657" s="1416" t="s">
        <v>1686</v>
      </c>
    </row>
    <row r="658" spans="2:7" hidden="1" outlineLevel="1">
      <c r="B658" s="1416" t="s">
        <v>1337</v>
      </c>
      <c r="C658" s="1416" t="s">
        <v>1697</v>
      </c>
      <c r="D658" s="1416" t="s">
        <v>1697</v>
      </c>
      <c r="E658" s="1416" t="s">
        <v>1697</v>
      </c>
      <c r="F658" s="1416" t="s">
        <v>1697</v>
      </c>
      <c r="G658" s="1416" t="s">
        <v>1697</v>
      </c>
    </row>
    <row r="659" spans="2:7" hidden="1" outlineLevel="1">
      <c r="B659" s="1416" t="s">
        <v>285</v>
      </c>
      <c r="C659" s="1416" t="s">
        <v>2607</v>
      </c>
      <c r="D659" s="1416" t="s">
        <v>2607</v>
      </c>
      <c r="E659" s="1416" t="s">
        <v>2607</v>
      </c>
      <c r="F659" s="1416" t="s">
        <v>2607</v>
      </c>
      <c r="G659" s="1416" t="s">
        <v>2607</v>
      </c>
    </row>
    <row r="660" spans="2:7" hidden="1" outlineLevel="1">
      <c r="B660" s="1416" t="s">
        <v>477</v>
      </c>
      <c r="C660" s="1887" t="s">
        <v>1063</v>
      </c>
      <c r="D660" s="1416" t="s">
        <v>935</v>
      </c>
      <c r="E660" s="1416" t="s">
        <v>935</v>
      </c>
      <c r="F660" s="1416" t="s">
        <v>935</v>
      </c>
      <c r="G660" s="1416" t="s">
        <v>935</v>
      </c>
    </row>
    <row r="661" spans="2:7" hidden="1" outlineLevel="1">
      <c r="B661" s="1416" t="s">
        <v>478</v>
      </c>
      <c r="C661" s="1416" t="s">
        <v>1349</v>
      </c>
      <c r="D661" s="1416" t="s">
        <v>1349</v>
      </c>
      <c r="E661" s="1887" t="s">
        <v>7021</v>
      </c>
      <c r="F661" s="1416" t="s">
        <v>1349</v>
      </c>
      <c r="G661" s="1416" t="s">
        <v>1349</v>
      </c>
    </row>
    <row r="662" spans="2:7" hidden="1" outlineLevel="1">
      <c r="B662" s="1416" t="s">
        <v>479</v>
      </c>
      <c r="C662" s="1416" t="s">
        <v>1361</v>
      </c>
      <c r="D662" s="1416" t="s">
        <v>1361</v>
      </c>
      <c r="E662" s="1416" t="s">
        <v>1361</v>
      </c>
      <c r="F662" s="1416" t="s">
        <v>1361</v>
      </c>
      <c r="G662" s="1416" t="s">
        <v>1361</v>
      </c>
    </row>
    <row r="663" spans="2:7" hidden="1" outlineLevel="1">
      <c r="B663" s="1416" t="s">
        <v>480</v>
      </c>
      <c r="C663" s="1416" t="s">
        <v>327</v>
      </c>
      <c r="D663" s="1416" t="s">
        <v>327</v>
      </c>
      <c r="E663" s="1416" t="s">
        <v>327</v>
      </c>
      <c r="F663" s="1416" t="s">
        <v>327</v>
      </c>
      <c r="G663" s="1416" t="s">
        <v>327</v>
      </c>
    </row>
    <row r="664" spans="2:7" hidden="1" outlineLevel="1">
      <c r="B664" s="1416" t="s">
        <v>481</v>
      </c>
      <c r="C664" s="1416" t="s">
        <v>475</v>
      </c>
      <c r="D664" s="1416" t="s">
        <v>475</v>
      </c>
      <c r="E664" s="1416" t="s">
        <v>475</v>
      </c>
      <c r="F664" s="1416" t="s">
        <v>475</v>
      </c>
      <c r="G664" s="1416" t="s">
        <v>475</v>
      </c>
    </row>
    <row r="665" spans="2:7" hidden="1" outlineLevel="1">
      <c r="B665" s="1416" t="s">
        <v>482</v>
      </c>
      <c r="C665" s="1416" t="s">
        <v>398</v>
      </c>
      <c r="D665" s="1416" t="s">
        <v>398</v>
      </c>
      <c r="E665" s="1887" t="s">
        <v>7022</v>
      </c>
      <c r="F665" s="1416" t="s">
        <v>398</v>
      </c>
      <c r="G665" s="1416" t="s">
        <v>398</v>
      </c>
    </row>
    <row r="666" spans="2:7" hidden="1" outlineLevel="1">
      <c r="B666" s="1416" t="s">
        <v>5913</v>
      </c>
      <c r="C666" s="1416" t="s">
        <v>169</v>
      </c>
      <c r="D666" s="1416" t="s">
        <v>169</v>
      </c>
      <c r="E666" s="1416" t="s">
        <v>169</v>
      </c>
      <c r="F666" s="1416" t="s">
        <v>169</v>
      </c>
      <c r="G666" s="1416" t="s">
        <v>169</v>
      </c>
    </row>
    <row r="667" spans="2:7" hidden="1" outlineLevel="1">
      <c r="B667" s="1416" t="s">
        <v>483</v>
      </c>
      <c r="C667" s="1416" t="s">
        <v>137</v>
      </c>
      <c r="D667" s="1416" t="s">
        <v>2048</v>
      </c>
      <c r="E667" s="1887" t="s">
        <v>7023</v>
      </c>
      <c r="F667" s="1887" t="s">
        <v>7023</v>
      </c>
      <c r="G667" s="1416" t="s">
        <v>2048</v>
      </c>
    </row>
    <row r="668" spans="2:7" hidden="1" outlineLevel="1">
      <c r="B668" s="1416" t="s">
        <v>484</v>
      </c>
      <c r="C668" s="1416" t="s">
        <v>137</v>
      </c>
      <c r="D668" s="1416" t="s">
        <v>2737</v>
      </c>
      <c r="E668" s="1416" t="s">
        <v>2737</v>
      </c>
      <c r="F668" s="1416" t="s">
        <v>2737</v>
      </c>
      <c r="G668" s="1416" t="s">
        <v>2737</v>
      </c>
    </row>
    <row r="669" spans="2:7" collapsed="1">
      <c r="B669" s="4329" t="s">
        <v>1624</v>
      </c>
      <c r="C669" s="4330"/>
      <c r="D669" s="4330"/>
      <c r="E669" s="4330"/>
      <c r="F669" s="4330"/>
      <c r="G669" s="4330"/>
    </row>
    <row r="670" spans="2:7" hidden="1" outlineLevel="1">
      <c r="B670" s="1416" t="s">
        <v>2079</v>
      </c>
      <c r="C670" s="1416" t="s">
        <v>1153</v>
      </c>
      <c r="D670" s="1416" t="s">
        <v>1153</v>
      </c>
      <c r="E670" s="1416" t="s">
        <v>1153</v>
      </c>
      <c r="F670" s="1416" t="s">
        <v>1153</v>
      </c>
      <c r="G670" s="1416" t="s">
        <v>1153</v>
      </c>
    </row>
    <row r="671" spans="2:7" hidden="1" outlineLevel="1">
      <c r="B671" s="1416" t="s">
        <v>2077</v>
      </c>
      <c r="C671" s="1416" t="s">
        <v>1148</v>
      </c>
      <c r="D671" s="1416" t="s">
        <v>1148</v>
      </c>
      <c r="E671" s="1887" t="s">
        <v>7024</v>
      </c>
      <c r="F671" s="1416" t="s">
        <v>1148</v>
      </c>
      <c r="G671" s="1416" t="s">
        <v>1148</v>
      </c>
    </row>
    <row r="672" spans="2:7" hidden="1" outlineLevel="1">
      <c r="B672" s="1416" t="s">
        <v>1609</v>
      </c>
      <c r="C672" s="1416" t="s">
        <v>1355</v>
      </c>
      <c r="D672" s="1416" t="s">
        <v>1355</v>
      </c>
      <c r="E672" s="1416" t="s">
        <v>1355</v>
      </c>
      <c r="F672" s="1416" t="s">
        <v>1355</v>
      </c>
      <c r="G672" s="1416" t="s">
        <v>1355</v>
      </c>
    </row>
    <row r="673" spans="2:7" hidden="1" outlineLevel="1">
      <c r="B673" s="1416" t="s">
        <v>1381</v>
      </c>
      <c r="C673" s="1416" t="s">
        <v>137</v>
      </c>
      <c r="D673" s="1416" t="s">
        <v>1251</v>
      </c>
      <c r="E673" s="1887" t="s">
        <v>7025</v>
      </c>
      <c r="F673" s="1416" t="s">
        <v>1251</v>
      </c>
      <c r="G673" s="1416" t="s">
        <v>1251</v>
      </c>
    </row>
    <row r="674" spans="2:7" hidden="1" outlineLevel="1">
      <c r="B674" s="1416" t="s">
        <v>1621</v>
      </c>
      <c r="C674" s="1416" t="s">
        <v>1504</v>
      </c>
      <c r="D674" s="1416" t="s">
        <v>1504</v>
      </c>
      <c r="E674" s="1887" t="s">
        <v>7026</v>
      </c>
      <c r="F674" s="1416" t="s">
        <v>1504</v>
      </c>
      <c r="G674" s="1416" t="s">
        <v>1504</v>
      </c>
    </row>
    <row r="675" spans="2:7" hidden="1" outlineLevel="1">
      <c r="B675" s="1416" t="s">
        <v>1708</v>
      </c>
      <c r="C675" s="1416" t="s">
        <v>1684</v>
      </c>
      <c r="D675" s="1416" t="s">
        <v>1684</v>
      </c>
      <c r="E675" s="1887" t="s">
        <v>7027</v>
      </c>
      <c r="F675" s="1416" t="s">
        <v>1684</v>
      </c>
      <c r="G675" s="1416" t="s">
        <v>1684</v>
      </c>
    </row>
    <row r="676" spans="2:7" hidden="1" outlineLevel="1">
      <c r="B676" s="1416" t="s">
        <v>822</v>
      </c>
      <c r="C676" s="1416" t="s">
        <v>1341</v>
      </c>
      <c r="D676" s="1416" t="s">
        <v>1341</v>
      </c>
      <c r="E676" s="1887" t="s">
        <v>7028</v>
      </c>
      <c r="F676" s="1416" t="s">
        <v>1341</v>
      </c>
      <c r="G676" s="1416" t="s">
        <v>1341</v>
      </c>
    </row>
    <row r="677" spans="2:7" hidden="1" outlineLevel="1">
      <c r="B677" s="1416" t="s">
        <v>2498</v>
      </c>
      <c r="C677" s="1416" t="s">
        <v>1696</v>
      </c>
      <c r="D677" s="1416" t="s">
        <v>1696</v>
      </c>
      <c r="E677" s="1416" t="s">
        <v>1696</v>
      </c>
      <c r="F677" s="1416" t="s">
        <v>1696</v>
      </c>
      <c r="G677" s="1416" t="s">
        <v>1696</v>
      </c>
    </row>
    <row r="678" spans="2:7" hidden="1" outlineLevel="1">
      <c r="B678" s="1416" t="s">
        <v>2500</v>
      </c>
      <c r="C678" s="1416" t="s">
        <v>1699</v>
      </c>
      <c r="D678" s="1416" t="s">
        <v>1699</v>
      </c>
      <c r="E678" s="1416" t="s">
        <v>1699</v>
      </c>
      <c r="F678" s="1416" t="s">
        <v>1699</v>
      </c>
      <c r="G678" s="1416" t="s">
        <v>1699</v>
      </c>
    </row>
    <row r="679" spans="2:7" hidden="1" outlineLevel="1">
      <c r="B679" s="1416" t="s">
        <v>1620</v>
      </c>
      <c r="C679" s="1416" t="s">
        <v>1503</v>
      </c>
      <c r="D679" s="1416" t="s">
        <v>1503</v>
      </c>
      <c r="E679" s="1416" t="s">
        <v>1503</v>
      </c>
      <c r="F679" s="1416" t="s">
        <v>1503</v>
      </c>
      <c r="G679" s="1416" t="s">
        <v>1503</v>
      </c>
    </row>
    <row r="680" spans="2:7" hidden="1" outlineLevel="1">
      <c r="B680" s="1416" t="s">
        <v>1265</v>
      </c>
      <c r="C680" s="1416" t="s">
        <v>1360</v>
      </c>
      <c r="D680" s="1416" t="s">
        <v>1360</v>
      </c>
      <c r="E680" s="1416" t="s">
        <v>1360</v>
      </c>
      <c r="F680" s="1416" t="s">
        <v>1360</v>
      </c>
      <c r="G680" s="1416" t="s">
        <v>1360</v>
      </c>
    </row>
    <row r="681" spans="2:7" hidden="1" outlineLevel="1">
      <c r="B681" s="1416" t="s">
        <v>1727</v>
      </c>
      <c r="C681" s="1416" t="s">
        <v>164</v>
      </c>
      <c r="D681" s="1416" t="s">
        <v>164</v>
      </c>
      <c r="E681" s="1416" t="s">
        <v>164</v>
      </c>
      <c r="F681" s="1416" t="s">
        <v>164</v>
      </c>
      <c r="G681" s="1416" t="s">
        <v>164</v>
      </c>
    </row>
    <row r="682" spans="2:7" hidden="1" outlineLevel="1">
      <c r="B682" s="1416" t="s">
        <v>1737</v>
      </c>
      <c r="C682" s="1416" t="s">
        <v>2045</v>
      </c>
      <c r="D682" s="1416" t="s">
        <v>2045</v>
      </c>
      <c r="E682" s="1416" t="s">
        <v>2045</v>
      </c>
      <c r="F682" s="1416" t="s">
        <v>2045</v>
      </c>
      <c r="G682" s="1416" t="s">
        <v>2045</v>
      </c>
    </row>
    <row r="683" spans="2:7" hidden="1" outlineLevel="1">
      <c r="B683" s="1416" t="s">
        <v>1607</v>
      </c>
      <c r="C683" s="1416" t="s">
        <v>1351</v>
      </c>
      <c r="D683" s="1416" t="s">
        <v>1351</v>
      </c>
      <c r="E683" s="1887" t="s">
        <v>7029</v>
      </c>
      <c r="F683" s="1416" t="s">
        <v>1351</v>
      </c>
      <c r="G683" s="1416" t="s">
        <v>1351</v>
      </c>
    </row>
    <row r="684" spans="2:7" hidden="1" outlineLevel="1">
      <c r="B684" s="1416" t="s">
        <v>1406</v>
      </c>
      <c r="C684" s="1416" t="s">
        <v>1816</v>
      </c>
      <c r="D684" s="1416" t="s">
        <v>1816</v>
      </c>
      <c r="E684" s="1416" t="s">
        <v>1816</v>
      </c>
      <c r="F684" s="1416" t="s">
        <v>1816</v>
      </c>
      <c r="G684" s="1416" t="s">
        <v>1816</v>
      </c>
    </row>
    <row r="685" spans="2:7" hidden="1" outlineLevel="1">
      <c r="B685" s="1416" t="s">
        <v>810</v>
      </c>
      <c r="C685" s="1416" t="s">
        <v>1702</v>
      </c>
      <c r="D685" s="1416" t="s">
        <v>1702</v>
      </c>
      <c r="E685" s="1887" t="s">
        <v>7030</v>
      </c>
      <c r="F685" s="1416" t="s">
        <v>1702</v>
      </c>
      <c r="G685" s="1416" t="s">
        <v>1702</v>
      </c>
    </row>
    <row r="686" spans="2:7" hidden="1" outlineLevel="1">
      <c r="B686" s="1416" t="s">
        <v>786</v>
      </c>
      <c r="C686" s="1416" t="s">
        <v>2742</v>
      </c>
      <c r="D686" s="1416" t="s">
        <v>2742</v>
      </c>
      <c r="E686" s="1887" t="s">
        <v>7031</v>
      </c>
      <c r="F686" s="1416" t="s">
        <v>2742</v>
      </c>
      <c r="G686" s="1416" t="s">
        <v>2742</v>
      </c>
    </row>
    <row r="687" spans="2:7" hidden="1" outlineLevel="1">
      <c r="B687" s="1416" t="s">
        <v>1622</v>
      </c>
      <c r="C687" s="1416" t="s">
        <v>137</v>
      </c>
      <c r="D687" s="1416" t="s">
        <v>1568</v>
      </c>
      <c r="E687" s="1416" t="s">
        <v>1568</v>
      </c>
      <c r="F687" s="1416" t="s">
        <v>1568</v>
      </c>
      <c r="G687" s="1416" t="s">
        <v>1568</v>
      </c>
    </row>
    <row r="688" spans="2:7" hidden="1" outlineLevel="1">
      <c r="B688" s="1416" t="s">
        <v>782</v>
      </c>
      <c r="C688" s="1416" t="s">
        <v>137</v>
      </c>
      <c r="D688" s="1416" t="s">
        <v>2738</v>
      </c>
      <c r="E688" s="1416" t="s">
        <v>2738</v>
      </c>
      <c r="F688" s="1416" t="s">
        <v>2738</v>
      </c>
      <c r="G688" s="1416" t="s">
        <v>2738</v>
      </c>
    </row>
    <row r="689" spans="2:7" hidden="1" outlineLevel="1">
      <c r="B689" s="1416" t="s">
        <v>1871</v>
      </c>
      <c r="C689" s="1416" t="s">
        <v>397</v>
      </c>
      <c r="D689" s="1416" t="s">
        <v>397</v>
      </c>
      <c r="E689" s="1416" t="s">
        <v>397</v>
      </c>
      <c r="F689" s="1416" t="s">
        <v>397</v>
      </c>
      <c r="G689" s="1416" t="s">
        <v>397</v>
      </c>
    </row>
    <row r="690" spans="2:7" hidden="1" outlineLevel="1">
      <c r="B690" s="1416" t="s">
        <v>1730</v>
      </c>
      <c r="C690" s="1416" t="s">
        <v>167</v>
      </c>
      <c r="D690" s="1416" t="s">
        <v>167</v>
      </c>
      <c r="E690" s="1887" t="s">
        <v>7032</v>
      </c>
      <c r="F690" s="1416" t="s">
        <v>167</v>
      </c>
      <c r="G690" s="1416" t="s">
        <v>167</v>
      </c>
    </row>
    <row r="691" spans="2:7" hidden="1" outlineLevel="1">
      <c r="B691" s="1416" t="s">
        <v>2681</v>
      </c>
      <c r="C691" s="1416" t="s">
        <v>2643</v>
      </c>
      <c r="D691" s="1416" t="s">
        <v>2643</v>
      </c>
      <c r="E691" s="1416" t="s">
        <v>2643</v>
      </c>
      <c r="F691" s="1416" t="s">
        <v>2643</v>
      </c>
      <c r="G691" s="1416" t="s">
        <v>2643</v>
      </c>
    </row>
    <row r="692" spans="2:7" hidden="1" outlineLevel="1">
      <c r="B692" s="1416" t="s">
        <v>862</v>
      </c>
      <c r="C692" s="1416" t="s">
        <v>476</v>
      </c>
      <c r="D692" s="1416" t="s">
        <v>476</v>
      </c>
      <c r="E692" s="1416" t="s">
        <v>476</v>
      </c>
      <c r="F692" s="1416" t="s">
        <v>476</v>
      </c>
      <c r="G692" s="1416" t="s">
        <v>476</v>
      </c>
    </row>
    <row r="693" spans="2:7" hidden="1" outlineLevel="1">
      <c r="B693" s="1416" t="s">
        <v>1734</v>
      </c>
      <c r="C693" s="1416" t="s">
        <v>348</v>
      </c>
      <c r="D693" s="1416" t="s">
        <v>348</v>
      </c>
      <c r="E693" s="1416" t="s">
        <v>348</v>
      </c>
      <c r="F693" s="1416" t="s">
        <v>348</v>
      </c>
      <c r="G693" s="1416" t="s">
        <v>348</v>
      </c>
    </row>
    <row r="694" spans="2:7" hidden="1" outlineLevel="1">
      <c r="B694" s="1416" t="s">
        <v>1604</v>
      </c>
      <c r="C694" s="1416" t="s">
        <v>1346</v>
      </c>
      <c r="D694" s="1416" t="s">
        <v>1346</v>
      </c>
      <c r="E694" s="1416" t="s">
        <v>1346</v>
      </c>
      <c r="F694" s="1416" t="s">
        <v>1346</v>
      </c>
      <c r="G694" s="1416" t="s">
        <v>1346</v>
      </c>
    </row>
    <row r="695" spans="2:7" hidden="1" outlineLevel="1">
      <c r="B695" s="1416" t="s">
        <v>1873</v>
      </c>
      <c r="C695" s="1416" t="s">
        <v>162</v>
      </c>
      <c r="D695" s="1416" t="s">
        <v>162</v>
      </c>
      <c r="E695" s="1887" t="s">
        <v>7033</v>
      </c>
      <c r="F695" s="1416" t="s">
        <v>162</v>
      </c>
      <c r="G695" s="1416" t="s">
        <v>162</v>
      </c>
    </row>
    <row r="696" spans="2:7" hidden="1" outlineLevel="1">
      <c r="B696" s="1416" t="s">
        <v>1733</v>
      </c>
      <c r="C696" s="1416" t="s">
        <v>347</v>
      </c>
      <c r="D696" s="1416" t="s">
        <v>347</v>
      </c>
      <c r="E696" s="1887" t="s">
        <v>7034</v>
      </c>
      <c r="F696" s="1416" t="s">
        <v>347</v>
      </c>
      <c r="G696" s="1416" t="s">
        <v>347</v>
      </c>
    </row>
    <row r="697" spans="2:7" hidden="1" outlineLevel="1">
      <c r="B697" s="1416" t="s">
        <v>814</v>
      </c>
      <c r="C697" s="1416" t="s">
        <v>1849</v>
      </c>
      <c r="D697" s="1416" t="s">
        <v>1849</v>
      </c>
      <c r="E697" s="1416" t="s">
        <v>1849</v>
      </c>
      <c r="F697" s="1416" t="s">
        <v>1849</v>
      </c>
      <c r="G697" s="1416" t="s">
        <v>1849</v>
      </c>
    </row>
    <row r="698" spans="2:7" hidden="1" outlineLevel="1">
      <c r="B698" s="1416" t="s">
        <v>820</v>
      </c>
      <c r="C698" s="1416" t="s">
        <v>933</v>
      </c>
      <c r="D698" s="1416" t="s">
        <v>933</v>
      </c>
      <c r="E698" s="1416" t="s">
        <v>933</v>
      </c>
      <c r="F698" s="1416" t="s">
        <v>933</v>
      </c>
      <c r="G698" s="1416" t="s">
        <v>933</v>
      </c>
    </row>
    <row r="699" spans="2:7" hidden="1" outlineLevel="1">
      <c r="B699" s="1416" t="s">
        <v>1269</v>
      </c>
      <c r="C699" s="1416" t="s">
        <v>1365</v>
      </c>
      <c r="D699" s="1416" t="s">
        <v>1365</v>
      </c>
      <c r="E699" s="1416" t="s">
        <v>1365</v>
      </c>
      <c r="F699" s="1416" t="s">
        <v>1365</v>
      </c>
      <c r="G699" s="1416" t="s">
        <v>1365</v>
      </c>
    </row>
    <row r="700" spans="2:7" hidden="1" outlineLevel="1">
      <c r="B700" s="1416" t="s">
        <v>1729</v>
      </c>
      <c r="C700" s="1416" t="s">
        <v>166</v>
      </c>
      <c r="D700" s="1416" t="s">
        <v>166</v>
      </c>
      <c r="E700" s="1416" t="s">
        <v>166</v>
      </c>
      <c r="F700" s="1416" t="s">
        <v>166</v>
      </c>
      <c r="G700" s="1416" t="s">
        <v>166</v>
      </c>
    </row>
    <row r="701" spans="2:7" hidden="1" outlineLevel="1">
      <c r="B701" s="1416" t="s">
        <v>861</v>
      </c>
      <c r="C701" s="1416" t="s">
        <v>474</v>
      </c>
      <c r="D701" s="1416" t="s">
        <v>474</v>
      </c>
      <c r="E701" s="1887" t="s">
        <v>7035</v>
      </c>
      <c r="F701" s="1416" t="s">
        <v>474</v>
      </c>
      <c r="G701" s="1416" t="s">
        <v>474</v>
      </c>
    </row>
    <row r="702" spans="2:7" hidden="1" outlineLevel="1">
      <c r="B702" s="1416" t="s">
        <v>369</v>
      </c>
      <c r="C702" s="1416" t="s">
        <v>470</v>
      </c>
      <c r="D702" s="1416" t="s">
        <v>470</v>
      </c>
      <c r="E702" s="1887" t="s">
        <v>7036</v>
      </c>
      <c r="F702" s="1416" t="s">
        <v>470</v>
      </c>
      <c r="G702" s="1416" t="s">
        <v>470</v>
      </c>
    </row>
    <row r="703" spans="2:7" hidden="1" outlineLevel="1">
      <c r="B703" s="1416" t="s">
        <v>788</v>
      </c>
      <c r="C703" s="1416" t="s">
        <v>137</v>
      </c>
      <c r="D703" s="1416" t="s">
        <v>1748</v>
      </c>
      <c r="E703" s="1416" t="s">
        <v>1748</v>
      </c>
      <c r="F703" s="1416" t="s">
        <v>1748</v>
      </c>
      <c r="G703" s="1416" t="s">
        <v>1748</v>
      </c>
    </row>
    <row r="704" spans="2:7" hidden="1" outlineLevel="1">
      <c r="B704" s="1416" t="s">
        <v>1868</v>
      </c>
      <c r="C704" s="1416" t="s">
        <v>1938</v>
      </c>
      <c r="D704" s="1416" t="s">
        <v>1938</v>
      </c>
      <c r="E704" s="1416" t="s">
        <v>1938</v>
      </c>
      <c r="F704" s="1416" t="s">
        <v>1938</v>
      </c>
      <c r="G704" s="1416" t="s">
        <v>1938</v>
      </c>
    </row>
    <row r="705" spans="2:7" hidden="1" outlineLevel="1">
      <c r="B705" s="1416" t="s">
        <v>1611</v>
      </c>
      <c r="C705" s="1416" t="s">
        <v>1357</v>
      </c>
      <c r="D705" s="1416" t="s">
        <v>1357</v>
      </c>
      <c r="E705" s="1416" t="s">
        <v>1357</v>
      </c>
      <c r="F705" s="1416" t="s">
        <v>1357</v>
      </c>
      <c r="G705" s="1416" t="s">
        <v>1357</v>
      </c>
    </row>
    <row r="706" spans="2:7" hidden="1" outlineLevel="1">
      <c r="B706" s="1416" t="s">
        <v>366</v>
      </c>
      <c r="C706" s="1416" t="s">
        <v>467</v>
      </c>
      <c r="D706" s="1416" t="s">
        <v>467</v>
      </c>
      <c r="E706" s="1416" t="s">
        <v>467</v>
      </c>
      <c r="F706" s="1416" t="s">
        <v>467</v>
      </c>
      <c r="G706" s="1416" t="s">
        <v>467</v>
      </c>
    </row>
    <row r="707" spans="2:7" hidden="1" outlineLevel="1">
      <c r="B707" s="1416" t="s">
        <v>1610</v>
      </c>
      <c r="C707" s="1416" t="s">
        <v>1356</v>
      </c>
      <c r="D707" s="1416" t="s">
        <v>1356</v>
      </c>
      <c r="E707" s="1416" t="s">
        <v>1356</v>
      </c>
      <c r="F707" s="1416" t="s">
        <v>1356</v>
      </c>
      <c r="G707" s="1416" t="s">
        <v>1356</v>
      </c>
    </row>
    <row r="708" spans="2:7" hidden="1" outlineLevel="1">
      <c r="B708" s="1416" t="s">
        <v>1409</v>
      </c>
      <c r="C708" s="1416" t="s">
        <v>1680</v>
      </c>
      <c r="D708" s="1416" t="s">
        <v>1680</v>
      </c>
      <c r="E708" s="1887" t="s">
        <v>7037</v>
      </c>
      <c r="F708" s="1416" t="s">
        <v>1680</v>
      </c>
      <c r="G708" s="1416" t="s">
        <v>1680</v>
      </c>
    </row>
    <row r="709" spans="2:7" hidden="1" outlineLevel="1">
      <c r="B709" s="1416" t="s">
        <v>364</v>
      </c>
      <c r="C709" s="1416" t="s">
        <v>325</v>
      </c>
      <c r="D709" s="1416" t="s">
        <v>325</v>
      </c>
      <c r="E709" s="1416" t="s">
        <v>325</v>
      </c>
      <c r="F709" s="1416" t="s">
        <v>325</v>
      </c>
      <c r="G709" s="1416" t="s">
        <v>325</v>
      </c>
    </row>
    <row r="710" spans="2:7" hidden="1" outlineLevel="1">
      <c r="B710" s="1416" t="s">
        <v>1608</v>
      </c>
      <c r="C710" s="1416" t="s">
        <v>1354</v>
      </c>
      <c r="D710" s="1416" t="s">
        <v>1354</v>
      </c>
      <c r="E710" s="1887" t="s">
        <v>7038</v>
      </c>
      <c r="F710" s="1416" t="s">
        <v>1354</v>
      </c>
      <c r="G710" s="1416" t="s">
        <v>1354</v>
      </c>
    </row>
    <row r="711" spans="2:7" hidden="1" outlineLevel="1">
      <c r="B711" s="1416" t="s">
        <v>1270</v>
      </c>
      <c r="C711" s="1416" t="s">
        <v>323</v>
      </c>
      <c r="D711" s="1416" t="s">
        <v>323</v>
      </c>
      <c r="E711" s="1887" t="s">
        <v>7039</v>
      </c>
      <c r="F711" s="1416" t="s">
        <v>323</v>
      </c>
      <c r="G711" s="1416" t="s">
        <v>323</v>
      </c>
    </row>
    <row r="712" spans="2:7" hidden="1" outlineLevel="1">
      <c r="B712" s="1416" t="s">
        <v>1865</v>
      </c>
      <c r="C712" s="1416" t="s">
        <v>1935</v>
      </c>
      <c r="D712" s="1416" t="s">
        <v>1935</v>
      </c>
      <c r="E712" s="1416" t="s">
        <v>1935</v>
      </c>
      <c r="F712" s="1416" t="s">
        <v>1935</v>
      </c>
      <c r="G712" s="1416" t="s">
        <v>1935</v>
      </c>
    </row>
    <row r="713" spans="2:7" hidden="1" outlineLevel="1">
      <c r="B713" s="1416" t="s">
        <v>787</v>
      </c>
      <c r="C713" s="1416" t="s">
        <v>137</v>
      </c>
      <c r="D713" s="1416" t="s">
        <v>1747</v>
      </c>
      <c r="E713" s="1887" t="s">
        <v>7040</v>
      </c>
      <c r="F713" s="1416" t="s">
        <v>1747</v>
      </c>
      <c r="G713" s="1416" t="s">
        <v>1747</v>
      </c>
    </row>
    <row r="714" spans="2:7" hidden="1" outlineLevel="1">
      <c r="B714" s="1416" t="s">
        <v>1384</v>
      </c>
      <c r="C714" s="1416" t="s">
        <v>137</v>
      </c>
      <c r="D714" s="1416" t="s">
        <v>1749</v>
      </c>
      <c r="E714" s="1887" t="s">
        <v>7041</v>
      </c>
      <c r="F714" s="1416" t="s">
        <v>1749</v>
      </c>
      <c r="G714" s="1416" t="s">
        <v>1749</v>
      </c>
    </row>
    <row r="715" spans="2:7" hidden="1" outlineLevel="1">
      <c r="B715" s="1416" t="s">
        <v>1514</v>
      </c>
      <c r="C715" s="1887" t="s">
        <v>7042</v>
      </c>
      <c r="D715" s="1416" t="s">
        <v>1500</v>
      </c>
      <c r="E715" s="1887" t="s">
        <v>7043</v>
      </c>
      <c r="F715" s="1416" t="s">
        <v>1500</v>
      </c>
      <c r="G715" s="1416" t="s">
        <v>1500</v>
      </c>
    </row>
    <row r="716" spans="2:7" hidden="1" outlineLevel="1">
      <c r="B716" s="1416" t="s">
        <v>1872</v>
      </c>
      <c r="C716" s="1416" t="s">
        <v>161</v>
      </c>
      <c r="D716" s="1416" t="s">
        <v>161</v>
      </c>
      <c r="E716" s="1416" t="s">
        <v>161</v>
      </c>
      <c r="F716" s="1416" t="s">
        <v>161</v>
      </c>
      <c r="G716" s="1887" t="s">
        <v>7044</v>
      </c>
    </row>
    <row r="717" spans="2:7" hidden="1" outlineLevel="1">
      <c r="B717" s="1416" t="s">
        <v>1383</v>
      </c>
      <c r="C717" s="1416" t="s">
        <v>137</v>
      </c>
      <c r="D717" s="1416" t="s">
        <v>161</v>
      </c>
      <c r="E717" s="1416" t="s">
        <v>161</v>
      </c>
      <c r="F717" s="1416" t="s">
        <v>161</v>
      </c>
      <c r="G717" s="1416" t="s">
        <v>161</v>
      </c>
    </row>
    <row r="718" spans="2:7" hidden="1" outlineLevel="1">
      <c r="B718" s="1416" t="s">
        <v>1991</v>
      </c>
      <c r="C718" s="1416" t="s">
        <v>1490</v>
      </c>
      <c r="D718" s="1416" t="s">
        <v>1490</v>
      </c>
      <c r="E718" s="1887" t="s">
        <v>7045</v>
      </c>
      <c r="F718" s="1416" t="s">
        <v>1490</v>
      </c>
      <c r="G718" s="1416" t="s">
        <v>1490</v>
      </c>
    </row>
    <row r="719" spans="2:7" hidden="1" outlineLevel="1">
      <c r="B719" s="1416" t="s">
        <v>367</v>
      </c>
      <c r="C719" s="1416" t="s">
        <v>468</v>
      </c>
      <c r="D719" s="1416" t="s">
        <v>468</v>
      </c>
      <c r="E719" s="1887" t="s">
        <v>7046</v>
      </c>
      <c r="F719" s="1416" t="s">
        <v>468</v>
      </c>
      <c r="G719" s="1416" t="s">
        <v>468</v>
      </c>
    </row>
    <row r="720" spans="2:7" hidden="1" outlineLevel="1">
      <c r="B720" s="1416" t="s">
        <v>1266</v>
      </c>
      <c r="C720" s="1416" t="s">
        <v>1362</v>
      </c>
      <c r="D720" s="1416" t="s">
        <v>1362</v>
      </c>
      <c r="E720" s="1887" t="s">
        <v>7047</v>
      </c>
      <c r="F720" s="1416" t="s">
        <v>1362</v>
      </c>
      <c r="G720" s="1416" t="s">
        <v>1362</v>
      </c>
    </row>
    <row r="721" spans="2:7" hidden="1" outlineLevel="1">
      <c r="B721" s="1416" t="s">
        <v>1268</v>
      </c>
      <c r="C721" s="1416" t="s">
        <v>1364</v>
      </c>
      <c r="D721" s="1416" t="s">
        <v>1364</v>
      </c>
      <c r="E721" s="1887" t="s">
        <v>7048</v>
      </c>
      <c r="F721" s="1416" t="s">
        <v>1364</v>
      </c>
      <c r="G721" s="1416" t="s">
        <v>1364</v>
      </c>
    </row>
    <row r="722" spans="2:7" hidden="1" outlineLevel="1">
      <c r="B722" s="1416" t="s">
        <v>1400</v>
      </c>
      <c r="C722" s="1416" t="s">
        <v>7049</v>
      </c>
      <c r="D722" s="1416" t="s">
        <v>7049</v>
      </c>
      <c r="E722" s="1887" t="s">
        <v>2591</v>
      </c>
      <c r="F722" s="1416" t="s">
        <v>7049</v>
      </c>
      <c r="G722" s="1416" t="s">
        <v>7049</v>
      </c>
    </row>
    <row r="723" spans="2:7" hidden="1" outlineLevel="1">
      <c r="B723" s="1416" t="s">
        <v>811</v>
      </c>
      <c r="C723" s="1416" t="s">
        <v>1703</v>
      </c>
      <c r="D723" s="1416" t="s">
        <v>1703</v>
      </c>
      <c r="E723" s="1416" t="s">
        <v>1703</v>
      </c>
      <c r="F723" s="1416" t="s">
        <v>1703</v>
      </c>
      <c r="G723" s="1416" t="s">
        <v>1703</v>
      </c>
    </row>
    <row r="724" spans="2:7" hidden="1" outlineLevel="1">
      <c r="B724" s="1416" t="s">
        <v>1867</v>
      </c>
      <c r="C724" s="1416" t="s">
        <v>1937</v>
      </c>
      <c r="D724" s="1416" t="s">
        <v>1937</v>
      </c>
      <c r="E724" s="1416" t="s">
        <v>1937</v>
      </c>
      <c r="F724" s="1416" t="s">
        <v>1937</v>
      </c>
      <c r="G724" s="1416" t="s">
        <v>1937</v>
      </c>
    </row>
    <row r="725" spans="2:7" hidden="1" outlineLevel="1">
      <c r="B725" s="1416" t="s">
        <v>1508</v>
      </c>
      <c r="C725" s="1416" t="s">
        <v>1493</v>
      </c>
      <c r="D725" s="1416" t="s">
        <v>1493</v>
      </c>
      <c r="E725" s="1416" t="s">
        <v>1493</v>
      </c>
      <c r="F725" s="1416" t="s">
        <v>1493</v>
      </c>
      <c r="G725" s="1416" t="s">
        <v>1493</v>
      </c>
    </row>
    <row r="726" spans="2:7" hidden="1" outlineLevel="1">
      <c r="B726" s="1416" t="s">
        <v>1712</v>
      </c>
      <c r="C726" s="1416" t="s">
        <v>1691</v>
      </c>
      <c r="D726" s="1416" t="s">
        <v>1691</v>
      </c>
      <c r="E726" s="1887" t="s">
        <v>7050</v>
      </c>
      <c r="F726" s="1416" t="s">
        <v>1691</v>
      </c>
      <c r="G726" s="1416" t="s">
        <v>1691</v>
      </c>
    </row>
    <row r="727" spans="2:7" hidden="1" outlineLevel="1">
      <c r="B727" s="1416" t="s">
        <v>1741</v>
      </c>
      <c r="C727" s="1416" t="s">
        <v>137</v>
      </c>
      <c r="D727" s="1416" t="s">
        <v>2050</v>
      </c>
      <c r="E727" s="1416" t="s">
        <v>2050</v>
      </c>
      <c r="F727" s="1416" t="s">
        <v>2050</v>
      </c>
      <c r="G727" s="1416" t="s">
        <v>2050</v>
      </c>
    </row>
    <row r="728" spans="2:7" hidden="1" outlineLevel="1">
      <c r="B728" s="1416" t="s">
        <v>785</v>
      </c>
      <c r="C728" s="1416" t="s">
        <v>137</v>
      </c>
      <c r="D728" s="1416" t="s">
        <v>2741</v>
      </c>
      <c r="E728" s="1887" t="s">
        <v>7051</v>
      </c>
      <c r="F728" s="1416" t="s">
        <v>2741</v>
      </c>
      <c r="G728" s="1416" t="s">
        <v>2741</v>
      </c>
    </row>
    <row r="729" spans="2:7" hidden="1" outlineLevel="1">
      <c r="B729" s="1416" t="s">
        <v>2080</v>
      </c>
      <c r="C729" s="1416" t="s">
        <v>868</v>
      </c>
      <c r="D729" s="1416" t="s">
        <v>868</v>
      </c>
      <c r="E729" s="1887" t="s">
        <v>7052</v>
      </c>
      <c r="F729" s="1416" t="s">
        <v>868</v>
      </c>
      <c r="G729" s="1416" t="s">
        <v>868</v>
      </c>
    </row>
    <row r="730" spans="2:7" hidden="1" outlineLevel="1">
      <c r="B730" s="1416" t="s">
        <v>1405</v>
      </c>
      <c r="C730" s="1416" t="s">
        <v>1815</v>
      </c>
      <c r="D730" s="1416" t="s">
        <v>1815</v>
      </c>
      <c r="E730" s="1416" t="s">
        <v>1815</v>
      </c>
      <c r="F730" s="1416" t="s">
        <v>1815</v>
      </c>
      <c r="G730" s="1416" t="s">
        <v>1815</v>
      </c>
    </row>
    <row r="731" spans="2:7" hidden="1" outlineLevel="1">
      <c r="B731" s="1416" t="s">
        <v>818</v>
      </c>
      <c r="C731" s="1416" t="s">
        <v>1855</v>
      </c>
      <c r="D731" s="1416" t="s">
        <v>1855</v>
      </c>
      <c r="E731" s="1887" t="s">
        <v>7053</v>
      </c>
      <c r="F731" s="1416" t="s">
        <v>1855</v>
      </c>
      <c r="G731" s="1416" t="s">
        <v>1855</v>
      </c>
    </row>
    <row r="732" spans="2:7" hidden="1" outlineLevel="1">
      <c r="B732" s="1416" t="s">
        <v>365</v>
      </c>
      <c r="C732" s="1416" t="s">
        <v>326</v>
      </c>
      <c r="D732" s="1416" t="s">
        <v>326</v>
      </c>
      <c r="E732" s="1416" t="s">
        <v>326</v>
      </c>
      <c r="F732" s="1416" t="s">
        <v>326</v>
      </c>
      <c r="G732" s="1416" t="s">
        <v>326</v>
      </c>
    </row>
    <row r="733" spans="2:7" hidden="1" outlineLevel="1">
      <c r="B733" s="1416" t="s">
        <v>1988</v>
      </c>
      <c r="C733" s="1416" t="s">
        <v>217</v>
      </c>
      <c r="D733" s="1416" t="s">
        <v>217</v>
      </c>
      <c r="E733" s="1887" t="s">
        <v>7054</v>
      </c>
      <c r="F733" s="1416" t="s">
        <v>217</v>
      </c>
      <c r="G733" s="1887" t="s">
        <v>7055</v>
      </c>
    </row>
    <row r="734" spans="2:7" hidden="1" outlineLevel="1">
      <c r="B734" s="1416" t="s">
        <v>2502</v>
      </c>
      <c r="C734" s="1416" t="s">
        <v>1701</v>
      </c>
      <c r="D734" s="1416" t="s">
        <v>1701</v>
      </c>
      <c r="E734" s="1887" t="s">
        <v>7056</v>
      </c>
      <c r="F734" s="1416" t="s">
        <v>1701</v>
      </c>
      <c r="G734" s="1416" t="s">
        <v>1701</v>
      </c>
    </row>
    <row r="735" spans="2:7" hidden="1" outlineLevel="1">
      <c r="B735" s="1416" t="s">
        <v>2496</v>
      </c>
      <c r="C735" s="1416" t="s">
        <v>1693</v>
      </c>
      <c r="D735" s="1416" t="s">
        <v>1693</v>
      </c>
      <c r="E735" s="1887" t="s">
        <v>7057</v>
      </c>
      <c r="F735" s="1416" t="s">
        <v>1693</v>
      </c>
      <c r="G735" s="1416" t="s">
        <v>1693</v>
      </c>
    </row>
    <row r="736" spans="2:7" hidden="1" outlineLevel="1">
      <c r="B736" s="1416" t="s">
        <v>780</v>
      </c>
      <c r="C736" s="1416" t="s">
        <v>137</v>
      </c>
      <c r="D736" s="1416" t="s">
        <v>2735</v>
      </c>
      <c r="E736" s="1416" t="s">
        <v>2735</v>
      </c>
      <c r="F736" s="1416" t="s">
        <v>2735</v>
      </c>
      <c r="G736" s="1416" t="s">
        <v>2735</v>
      </c>
    </row>
    <row r="737" spans="2:7" hidden="1" outlineLevel="1">
      <c r="B737" s="1416" t="s">
        <v>2078</v>
      </c>
      <c r="C737" s="1416" t="s">
        <v>1151</v>
      </c>
      <c r="D737" s="1416" t="s">
        <v>1151</v>
      </c>
      <c r="E737" s="1416" t="s">
        <v>1151</v>
      </c>
      <c r="F737" s="1416" t="s">
        <v>1151</v>
      </c>
      <c r="G737" s="1416" t="s">
        <v>1151</v>
      </c>
    </row>
    <row r="738" spans="2:7" hidden="1" outlineLevel="1">
      <c r="B738" s="1416" t="s">
        <v>1382</v>
      </c>
      <c r="C738" s="1416" t="s">
        <v>1253</v>
      </c>
      <c r="D738" s="1416" t="s">
        <v>1253</v>
      </c>
      <c r="E738" s="1416" t="s">
        <v>1253</v>
      </c>
      <c r="F738" s="1416" t="s">
        <v>1253</v>
      </c>
      <c r="G738" s="1416" t="s">
        <v>1253</v>
      </c>
    </row>
    <row r="739" spans="2:7" hidden="1" outlineLevel="1">
      <c r="B739" s="1416" t="s">
        <v>1385</v>
      </c>
      <c r="C739" s="1416" t="s">
        <v>137</v>
      </c>
      <c r="D739" s="1416" t="s">
        <v>1565</v>
      </c>
      <c r="E739" s="1416" t="s">
        <v>1565</v>
      </c>
      <c r="F739" s="1416" t="s">
        <v>1565</v>
      </c>
      <c r="G739" s="1416" t="s">
        <v>1565</v>
      </c>
    </row>
    <row r="740" spans="2:7" hidden="1" outlineLevel="1">
      <c r="B740" s="1416" t="s">
        <v>1707</v>
      </c>
      <c r="C740" s="1416" t="s">
        <v>1683</v>
      </c>
      <c r="D740" s="1416" t="s">
        <v>1683</v>
      </c>
      <c r="E740" s="1887" t="s">
        <v>7058</v>
      </c>
      <c r="F740" s="1416" t="s">
        <v>1683</v>
      </c>
      <c r="G740" s="1416" t="s">
        <v>1683</v>
      </c>
    </row>
    <row r="741" spans="2:7" hidden="1" outlineLevel="1">
      <c r="B741" s="1416" t="s">
        <v>1510</v>
      </c>
      <c r="C741" s="1416" t="s">
        <v>1495</v>
      </c>
      <c r="D741" s="1416" t="s">
        <v>1495</v>
      </c>
      <c r="E741" s="1887" t="s">
        <v>7059</v>
      </c>
      <c r="F741" s="1416" t="s">
        <v>1495</v>
      </c>
      <c r="G741" s="1416" t="s">
        <v>1495</v>
      </c>
    </row>
    <row r="742" spans="2:7" hidden="1" outlineLevel="1">
      <c r="B742" s="1416" t="s">
        <v>819</v>
      </c>
      <c r="C742" s="1416" t="s">
        <v>1856</v>
      </c>
      <c r="D742" s="1416" t="s">
        <v>1856</v>
      </c>
      <c r="E742" s="1416" t="s">
        <v>1856</v>
      </c>
      <c r="F742" s="1416" t="s">
        <v>1856</v>
      </c>
      <c r="G742" s="1416" t="s">
        <v>1856</v>
      </c>
    </row>
    <row r="743" spans="2:7" hidden="1" outlineLevel="1">
      <c r="B743" s="1416" t="s">
        <v>1509</v>
      </c>
      <c r="C743" s="1416" t="s">
        <v>1494</v>
      </c>
      <c r="D743" s="1416" t="s">
        <v>1494</v>
      </c>
      <c r="E743" s="1887" t="s">
        <v>7060</v>
      </c>
      <c r="F743" s="1416" t="s">
        <v>1494</v>
      </c>
      <c r="G743" s="1416" t="s">
        <v>1494</v>
      </c>
    </row>
    <row r="744" spans="2:7" hidden="1" outlineLevel="1">
      <c r="B744" s="1416" t="s">
        <v>1728</v>
      </c>
      <c r="C744" s="1416" t="s">
        <v>165</v>
      </c>
      <c r="D744" s="1416" t="s">
        <v>165</v>
      </c>
      <c r="E744" s="1416" t="s">
        <v>165</v>
      </c>
      <c r="F744" s="1416" t="s">
        <v>165</v>
      </c>
      <c r="G744" s="1416" t="s">
        <v>165</v>
      </c>
    </row>
    <row r="745" spans="2:7" hidden="1" outlineLevel="1">
      <c r="B745" s="1416" t="s">
        <v>1511</v>
      </c>
      <c r="C745" s="1416" t="s">
        <v>1496</v>
      </c>
      <c r="D745" s="1416" t="s">
        <v>1496</v>
      </c>
      <c r="E745" s="1416" t="s">
        <v>1496</v>
      </c>
      <c r="F745" s="1416" t="s">
        <v>1496</v>
      </c>
      <c r="G745" s="1416" t="s">
        <v>1496</v>
      </c>
    </row>
    <row r="746" spans="2:7" hidden="1" outlineLevel="1">
      <c r="B746" s="1416" t="s">
        <v>858</v>
      </c>
      <c r="C746" s="1416" t="s">
        <v>471</v>
      </c>
      <c r="D746" s="1416" t="s">
        <v>471</v>
      </c>
      <c r="E746" s="1887" t="s">
        <v>7061</v>
      </c>
      <c r="F746" s="1416" t="s">
        <v>471</v>
      </c>
      <c r="G746" s="1416" t="s">
        <v>471</v>
      </c>
    </row>
    <row r="747" spans="2:7" hidden="1" outlineLevel="1">
      <c r="B747" s="1416" t="s">
        <v>2074</v>
      </c>
      <c r="C747" s="1416" t="s">
        <v>182</v>
      </c>
      <c r="D747" s="1416" t="s">
        <v>182</v>
      </c>
      <c r="E747" s="1416" t="s">
        <v>182</v>
      </c>
      <c r="F747" s="1416" t="s">
        <v>182</v>
      </c>
      <c r="G747" s="1416" t="s">
        <v>182</v>
      </c>
    </row>
    <row r="748" spans="2:7" hidden="1" outlineLevel="1">
      <c r="B748" s="1416" t="s">
        <v>859</v>
      </c>
      <c r="C748" s="1416" t="s">
        <v>7062</v>
      </c>
      <c r="D748" s="1887" t="s">
        <v>472</v>
      </c>
      <c r="E748" s="1887" t="s">
        <v>7063</v>
      </c>
      <c r="F748" s="1887" t="s">
        <v>472</v>
      </c>
      <c r="G748" s="1887" t="s">
        <v>472</v>
      </c>
    </row>
    <row r="749" spans="2:7" hidden="1" outlineLevel="1">
      <c r="B749" s="1416" t="s">
        <v>812</v>
      </c>
      <c r="C749" s="1416" t="s">
        <v>1845</v>
      </c>
      <c r="D749" s="1416" t="s">
        <v>1845</v>
      </c>
      <c r="E749" s="1416" t="s">
        <v>1845</v>
      </c>
      <c r="F749" s="1416" t="s">
        <v>1845</v>
      </c>
      <c r="G749" s="1416" t="s">
        <v>1845</v>
      </c>
    </row>
    <row r="750" spans="2:7" hidden="1" outlineLevel="1">
      <c r="B750" s="1416" t="s">
        <v>1623</v>
      </c>
      <c r="C750" s="1416" t="s">
        <v>137</v>
      </c>
      <c r="D750" s="1416" t="s">
        <v>1569</v>
      </c>
      <c r="E750" s="1887" t="s">
        <v>7064</v>
      </c>
      <c r="F750" s="1416" t="s">
        <v>1569</v>
      </c>
      <c r="G750" s="1416" t="s">
        <v>1569</v>
      </c>
    </row>
    <row r="751" spans="2:7" hidden="1" outlineLevel="1">
      <c r="B751" s="1416" t="s">
        <v>826</v>
      </c>
      <c r="C751" s="1416" t="s">
        <v>1345</v>
      </c>
      <c r="D751" s="1416" t="s">
        <v>1345</v>
      </c>
      <c r="E751" s="1416" t="s">
        <v>1345</v>
      </c>
      <c r="F751" s="1416" t="s">
        <v>1345</v>
      </c>
      <c r="G751" s="1416" t="s">
        <v>1345</v>
      </c>
    </row>
    <row r="752" spans="2:7" hidden="1" outlineLevel="1">
      <c r="B752" s="1416" t="s">
        <v>2499</v>
      </c>
      <c r="C752" s="1416" t="s">
        <v>1698</v>
      </c>
      <c r="D752" s="1416" t="s">
        <v>1698</v>
      </c>
      <c r="E752" s="1416" t="s">
        <v>1698</v>
      </c>
      <c r="F752" s="1416" t="s">
        <v>1698</v>
      </c>
      <c r="G752" s="1416" t="s">
        <v>1698</v>
      </c>
    </row>
    <row r="753" spans="2:7" hidden="1" outlineLevel="1">
      <c r="B753" s="1416" t="s">
        <v>784</v>
      </c>
      <c r="C753" s="1416" t="s">
        <v>137</v>
      </c>
      <c r="D753" s="1416" t="s">
        <v>2740</v>
      </c>
      <c r="E753" s="1416" t="s">
        <v>2740</v>
      </c>
      <c r="F753" s="1416" t="s">
        <v>2740</v>
      </c>
      <c r="G753" s="1416" t="s">
        <v>2740</v>
      </c>
    </row>
    <row r="754" spans="2:7" hidden="1" outlineLevel="1">
      <c r="B754" s="1416" t="s">
        <v>1742</v>
      </c>
      <c r="C754" s="1416" t="s">
        <v>137</v>
      </c>
      <c r="D754" s="1416" t="s">
        <v>2051</v>
      </c>
      <c r="E754" s="1887" t="s">
        <v>7065</v>
      </c>
      <c r="F754" s="1416" t="s">
        <v>2051</v>
      </c>
      <c r="G754" s="1416" t="s">
        <v>2051</v>
      </c>
    </row>
    <row r="755" spans="2:7" hidden="1" outlineLevel="1">
      <c r="B755" s="1416" t="s">
        <v>1987</v>
      </c>
      <c r="C755" s="1416" t="s">
        <v>215</v>
      </c>
      <c r="D755" s="1416" t="s">
        <v>215</v>
      </c>
      <c r="E755" s="1887" t="s">
        <v>7066</v>
      </c>
      <c r="F755" s="1416" t="s">
        <v>215</v>
      </c>
      <c r="G755" s="1416" t="s">
        <v>215</v>
      </c>
    </row>
    <row r="756" spans="2:7" hidden="1" outlineLevel="1">
      <c r="B756" s="1416" t="s">
        <v>2684</v>
      </c>
      <c r="C756" s="1416" t="s">
        <v>72</v>
      </c>
      <c r="D756" s="1416" t="s">
        <v>72</v>
      </c>
      <c r="E756" s="1416" t="s">
        <v>72</v>
      </c>
      <c r="F756" s="1416" t="s">
        <v>72</v>
      </c>
      <c r="G756" s="1416" t="s">
        <v>72</v>
      </c>
    </row>
    <row r="757" spans="2:7" hidden="1" outlineLevel="1">
      <c r="B757" s="1416" t="s">
        <v>1606</v>
      </c>
      <c r="C757" s="1416" t="s">
        <v>1348</v>
      </c>
      <c r="D757" s="1416" t="s">
        <v>1348</v>
      </c>
      <c r="E757" s="1887" t="s">
        <v>7067</v>
      </c>
      <c r="F757" s="1416" t="s">
        <v>1348</v>
      </c>
      <c r="G757" s="1416" t="s">
        <v>1348</v>
      </c>
    </row>
    <row r="758" spans="2:7" hidden="1" outlineLevel="1">
      <c r="B758" s="1416" t="s">
        <v>781</v>
      </c>
      <c r="C758" s="1416" t="s">
        <v>137</v>
      </c>
      <c r="D758" s="1416" t="s">
        <v>2736</v>
      </c>
      <c r="E758" s="1416" t="s">
        <v>2736</v>
      </c>
      <c r="F758" s="1416" t="s">
        <v>2736</v>
      </c>
      <c r="G758" s="1416" t="s">
        <v>2736</v>
      </c>
    </row>
    <row r="759" spans="2:7" hidden="1" outlineLevel="1">
      <c r="B759" s="1416" t="s">
        <v>1267</v>
      </c>
      <c r="C759" s="1416" t="s">
        <v>1363</v>
      </c>
      <c r="D759" s="1416" t="s">
        <v>1363</v>
      </c>
      <c r="E759" s="1416" t="s">
        <v>1363</v>
      </c>
      <c r="F759" s="1416" t="s">
        <v>1363</v>
      </c>
      <c r="G759" s="1416" t="s">
        <v>1363</v>
      </c>
    </row>
    <row r="760" spans="2:7" hidden="1" outlineLevel="1">
      <c r="B760" s="1416" t="s">
        <v>1515</v>
      </c>
      <c r="C760" s="1416" t="s">
        <v>1501</v>
      </c>
      <c r="D760" s="1416" t="s">
        <v>1501</v>
      </c>
      <c r="E760" s="1887" t="s">
        <v>7068</v>
      </c>
      <c r="F760" s="1416" t="s">
        <v>1501</v>
      </c>
      <c r="G760" s="1416" t="s">
        <v>1501</v>
      </c>
    </row>
    <row r="761" spans="2:7" hidden="1" outlineLevel="1">
      <c r="B761" s="1416" t="s">
        <v>1711</v>
      </c>
      <c r="C761" s="1416" t="s">
        <v>1690</v>
      </c>
      <c r="D761" s="1416" t="s">
        <v>1690</v>
      </c>
      <c r="E761" s="1887" t="s">
        <v>7069</v>
      </c>
      <c r="F761" s="1416" t="s">
        <v>1690</v>
      </c>
      <c r="G761" s="1416" t="s">
        <v>1690</v>
      </c>
    </row>
    <row r="762" spans="2:7" hidden="1" outlineLevel="1">
      <c r="B762" s="1416" t="s">
        <v>1516</v>
      </c>
      <c r="C762" s="1416" t="s">
        <v>1502</v>
      </c>
      <c r="D762" s="1416" t="s">
        <v>1502</v>
      </c>
      <c r="E762" s="1887" t="s">
        <v>7070</v>
      </c>
      <c r="F762" s="1416" t="s">
        <v>1502</v>
      </c>
      <c r="G762" s="1416" t="s">
        <v>1502</v>
      </c>
    </row>
    <row r="763" spans="2:7" hidden="1" outlineLevel="1">
      <c r="B763" s="1416" t="s">
        <v>1989</v>
      </c>
      <c r="C763" s="1416" t="s">
        <v>1485</v>
      </c>
      <c r="D763" s="1416" t="s">
        <v>1485</v>
      </c>
      <c r="E763" s="1887" t="s">
        <v>7071</v>
      </c>
      <c r="F763" s="1416" t="s">
        <v>1485</v>
      </c>
      <c r="G763" s="1887" t="s">
        <v>7071</v>
      </c>
    </row>
    <row r="764" spans="2:7" hidden="1" outlineLevel="1">
      <c r="B764" s="1416" t="s">
        <v>1735</v>
      </c>
      <c r="C764" s="1416" t="s">
        <v>349</v>
      </c>
      <c r="D764" s="1416" t="s">
        <v>349</v>
      </c>
      <c r="E764" s="1887" t="s">
        <v>7072</v>
      </c>
      <c r="F764" s="1416" t="s">
        <v>349</v>
      </c>
      <c r="G764" s="1416" t="s">
        <v>349</v>
      </c>
    </row>
    <row r="765" spans="2:7" hidden="1" outlineLevel="1">
      <c r="B765" s="1416" t="s">
        <v>1731</v>
      </c>
      <c r="C765" s="1416" t="s">
        <v>168</v>
      </c>
      <c r="D765" s="1416" t="s">
        <v>168</v>
      </c>
      <c r="E765" s="1416" t="s">
        <v>168</v>
      </c>
      <c r="F765" s="1416" t="s">
        <v>168</v>
      </c>
      <c r="G765" s="1416" t="s">
        <v>168</v>
      </c>
    </row>
    <row r="766" spans="2:7" hidden="1" outlineLevel="1">
      <c r="B766" s="1416" t="s">
        <v>815</v>
      </c>
      <c r="C766" s="1416" t="s">
        <v>1852</v>
      </c>
      <c r="D766" s="1416" t="s">
        <v>1852</v>
      </c>
      <c r="E766" s="1416" t="s">
        <v>1852</v>
      </c>
      <c r="F766" s="1416" t="s">
        <v>1852</v>
      </c>
      <c r="G766" s="1416" t="s">
        <v>1852</v>
      </c>
    </row>
    <row r="767" spans="2:7" hidden="1" outlineLevel="1">
      <c r="B767" s="1416" t="s">
        <v>1743</v>
      </c>
      <c r="C767" s="1416" t="s">
        <v>137</v>
      </c>
      <c r="D767" s="1416" t="s">
        <v>2732</v>
      </c>
      <c r="E767" s="1416" t="s">
        <v>2732</v>
      </c>
      <c r="F767" s="1416" t="s">
        <v>2732</v>
      </c>
      <c r="G767" s="1416" t="s">
        <v>2732</v>
      </c>
    </row>
    <row r="768" spans="2:7" hidden="1" outlineLevel="1">
      <c r="B768" s="1416" t="s">
        <v>1386</v>
      </c>
      <c r="C768" s="1416" t="s">
        <v>137</v>
      </c>
      <c r="D768" s="2122" t="s">
        <v>1566</v>
      </c>
      <c r="E768" s="2123" t="s">
        <v>7073</v>
      </c>
      <c r="F768" s="2122" t="s">
        <v>1566</v>
      </c>
      <c r="G768" s="2122" t="s">
        <v>1566</v>
      </c>
    </row>
    <row r="769" spans="2:7" hidden="1" outlineLevel="1">
      <c r="B769" s="1416" t="s">
        <v>308</v>
      </c>
      <c r="C769" s="1416" t="s">
        <v>137</v>
      </c>
      <c r="D769" s="2122" t="s">
        <v>1567</v>
      </c>
      <c r="E769" s="2123" t="s">
        <v>7074</v>
      </c>
      <c r="F769" s="2122" t="s">
        <v>1567</v>
      </c>
      <c r="G769" s="2122" t="s">
        <v>1567</v>
      </c>
    </row>
    <row r="770" spans="2:7" hidden="1" outlineLevel="1">
      <c r="B770" s="1416" t="s">
        <v>1605</v>
      </c>
      <c r="C770" s="1416" t="s">
        <v>1347</v>
      </c>
      <c r="D770" s="1416" t="s">
        <v>1347</v>
      </c>
      <c r="E770" s="1416" t="s">
        <v>1347</v>
      </c>
      <c r="F770" s="1416" t="s">
        <v>1347</v>
      </c>
      <c r="G770" s="1416" t="s">
        <v>1347</v>
      </c>
    </row>
    <row r="771" spans="2:7" hidden="1" outlineLevel="1">
      <c r="B771" s="1416" t="s">
        <v>1401</v>
      </c>
      <c r="C771" s="1416" t="s">
        <v>1811</v>
      </c>
      <c r="D771" s="1416" t="s">
        <v>1811</v>
      </c>
      <c r="E771" s="1887" t="s">
        <v>999</v>
      </c>
      <c r="F771" s="1416" t="s">
        <v>1811</v>
      </c>
      <c r="G771" s="1416" t="s">
        <v>1811</v>
      </c>
    </row>
    <row r="772" spans="2:7" hidden="1" outlineLevel="1">
      <c r="B772" s="1416" t="s">
        <v>824</v>
      </c>
      <c r="C772" s="1416" t="s">
        <v>1343</v>
      </c>
      <c r="D772" s="1416" t="s">
        <v>1343</v>
      </c>
      <c r="E772" s="1416" t="s">
        <v>1343</v>
      </c>
      <c r="F772" s="1416" t="s">
        <v>1343</v>
      </c>
      <c r="G772" s="1416" t="s">
        <v>1343</v>
      </c>
    </row>
    <row r="773" spans="2:7" hidden="1" outlineLevel="1">
      <c r="B773" s="1416" t="s">
        <v>2497</v>
      </c>
      <c r="C773" s="1416" t="s">
        <v>1695</v>
      </c>
      <c r="D773" s="1416" t="s">
        <v>1695</v>
      </c>
      <c r="E773" s="1887" t="s">
        <v>7075</v>
      </c>
      <c r="F773" s="1416" t="s">
        <v>1695</v>
      </c>
      <c r="G773" s="1416" t="s">
        <v>1695</v>
      </c>
    </row>
    <row r="774" spans="2:7" hidden="1" outlineLevel="1">
      <c r="B774" s="1416" t="s">
        <v>2495</v>
      </c>
      <c r="C774" s="1416" t="s">
        <v>1692</v>
      </c>
      <c r="D774" s="1416" t="s">
        <v>1692</v>
      </c>
      <c r="E774" s="1416" t="s">
        <v>1692</v>
      </c>
      <c r="F774" s="1416" t="s">
        <v>1692</v>
      </c>
      <c r="G774" s="1416" t="s">
        <v>1692</v>
      </c>
    </row>
    <row r="775" spans="2:7" hidden="1" outlineLevel="1">
      <c r="B775" s="1416" t="s">
        <v>2501</v>
      </c>
      <c r="C775" s="1416" t="s">
        <v>1700</v>
      </c>
      <c r="D775" s="1416" t="s">
        <v>1700</v>
      </c>
      <c r="E775" s="1416" t="s">
        <v>1700</v>
      </c>
      <c r="F775" s="1416" t="s">
        <v>1700</v>
      </c>
      <c r="G775" s="1416" t="s">
        <v>1700</v>
      </c>
    </row>
    <row r="776" spans="2:7" hidden="1" outlineLevel="1">
      <c r="B776" s="1416" t="s">
        <v>1869</v>
      </c>
      <c r="C776" s="1416" t="s">
        <v>1939</v>
      </c>
      <c r="D776" s="1416" t="s">
        <v>1939</v>
      </c>
      <c r="E776" s="1416" t="s">
        <v>1939</v>
      </c>
      <c r="F776" s="1416" t="s">
        <v>1939</v>
      </c>
      <c r="G776" s="1416" t="s">
        <v>1939</v>
      </c>
    </row>
    <row r="777" spans="2:7" hidden="1" outlineLevel="1">
      <c r="B777" s="1416" t="s">
        <v>1336</v>
      </c>
      <c r="C777" s="1416" t="s">
        <v>2151</v>
      </c>
      <c r="D777" s="1416" t="s">
        <v>2151</v>
      </c>
      <c r="E777" s="1887" t="s">
        <v>7076</v>
      </c>
      <c r="F777" s="1416" t="s">
        <v>2151</v>
      </c>
      <c r="G777" s="1416" t="s">
        <v>2151</v>
      </c>
    </row>
    <row r="778" spans="2:7" hidden="1" outlineLevel="1">
      <c r="B778" s="1416" t="s">
        <v>1739</v>
      </c>
      <c r="C778" s="1416" t="s">
        <v>137</v>
      </c>
      <c r="D778" s="1416" t="s">
        <v>2047</v>
      </c>
      <c r="E778" s="1887" t="s">
        <v>7077</v>
      </c>
      <c r="F778" s="1416" t="s">
        <v>2047</v>
      </c>
      <c r="G778" s="1416" t="s">
        <v>2047</v>
      </c>
    </row>
    <row r="779" spans="2:7" hidden="1" outlineLevel="1">
      <c r="B779" s="1416" t="s">
        <v>1398</v>
      </c>
      <c r="C779" s="1416" t="s">
        <v>1505</v>
      </c>
      <c r="D779" s="1416" t="s">
        <v>1505</v>
      </c>
      <c r="E779" s="1887" t="s">
        <v>7078</v>
      </c>
      <c r="F779" s="1416" t="s">
        <v>1505</v>
      </c>
      <c r="G779" s="1887" t="s">
        <v>7078</v>
      </c>
    </row>
    <row r="780" spans="2:7" hidden="1" outlineLevel="1">
      <c r="B780" s="1416" t="s">
        <v>1235</v>
      </c>
      <c r="C780" s="1416" t="s">
        <v>1694</v>
      </c>
      <c r="D780" s="1416" t="s">
        <v>1694</v>
      </c>
      <c r="E780" s="1887" t="s">
        <v>7079</v>
      </c>
      <c r="F780" s="1416" t="s">
        <v>1694</v>
      </c>
      <c r="G780" s="1416" t="s">
        <v>1694</v>
      </c>
    </row>
    <row r="781" spans="2:7" hidden="1" outlineLevel="1">
      <c r="B781" s="1416" t="s">
        <v>1710</v>
      </c>
      <c r="C781" s="1416" t="s">
        <v>1688</v>
      </c>
      <c r="D781" s="1416" t="s">
        <v>1688</v>
      </c>
      <c r="E781" s="1416" t="s">
        <v>1688</v>
      </c>
      <c r="F781" s="1416" t="s">
        <v>1688</v>
      </c>
      <c r="G781" s="1416" t="s">
        <v>1688</v>
      </c>
    </row>
    <row r="782" spans="2:7" hidden="1" outlineLevel="1">
      <c r="B782" s="1416" t="s">
        <v>1404</v>
      </c>
      <c r="C782" s="1416" t="s">
        <v>1814</v>
      </c>
      <c r="D782" s="1416" t="s">
        <v>1814</v>
      </c>
      <c r="E782" s="1887" t="s">
        <v>7080</v>
      </c>
      <c r="F782" s="1416" t="s">
        <v>1814</v>
      </c>
      <c r="G782" s="1416" t="s">
        <v>1814</v>
      </c>
    </row>
    <row r="783" spans="2:7" hidden="1" outlineLevel="1">
      <c r="B783" s="1416" t="s">
        <v>2076</v>
      </c>
      <c r="C783" s="1416" t="s">
        <v>389</v>
      </c>
      <c r="D783" s="1416" t="s">
        <v>389</v>
      </c>
      <c r="E783" s="1416" t="s">
        <v>389</v>
      </c>
      <c r="F783" s="1416" t="s">
        <v>389</v>
      </c>
      <c r="G783" s="1416" t="s">
        <v>389</v>
      </c>
    </row>
    <row r="784" spans="2:7" hidden="1" outlineLevel="1">
      <c r="B784" s="1416" t="s">
        <v>1732</v>
      </c>
      <c r="C784" s="1416" t="s">
        <v>346</v>
      </c>
      <c r="D784" s="1416" t="s">
        <v>346</v>
      </c>
      <c r="E784" s="1887" t="s">
        <v>7081</v>
      </c>
      <c r="F784" s="1416" t="s">
        <v>346</v>
      </c>
      <c r="G784" s="1416" t="s">
        <v>346</v>
      </c>
    </row>
    <row r="785" spans="2:7" hidden="1" outlineLevel="1">
      <c r="B785" s="1416" t="s">
        <v>7082</v>
      </c>
      <c r="C785" s="1416" t="s">
        <v>1673</v>
      </c>
      <c r="D785" s="1887" t="s">
        <v>1491</v>
      </c>
      <c r="E785" s="1416" t="s">
        <v>1673</v>
      </c>
      <c r="F785" s="1887" t="s">
        <v>1491</v>
      </c>
      <c r="G785" s="1416" t="s">
        <v>1673</v>
      </c>
    </row>
    <row r="786" spans="2:7" hidden="1" outlineLevel="1">
      <c r="B786" s="1416" t="s">
        <v>7083</v>
      </c>
      <c r="C786" s="1416" t="s">
        <v>1491</v>
      </c>
      <c r="D786" s="1416" t="s">
        <v>1491</v>
      </c>
      <c r="E786" s="1416" t="s">
        <v>1491</v>
      </c>
      <c r="F786" s="1416" t="s">
        <v>1491</v>
      </c>
      <c r="G786" s="1416" t="s">
        <v>1491</v>
      </c>
    </row>
    <row r="787" spans="2:7" hidden="1" outlineLevel="1">
      <c r="B787" s="1416" t="s">
        <v>823</v>
      </c>
      <c r="C787" s="1416" t="s">
        <v>1342</v>
      </c>
      <c r="D787" s="1416" t="s">
        <v>1342</v>
      </c>
      <c r="E787" s="1416" t="s">
        <v>1342</v>
      </c>
      <c r="F787" s="1416" t="s">
        <v>1342</v>
      </c>
      <c r="G787" s="1416" t="s">
        <v>1342</v>
      </c>
    </row>
    <row r="788" spans="2:7" hidden="1" outlineLevel="1">
      <c r="B788" s="1416" t="s">
        <v>2653</v>
      </c>
      <c r="C788" s="1416" t="s">
        <v>871</v>
      </c>
      <c r="D788" s="1416" t="s">
        <v>871</v>
      </c>
      <c r="E788" s="1887" t="s">
        <v>7084</v>
      </c>
      <c r="F788" s="1416" t="s">
        <v>871</v>
      </c>
      <c r="G788" s="1416" t="s">
        <v>871</v>
      </c>
    </row>
    <row r="789" spans="2:7" hidden="1" outlineLevel="1">
      <c r="B789" s="1416" t="s">
        <v>1870</v>
      </c>
      <c r="C789" s="1416" t="s">
        <v>1940</v>
      </c>
      <c r="D789" s="1416" t="s">
        <v>1940</v>
      </c>
      <c r="E789" s="1887" t="s">
        <v>7085</v>
      </c>
      <c r="F789" s="1416" t="s">
        <v>1940</v>
      </c>
      <c r="G789" s="1416" t="s">
        <v>1940</v>
      </c>
    </row>
    <row r="790" spans="2:7" hidden="1" outlineLevel="1">
      <c r="B790" s="1416" t="s">
        <v>821</v>
      </c>
      <c r="C790" s="1416" t="s">
        <v>934</v>
      </c>
      <c r="D790" s="1416" t="s">
        <v>934</v>
      </c>
      <c r="E790" s="1887" t="s">
        <v>7086</v>
      </c>
      <c r="F790" s="1416" t="s">
        <v>934</v>
      </c>
      <c r="G790" s="1416" t="s">
        <v>934</v>
      </c>
    </row>
    <row r="791" spans="2:7" hidden="1" outlineLevel="1">
      <c r="B791" s="1416" t="s">
        <v>363</v>
      </c>
      <c r="C791" s="1416" t="s">
        <v>324</v>
      </c>
      <c r="D791" s="1416" t="s">
        <v>324</v>
      </c>
      <c r="E791" s="1887" t="s">
        <v>7087</v>
      </c>
      <c r="F791" s="1416" t="s">
        <v>324</v>
      </c>
      <c r="G791" s="1887" t="s">
        <v>7087</v>
      </c>
    </row>
    <row r="792" spans="2:7" hidden="1" outlineLevel="1">
      <c r="B792" s="1416" t="s">
        <v>1408</v>
      </c>
      <c r="C792" s="1416" t="s">
        <v>1819</v>
      </c>
      <c r="D792" s="1416" t="s">
        <v>1819</v>
      </c>
      <c r="E792" s="1416" t="s">
        <v>1819</v>
      </c>
      <c r="F792" s="1416" t="s">
        <v>1819</v>
      </c>
      <c r="G792" s="1416" t="s">
        <v>1819</v>
      </c>
    </row>
    <row r="793" spans="2:7" hidden="1" outlineLevel="1">
      <c r="B793" s="1416" t="s">
        <v>2683</v>
      </c>
      <c r="C793" s="1416" t="s">
        <v>7</v>
      </c>
      <c r="D793" s="1416" t="s">
        <v>7</v>
      </c>
      <c r="E793" s="1416" t="s">
        <v>7</v>
      </c>
      <c r="F793" s="1416" t="s">
        <v>7</v>
      </c>
      <c r="G793" s="1416" t="s">
        <v>7</v>
      </c>
    </row>
    <row r="794" spans="2:7" hidden="1" outlineLevel="1">
      <c r="B794" s="1416" t="s">
        <v>1263</v>
      </c>
      <c r="C794" s="1416" t="s">
        <v>1358</v>
      </c>
      <c r="D794" s="1416" t="s">
        <v>1358</v>
      </c>
      <c r="E794" s="1416" t="s">
        <v>1358</v>
      </c>
      <c r="F794" s="1416" t="s">
        <v>1358</v>
      </c>
      <c r="G794" s="1416" t="s">
        <v>1358</v>
      </c>
    </row>
    <row r="795" spans="2:7" hidden="1" outlineLevel="1">
      <c r="B795" s="1416" t="s">
        <v>1706</v>
      </c>
      <c r="C795" s="1416" t="s">
        <v>1682</v>
      </c>
      <c r="D795" s="1416" t="s">
        <v>1682</v>
      </c>
      <c r="E795" s="1887" t="s">
        <v>7088</v>
      </c>
      <c r="F795" s="1416" t="s">
        <v>1682</v>
      </c>
      <c r="G795" s="1416" t="s">
        <v>1682</v>
      </c>
    </row>
    <row r="796" spans="2:7" hidden="1" outlineLevel="1">
      <c r="B796" s="1416" t="s">
        <v>2073</v>
      </c>
      <c r="C796" s="1416" t="s">
        <v>74</v>
      </c>
      <c r="D796" s="1416" t="s">
        <v>74</v>
      </c>
      <c r="E796" s="1416" t="s">
        <v>74</v>
      </c>
      <c r="F796" s="1416" t="s">
        <v>74</v>
      </c>
      <c r="G796" s="1416" t="s">
        <v>74</v>
      </c>
    </row>
    <row r="797" spans="2:7" hidden="1" outlineLevel="1">
      <c r="B797" s="1416" t="s">
        <v>1736</v>
      </c>
      <c r="C797" s="1416" t="s">
        <v>350</v>
      </c>
      <c r="D797" s="1416" t="s">
        <v>350</v>
      </c>
      <c r="E797" s="1416" t="s">
        <v>350</v>
      </c>
      <c r="F797" s="1416" t="s">
        <v>350</v>
      </c>
      <c r="G797" s="1416" t="s">
        <v>350</v>
      </c>
    </row>
    <row r="798" spans="2:7" hidden="1" outlineLevel="1">
      <c r="B798" s="1416" t="s">
        <v>813</v>
      </c>
      <c r="C798" s="1416" t="s">
        <v>1846</v>
      </c>
      <c r="D798" s="1416" t="s">
        <v>1846</v>
      </c>
      <c r="E798" s="1416" t="s">
        <v>1846</v>
      </c>
      <c r="F798" s="1416" t="s">
        <v>1846</v>
      </c>
      <c r="G798" s="1416" t="s">
        <v>1846</v>
      </c>
    </row>
    <row r="799" spans="2:7" hidden="1" outlineLevel="1">
      <c r="B799" s="1416" t="s">
        <v>1380</v>
      </c>
      <c r="C799" s="1416" t="s">
        <v>137</v>
      </c>
      <c r="D799" s="1416" t="s">
        <v>1249</v>
      </c>
      <c r="E799" s="1887" t="s">
        <v>7089</v>
      </c>
      <c r="F799" s="1416" t="s">
        <v>1249</v>
      </c>
      <c r="G799" s="1416" t="s">
        <v>1249</v>
      </c>
    </row>
    <row r="800" spans="2:7" hidden="1" outlineLevel="1">
      <c r="B800" s="1416" t="s">
        <v>1726</v>
      </c>
      <c r="C800" s="1416" t="s">
        <v>163</v>
      </c>
      <c r="D800" s="1416" t="s">
        <v>163</v>
      </c>
      <c r="E800" s="1416" t="s">
        <v>163</v>
      </c>
      <c r="F800" s="1416" t="s">
        <v>163</v>
      </c>
      <c r="G800" s="1416" t="s">
        <v>163</v>
      </c>
    </row>
    <row r="801" spans="2:7" hidden="1" outlineLevel="1">
      <c r="B801" s="1416" t="s">
        <v>817</v>
      </c>
      <c r="C801" s="1416" t="s">
        <v>1854</v>
      </c>
      <c r="D801" s="1416" t="s">
        <v>1854</v>
      </c>
      <c r="E801" s="1416" t="s">
        <v>1854</v>
      </c>
      <c r="F801" s="1416" t="s">
        <v>1854</v>
      </c>
      <c r="G801" s="1416" t="s">
        <v>1854</v>
      </c>
    </row>
    <row r="802" spans="2:7" hidden="1" outlineLevel="1">
      <c r="B802" s="1416" t="s">
        <v>1399</v>
      </c>
      <c r="C802" s="1416" t="s">
        <v>1507</v>
      </c>
      <c r="D802" s="1416" t="s">
        <v>1507</v>
      </c>
      <c r="E802" s="1416" t="s">
        <v>1507</v>
      </c>
      <c r="F802" s="1416" t="s">
        <v>1507</v>
      </c>
      <c r="G802" s="1416" t="s">
        <v>1507</v>
      </c>
    </row>
    <row r="803" spans="2:7" hidden="1" outlineLevel="1">
      <c r="B803" s="1416" t="s">
        <v>825</v>
      </c>
      <c r="C803" s="1416" t="s">
        <v>1344</v>
      </c>
      <c r="D803" s="1416" t="s">
        <v>1344</v>
      </c>
      <c r="E803" s="1416" t="s">
        <v>1344</v>
      </c>
      <c r="F803" s="1416" t="s">
        <v>1344</v>
      </c>
      <c r="G803" s="1416" t="s">
        <v>1344</v>
      </c>
    </row>
    <row r="804" spans="2:7" hidden="1" outlineLevel="1">
      <c r="B804" s="1416" t="s">
        <v>1410</v>
      </c>
      <c r="C804" s="1416" t="s">
        <v>1681</v>
      </c>
      <c r="D804" s="1416" t="s">
        <v>1681</v>
      </c>
      <c r="E804" s="1887" t="s">
        <v>7090</v>
      </c>
      <c r="F804" s="1416" t="s">
        <v>1681</v>
      </c>
      <c r="G804" s="1416" t="s">
        <v>1681</v>
      </c>
    </row>
    <row r="805" spans="2:7" hidden="1" outlineLevel="1">
      <c r="B805" s="1416" t="s">
        <v>1866</v>
      </c>
      <c r="C805" s="1416" t="s">
        <v>1936</v>
      </c>
      <c r="D805" s="1416" t="s">
        <v>1936</v>
      </c>
      <c r="E805" s="1416" t="s">
        <v>1936</v>
      </c>
      <c r="F805" s="1416" t="s">
        <v>1936</v>
      </c>
      <c r="G805" s="1416" t="s">
        <v>1936</v>
      </c>
    </row>
    <row r="806" spans="2:7" hidden="1" outlineLevel="1">
      <c r="B806" s="1416" t="s">
        <v>1738</v>
      </c>
      <c r="C806" s="1416" t="s">
        <v>2046</v>
      </c>
      <c r="D806" s="1416" t="s">
        <v>2046</v>
      </c>
      <c r="E806" s="1416" t="s">
        <v>2046</v>
      </c>
      <c r="F806" s="1416" t="s">
        <v>2046</v>
      </c>
      <c r="G806" s="1416" t="s">
        <v>2046</v>
      </c>
    </row>
    <row r="807" spans="2:7" hidden="1" outlineLevel="1">
      <c r="B807" s="1416" t="s">
        <v>860</v>
      </c>
      <c r="C807" s="1416" t="s">
        <v>473</v>
      </c>
      <c r="D807" s="1416" t="s">
        <v>473</v>
      </c>
      <c r="E807" s="1416" t="s">
        <v>473</v>
      </c>
      <c r="F807" s="1416" t="s">
        <v>473</v>
      </c>
      <c r="G807" s="1416" t="s">
        <v>473</v>
      </c>
    </row>
    <row r="808" spans="2:7" hidden="1" outlineLevel="1">
      <c r="B808" s="1416" t="s">
        <v>1993</v>
      </c>
      <c r="C808" s="1416" t="s">
        <v>1492</v>
      </c>
      <c r="D808" s="1416" t="s">
        <v>1492</v>
      </c>
      <c r="E808" s="1416" t="s">
        <v>1492</v>
      </c>
      <c r="F808" s="1416" t="s">
        <v>1492</v>
      </c>
      <c r="G808" s="1416" t="s">
        <v>1492</v>
      </c>
    </row>
    <row r="809" spans="2:7" hidden="1" outlineLevel="1">
      <c r="B809" s="1416" t="s">
        <v>1402</v>
      </c>
      <c r="C809" s="1416" t="s">
        <v>1812</v>
      </c>
      <c r="D809" s="1416" t="s">
        <v>1812</v>
      </c>
      <c r="E809" s="1416" t="s">
        <v>1812</v>
      </c>
      <c r="F809" s="1416" t="s">
        <v>1812</v>
      </c>
      <c r="G809" s="1416" t="s">
        <v>1812</v>
      </c>
    </row>
    <row r="810" spans="2:7" hidden="1" outlineLevel="1">
      <c r="B810" s="1416" t="s">
        <v>1740</v>
      </c>
      <c r="C810" s="1416" t="s">
        <v>137</v>
      </c>
      <c r="D810" s="1416" t="s">
        <v>2049</v>
      </c>
      <c r="E810" s="1416" t="s">
        <v>2049</v>
      </c>
      <c r="F810" s="1416" t="s">
        <v>2049</v>
      </c>
      <c r="G810" s="1416" t="s">
        <v>2049</v>
      </c>
    </row>
    <row r="811" spans="2:7" hidden="1" outlineLevel="1">
      <c r="B811" s="1416" t="s">
        <v>2075</v>
      </c>
      <c r="C811" s="1416" t="s">
        <v>387</v>
      </c>
      <c r="D811" s="1416" t="s">
        <v>387</v>
      </c>
      <c r="E811" s="1887" t="s">
        <v>7091</v>
      </c>
      <c r="F811" s="1416" t="s">
        <v>387</v>
      </c>
      <c r="G811" s="1416" t="s">
        <v>387</v>
      </c>
    </row>
    <row r="812" spans="2:7" hidden="1" outlineLevel="1">
      <c r="B812" s="1416" t="s">
        <v>1512</v>
      </c>
      <c r="C812" s="1416" t="s">
        <v>1498</v>
      </c>
      <c r="D812" s="1416" t="s">
        <v>1498</v>
      </c>
      <c r="E812" s="1416" t="s">
        <v>1498</v>
      </c>
      <c r="F812" s="1416" t="s">
        <v>1498</v>
      </c>
      <c r="G812" s="1416" t="s">
        <v>1498</v>
      </c>
    </row>
    <row r="813" spans="2:7" hidden="1" outlineLevel="1">
      <c r="B813" s="1416" t="s">
        <v>1990</v>
      </c>
      <c r="C813" s="1416" t="s">
        <v>1489</v>
      </c>
      <c r="D813" s="1416" t="s">
        <v>1489</v>
      </c>
      <c r="E813" s="1416" t="s">
        <v>1489</v>
      </c>
      <c r="F813" s="1416" t="s">
        <v>1489</v>
      </c>
      <c r="G813" s="1416" t="s">
        <v>1489</v>
      </c>
    </row>
    <row r="814" spans="2:7" hidden="1" outlineLevel="1">
      <c r="B814" s="1416" t="s">
        <v>1403</v>
      </c>
      <c r="C814" s="1416" t="s">
        <v>1813</v>
      </c>
      <c r="D814" s="1416" t="s">
        <v>1813</v>
      </c>
      <c r="E814" s="1416" t="s">
        <v>1813</v>
      </c>
      <c r="F814" s="1416" t="s">
        <v>1813</v>
      </c>
      <c r="G814" s="1416" t="s">
        <v>1813</v>
      </c>
    </row>
    <row r="815" spans="2:7" hidden="1" outlineLevel="1">
      <c r="B815" s="1416" t="s">
        <v>1709</v>
      </c>
      <c r="C815" s="1416" t="s">
        <v>1685</v>
      </c>
      <c r="D815" s="1416" t="s">
        <v>1685</v>
      </c>
      <c r="E815" s="1416" t="s">
        <v>1685</v>
      </c>
      <c r="F815" s="1416" t="s">
        <v>1685</v>
      </c>
      <c r="G815" s="1416" t="s">
        <v>1685</v>
      </c>
    </row>
    <row r="816" spans="2:7" hidden="1" outlineLevel="1">
      <c r="B816" s="1416" t="s">
        <v>779</v>
      </c>
      <c r="C816" s="1416" t="s">
        <v>137</v>
      </c>
      <c r="D816" s="1416" t="s">
        <v>2734</v>
      </c>
      <c r="E816" s="1887" t="s">
        <v>7092</v>
      </c>
      <c r="F816" s="1416" t="s">
        <v>2734</v>
      </c>
      <c r="G816" s="1416" t="s">
        <v>2734</v>
      </c>
    </row>
    <row r="817" spans="2:7" hidden="1" outlineLevel="1">
      <c r="B817" s="1416" t="s">
        <v>1407</v>
      </c>
      <c r="C817" s="1416" t="s">
        <v>1818</v>
      </c>
      <c r="D817" s="1416" t="s">
        <v>1818</v>
      </c>
      <c r="E817" s="1416" t="s">
        <v>1818</v>
      </c>
      <c r="F817" s="1416" t="s">
        <v>1818</v>
      </c>
      <c r="G817" s="1416" t="s">
        <v>1818</v>
      </c>
    </row>
    <row r="818" spans="2:7" hidden="1" outlineLevel="1">
      <c r="B818" s="1416" t="s">
        <v>783</v>
      </c>
      <c r="C818" s="1416" t="s">
        <v>137</v>
      </c>
      <c r="D818" s="1416" t="s">
        <v>1219</v>
      </c>
      <c r="E818" s="1887" t="s">
        <v>7093</v>
      </c>
      <c r="F818" s="1416" t="s">
        <v>1219</v>
      </c>
      <c r="G818" s="1416" t="s">
        <v>1219</v>
      </c>
    </row>
    <row r="819" spans="2:7" hidden="1" outlineLevel="1">
      <c r="B819" s="1416" t="s">
        <v>816</v>
      </c>
      <c r="C819" s="1416" t="s">
        <v>1853</v>
      </c>
      <c r="D819" s="1416" t="s">
        <v>1853</v>
      </c>
      <c r="E819" s="1416" t="s">
        <v>1853</v>
      </c>
      <c r="F819" s="1416" t="s">
        <v>1853</v>
      </c>
      <c r="G819" s="1416" t="s">
        <v>1853</v>
      </c>
    </row>
    <row r="820" spans="2:7" hidden="1" outlineLevel="1">
      <c r="B820" s="1416" t="s">
        <v>1264</v>
      </c>
      <c r="C820" s="1416" t="s">
        <v>1359</v>
      </c>
      <c r="D820" s="1416" t="s">
        <v>1359</v>
      </c>
      <c r="E820" s="1416" t="s">
        <v>1359</v>
      </c>
      <c r="F820" s="1416" t="s">
        <v>1359</v>
      </c>
      <c r="G820" s="1416" t="s">
        <v>1359</v>
      </c>
    </row>
    <row r="821" spans="2:7" hidden="1" outlineLevel="1">
      <c r="B821" s="1416" t="s">
        <v>368</v>
      </c>
      <c r="C821" s="1416" t="s">
        <v>469</v>
      </c>
      <c r="D821" s="1416" t="s">
        <v>469</v>
      </c>
      <c r="E821" s="1416" t="s">
        <v>469</v>
      </c>
      <c r="F821" s="1416" t="s">
        <v>469</v>
      </c>
      <c r="G821" s="1416" t="s">
        <v>469</v>
      </c>
    </row>
    <row r="822" spans="2:7" hidden="1" outlineLevel="1">
      <c r="B822" s="1416" t="s">
        <v>2682</v>
      </c>
      <c r="C822" s="1416" t="s">
        <v>275</v>
      </c>
      <c r="D822" s="1416" t="s">
        <v>275</v>
      </c>
      <c r="E822" s="1416" t="s">
        <v>275</v>
      </c>
      <c r="F822" s="1416" t="s">
        <v>275</v>
      </c>
      <c r="G822" s="1416" t="s">
        <v>275</v>
      </c>
    </row>
    <row r="823" spans="2:7" hidden="1" outlineLevel="1">
      <c r="B823" s="1416" t="s">
        <v>1513</v>
      </c>
      <c r="C823" s="1416" t="s">
        <v>1499</v>
      </c>
      <c r="D823" s="1416" t="s">
        <v>1499</v>
      </c>
      <c r="E823" s="1887" t="s">
        <v>7094</v>
      </c>
      <c r="F823" s="1416" t="s">
        <v>1499</v>
      </c>
      <c r="G823" s="1416" t="s">
        <v>1499</v>
      </c>
    </row>
    <row r="824" spans="2:7" hidden="1" outlineLevel="1">
      <c r="B824" s="1416" t="s">
        <v>466</v>
      </c>
      <c r="C824" s="1416" t="s">
        <v>137</v>
      </c>
      <c r="D824" s="1416" t="s">
        <v>2733</v>
      </c>
      <c r="E824" s="1416" t="s">
        <v>2733</v>
      </c>
      <c r="F824" s="1416" t="s">
        <v>2733</v>
      </c>
      <c r="G824" s="1416" t="s">
        <v>2733</v>
      </c>
    </row>
    <row r="825" spans="2:7" collapsed="1">
      <c r="B825" s="4329" t="s">
        <v>4703</v>
      </c>
      <c r="C825" s="4330"/>
      <c r="D825" s="4330"/>
      <c r="E825" s="4330"/>
      <c r="F825" s="4330"/>
      <c r="G825" s="4330"/>
    </row>
    <row r="826" spans="2:7" hidden="1" outlineLevel="1">
      <c r="B826" s="1416" t="s">
        <v>947</v>
      </c>
      <c r="C826" s="1416" t="s">
        <v>137</v>
      </c>
      <c r="D826" s="1416" t="s">
        <v>655</v>
      </c>
      <c r="E826" s="1416" t="s">
        <v>655</v>
      </c>
      <c r="F826" s="1416" t="s">
        <v>655</v>
      </c>
      <c r="G826" s="1416" t="s">
        <v>655</v>
      </c>
    </row>
    <row r="827" spans="2:7" ht="24" hidden="1" outlineLevel="1">
      <c r="B827" s="1416" t="s">
        <v>948</v>
      </c>
      <c r="C827" s="1887" t="s">
        <v>7095</v>
      </c>
      <c r="D827" s="1887" t="s">
        <v>7096</v>
      </c>
      <c r="E827" s="1416" t="s">
        <v>1367</v>
      </c>
      <c r="F827" s="1887" t="s">
        <v>7096</v>
      </c>
      <c r="G827" s="1887" t="s">
        <v>7097</v>
      </c>
    </row>
    <row r="828" spans="2:7" hidden="1" outlineLevel="1">
      <c r="B828" s="1416" t="s">
        <v>949</v>
      </c>
      <c r="C828" s="1416" t="s">
        <v>7098</v>
      </c>
      <c r="D828" s="1887" t="s">
        <v>7099</v>
      </c>
      <c r="E828" s="1887" t="s">
        <v>7100</v>
      </c>
      <c r="F828" s="1887" t="s">
        <v>7099</v>
      </c>
      <c r="G828" s="1887" t="s">
        <v>7099</v>
      </c>
    </row>
    <row r="829" spans="2:7" ht="24" hidden="1" outlineLevel="1">
      <c r="B829" s="1416" t="s">
        <v>951</v>
      </c>
      <c r="C829" s="1416" t="s">
        <v>7101</v>
      </c>
      <c r="D829" s="1887" t="s">
        <v>7102</v>
      </c>
      <c r="E829" s="1887" t="s">
        <v>7103</v>
      </c>
      <c r="F829" s="1887" t="s">
        <v>7102</v>
      </c>
      <c r="G829" s="1887" t="s">
        <v>7104</v>
      </c>
    </row>
    <row r="830" spans="2:7" hidden="1" outlineLevel="1">
      <c r="B830" s="1416" t="s">
        <v>952</v>
      </c>
      <c r="C830" s="1416" t="s">
        <v>1171</v>
      </c>
      <c r="D830" s="1887" t="s">
        <v>137</v>
      </c>
      <c r="E830" s="1887" t="s">
        <v>7105</v>
      </c>
      <c r="F830" s="1887" t="s">
        <v>137</v>
      </c>
      <c r="G830" s="1887" t="s">
        <v>7106</v>
      </c>
    </row>
    <row r="831" spans="2:7" hidden="1" outlineLevel="1">
      <c r="B831" s="1416" t="s">
        <v>1172</v>
      </c>
      <c r="C831" s="1416" t="s">
        <v>7107</v>
      </c>
      <c r="D831" s="1886" t="s">
        <v>7108</v>
      </c>
      <c r="E831" s="1887" t="s">
        <v>7109</v>
      </c>
      <c r="F831" s="1886" t="s">
        <v>7108</v>
      </c>
      <c r="G831" s="1887" t="s">
        <v>7109</v>
      </c>
    </row>
    <row r="832" spans="2:7" hidden="1" outlineLevel="1">
      <c r="B832" s="1416" t="s">
        <v>1174</v>
      </c>
      <c r="C832" s="1416" t="s">
        <v>7110</v>
      </c>
      <c r="D832" s="1416" t="s">
        <v>7110</v>
      </c>
      <c r="E832" s="1416" t="s">
        <v>7110</v>
      </c>
      <c r="F832" s="1416" t="s">
        <v>7110</v>
      </c>
      <c r="G832" s="1416" t="s">
        <v>7110</v>
      </c>
    </row>
    <row r="833" spans="2:7" ht="24" hidden="1" outlineLevel="1">
      <c r="B833" s="1416" t="s">
        <v>1175</v>
      </c>
      <c r="C833" s="1887" t="s">
        <v>7111</v>
      </c>
      <c r="D833" s="1416" t="s">
        <v>7112</v>
      </c>
      <c r="E833" s="1416" t="s">
        <v>7113</v>
      </c>
      <c r="F833" s="1416" t="s">
        <v>7112</v>
      </c>
      <c r="G833" s="1887" t="s">
        <v>7114</v>
      </c>
    </row>
    <row r="834" spans="2:7" hidden="1" outlineLevel="1">
      <c r="B834" s="1416" t="s">
        <v>1287</v>
      </c>
      <c r="C834" s="1416" t="s">
        <v>7115</v>
      </c>
      <c r="D834" s="1887" t="s">
        <v>7116</v>
      </c>
      <c r="E834" s="1886" t="s">
        <v>2554</v>
      </c>
      <c r="F834" s="1887" t="s">
        <v>7116</v>
      </c>
      <c r="G834" s="1887" t="s">
        <v>7117</v>
      </c>
    </row>
    <row r="835" spans="2:7" ht="36" hidden="1" outlineLevel="1">
      <c r="B835" s="1416" t="s">
        <v>1058</v>
      </c>
      <c r="C835" s="1887" t="s">
        <v>7118</v>
      </c>
      <c r="D835" s="1416" t="s">
        <v>7119</v>
      </c>
      <c r="E835" s="1887" t="s">
        <v>7120</v>
      </c>
      <c r="F835" s="1416" t="s">
        <v>7119</v>
      </c>
      <c r="G835" s="1887" t="s">
        <v>7121</v>
      </c>
    </row>
    <row r="836" spans="2:7" hidden="1" outlineLevel="1">
      <c r="B836" s="1416" t="s">
        <v>1059</v>
      </c>
      <c r="C836" s="1416" t="s">
        <v>1060</v>
      </c>
      <c r="D836" s="1416" t="s">
        <v>1060</v>
      </c>
      <c r="E836" s="1416" t="s">
        <v>7122</v>
      </c>
      <c r="F836" s="1416" t="s">
        <v>1060</v>
      </c>
      <c r="G836" s="1416" t="s">
        <v>1060</v>
      </c>
    </row>
    <row r="837" spans="2:7" hidden="1" outlineLevel="1">
      <c r="B837" s="1416" t="s">
        <v>1061</v>
      </c>
      <c r="C837" s="1416" t="s">
        <v>137</v>
      </c>
      <c r="D837" s="1416" t="s">
        <v>7123</v>
      </c>
      <c r="E837" s="1887" t="s">
        <v>7124</v>
      </c>
      <c r="F837" s="1416" t="s">
        <v>7123</v>
      </c>
      <c r="G837" s="1887" t="s">
        <v>2055</v>
      </c>
    </row>
    <row r="838" spans="2:7" hidden="1" outlineLevel="1">
      <c r="B838" s="1416" t="s">
        <v>1432</v>
      </c>
      <c r="C838" s="1416" t="s">
        <v>7111</v>
      </c>
      <c r="D838" s="1416" t="s">
        <v>7111</v>
      </c>
      <c r="E838" s="1887" t="s">
        <v>7125</v>
      </c>
      <c r="F838" s="1416" t="s">
        <v>7111</v>
      </c>
      <c r="G838" s="1887" t="s">
        <v>5145</v>
      </c>
    </row>
    <row r="839" spans="2:7" ht="24" hidden="1" outlineLevel="1">
      <c r="B839" s="1416" t="s">
        <v>604</v>
      </c>
      <c r="C839" s="1416" t="s">
        <v>7126</v>
      </c>
      <c r="D839" s="1416" t="s">
        <v>7126</v>
      </c>
      <c r="E839" s="1887" t="s">
        <v>7127</v>
      </c>
      <c r="F839" s="1416" t="s">
        <v>7126</v>
      </c>
      <c r="G839" s="1887" t="s">
        <v>7128</v>
      </c>
    </row>
    <row r="840" spans="2:7" ht="24" hidden="1" outlineLevel="1">
      <c r="B840" s="1416" t="s">
        <v>1433</v>
      </c>
      <c r="C840" s="1416" t="s">
        <v>7129</v>
      </c>
      <c r="D840" s="1886" t="s">
        <v>7130</v>
      </c>
      <c r="E840" s="1887" t="s">
        <v>7131</v>
      </c>
      <c r="F840" s="1886" t="s">
        <v>7130</v>
      </c>
      <c r="G840" s="1887" t="s">
        <v>7131</v>
      </c>
    </row>
    <row r="841" spans="2:7" ht="24" hidden="1" outlineLevel="1">
      <c r="B841" s="1416" t="s">
        <v>1781</v>
      </c>
      <c r="C841" s="1416" t="s">
        <v>7132</v>
      </c>
      <c r="D841" s="1886" t="s">
        <v>7133</v>
      </c>
      <c r="E841" s="1887" t="s">
        <v>7134</v>
      </c>
      <c r="F841" s="1886" t="s">
        <v>7133</v>
      </c>
      <c r="G841" s="1886" t="s">
        <v>7133</v>
      </c>
    </row>
    <row r="842" spans="2:7" ht="24" hidden="1" outlineLevel="1">
      <c r="B842" s="1416" t="s">
        <v>953</v>
      </c>
      <c r="C842" s="1416" t="s">
        <v>7135</v>
      </c>
      <c r="D842" s="1887" t="s">
        <v>7136</v>
      </c>
      <c r="E842" s="1887" t="s">
        <v>3558</v>
      </c>
      <c r="F842" s="1887" t="s">
        <v>7136</v>
      </c>
      <c r="G842" s="1887" t="s">
        <v>3558</v>
      </c>
    </row>
    <row r="843" spans="2:7" ht="24" hidden="1" outlineLevel="1">
      <c r="B843" s="1416" t="s">
        <v>954</v>
      </c>
      <c r="C843" s="1416" t="s">
        <v>7137</v>
      </c>
      <c r="D843" s="1887" t="s">
        <v>7138</v>
      </c>
      <c r="E843" s="1887" t="s">
        <v>7139</v>
      </c>
      <c r="F843" s="1887" t="s">
        <v>7138</v>
      </c>
      <c r="G843" s="1887" t="s">
        <v>7139</v>
      </c>
    </row>
    <row r="844" spans="2:7" collapsed="1">
      <c r="B844" s="4329" t="s">
        <v>730</v>
      </c>
      <c r="C844" s="4330"/>
      <c r="D844" s="4330"/>
      <c r="E844" s="4330"/>
      <c r="F844" s="4330"/>
      <c r="G844" s="4330"/>
    </row>
    <row r="845" spans="2:7" hidden="1" outlineLevel="1">
      <c r="B845" s="1416" t="s">
        <v>2344</v>
      </c>
      <c r="C845" s="1416" t="s">
        <v>2012</v>
      </c>
      <c r="D845" s="1416" t="s">
        <v>2012</v>
      </c>
      <c r="E845" s="1416" t="s">
        <v>2012</v>
      </c>
      <c r="F845" s="1416" t="s">
        <v>2012</v>
      </c>
      <c r="G845" s="1416" t="s">
        <v>2012</v>
      </c>
    </row>
    <row r="846" spans="2:7" hidden="1" outlineLevel="1">
      <c r="B846" s="1416" t="s">
        <v>2345</v>
      </c>
      <c r="C846" s="1416" t="s">
        <v>2346</v>
      </c>
      <c r="D846" s="1416" t="s">
        <v>2346</v>
      </c>
      <c r="E846" s="1416" t="s">
        <v>2346</v>
      </c>
      <c r="F846" s="1416" t="s">
        <v>2346</v>
      </c>
      <c r="G846" s="1416" t="s">
        <v>2346</v>
      </c>
    </row>
    <row r="847" spans="2:7" hidden="1" outlineLevel="1">
      <c r="B847" s="1416" t="s">
        <v>2347</v>
      </c>
      <c r="C847" s="1416" t="s">
        <v>7140</v>
      </c>
      <c r="D847" s="1887" t="s">
        <v>2646</v>
      </c>
      <c r="E847" s="1887" t="s">
        <v>7141</v>
      </c>
      <c r="F847" s="1416" t="s">
        <v>7140</v>
      </c>
      <c r="G847" s="1887" t="s">
        <v>2646</v>
      </c>
    </row>
    <row r="848" spans="2:7" hidden="1" outlineLevel="1">
      <c r="B848" s="1416" t="s">
        <v>1942</v>
      </c>
      <c r="C848" s="1416" t="s">
        <v>1943</v>
      </c>
      <c r="D848" s="1416" t="s">
        <v>1943</v>
      </c>
      <c r="E848" s="1887" t="s">
        <v>7142</v>
      </c>
      <c r="F848" s="1416" t="s">
        <v>1943</v>
      </c>
      <c r="G848" s="1416" t="s">
        <v>1943</v>
      </c>
    </row>
    <row r="849" spans="2:7" hidden="1" outlineLevel="1">
      <c r="B849" s="1416" t="s">
        <v>1944</v>
      </c>
      <c r="C849" s="1886" t="s">
        <v>7143</v>
      </c>
      <c r="D849" s="1886" t="s">
        <v>7143</v>
      </c>
      <c r="E849" s="1887" t="s">
        <v>6583</v>
      </c>
      <c r="F849" s="1416" t="s">
        <v>1945</v>
      </c>
      <c r="G849" s="1416" t="s">
        <v>1945</v>
      </c>
    </row>
    <row r="850" spans="2:7" ht="24" hidden="1" outlineLevel="1">
      <c r="B850" s="1416" t="s">
        <v>197</v>
      </c>
      <c r="C850" s="1416" t="s">
        <v>3809</v>
      </c>
      <c r="D850" s="1416" t="s">
        <v>3809</v>
      </c>
      <c r="E850" s="1887" t="s">
        <v>7144</v>
      </c>
      <c r="F850" s="1886" t="s">
        <v>7145</v>
      </c>
      <c r="G850" s="1416" t="s">
        <v>3809</v>
      </c>
    </row>
    <row r="851" spans="2:7" hidden="1" outlineLevel="1">
      <c r="B851" s="1416" t="s">
        <v>198</v>
      </c>
      <c r="C851" s="1416" t="s">
        <v>7146</v>
      </c>
      <c r="D851" s="1887" t="s">
        <v>2058</v>
      </c>
      <c r="E851" s="1887" t="s">
        <v>2058</v>
      </c>
      <c r="F851" s="1416" t="s">
        <v>7146</v>
      </c>
      <c r="G851" s="1887" t="s">
        <v>2058</v>
      </c>
    </row>
    <row r="852" spans="2:7" hidden="1" outlineLevel="1">
      <c r="B852" s="1416" t="s">
        <v>2059</v>
      </c>
      <c r="C852" s="1416" t="s">
        <v>460</v>
      </c>
      <c r="D852" s="1416" t="s">
        <v>460</v>
      </c>
      <c r="E852" s="1416" t="s">
        <v>460</v>
      </c>
      <c r="F852" s="1416" t="s">
        <v>460</v>
      </c>
      <c r="G852" s="1416" t="s">
        <v>460</v>
      </c>
    </row>
    <row r="853" spans="2:7" collapsed="1">
      <c r="B853" s="4329" t="s">
        <v>2397</v>
      </c>
      <c r="C853" s="4330"/>
      <c r="D853" s="4330"/>
      <c r="E853" s="4330"/>
      <c r="F853" s="4330"/>
      <c r="G853" s="4330"/>
    </row>
    <row r="854" spans="2:7" hidden="1" outlineLevel="1">
      <c r="B854" s="1416" t="s">
        <v>2398</v>
      </c>
      <c r="C854" s="1416" t="s">
        <v>2569</v>
      </c>
      <c r="D854" s="1416" t="s">
        <v>2569</v>
      </c>
      <c r="E854" s="1887" t="s">
        <v>3835</v>
      </c>
      <c r="F854" s="1416" t="s">
        <v>2569</v>
      </c>
      <c r="G854" s="1416" t="s">
        <v>2569</v>
      </c>
    </row>
    <row r="855" spans="2:7" hidden="1" outlineLevel="1">
      <c r="B855" s="1416" t="s">
        <v>2399</v>
      </c>
      <c r="C855" s="1416" t="s">
        <v>2571</v>
      </c>
      <c r="D855" s="1416" t="s">
        <v>2571</v>
      </c>
      <c r="E855" s="1416" t="s">
        <v>2571</v>
      </c>
      <c r="F855" s="1416" t="s">
        <v>2571</v>
      </c>
      <c r="G855" s="1416" t="s">
        <v>2571</v>
      </c>
    </row>
    <row r="856" spans="2:7" hidden="1" outlineLevel="1">
      <c r="B856" s="1416" t="s">
        <v>5914</v>
      </c>
      <c r="C856" s="1416" t="s">
        <v>2570</v>
      </c>
      <c r="D856" s="1416" t="s">
        <v>2570</v>
      </c>
      <c r="E856" s="1416" t="s">
        <v>2570</v>
      </c>
      <c r="F856" s="1416" t="s">
        <v>2570</v>
      </c>
      <c r="G856" s="1416" t="s">
        <v>2570</v>
      </c>
    </row>
    <row r="857" spans="2:7" hidden="1" outlineLevel="1">
      <c r="B857" s="1416" t="s">
        <v>2400</v>
      </c>
      <c r="C857" s="1416" t="s">
        <v>2572</v>
      </c>
      <c r="D857" s="1416" t="s">
        <v>2572</v>
      </c>
      <c r="E857" s="1416" t="s">
        <v>2572</v>
      </c>
      <c r="F857" s="1416" t="s">
        <v>2572</v>
      </c>
      <c r="G857" s="1416" t="s">
        <v>2572</v>
      </c>
    </row>
    <row r="858" spans="2:7" hidden="1" outlineLevel="1">
      <c r="B858" s="1416" t="s">
        <v>1578</v>
      </c>
      <c r="C858" s="1416" t="s">
        <v>1766</v>
      </c>
      <c r="D858" s="1886" t="s">
        <v>7147</v>
      </c>
      <c r="E858" s="1416" t="s">
        <v>1766</v>
      </c>
      <c r="F858" s="1416" t="s">
        <v>1766</v>
      </c>
      <c r="G858" s="1416" t="s">
        <v>1766</v>
      </c>
    </row>
    <row r="859" spans="2:7" hidden="1" outlineLevel="1">
      <c r="B859" s="1416" t="s">
        <v>1579</v>
      </c>
      <c r="C859" s="1416" t="s">
        <v>7148</v>
      </c>
      <c r="D859" s="1886" t="s">
        <v>7149</v>
      </c>
      <c r="E859" s="1887" t="s">
        <v>1767</v>
      </c>
      <c r="F859" s="1886" t="s">
        <v>7150</v>
      </c>
      <c r="G859" s="1886" t="s">
        <v>7149</v>
      </c>
    </row>
    <row r="860" spans="2:7" hidden="1" outlineLevel="1">
      <c r="B860" s="1416" t="s">
        <v>1580</v>
      </c>
      <c r="C860" s="1416" t="s">
        <v>2568</v>
      </c>
      <c r="D860" s="1416" t="s">
        <v>2568</v>
      </c>
      <c r="E860" s="1416" t="s">
        <v>2568</v>
      </c>
      <c r="F860" s="1416" t="s">
        <v>2568</v>
      </c>
      <c r="G860" s="1416" t="s">
        <v>2568</v>
      </c>
    </row>
    <row r="861" spans="2:7" collapsed="1">
      <c r="B861" s="4329" t="s">
        <v>1335</v>
      </c>
      <c r="C861" s="4330"/>
      <c r="D861" s="4330"/>
      <c r="E861" s="4330"/>
      <c r="F861" s="4330"/>
      <c r="G861" s="4330"/>
    </row>
    <row r="862" spans="2:7" hidden="1" outlineLevel="1">
      <c r="B862" s="1416" t="s">
        <v>461</v>
      </c>
      <c r="C862" s="1416" t="s">
        <v>7151</v>
      </c>
      <c r="D862" s="1416" t="s">
        <v>7151</v>
      </c>
      <c r="E862" s="1887" t="s">
        <v>7152</v>
      </c>
      <c r="F862" s="1416" t="s">
        <v>7151</v>
      </c>
      <c r="G862" s="1416" t="s">
        <v>7151</v>
      </c>
    </row>
    <row r="863" spans="2:7" hidden="1" outlineLevel="1">
      <c r="B863" s="1416" t="s">
        <v>463</v>
      </c>
      <c r="C863" s="1416" t="s">
        <v>1600</v>
      </c>
      <c r="D863" s="1416" t="s">
        <v>1600</v>
      </c>
      <c r="E863" s="1416" t="s">
        <v>1600</v>
      </c>
      <c r="F863" s="1416" t="s">
        <v>1600</v>
      </c>
      <c r="G863" s="1416" t="s">
        <v>1600</v>
      </c>
    </row>
    <row r="864" spans="2:7" hidden="1" outlineLevel="1">
      <c r="B864" s="1416" t="s">
        <v>2449</v>
      </c>
      <c r="C864" s="1416" t="s">
        <v>7153</v>
      </c>
      <c r="D864" s="1416" t="s">
        <v>7153</v>
      </c>
      <c r="E864" s="1416" t="s">
        <v>393</v>
      </c>
      <c r="F864" s="1416" t="s">
        <v>7153</v>
      </c>
      <c r="G864" s="1416" t="s">
        <v>7153</v>
      </c>
    </row>
    <row r="865" spans="2:7" hidden="1" outlineLevel="1">
      <c r="B865" s="1416" t="s">
        <v>2769</v>
      </c>
      <c r="C865" s="1416" t="s">
        <v>7154</v>
      </c>
      <c r="D865" s="1416" t="s">
        <v>7154</v>
      </c>
      <c r="E865" s="1416" t="s">
        <v>1601</v>
      </c>
      <c r="F865" s="1416" t="s">
        <v>7154</v>
      </c>
      <c r="G865" s="1416" t="s">
        <v>7154</v>
      </c>
    </row>
    <row r="866" spans="2:7" hidden="1" outlineLevel="1">
      <c r="B866" s="1416" t="s">
        <v>2771</v>
      </c>
      <c r="C866" s="1416" t="s">
        <v>7155</v>
      </c>
      <c r="D866" s="1416" t="s">
        <v>7155</v>
      </c>
      <c r="E866" s="1416" t="s">
        <v>7155</v>
      </c>
      <c r="F866" s="1416" t="s">
        <v>7155</v>
      </c>
      <c r="G866" s="1416" t="s">
        <v>7155</v>
      </c>
    </row>
    <row r="867" spans="2:7" hidden="1" outlineLevel="1">
      <c r="B867" s="1416" t="s">
        <v>2773</v>
      </c>
      <c r="C867" s="1416" t="s">
        <v>7156</v>
      </c>
      <c r="D867" s="1416" t="s">
        <v>7156</v>
      </c>
      <c r="E867" s="1416" t="s">
        <v>7156</v>
      </c>
      <c r="F867" s="1416" t="s">
        <v>7156</v>
      </c>
      <c r="G867" s="1416" t="s">
        <v>7156</v>
      </c>
    </row>
    <row r="868" spans="2:7" hidden="1" outlineLevel="1">
      <c r="B868" s="1416" t="s">
        <v>2306</v>
      </c>
      <c r="C868" s="1416" t="s">
        <v>7157</v>
      </c>
      <c r="D868" s="1416" t="s">
        <v>7157</v>
      </c>
      <c r="E868" s="1887" t="s">
        <v>4418</v>
      </c>
      <c r="F868" s="1416" t="s">
        <v>7157</v>
      </c>
      <c r="G868" s="1887" t="s">
        <v>4418</v>
      </c>
    </row>
    <row r="869" spans="2:7" hidden="1" outlineLevel="1">
      <c r="B869" s="1416" t="s">
        <v>2307</v>
      </c>
      <c r="C869" s="1416" t="s">
        <v>7158</v>
      </c>
      <c r="D869" s="1416" t="s">
        <v>7158</v>
      </c>
      <c r="E869" s="1416" t="s">
        <v>394</v>
      </c>
      <c r="F869" s="1416" t="s">
        <v>7158</v>
      </c>
      <c r="G869" s="1416" t="s">
        <v>394</v>
      </c>
    </row>
    <row r="870" spans="2:7" hidden="1" outlineLevel="1">
      <c r="B870" s="1416" t="s">
        <v>2309</v>
      </c>
      <c r="C870" s="1416" t="s">
        <v>7159</v>
      </c>
      <c r="D870" s="1416" t="s">
        <v>7159</v>
      </c>
      <c r="E870" s="1416" t="s">
        <v>7160</v>
      </c>
      <c r="F870" s="1416" t="s">
        <v>7159</v>
      </c>
      <c r="G870" s="1416" t="s">
        <v>7160</v>
      </c>
    </row>
    <row r="871" spans="2:7" hidden="1" outlineLevel="1">
      <c r="B871" s="1416" t="s">
        <v>2311</v>
      </c>
      <c r="C871" s="1416" t="s">
        <v>7161</v>
      </c>
      <c r="D871" s="1416" t="s">
        <v>1599</v>
      </c>
      <c r="E871" s="1887" t="s">
        <v>7162</v>
      </c>
      <c r="F871" s="1416" t="s">
        <v>1599</v>
      </c>
      <c r="G871" s="1887" t="s">
        <v>7162</v>
      </c>
    </row>
    <row r="872" spans="2:7" collapsed="1">
      <c r="B872" s="4329" t="s">
        <v>485</v>
      </c>
      <c r="C872" s="4330"/>
      <c r="D872" s="4330"/>
      <c r="E872" s="4330"/>
      <c r="F872" s="4330"/>
      <c r="G872" s="4330"/>
    </row>
    <row r="873" spans="2:7" hidden="1" outlineLevel="1">
      <c r="B873" s="1416" t="s">
        <v>486</v>
      </c>
      <c r="C873" s="1416" t="s">
        <v>1273</v>
      </c>
      <c r="D873" s="1416" t="s">
        <v>1273</v>
      </c>
      <c r="E873" s="2124" t="s">
        <v>7163</v>
      </c>
      <c r="F873" s="1416" t="s">
        <v>1273</v>
      </c>
      <c r="G873" s="1416" t="s">
        <v>1273</v>
      </c>
    </row>
    <row r="874" spans="2:7" hidden="1" outlineLevel="1">
      <c r="B874" s="1416" t="s">
        <v>487</v>
      </c>
      <c r="C874" s="1416" t="s">
        <v>7164</v>
      </c>
      <c r="D874" s="1416" t="s">
        <v>7164</v>
      </c>
      <c r="E874" s="1887" t="s">
        <v>7165</v>
      </c>
      <c r="F874" s="1416" t="s">
        <v>7164</v>
      </c>
      <c r="G874" s="1416" t="s">
        <v>488</v>
      </c>
    </row>
    <row r="875" spans="2:7" hidden="1" outlineLevel="1">
      <c r="B875" s="1416" t="s">
        <v>1101</v>
      </c>
      <c r="C875" s="1416" t="s">
        <v>137</v>
      </c>
      <c r="D875" s="1416" t="s">
        <v>137</v>
      </c>
      <c r="E875" s="1887" t="s">
        <v>7166</v>
      </c>
      <c r="F875" s="1416" t="s">
        <v>1102</v>
      </c>
      <c r="G875" s="1416" t="s">
        <v>1102</v>
      </c>
    </row>
    <row r="876" spans="2:7" hidden="1" outlineLevel="1">
      <c r="B876" s="1416" t="s">
        <v>1103</v>
      </c>
      <c r="C876" s="1416" t="s">
        <v>137</v>
      </c>
      <c r="D876" s="1416" t="s">
        <v>137</v>
      </c>
      <c r="E876" s="1887" t="s">
        <v>7167</v>
      </c>
      <c r="F876" s="1416" t="s">
        <v>7168</v>
      </c>
      <c r="G876" s="1416" t="s">
        <v>7168</v>
      </c>
    </row>
    <row r="877" spans="2:7" hidden="1" outlineLevel="1">
      <c r="B877" s="1416" t="s">
        <v>1105</v>
      </c>
      <c r="C877" s="1416" t="s">
        <v>137</v>
      </c>
      <c r="D877" s="1416" t="s">
        <v>137</v>
      </c>
      <c r="E877" s="1416" t="s">
        <v>7169</v>
      </c>
      <c r="F877" s="1416" t="s">
        <v>7169</v>
      </c>
      <c r="G877" s="1887" t="s">
        <v>1106</v>
      </c>
    </row>
    <row r="878" spans="2:7" hidden="1" outlineLevel="1">
      <c r="B878" s="1416" t="s">
        <v>1107</v>
      </c>
      <c r="C878" s="1416" t="s">
        <v>137</v>
      </c>
      <c r="D878" s="1416" t="s">
        <v>137</v>
      </c>
      <c r="E878" s="1887" t="s">
        <v>7170</v>
      </c>
      <c r="F878" s="1416" t="s">
        <v>7171</v>
      </c>
      <c r="G878" s="1416" t="s">
        <v>7171</v>
      </c>
    </row>
    <row r="879" spans="2:7" hidden="1" outlineLevel="1">
      <c r="B879" s="1416" t="s">
        <v>1109</v>
      </c>
      <c r="C879" s="1416" t="s">
        <v>137</v>
      </c>
      <c r="D879" s="1416" t="s">
        <v>137</v>
      </c>
      <c r="E879" s="1416" t="s">
        <v>2599</v>
      </c>
      <c r="F879" s="1416" t="s">
        <v>2599</v>
      </c>
      <c r="G879" s="1416" t="s">
        <v>2599</v>
      </c>
    </row>
    <row r="880" spans="2:7" hidden="1" outlineLevel="1">
      <c r="B880" s="1416" t="s">
        <v>1110</v>
      </c>
      <c r="C880" s="1416" t="s">
        <v>137</v>
      </c>
      <c r="D880" s="1416" t="s">
        <v>137</v>
      </c>
      <c r="E880" s="1887" t="s">
        <v>7172</v>
      </c>
      <c r="F880" s="1416" t="s">
        <v>1111</v>
      </c>
      <c r="G880" s="1416" t="s">
        <v>1111</v>
      </c>
    </row>
    <row r="881" spans="2:7" hidden="1" outlineLevel="1">
      <c r="B881" s="1416" t="s">
        <v>1112</v>
      </c>
      <c r="C881" s="1416" t="s">
        <v>137</v>
      </c>
      <c r="D881" s="1416" t="s">
        <v>137</v>
      </c>
      <c r="E881" s="1416" t="s">
        <v>359</v>
      </c>
      <c r="F881" s="1416" t="s">
        <v>359</v>
      </c>
      <c r="G881" s="1416" t="s">
        <v>359</v>
      </c>
    </row>
    <row r="882" spans="2:7" hidden="1" outlineLevel="1">
      <c r="B882" s="1416" t="s">
        <v>360</v>
      </c>
      <c r="C882" s="1416" t="s">
        <v>137</v>
      </c>
      <c r="D882" s="1416" t="s">
        <v>137</v>
      </c>
      <c r="E882" s="1416" t="s">
        <v>7173</v>
      </c>
      <c r="F882" s="1416" t="s">
        <v>7173</v>
      </c>
      <c r="G882" s="1886" t="s">
        <v>1603</v>
      </c>
    </row>
    <row r="883" spans="2:7" ht="5.0999999999999996" customHeight="1"/>
    <row r="884" spans="2:7" ht="26.1" customHeight="1">
      <c r="B884" s="4331" t="s">
        <v>9736</v>
      </c>
      <c r="C884" s="4331"/>
      <c r="D884" s="4331"/>
      <c r="E884" s="4331"/>
      <c r="F884" s="4331"/>
      <c r="G884" s="4331"/>
    </row>
  </sheetData>
  <sheetProtection autoFilter="0"/>
  <autoFilter ref="B8:G8"/>
  <mergeCells count="22">
    <mergeCell ref="B539:G539"/>
    <mergeCell ref="B19:G19"/>
    <mergeCell ref="B94:G94"/>
    <mergeCell ref="C1:G1"/>
    <mergeCell ref="B3:G3"/>
    <mergeCell ref="B9:G9"/>
    <mergeCell ref="B135:G135"/>
    <mergeCell ref="B145:G145"/>
    <mergeCell ref="B246:G246"/>
    <mergeCell ref="B388:G388"/>
    <mergeCell ref="B530:G530"/>
    <mergeCell ref="B5:G5"/>
    <mergeCell ref="B853:G853"/>
    <mergeCell ref="B861:G861"/>
    <mergeCell ref="B872:G872"/>
    <mergeCell ref="B884:G884"/>
    <mergeCell ref="B610:G610"/>
    <mergeCell ref="B621:G621"/>
    <mergeCell ref="B650:G650"/>
    <mergeCell ref="B669:G669"/>
    <mergeCell ref="B825:G825"/>
    <mergeCell ref="B844:G844"/>
  </mergeCells>
  <hyperlinks>
    <hyperlink ref="B1" location="Index!A1" display="Назад"/>
  </hyperlinks>
  <printOptions horizontalCentered="1"/>
  <pageMargins left="0.74803149606299213" right="0.74803149606299213" top="0.98425196850393704" bottom="0.98425196850393704" header="0.51181102362204722" footer="0.51181102362204722"/>
  <pageSetup paperSize="9" orientation="landscape" r:id="rId1"/>
  <headerFooter alignWithMargins="0"/>
  <rowBreaks count="2" manualBreakCount="2">
    <brk id="93" max="6" man="1"/>
    <brk id="871" max="6" man="1"/>
  </rowBreaks>
  <drawing r:id="rId2"/>
</worksheet>
</file>

<file path=xl/worksheets/sheet118.xml><?xml version="1.0" encoding="utf-8"?>
<worksheet xmlns="http://schemas.openxmlformats.org/spreadsheetml/2006/main" xmlns:r="http://schemas.openxmlformats.org/officeDocument/2006/relationships">
  <dimension ref="B1:C87"/>
  <sheetViews>
    <sheetView zoomScaleNormal="100" workbookViewId="0">
      <pane ySplit="4" topLeftCell="A5" activePane="bottomLeft" state="frozen"/>
      <selection pane="bottomLeft" activeCell="B1" sqref="B1"/>
    </sheetView>
  </sheetViews>
  <sheetFormatPr defaultRowHeight="12.75"/>
  <cols>
    <col min="1" max="1" width="3.7109375" style="299" customWidth="1"/>
    <col min="2" max="2" width="14.85546875" style="299" customWidth="1"/>
    <col min="3" max="3" width="70.7109375" style="299" customWidth="1"/>
    <col min="4" max="16384" width="9.140625" style="299"/>
  </cols>
  <sheetData>
    <row r="1" spans="2:3">
      <c r="B1" s="313" t="s">
        <v>2706</v>
      </c>
      <c r="C1" s="2574" t="s">
        <v>8269</v>
      </c>
    </row>
    <row r="2" spans="2:3" ht="5.0999999999999996" customHeight="1"/>
    <row r="3" spans="2:3">
      <c r="B3" s="3704" t="s">
        <v>5152</v>
      </c>
      <c r="C3" s="3704"/>
    </row>
    <row r="4" spans="2:3" ht="5.0999999999999996" customHeight="1" thickBot="1"/>
    <row r="5" spans="2:3" ht="13.5" thickBot="1">
      <c r="B5" s="4334" t="s">
        <v>1310</v>
      </c>
      <c r="C5" s="4335"/>
    </row>
    <row r="6" spans="2:3">
      <c r="B6" s="300" t="s">
        <v>688</v>
      </c>
      <c r="C6" s="301" t="s">
        <v>698</v>
      </c>
    </row>
    <row r="7" spans="2:3">
      <c r="B7" s="235" t="s">
        <v>689</v>
      </c>
      <c r="C7" s="234" t="s">
        <v>699</v>
      </c>
    </row>
    <row r="8" spans="2:3">
      <c r="B8" s="302" t="s">
        <v>690</v>
      </c>
      <c r="C8" s="303" t="s">
        <v>700</v>
      </c>
    </row>
    <row r="9" spans="2:3">
      <c r="B9" s="235" t="s">
        <v>691</v>
      </c>
      <c r="C9" s="234" t="s">
        <v>5509</v>
      </c>
    </row>
    <row r="10" spans="2:3">
      <c r="B10" s="302" t="s">
        <v>692</v>
      </c>
      <c r="C10" s="303" t="s">
        <v>834</v>
      </c>
    </row>
    <row r="11" spans="2:3">
      <c r="B11" s="235" t="s">
        <v>693</v>
      </c>
      <c r="C11" s="234" t="s">
        <v>5510</v>
      </c>
    </row>
    <row r="12" spans="2:3">
      <c r="B12" s="302" t="s">
        <v>694</v>
      </c>
      <c r="C12" s="303" t="s">
        <v>5511</v>
      </c>
    </row>
    <row r="13" spans="2:3">
      <c r="B13" s="235" t="s">
        <v>695</v>
      </c>
      <c r="C13" s="234" t="s">
        <v>701</v>
      </c>
    </row>
    <row r="14" spans="2:3">
      <c r="B14" s="302" t="s">
        <v>696</v>
      </c>
      <c r="C14" s="303" t="s">
        <v>702</v>
      </c>
    </row>
    <row r="15" spans="2:3">
      <c r="B15" s="236" t="s">
        <v>697</v>
      </c>
      <c r="C15" s="237" t="s">
        <v>1137</v>
      </c>
    </row>
    <row r="16" spans="2:3">
      <c r="B16" s="306" t="s">
        <v>5514</v>
      </c>
      <c r="C16" s="307" t="s">
        <v>1820</v>
      </c>
    </row>
    <row r="17" spans="2:3">
      <c r="B17" s="236"/>
      <c r="C17" s="238" t="s">
        <v>5512</v>
      </c>
    </row>
    <row r="18" spans="2:3">
      <c r="B18" s="304"/>
      <c r="C18" s="307" t="s">
        <v>5513</v>
      </c>
    </row>
    <row r="19" spans="2:3">
      <c r="B19" s="236"/>
      <c r="C19" s="238" t="s">
        <v>1821</v>
      </c>
    </row>
    <row r="20" spans="2:3">
      <c r="B20" s="304" t="s">
        <v>1901</v>
      </c>
      <c r="C20" s="305" t="s">
        <v>977</v>
      </c>
    </row>
    <row r="21" spans="2:3">
      <c r="B21" s="239" t="s">
        <v>5514</v>
      </c>
      <c r="C21" s="238" t="s">
        <v>1822</v>
      </c>
    </row>
    <row r="22" spans="2:3">
      <c r="B22" s="304"/>
      <c r="C22" s="307" t="s">
        <v>1823</v>
      </c>
    </row>
    <row r="23" spans="2:3">
      <c r="B23" s="236"/>
      <c r="C23" s="238" t="s">
        <v>1824</v>
      </c>
    </row>
    <row r="24" spans="2:3">
      <c r="B24" s="304"/>
      <c r="C24" s="307" t="s">
        <v>1825</v>
      </c>
    </row>
    <row r="25" spans="2:3">
      <c r="B25" s="236"/>
      <c r="C25" s="238" t="s">
        <v>5515</v>
      </c>
    </row>
    <row r="26" spans="2:3">
      <c r="B26" s="304"/>
      <c r="C26" s="307" t="s">
        <v>1615</v>
      </c>
    </row>
    <row r="27" spans="2:3">
      <c r="B27" s="236" t="s">
        <v>2039</v>
      </c>
      <c r="C27" s="237" t="s">
        <v>5516</v>
      </c>
    </row>
    <row r="28" spans="2:3">
      <c r="B28" s="304" t="s">
        <v>878</v>
      </c>
      <c r="C28" s="305" t="s">
        <v>5517</v>
      </c>
    </row>
    <row r="29" spans="2:3">
      <c r="B29" s="236" t="s">
        <v>2256</v>
      </c>
      <c r="C29" s="237" t="s">
        <v>2529</v>
      </c>
    </row>
    <row r="30" spans="2:3">
      <c r="B30" s="304" t="s">
        <v>1903</v>
      </c>
      <c r="C30" s="305" t="s">
        <v>2530</v>
      </c>
    </row>
    <row r="31" spans="2:3">
      <c r="B31" s="236" t="s">
        <v>2531</v>
      </c>
      <c r="C31" s="237" t="s">
        <v>5518</v>
      </c>
    </row>
    <row r="32" spans="2:3">
      <c r="B32" s="304" t="s">
        <v>751</v>
      </c>
      <c r="C32" s="305" t="s">
        <v>5519</v>
      </c>
    </row>
    <row r="33" spans="2:3" ht="25.5">
      <c r="B33" s="236" t="s">
        <v>125</v>
      </c>
      <c r="C33" s="240" t="s">
        <v>5520</v>
      </c>
    </row>
    <row r="34" spans="2:3">
      <c r="B34" s="304" t="s">
        <v>126</v>
      </c>
      <c r="C34" s="305" t="s">
        <v>5521</v>
      </c>
    </row>
    <row r="35" spans="2:3" ht="13.5" thickBot="1">
      <c r="B35" s="236" t="s">
        <v>1904</v>
      </c>
      <c r="C35" s="237" t="s">
        <v>127</v>
      </c>
    </row>
    <row r="36" spans="2:3" ht="13.5" thickBot="1">
      <c r="B36" s="4334" t="s">
        <v>1311</v>
      </c>
      <c r="C36" s="4335"/>
    </row>
    <row r="37" spans="2:3">
      <c r="B37" s="308" t="s">
        <v>697</v>
      </c>
      <c r="C37" s="309" t="s">
        <v>1397</v>
      </c>
    </row>
    <row r="38" spans="2:3">
      <c r="B38" s="236" t="s">
        <v>978</v>
      </c>
      <c r="C38" s="237" t="s">
        <v>5522</v>
      </c>
    </row>
    <row r="39" spans="2:3">
      <c r="B39" s="304" t="s">
        <v>694</v>
      </c>
      <c r="C39" s="305" t="s">
        <v>2592</v>
      </c>
    </row>
    <row r="40" spans="2:3">
      <c r="B40" s="236" t="s">
        <v>692</v>
      </c>
      <c r="C40" s="1764" t="s">
        <v>834</v>
      </c>
    </row>
    <row r="41" spans="2:3">
      <c r="B41" s="304" t="s">
        <v>1902</v>
      </c>
      <c r="C41" s="305" t="s">
        <v>1043</v>
      </c>
    </row>
    <row r="42" spans="2:3">
      <c r="B42" s="236" t="s">
        <v>1903</v>
      </c>
      <c r="C42" s="237" t="s">
        <v>1044</v>
      </c>
    </row>
    <row r="43" spans="2:3">
      <c r="B43" s="304" t="s">
        <v>1901</v>
      </c>
      <c r="C43" s="305" t="s">
        <v>2593</v>
      </c>
    </row>
    <row r="44" spans="2:3">
      <c r="B44" s="236" t="s">
        <v>979</v>
      </c>
      <c r="C44" s="237" t="s">
        <v>2594</v>
      </c>
    </row>
    <row r="45" spans="2:3">
      <c r="B45" s="304" t="s">
        <v>980</v>
      </c>
      <c r="C45" s="305" t="s">
        <v>1040</v>
      </c>
    </row>
    <row r="46" spans="2:3">
      <c r="B46" s="236" t="s">
        <v>981</v>
      </c>
      <c r="C46" s="237" t="s">
        <v>1039</v>
      </c>
    </row>
    <row r="47" spans="2:3">
      <c r="B47" s="304" t="s">
        <v>982</v>
      </c>
      <c r="C47" s="305" t="s">
        <v>1041</v>
      </c>
    </row>
    <row r="48" spans="2:3">
      <c r="B48" s="236" t="s">
        <v>983</v>
      </c>
      <c r="C48" s="237" t="s">
        <v>1042</v>
      </c>
    </row>
    <row r="49" spans="2:3" ht="25.5">
      <c r="B49" s="310" t="s">
        <v>984</v>
      </c>
      <c r="C49" s="305" t="s">
        <v>1045</v>
      </c>
    </row>
    <row r="50" spans="2:3" ht="26.1" customHeight="1">
      <c r="B50" s="241" t="s">
        <v>985</v>
      </c>
      <c r="C50" s="240" t="s">
        <v>5523</v>
      </c>
    </row>
    <row r="51" spans="2:3" ht="13.5" thickBot="1">
      <c r="B51" s="1769" t="s">
        <v>1903</v>
      </c>
      <c r="C51" s="312" t="s">
        <v>5524</v>
      </c>
    </row>
    <row r="52" spans="2:3" ht="13.5" thickBot="1">
      <c r="B52" s="4334" t="s">
        <v>1677</v>
      </c>
      <c r="C52" s="4335"/>
    </row>
    <row r="53" spans="2:3">
      <c r="B53" s="304" t="s">
        <v>1046</v>
      </c>
      <c r="C53" s="305" t="s">
        <v>1048</v>
      </c>
    </row>
    <row r="54" spans="2:3">
      <c r="B54" s="236" t="s">
        <v>1047</v>
      </c>
      <c r="C54" s="237" t="s">
        <v>1679</v>
      </c>
    </row>
    <row r="55" spans="2:3" ht="13.5" thickBot="1">
      <c r="B55" s="304" t="s">
        <v>985</v>
      </c>
      <c r="C55" s="305" t="s">
        <v>286</v>
      </c>
    </row>
    <row r="56" spans="2:3" ht="13.5" thickBot="1">
      <c r="B56" s="4334" t="s">
        <v>685</v>
      </c>
      <c r="C56" s="4335"/>
    </row>
    <row r="57" spans="2:3" ht="25.5">
      <c r="B57" s="310" t="s">
        <v>287</v>
      </c>
      <c r="C57" s="305" t="s">
        <v>288</v>
      </c>
    </row>
    <row r="58" spans="2:3" ht="25.5">
      <c r="B58" s="241" t="s">
        <v>984</v>
      </c>
      <c r="C58" s="237" t="s">
        <v>289</v>
      </c>
    </row>
    <row r="59" spans="2:3">
      <c r="B59" s="304" t="s">
        <v>697</v>
      </c>
      <c r="C59" s="305" t="s">
        <v>290</v>
      </c>
    </row>
    <row r="60" spans="2:3" ht="13.5" thickBot="1">
      <c r="B60" s="236" t="s">
        <v>692</v>
      </c>
      <c r="C60" s="237" t="s">
        <v>66</v>
      </c>
    </row>
    <row r="61" spans="2:3" ht="13.5" thickBot="1">
      <c r="B61" s="4334" t="s">
        <v>1338</v>
      </c>
      <c r="C61" s="4335"/>
    </row>
    <row r="62" spans="2:3">
      <c r="B62" s="304">
        <v>1</v>
      </c>
      <c r="C62" s="305" t="s">
        <v>1339</v>
      </c>
    </row>
    <row r="63" spans="2:3" ht="13.5" thickBot="1">
      <c r="B63" s="236">
        <v>2</v>
      </c>
      <c r="C63" s="237" t="s">
        <v>1340</v>
      </c>
    </row>
    <row r="64" spans="2:3" s="311" customFormat="1" ht="13.5" thickBot="1">
      <c r="B64" s="4334" t="s">
        <v>686</v>
      </c>
      <c r="C64" s="4335"/>
    </row>
    <row r="65" spans="2:3">
      <c r="B65" s="304" t="s">
        <v>691</v>
      </c>
      <c r="C65" s="305" t="s">
        <v>5525</v>
      </c>
    </row>
    <row r="66" spans="2:3" ht="13.5" thickBot="1">
      <c r="B66" s="236" t="s">
        <v>978</v>
      </c>
      <c r="C66" s="237" t="s">
        <v>5526</v>
      </c>
    </row>
    <row r="67" spans="2:3" ht="13.5" thickBot="1">
      <c r="B67" s="4334" t="s">
        <v>5528</v>
      </c>
      <c r="C67" s="4335"/>
    </row>
    <row r="68" spans="2:3" ht="13.5" thickBot="1">
      <c r="B68" s="300" t="s">
        <v>689</v>
      </c>
      <c r="C68" s="301" t="s">
        <v>5527</v>
      </c>
    </row>
    <row r="69" spans="2:3" ht="13.5" thickBot="1">
      <c r="B69" s="4334" t="s">
        <v>687</v>
      </c>
      <c r="C69" s="4335"/>
    </row>
    <row r="70" spans="2:3">
      <c r="B70" s="308" t="s">
        <v>67</v>
      </c>
      <c r="C70" s="309" t="s">
        <v>208</v>
      </c>
    </row>
    <row r="71" spans="2:3">
      <c r="B71" s="236" t="s">
        <v>207</v>
      </c>
      <c r="C71" s="237" t="s">
        <v>209</v>
      </c>
    </row>
    <row r="72" spans="2:3">
      <c r="B72" s="304" t="s">
        <v>1904</v>
      </c>
      <c r="C72" s="305" t="s">
        <v>211</v>
      </c>
    </row>
    <row r="73" spans="2:3" ht="13.5" thickBot="1">
      <c r="B73" s="235" t="s">
        <v>125</v>
      </c>
      <c r="C73" s="234" t="s">
        <v>210</v>
      </c>
    </row>
    <row r="74" spans="2:3" ht="13.5" thickBot="1">
      <c r="B74" s="4334" t="s">
        <v>2467</v>
      </c>
      <c r="C74" s="4335"/>
    </row>
    <row r="75" spans="2:3">
      <c r="B75" s="308" t="s">
        <v>2469</v>
      </c>
      <c r="C75" s="309" t="s">
        <v>2468</v>
      </c>
    </row>
    <row r="76" spans="2:3">
      <c r="B76" s="235" t="s">
        <v>125</v>
      </c>
      <c r="C76" s="237" t="s">
        <v>803</v>
      </c>
    </row>
    <row r="77" spans="2:3">
      <c r="B77" s="304" t="s">
        <v>67</v>
      </c>
      <c r="C77" s="305" t="s">
        <v>804</v>
      </c>
    </row>
    <row r="78" spans="2:3">
      <c r="B78" s="236" t="s">
        <v>2642</v>
      </c>
      <c r="C78" s="237" t="s">
        <v>805</v>
      </c>
    </row>
    <row r="79" spans="2:3">
      <c r="B79" s="304" t="s">
        <v>2582</v>
      </c>
      <c r="C79" s="305" t="s">
        <v>806</v>
      </c>
    </row>
    <row r="80" spans="2:3">
      <c r="B80" s="236" t="s">
        <v>207</v>
      </c>
      <c r="C80" s="237" t="s">
        <v>807</v>
      </c>
    </row>
    <row r="81" spans="2:3">
      <c r="B81" s="304" t="s">
        <v>980</v>
      </c>
      <c r="C81" s="305" t="s">
        <v>808</v>
      </c>
    </row>
    <row r="82" spans="2:3">
      <c r="B82" s="236" t="s">
        <v>981</v>
      </c>
      <c r="C82" s="237" t="s">
        <v>5529</v>
      </c>
    </row>
    <row r="83" spans="2:3">
      <c r="B83" s="304" t="s">
        <v>982</v>
      </c>
      <c r="C83" s="305" t="s">
        <v>5530</v>
      </c>
    </row>
    <row r="84" spans="2:3" ht="13.5" thickBot="1">
      <c r="B84" s="235" t="s">
        <v>983</v>
      </c>
      <c r="C84" s="234" t="s">
        <v>2641</v>
      </c>
    </row>
    <row r="85" spans="2:3" ht="13.5" thickBot="1">
      <c r="B85" s="4334" t="s">
        <v>2583</v>
      </c>
      <c r="C85" s="4335"/>
    </row>
    <row r="86" spans="2:3">
      <c r="B86" s="304" t="s">
        <v>2584</v>
      </c>
      <c r="C86" s="305" t="s">
        <v>2585</v>
      </c>
    </row>
    <row r="87" spans="2:3" ht="13.5" thickBot="1">
      <c r="B87" s="52" t="s">
        <v>2586</v>
      </c>
      <c r="C87" s="242" t="s">
        <v>2587</v>
      </c>
    </row>
  </sheetData>
  <sheetProtection autoFilter="0"/>
  <mergeCells count="11">
    <mergeCell ref="B85:C85"/>
    <mergeCell ref="B56:C56"/>
    <mergeCell ref="B64:C64"/>
    <mergeCell ref="B69:C69"/>
    <mergeCell ref="B61:C61"/>
    <mergeCell ref="B67:C67"/>
    <mergeCell ref="B3:C3"/>
    <mergeCell ref="B5:C5"/>
    <mergeCell ref="B36:C36"/>
    <mergeCell ref="B52:C52"/>
    <mergeCell ref="B74:C74"/>
  </mergeCells>
  <phoneticPr fontId="9" type="noConversion"/>
  <hyperlinks>
    <hyperlink ref="B1" location="Index!A1" display="Назад"/>
  </hyperlinks>
  <printOptions horizontalCentered="1"/>
  <pageMargins left="0.23622047244094491" right="0.23622047244094491" top="0.74803149606299213" bottom="0.74803149606299213" header="0.31496062992125984" footer="0.31496062992125984"/>
  <pageSetup paperSize="9" scale="108" orientation="portrait" r:id="rId1"/>
  <headerFooter alignWithMargins="0"/>
  <rowBreaks count="1" manualBreakCount="1">
    <brk id="51" max="16383" man="1"/>
  </rowBreaks>
</worksheet>
</file>

<file path=xl/worksheets/sheet119.xml><?xml version="1.0" encoding="utf-8"?>
<worksheet xmlns="http://schemas.openxmlformats.org/spreadsheetml/2006/main" xmlns:r="http://schemas.openxmlformats.org/officeDocument/2006/relationships">
  <dimension ref="B1:E78"/>
  <sheetViews>
    <sheetView zoomScaleNormal="100" workbookViewId="0">
      <pane ySplit="5" topLeftCell="A6" activePane="bottomLeft" state="frozen"/>
      <selection pane="bottomLeft"/>
    </sheetView>
  </sheetViews>
  <sheetFormatPr defaultRowHeight="12.75"/>
  <cols>
    <col min="1" max="1" width="3.7109375" style="292" customWidth="1"/>
    <col min="2" max="2" width="15.7109375" style="292" customWidth="1"/>
    <col min="3" max="3" width="65.7109375" style="292" customWidth="1"/>
    <col min="4" max="4" width="15.7109375" style="292" customWidth="1"/>
    <col min="5" max="5" width="28.7109375" style="292" customWidth="1"/>
    <col min="6" max="16384" width="9.140625" style="292"/>
  </cols>
  <sheetData>
    <row r="1" spans="2:5">
      <c r="B1" s="2632" t="s">
        <v>2706</v>
      </c>
      <c r="C1" s="2973" t="s">
        <v>8269</v>
      </c>
      <c r="D1" s="2973"/>
      <c r="E1" s="2973"/>
    </row>
    <row r="2" spans="2:5" ht="5.0999999999999996" customHeight="1"/>
    <row r="3" spans="2:5">
      <c r="B3" s="2978" t="s">
        <v>8727</v>
      </c>
      <c r="C3" s="2978"/>
      <c r="D3" s="2978"/>
      <c r="E3" s="2978"/>
    </row>
    <row r="4" spans="2:5" s="387" customFormat="1" ht="11.25">
      <c r="B4" s="2979" t="s">
        <v>8748</v>
      </c>
      <c r="C4" s="2979"/>
      <c r="D4" s="2979"/>
      <c r="E4" s="2979"/>
    </row>
    <row r="5" spans="2:5" ht="5.0999999999999996" customHeight="1"/>
    <row r="6" spans="2:5">
      <c r="B6" s="3970" t="s">
        <v>8728</v>
      </c>
      <c r="C6" s="3970"/>
      <c r="D6" s="3970"/>
      <c r="E6" s="3970"/>
    </row>
    <row r="7" spans="2:5" ht="5.0999999999999996" customHeight="1">
      <c r="B7" s="2960"/>
      <c r="C7" s="2960"/>
      <c r="D7" s="2960"/>
      <c r="E7" s="2960"/>
    </row>
    <row r="8" spans="2:5" ht="26.1" customHeight="1">
      <c r="B8" s="2960" t="s">
        <v>8729</v>
      </c>
      <c r="C8" s="2960"/>
      <c r="D8" s="2960"/>
      <c r="E8" s="2960"/>
    </row>
    <row r="9" spans="2:5">
      <c r="B9" s="2960" t="s">
        <v>8730</v>
      </c>
      <c r="C9" s="2960"/>
      <c r="D9" s="2960"/>
      <c r="E9" s="2960"/>
    </row>
    <row r="10" spans="2:5">
      <c r="B10" s="2960" t="s">
        <v>8731</v>
      </c>
      <c r="C10" s="2960"/>
      <c r="D10" s="2960"/>
      <c r="E10" s="2960"/>
    </row>
    <row r="11" spans="2:5">
      <c r="B11" s="2960" t="s">
        <v>8732</v>
      </c>
      <c r="C11" s="2960"/>
      <c r="D11" s="2960"/>
      <c r="E11" s="2960"/>
    </row>
    <row r="12" spans="2:5">
      <c r="B12" s="2960" t="s">
        <v>8733</v>
      </c>
      <c r="C12" s="2960"/>
      <c r="D12" s="2960"/>
      <c r="E12" s="2960"/>
    </row>
    <row r="13" spans="2:5" ht="5.0999999999999996" customHeight="1">
      <c r="B13" s="2960"/>
      <c r="C13" s="2960"/>
      <c r="D13" s="2960"/>
      <c r="E13" s="2960"/>
    </row>
    <row r="14" spans="2:5">
      <c r="B14" s="2960" t="s">
        <v>9737</v>
      </c>
      <c r="C14" s="2960"/>
      <c r="D14" s="2960"/>
      <c r="E14" s="2960"/>
    </row>
    <row r="15" spans="2:5" ht="39" customHeight="1">
      <c r="B15" s="2960" t="s">
        <v>9738</v>
      </c>
      <c r="C15" s="2960"/>
      <c r="D15" s="2960"/>
      <c r="E15" s="2960"/>
    </row>
    <row r="16" spans="2:5">
      <c r="B16" s="2960" t="s">
        <v>9739</v>
      </c>
      <c r="C16" s="2960"/>
      <c r="D16" s="2960"/>
      <c r="E16" s="2960"/>
    </row>
    <row r="17" spans="2:5">
      <c r="B17" s="2960" t="s">
        <v>9740</v>
      </c>
      <c r="C17" s="2960"/>
      <c r="D17" s="2960"/>
      <c r="E17" s="2960"/>
    </row>
    <row r="18" spans="2:5">
      <c r="B18" s="2960" t="s">
        <v>9741</v>
      </c>
      <c r="C18" s="2960"/>
      <c r="D18" s="2960"/>
      <c r="E18" s="2960"/>
    </row>
    <row r="19" spans="2:5" ht="51.95" customHeight="1">
      <c r="B19" s="2960" t="s">
        <v>9742</v>
      </c>
      <c r="C19" s="2960"/>
      <c r="D19" s="2960"/>
      <c r="E19" s="2960"/>
    </row>
    <row r="20" spans="2:5" ht="51.95" customHeight="1">
      <c r="B20" s="2960" t="s">
        <v>9743</v>
      </c>
      <c r="C20" s="2960"/>
      <c r="D20" s="2960"/>
      <c r="E20" s="2960"/>
    </row>
    <row r="21" spans="2:5">
      <c r="B21" s="2960" t="s">
        <v>9744</v>
      </c>
      <c r="C21" s="2960"/>
      <c r="D21" s="2960"/>
      <c r="E21" s="2960"/>
    </row>
    <row r="22" spans="2:5" ht="26.1" customHeight="1">
      <c r="B22" s="2960" t="s">
        <v>9745</v>
      </c>
      <c r="C22" s="2960"/>
      <c r="D22" s="2960"/>
      <c r="E22" s="2960"/>
    </row>
    <row r="23" spans="2:5">
      <c r="B23" s="2960" t="s">
        <v>9746</v>
      </c>
      <c r="C23" s="2960"/>
      <c r="D23" s="2960"/>
      <c r="E23" s="2960"/>
    </row>
    <row r="24" spans="2:5">
      <c r="B24" s="2960" t="s">
        <v>9747</v>
      </c>
      <c r="C24" s="2960"/>
      <c r="D24" s="2960"/>
      <c r="E24" s="2960"/>
    </row>
    <row r="25" spans="2:5" ht="26.1" customHeight="1">
      <c r="B25" s="2960" t="s">
        <v>10161</v>
      </c>
      <c r="C25" s="2960"/>
      <c r="D25" s="2960"/>
      <c r="E25" s="2960"/>
    </row>
    <row r="26" spans="2:5" ht="26.1" customHeight="1">
      <c r="B26" s="2960" t="s">
        <v>9748</v>
      </c>
      <c r="C26" s="2960"/>
      <c r="D26" s="2960"/>
      <c r="E26" s="2960"/>
    </row>
    <row r="27" spans="2:5" ht="26.1" customHeight="1">
      <c r="B27" s="2960" t="s">
        <v>9975</v>
      </c>
      <c r="C27" s="2960"/>
      <c r="D27" s="2960"/>
      <c r="E27" s="2960"/>
    </row>
    <row r="28" spans="2:5" ht="26.1" customHeight="1">
      <c r="B28" s="2960" t="s">
        <v>9749</v>
      </c>
      <c r="C28" s="2960"/>
      <c r="D28" s="2960"/>
      <c r="E28" s="2960"/>
    </row>
    <row r="29" spans="2:5">
      <c r="B29" s="2960" t="s">
        <v>9750</v>
      </c>
      <c r="C29" s="2960"/>
      <c r="D29" s="2960"/>
      <c r="E29" s="2960"/>
    </row>
    <row r="30" spans="2:5" ht="90.95" customHeight="1">
      <c r="B30" s="2960" t="s">
        <v>10162</v>
      </c>
      <c r="C30" s="2960"/>
      <c r="D30" s="2960"/>
      <c r="E30" s="2960"/>
    </row>
    <row r="31" spans="2:5">
      <c r="B31" s="2960" t="s">
        <v>9751</v>
      </c>
      <c r="C31" s="2960"/>
      <c r="D31" s="2960"/>
      <c r="E31" s="2960"/>
    </row>
    <row r="32" spans="2:5">
      <c r="B32" s="4336" t="s">
        <v>9752</v>
      </c>
      <c r="C32" s="4337"/>
      <c r="D32" s="4337"/>
      <c r="E32" s="4337"/>
    </row>
    <row r="33" spans="2:5">
      <c r="B33" s="2960" t="s">
        <v>9753</v>
      </c>
      <c r="C33" s="2960"/>
      <c r="D33" s="2960"/>
      <c r="E33" s="2960"/>
    </row>
    <row r="34" spans="2:5">
      <c r="B34" s="2960"/>
      <c r="C34" s="2960"/>
      <c r="D34" s="2960"/>
      <c r="E34" s="2960"/>
    </row>
    <row r="35" spans="2:5">
      <c r="B35" s="2960"/>
      <c r="C35" s="2960"/>
      <c r="D35" s="2960"/>
      <c r="E35" s="2960"/>
    </row>
    <row r="36" spans="2:5">
      <c r="B36" s="2960"/>
      <c r="C36" s="2960"/>
      <c r="D36" s="2960"/>
      <c r="E36" s="2960"/>
    </row>
    <row r="37" spans="2:5">
      <c r="B37" s="2960"/>
      <c r="C37" s="2960"/>
      <c r="D37" s="2960"/>
      <c r="E37" s="2960"/>
    </row>
    <row r="38" spans="2:5">
      <c r="B38" s="2960"/>
      <c r="C38" s="2960"/>
      <c r="D38" s="2960"/>
      <c r="E38" s="2960"/>
    </row>
    <row r="39" spans="2:5">
      <c r="B39" s="2960"/>
      <c r="C39" s="2960"/>
      <c r="D39" s="2960"/>
      <c r="E39" s="2960"/>
    </row>
    <row r="40" spans="2:5">
      <c r="B40" s="2960"/>
      <c r="C40" s="2960"/>
      <c r="D40" s="2960"/>
      <c r="E40" s="2960"/>
    </row>
    <row r="41" spans="2:5">
      <c r="B41" s="2960"/>
      <c r="C41" s="2960"/>
      <c r="D41" s="2960"/>
      <c r="E41" s="2960"/>
    </row>
    <row r="42" spans="2:5">
      <c r="B42" s="2960"/>
      <c r="C42" s="2960"/>
      <c r="D42" s="2960"/>
      <c r="E42" s="2960"/>
    </row>
    <row r="43" spans="2:5">
      <c r="B43" s="2960"/>
      <c r="C43" s="2960"/>
      <c r="D43" s="2960"/>
      <c r="E43" s="2960"/>
    </row>
    <row r="44" spans="2:5">
      <c r="B44" s="2960"/>
      <c r="C44" s="2960"/>
      <c r="D44" s="2960"/>
      <c r="E44" s="2960"/>
    </row>
    <row r="45" spans="2:5">
      <c r="B45" s="2960"/>
      <c r="C45" s="2960"/>
      <c r="D45" s="2960"/>
      <c r="E45" s="2960"/>
    </row>
    <row r="46" spans="2:5">
      <c r="B46" s="2960"/>
      <c r="C46" s="2960"/>
      <c r="D46" s="2960"/>
      <c r="E46" s="2960"/>
    </row>
    <row r="47" spans="2:5">
      <c r="B47" s="2960"/>
      <c r="C47" s="2960"/>
      <c r="D47" s="2960"/>
      <c r="E47" s="2960"/>
    </row>
    <row r="48" spans="2:5">
      <c r="B48" s="2960"/>
      <c r="C48" s="2960"/>
      <c r="D48" s="2960"/>
      <c r="E48" s="2960"/>
    </row>
    <row r="49" spans="2:5">
      <c r="B49" s="2960"/>
      <c r="C49" s="2960"/>
      <c r="D49" s="2960"/>
      <c r="E49" s="2960"/>
    </row>
    <row r="50" spans="2:5">
      <c r="B50" s="2960"/>
      <c r="C50" s="2960"/>
      <c r="D50" s="2960"/>
      <c r="E50" s="2960"/>
    </row>
    <row r="51" spans="2:5">
      <c r="B51" s="2960"/>
      <c r="C51" s="2960"/>
      <c r="D51" s="2960"/>
      <c r="E51" s="2960"/>
    </row>
    <row r="52" spans="2:5">
      <c r="B52" s="2960"/>
      <c r="C52" s="2960"/>
      <c r="D52" s="2960"/>
      <c r="E52" s="2960"/>
    </row>
    <row r="53" spans="2:5">
      <c r="B53" s="2960"/>
      <c r="C53" s="2960"/>
      <c r="D53" s="2960"/>
      <c r="E53" s="2960"/>
    </row>
    <row r="54" spans="2:5">
      <c r="B54" s="2960"/>
      <c r="C54" s="2960"/>
      <c r="D54" s="2960"/>
      <c r="E54" s="2960"/>
    </row>
    <row r="55" spans="2:5">
      <c r="B55" s="2960"/>
      <c r="C55" s="2960"/>
      <c r="D55" s="2960"/>
      <c r="E55" s="2960"/>
    </row>
    <row r="56" spans="2:5">
      <c r="B56" s="2960"/>
      <c r="C56" s="2960"/>
      <c r="D56" s="2960"/>
      <c r="E56" s="2960"/>
    </row>
    <row r="57" spans="2:5">
      <c r="B57" s="2960"/>
      <c r="C57" s="2960"/>
      <c r="D57" s="2960"/>
      <c r="E57" s="2960"/>
    </row>
    <row r="58" spans="2:5">
      <c r="B58" s="2960"/>
      <c r="C58" s="2960"/>
      <c r="D58" s="2960"/>
      <c r="E58" s="2960"/>
    </row>
    <row r="59" spans="2:5">
      <c r="B59" s="2960"/>
      <c r="C59" s="2960"/>
      <c r="D59" s="2960"/>
      <c r="E59" s="2960"/>
    </row>
    <row r="60" spans="2:5">
      <c r="B60" s="2960"/>
      <c r="C60" s="2960"/>
      <c r="D60" s="2960"/>
      <c r="E60" s="2960"/>
    </row>
    <row r="61" spans="2:5">
      <c r="B61" s="2960"/>
      <c r="C61" s="2960"/>
      <c r="D61" s="2960"/>
      <c r="E61" s="2960"/>
    </row>
    <row r="62" spans="2:5">
      <c r="B62" s="2960"/>
      <c r="C62" s="2960"/>
      <c r="D62" s="2960"/>
      <c r="E62" s="2960"/>
    </row>
    <row r="63" spans="2:5">
      <c r="B63" s="2960"/>
      <c r="C63" s="2960"/>
      <c r="D63" s="2960"/>
      <c r="E63" s="2960"/>
    </row>
    <row r="64" spans="2:5">
      <c r="B64" s="2960"/>
      <c r="C64" s="2960"/>
      <c r="D64" s="2960"/>
      <c r="E64" s="2960"/>
    </row>
    <row r="65" spans="2:5">
      <c r="B65" s="2960"/>
      <c r="C65" s="2960"/>
      <c r="D65" s="2960"/>
      <c r="E65" s="2960"/>
    </row>
    <row r="66" spans="2:5">
      <c r="B66" s="2960"/>
      <c r="C66" s="2960"/>
      <c r="D66" s="2960"/>
      <c r="E66" s="2960"/>
    </row>
    <row r="67" spans="2:5">
      <c r="B67" s="2960"/>
      <c r="C67" s="2960"/>
      <c r="D67" s="2960"/>
      <c r="E67" s="2960"/>
    </row>
    <row r="68" spans="2:5">
      <c r="B68" s="2960"/>
      <c r="C68" s="2960"/>
      <c r="D68" s="2960"/>
      <c r="E68" s="2960"/>
    </row>
    <row r="69" spans="2:5">
      <c r="B69" s="2960"/>
      <c r="C69" s="2960"/>
      <c r="D69" s="2960"/>
      <c r="E69" s="2960"/>
    </row>
    <row r="70" spans="2:5">
      <c r="B70" s="2960"/>
      <c r="C70" s="2960"/>
      <c r="D70" s="2960"/>
      <c r="E70" s="2960"/>
    </row>
    <row r="71" spans="2:5">
      <c r="B71" s="2960"/>
      <c r="C71" s="2960"/>
      <c r="D71" s="2960"/>
      <c r="E71" s="2960"/>
    </row>
    <row r="72" spans="2:5">
      <c r="B72" s="2960"/>
      <c r="C72" s="2960"/>
      <c r="D72" s="2960"/>
      <c r="E72" s="2960"/>
    </row>
    <row r="73" spans="2:5">
      <c r="B73" s="2960"/>
      <c r="C73" s="2960"/>
      <c r="D73" s="2960"/>
      <c r="E73" s="2960"/>
    </row>
    <row r="74" spans="2:5">
      <c r="B74" s="2960"/>
      <c r="C74" s="2960"/>
      <c r="D74" s="2960"/>
      <c r="E74" s="2960"/>
    </row>
    <row r="75" spans="2:5">
      <c r="B75" s="2960"/>
      <c r="C75" s="2960"/>
      <c r="D75" s="2960"/>
      <c r="E75" s="2960"/>
    </row>
    <row r="76" spans="2:5">
      <c r="B76" s="2960"/>
      <c r="C76" s="2960"/>
      <c r="D76" s="2960"/>
      <c r="E76" s="2960"/>
    </row>
    <row r="77" spans="2:5">
      <c r="B77" s="2960"/>
      <c r="C77" s="2960"/>
      <c r="D77" s="2960"/>
      <c r="E77" s="2960"/>
    </row>
    <row r="78" spans="2:5">
      <c r="B78" s="2960"/>
      <c r="C78" s="2960"/>
      <c r="D78" s="2960"/>
      <c r="E78" s="2960"/>
    </row>
  </sheetData>
  <sheetProtection autoFilter="0"/>
  <mergeCells count="76">
    <mergeCell ref="B77:E77"/>
    <mergeCell ref="B78:E78"/>
    <mergeCell ref="B19:E19"/>
    <mergeCell ref="B20:E20"/>
    <mergeCell ref="B71:E71"/>
    <mergeCell ref="B72:E72"/>
    <mergeCell ref="B73:E73"/>
    <mergeCell ref="B74:E74"/>
    <mergeCell ref="B75:E75"/>
    <mergeCell ref="B76:E76"/>
    <mergeCell ref="B65:E65"/>
    <mergeCell ref="B66:E66"/>
    <mergeCell ref="B67:E67"/>
    <mergeCell ref="B68:E68"/>
    <mergeCell ref="B69:E69"/>
    <mergeCell ref="B70:E70"/>
    <mergeCell ref="B64:E64"/>
    <mergeCell ref="B53:E53"/>
    <mergeCell ref="B54:E54"/>
    <mergeCell ref="B55:E55"/>
    <mergeCell ref="B56:E56"/>
    <mergeCell ref="B57:E57"/>
    <mergeCell ref="B58:E58"/>
    <mergeCell ref="B59:E59"/>
    <mergeCell ref="B60:E60"/>
    <mergeCell ref="B61:E61"/>
    <mergeCell ref="B62:E62"/>
    <mergeCell ref="B63:E63"/>
    <mergeCell ref="B52:E52"/>
    <mergeCell ref="B41:E41"/>
    <mergeCell ref="B42:E42"/>
    <mergeCell ref="B43:E43"/>
    <mergeCell ref="B44:E44"/>
    <mergeCell ref="B45:E45"/>
    <mergeCell ref="B46:E46"/>
    <mergeCell ref="B47:E47"/>
    <mergeCell ref="B48:E48"/>
    <mergeCell ref="B49:E49"/>
    <mergeCell ref="B50:E50"/>
    <mergeCell ref="B51:E51"/>
    <mergeCell ref="B40:E40"/>
    <mergeCell ref="B33:E33"/>
    <mergeCell ref="B34:E34"/>
    <mergeCell ref="B27:E27"/>
    <mergeCell ref="B28:E28"/>
    <mergeCell ref="B29:E29"/>
    <mergeCell ref="B30:E30"/>
    <mergeCell ref="B31:E31"/>
    <mergeCell ref="B32:E32"/>
    <mergeCell ref="B35:E35"/>
    <mergeCell ref="B36:E36"/>
    <mergeCell ref="B37:E37"/>
    <mergeCell ref="B38:E38"/>
    <mergeCell ref="B39:E39"/>
    <mergeCell ref="B26:E26"/>
    <mergeCell ref="B15:E15"/>
    <mergeCell ref="B16:E16"/>
    <mergeCell ref="B17:E17"/>
    <mergeCell ref="B18:E18"/>
    <mergeCell ref="B21:E21"/>
    <mergeCell ref="B22:E22"/>
    <mergeCell ref="B23:E23"/>
    <mergeCell ref="B24:E24"/>
    <mergeCell ref="B25:E25"/>
    <mergeCell ref="B14:E14"/>
    <mergeCell ref="B6:E6"/>
    <mergeCell ref="B7:E7"/>
    <mergeCell ref="B8:E8"/>
    <mergeCell ref="C1:E1"/>
    <mergeCell ref="B3:E3"/>
    <mergeCell ref="B4:E4"/>
    <mergeCell ref="B9:E9"/>
    <mergeCell ref="B10:E10"/>
    <mergeCell ref="B11:E11"/>
    <mergeCell ref="B12:E12"/>
    <mergeCell ref="B13:E13"/>
  </mergeCells>
  <hyperlinks>
    <hyperlink ref="B1" location="Index!A1" display="Назад"/>
    <hyperlink ref="B32:E32" r:id="rId1" display="18. Файл с играбельными стандартными темплейтами Rmg.txt, который рекомендуется использовать при игре On-Line:"/>
  </hyperlinks>
  <printOptions horizontalCentered="1"/>
  <pageMargins left="0.23622047244094491" right="0.23622047244094491" top="0.74803149606299213" bottom="0.74803149606299213" header="0.31496062992125984" footer="0.31496062992125984"/>
  <pageSetup paperSize="9" scale="108" orientation="landscape" r:id="rId2"/>
  <headerFooter alignWithMargins="0"/>
  <rowBreaks count="1" manualBreakCount="1">
    <brk id="22" max="4" man="1"/>
  </rowBreaks>
</worksheet>
</file>

<file path=xl/worksheets/sheet120.xml><?xml version="1.0" encoding="utf-8"?>
<worksheet xmlns="http://schemas.openxmlformats.org/spreadsheetml/2006/main" xmlns:r="http://schemas.openxmlformats.org/officeDocument/2006/relationships">
  <dimension ref="B1:K262"/>
  <sheetViews>
    <sheetView zoomScaleNormal="100" workbookViewId="0">
      <pane ySplit="5" topLeftCell="A6" activePane="bottomLeft" state="frozen"/>
      <selection pane="bottomLeft"/>
    </sheetView>
  </sheetViews>
  <sheetFormatPr defaultRowHeight="12.75"/>
  <cols>
    <col min="1" max="1" width="3.7109375" style="292" customWidth="1"/>
    <col min="2" max="2" width="15.7109375" style="292" customWidth="1"/>
    <col min="3" max="3" width="65.7109375" style="292" customWidth="1"/>
    <col min="4" max="4" width="15.7109375" style="292" customWidth="1"/>
    <col min="5" max="5" width="28.7109375" style="292" customWidth="1"/>
    <col min="6" max="16384" width="9.140625" style="292"/>
  </cols>
  <sheetData>
    <row r="1" spans="2:11">
      <c r="B1" s="2558" t="s">
        <v>2706</v>
      </c>
      <c r="C1" s="2973" t="s">
        <v>8269</v>
      </c>
      <c r="D1" s="2973"/>
      <c r="E1" s="2973"/>
    </row>
    <row r="2" spans="2:11" ht="5.0999999999999996" customHeight="1"/>
    <row r="3" spans="2:11">
      <c r="B3" s="2978" t="s">
        <v>8057</v>
      </c>
      <c r="C3" s="2978"/>
      <c r="D3" s="2978"/>
      <c r="E3" s="2978"/>
    </row>
    <row r="4" spans="2:11" s="387" customFormat="1" ht="11.25">
      <c r="B4" s="2979" t="s">
        <v>8093</v>
      </c>
      <c r="C4" s="2979"/>
      <c r="D4" s="2979"/>
      <c r="E4" s="2979"/>
    </row>
    <row r="5" spans="2:11" ht="5.0999999999999996" customHeight="1"/>
    <row r="6" spans="2:11" ht="39" customHeight="1">
      <c r="B6" s="2960" t="s">
        <v>9754</v>
      </c>
      <c r="C6" s="2960"/>
      <c r="D6" s="2960"/>
      <c r="E6" s="2960"/>
    </row>
    <row r="7" spans="2:11" ht="5.0999999999999996" customHeight="1"/>
    <row r="8" spans="2:11" ht="90.95" customHeight="1">
      <c r="B8" s="2960" t="s">
        <v>8058</v>
      </c>
      <c r="C8" s="2960"/>
      <c r="D8" s="2960"/>
      <c r="E8" s="2960"/>
    </row>
    <row r="9" spans="2:11">
      <c r="B9" s="4338" t="s">
        <v>8060</v>
      </c>
      <c r="C9" s="4338"/>
      <c r="D9" s="4338"/>
      <c r="E9" s="4338"/>
    </row>
    <row r="10" spans="2:11" ht="5.0999999999999996" customHeight="1"/>
    <row r="11" spans="2:11" ht="12.75" customHeight="1">
      <c r="B11" s="3075" t="s">
        <v>8059</v>
      </c>
      <c r="C11" s="3075"/>
      <c r="D11" s="3075"/>
      <c r="E11" s="3075"/>
    </row>
    <row r="12" spans="2:11">
      <c r="B12" s="3000" t="s">
        <v>8064</v>
      </c>
      <c r="C12" s="3000"/>
      <c r="D12" s="3000"/>
      <c r="E12" s="3000"/>
    </row>
    <row r="13" spans="2:11">
      <c r="B13" s="3000" t="s">
        <v>8065</v>
      </c>
      <c r="C13" s="3000"/>
      <c r="D13" s="3000"/>
      <c r="E13" s="3000"/>
    </row>
    <row r="14" spans="2:11" ht="12.75" customHeight="1">
      <c r="B14" s="2960" t="s">
        <v>8061</v>
      </c>
      <c r="C14" s="2960"/>
      <c r="D14" s="2960"/>
      <c r="E14" s="2960"/>
    </row>
    <row r="15" spans="2:11" ht="51.95" customHeight="1">
      <c r="B15" s="2960" t="s">
        <v>8062</v>
      </c>
      <c r="C15" s="2960"/>
      <c r="D15" s="2960"/>
      <c r="E15" s="2960"/>
      <c r="K15"/>
    </row>
    <row r="16" spans="2:11">
      <c r="B16" s="2960" t="s">
        <v>8063</v>
      </c>
      <c r="C16" s="2960"/>
      <c r="D16" s="2960"/>
      <c r="E16" s="2960"/>
    </row>
    <row r="17" spans="2:9" ht="51.95" customHeight="1">
      <c r="B17" s="2960" t="s">
        <v>10163</v>
      </c>
      <c r="C17" s="2960"/>
      <c r="D17" s="2960"/>
      <c r="E17" s="2960"/>
    </row>
    <row r="18" spans="2:9" ht="5.0999999999999996" customHeight="1">
      <c r="B18" s="2566"/>
      <c r="C18" s="2566"/>
      <c r="D18" s="2566"/>
      <c r="E18" s="2566"/>
    </row>
    <row r="19" spans="2:9">
      <c r="B19" s="3000" t="s">
        <v>8066</v>
      </c>
      <c r="C19" s="3000"/>
      <c r="D19" s="3000"/>
      <c r="E19" s="3000"/>
    </row>
    <row r="20" spans="2:9">
      <c r="B20" s="2960" t="s">
        <v>8082</v>
      </c>
      <c r="C20" s="2960"/>
      <c r="D20" s="2557"/>
    </row>
    <row r="21" spans="2:9" ht="26.1" customHeight="1">
      <c r="B21" s="2960" t="s">
        <v>8067</v>
      </c>
      <c r="C21" s="2960"/>
      <c r="D21" s="2557"/>
    </row>
    <row r="22" spans="2:9">
      <c r="B22" s="2960" t="s">
        <v>8068</v>
      </c>
      <c r="C22" s="2960"/>
      <c r="D22" s="2557"/>
    </row>
    <row r="23" spans="2:9" ht="26.1" customHeight="1">
      <c r="B23" s="2960" t="s">
        <v>9976</v>
      </c>
      <c r="C23" s="2960"/>
      <c r="D23" s="2557"/>
    </row>
    <row r="24" spans="2:9" ht="26.1" customHeight="1">
      <c r="B24" s="2960" t="s">
        <v>8069</v>
      </c>
      <c r="C24" s="2960"/>
      <c r="D24" s="2557"/>
    </row>
    <row r="25" spans="2:9">
      <c r="B25" s="2960" t="s">
        <v>8070</v>
      </c>
      <c r="C25" s="2960"/>
      <c r="D25" s="2557"/>
    </row>
    <row r="26" spans="2:9">
      <c r="B26" s="2960" t="s">
        <v>8071</v>
      </c>
      <c r="C26" s="2960"/>
      <c r="D26" s="2557"/>
    </row>
    <row r="27" spans="2:9">
      <c r="B27" s="2960" t="s">
        <v>8073</v>
      </c>
      <c r="C27" s="2960"/>
      <c r="D27" s="2557"/>
      <c r="I27"/>
    </row>
    <row r="28" spans="2:9">
      <c r="B28" s="2960" t="s">
        <v>8072</v>
      </c>
      <c r="C28" s="2960"/>
      <c r="D28" s="2557"/>
    </row>
    <row r="29" spans="2:9" ht="26.1" customHeight="1">
      <c r="B29" s="2960" t="s">
        <v>8074</v>
      </c>
      <c r="C29" s="2960"/>
      <c r="D29" s="2557"/>
      <c r="G29"/>
    </row>
    <row r="30" spans="2:9" ht="26.1" customHeight="1">
      <c r="B30" s="2960" t="s">
        <v>8075</v>
      </c>
      <c r="C30" s="2960"/>
      <c r="D30" s="2557"/>
    </row>
    <row r="31" spans="2:9">
      <c r="B31" s="2960"/>
      <c r="C31" s="2960"/>
      <c r="D31" s="2557"/>
    </row>
    <row r="32" spans="2:9">
      <c r="B32" s="2960"/>
      <c r="C32" s="2960"/>
      <c r="D32" s="2557"/>
    </row>
    <row r="33" spans="2:5">
      <c r="B33" s="2960"/>
      <c r="C33" s="2960"/>
      <c r="D33" s="2557"/>
    </row>
    <row r="34" spans="2:5" ht="5.0999999999999996" customHeight="1">
      <c r="B34" s="2960"/>
      <c r="C34" s="2960"/>
      <c r="D34" s="2557"/>
    </row>
    <row r="35" spans="2:5">
      <c r="B35" s="2960" t="s">
        <v>8081</v>
      </c>
      <c r="C35" s="2960"/>
      <c r="D35" s="2557"/>
    </row>
    <row r="36" spans="2:5" ht="26.1" customHeight="1">
      <c r="B36" s="2960" t="s">
        <v>8076</v>
      </c>
      <c r="C36" s="2960"/>
      <c r="D36" s="2960"/>
    </row>
    <row r="37" spans="2:5" ht="26.1" customHeight="1">
      <c r="B37" s="2960" t="s">
        <v>8077</v>
      </c>
      <c r="C37" s="2960"/>
      <c r="D37" s="2960"/>
    </row>
    <row r="38" spans="2:5">
      <c r="B38" s="2960" t="s">
        <v>8078</v>
      </c>
      <c r="C38" s="2960"/>
      <c r="D38" s="2960"/>
    </row>
    <row r="39" spans="2:5" ht="143.1" customHeight="1">
      <c r="B39" s="2960" t="s">
        <v>8079</v>
      </c>
      <c r="C39" s="2960"/>
      <c r="D39" s="2960"/>
    </row>
    <row r="40" spans="2:5">
      <c r="B40" s="2960" t="s">
        <v>8080</v>
      </c>
      <c r="C40" s="2960"/>
      <c r="D40"/>
    </row>
    <row r="41" spans="2:5" ht="26.1" customHeight="1">
      <c r="B41" s="2960" t="s">
        <v>8083</v>
      </c>
      <c r="C41" s="2960"/>
      <c r="D41" s="2557"/>
    </row>
    <row r="42" spans="2:5">
      <c r="B42" s="2960"/>
      <c r="C42" s="2960"/>
      <c r="D42" s="2557"/>
    </row>
    <row r="43" spans="2:5">
      <c r="B43" s="2960" t="s">
        <v>8084</v>
      </c>
      <c r="C43" s="2960"/>
      <c r="D43" s="2557"/>
    </row>
    <row r="44" spans="2:5">
      <c r="B44" s="2960" t="s">
        <v>8090</v>
      </c>
      <c r="C44" s="2960"/>
      <c r="D44" s="2557"/>
    </row>
    <row r="45" spans="2:5" ht="26.1" customHeight="1">
      <c r="B45" s="2960" t="s">
        <v>8085</v>
      </c>
      <c r="C45" s="2960"/>
      <c r="D45" s="2960"/>
      <c r="E45" s="2960"/>
    </row>
    <row r="46" spans="2:5">
      <c r="B46" s="2960" t="s">
        <v>8086</v>
      </c>
      <c r="C46" s="2960"/>
      <c r="D46" s="2557"/>
    </row>
    <row r="47" spans="2:5">
      <c r="B47" s="2960" t="s">
        <v>8087</v>
      </c>
      <c r="C47" s="2960"/>
      <c r="D47" s="2557"/>
    </row>
    <row r="48" spans="2:5" ht="12.75" customHeight="1">
      <c r="B48" s="2960" t="s">
        <v>8091</v>
      </c>
      <c r="C48" s="2960"/>
      <c r="D48" s="2960"/>
      <c r="E48" s="2960"/>
    </row>
    <row r="49" spans="2:5" ht="26.1" customHeight="1">
      <c r="B49" s="2960" t="s">
        <v>8089</v>
      </c>
      <c r="C49" s="2960"/>
      <c r="D49" s="2960"/>
      <c r="E49" s="2960"/>
    </row>
    <row r="50" spans="2:5">
      <c r="B50" s="2960" t="s">
        <v>8088</v>
      </c>
      <c r="C50" s="2960"/>
      <c r="D50" s="2557"/>
    </row>
    <row r="51" spans="2:5" ht="39" customHeight="1">
      <c r="B51" s="2960" t="s">
        <v>8094</v>
      </c>
      <c r="C51" s="2960"/>
      <c r="D51" s="2960"/>
      <c r="E51" s="2960"/>
    </row>
    <row r="52" spans="2:5" ht="12.95" customHeight="1">
      <c r="B52" s="2960" t="s">
        <v>8095</v>
      </c>
      <c r="C52" s="2960"/>
      <c r="D52" s="2960"/>
      <c r="E52" s="2960"/>
    </row>
    <row r="53" spans="2:5">
      <c r="B53" s="2960" t="s">
        <v>8096</v>
      </c>
      <c r="C53" s="2960"/>
      <c r="D53" s="2557"/>
    </row>
    <row r="54" spans="2:5">
      <c r="B54" s="2960" t="s">
        <v>9977</v>
      </c>
      <c r="C54" s="2960"/>
      <c r="D54" s="2557"/>
    </row>
    <row r="55" spans="2:5" ht="26.1" customHeight="1">
      <c r="B55" s="2960" t="s">
        <v>8092</v>
      </c>
      <c r="C55" s="2960"/>
      <c r="D55" s="2960"/>
      <c r="E55" s="2960"/>
    </row>
    <row r="56" spans="2:5" ht="5.0999999999999996" customHeight="1"/>
    <row r="57" spans="2:5">
      <c r="B57" s="2960" t="s">
        <v>8099</v>
      </c>
      <c r="C57" s="2960"/>
      <c r="D57" s="2566"/>
    </row>
    <row r="58" spans="2:5" ht="26.1" customHeight="1">
      <c r="B58" s="2960" t="s">
        <v>8097</v>
      </c>
      <c r="C58" s="2960"/>
      <c r="D58" s="2960"/>
      <c r="E58" s="2960"/>
    </row>
    <row r="59" spans="2:5" ht="26.1" customHeight="1">
      <c r="B59" s="2960" t="s">
        <v>8098</v>
      </c>
      <c r="C59" s="2960"/>
      <c r="D59" s="2960"/>
      <c r="E59" s="2960"/>
    </row>
    <row r="60" spans="2:5">
      <c r="B60" s="2960" t="s">
        <v>8100</v>
      </c>
      <c r="C60" s="2960"/>
      <c r="D60" s="2960"/>
      <c r="E60" s="2960"/>
    </row>
    <row r="61" spans="2:5">
      <c r="B61" s="2960" t="s">
        <v>8101</v>
      </c>
      <c r="C61" s="2960"/>
      <c r="D61" s="2960"/>
      <c r="E61" s="2960"/>
    </row>
    <row r="62" spans="2:5">
      <c r="B62" s="2960" t="s">
        <v>8102</v>
      </c>
      <c r="C62" s="2960"/>
      <c r="D62" s="2960"/>
      <c r="E62" s="2960"/>
    </row>
    <row r="63" spans="2:5">
      <c r="B63" s="2960" t="s">
        <v>8104</v>
      </c>
      <c r="C63" s="2960"/>
      <c r="D63" s="2960"/>
      <c r="E63" s="2960"/>
    </row>
    <row r="64" spans="2:5">
      <c r="B64" s="2960" t="s">
        <v>8103</v>
      </c>
      <c r="C64" s="2960"/>
      <c r="D64" s="2960"/>
      <c r="E64" s="2960"/>
    </row>
    <row r="65" spans="2:5" ht="5.0999999999999996" customHeight="1">
      <c r="B65" s="2960"/>
      <c r="C65" s="2960"/>
      <c r="D65" s="2960"/>
      <c r="E65" s="2960"/>
    </row>
    <row r="66" spans="2:5">
      <c r="B66" s="2960" t="s">
        <v>8105</v>
      </c>
      <c r="C66" s="2960"/>
      <c r="D66" s="2960"/>
      <c r="E66" s="2960"/>
    </row>
    <row r="67" spans="2:5">
      <c r="B67" s="2960" t="s">
        <v>8106</v>
      </c>
      <c r="C67" s="2960"/>
      <c r="D67" s="2960"/>
      <c r="E67" s="2960"/>
    </row>
    <row r="68" spans="2:5" ht="5.0999999999999996" customHeight="1">
      <c r="B68" s="288"/>
      <c r="C68" s="288"/>
      <c r="D68" s="288"/>
      <c r="E68" s="288"/>
    </row>
    <row r="69" spans="2:5">
      <c r="B69" s="2960" t="s">
        <v>8107</v>
      </c>
      <c r="C69" s="2960"/>
      <c r="D69" s="2960"/>
      <c r="E69" s="2960"/>
    </row>
    <row r="70" spans="2:5">
      <c r="B70" s="2960" t="s">
        <v>8090</v>
      </c>
      <c r="C70" s="2960"/>
      <c r="D70" s="2960"/>
      <c r="E70" s="2960"/>
    </row>
    <row r="71" spans="2:5">
      <c r="B71" s="2960" t="s">
        <v>8108</v>
      </c>
      <c r="C71" s="2960"/>
      <c r="D71" s="2960"/>
      <c r="E71" s="2960"/>
    </row>
    <row r="72" spans="2:5">
      <c r="B72" s="2960" t="s">
        <v>8109</v>
      </c>
      <c r="C72" s="2960"/>
      <c r="D72" s="2960"/>
      <c r="E72" s="2960"/>
    </row>
    <row r="73" spans="2:5">
      <c r="B73" s="2960" t="s">
        <v>8110</v>
      </c>
      <c r="C73" s="2960"/>
      <c r="D73" s="2960"/>
      <c r="E73" s="2960"/>
    </row>
    <row r="74" spans="2:5">
      <c r="B74" s="2960" t="s">
        <v>8111</v>
      </c>
      <c r="C74" s="2960"/>
      <c r="D74" s="2960"/>
      <c r="E74" s="2960"/>
    </row>
    <row r="75" spans="2:5">
      <c r="B75" s="2960" t="s">
        <v>8112</v>
      </c>
      <c r="C75" s="2960"/>
      <c r="D75" s="2960"/>
      <c r="E75" s="2960"/>
    </row>
    <row r="76" spans="2:5" ht="5.0999999999999996" customHeight="1">
      <c r="B76" s="2960"/>
      <c r="C76" s="2960"/>
      <c r="D76" s="2960"/>
      <c r="E76" s="2960"/>
    </row>
    <row r="77" spans="2:5">
      <c r="B77" s="2960" t="s">
        <v>8113</v>
      </c>
      <c r="C77" s="2960"/>
      <c r="D77" s="2960"/>
      <c r="E77" s="2960"/>
    </row>
    <row r="78" spans="2:5">
      <c r="B78" s="2960" t="s">
        <v>8114</v>
      </c>
      <c r="C78" s="2960"/>
      <c r="D78" s="2960"/>
      <c r="E78" s="2960"/>
    </row>
    <row r="79" spans="2:5" ht="5.0999999999999996" customHeight="1">
      <c r="B79" s="2960"/>
      <c r="C79" s="2960"/>
      <c r="D79" s="2960"/>
      <c r="E79" s="2960"/>
    </row>
    <row r="80" spans="2:5">
      <c r="B80" s="2960" t="s">
        <v>8115</v>
      </c>
      <c r="C80" s="2960"/>
      <c r="D80" s="2960"/>
      <c r="E80" s="2960"/>
    </row>
    <row r="81" spans="2:7">
      <c r="B81" s="2960" t="s">
        <v>8116</v>
      </c>
      <c r="C81" s="2960"/>
      <c r="D81" s="2960"/>
      <c r="E81" s="2960"/>
    </row>
    <row r="82" spans="2:7">
      <c r="B82" s="2960" t="s">
        <v>8117</v>
      </c>
      <c r="C82" s="2960"/>
      <c r="D82" s="2960"/>
      <c r="E82" s="2960"/>
    </row>
    <row r="83" spans="2:7">
      <c r="B83" s="2960" t="s">
        <v>8118</v>
      </c>
      <c r="C83" s="2960"/>
      <c r="D83" s="2960"/>
      <c r="E83" s="2960"/>
    </row>
    <row r="84" spans="2:7">
      <c r="B84" s="2960" t="s">
        <v>8119</v>
      </c>
      <c r="C84" s="2960"/>
      <c r="D84" s="2960"/>
      <c r="E84" s="2960"/>
    </row>
    <row r="85" spans="2:7">
      <c r="B85" s="2960" t="s">
        <v>8120</v>
      </c>
      <c r="C85" s="2960"/>
      <c r="D85" s="2960"/>
      <c r="E85" s="2960"/>
    </row>
    <row r="86" spans="2:7" ht="5.0999999999999996" customHeight="1">
      <c r="B86" s="2960"/>
      <c r="C86" s="2960"/>
      <c r="D86" s="2960"/>
      <c r="E86" s="2960"/>
    </row>
    <row r="87" spans="2:7">
      <c r="B87" s="2960" t="s">
        <v>8121</v>
      </c>
      <c r="C87" s="2960"/>
      <c r="D87" s="2960"/>
      <c r="E87" s="2960"/>
    </row>
    <row r="88" spans="2:7">
      <c r="B88" s="2960" t="s">
        <v>8090</v>
      </c>
      <c r="C88" s="2960"/>
      <c r="D88" s="2960"/>
      <c r="E88" s="2960"/>
    </row>
    <row r="89" spans="2:7" ht="26.1" customHeight="1">
      <c r="B89" s="2960" t="s">
        <v>8122</v>
      </c>
      <c r="C89" s="2960"/>
      <c r="D89" s="2960"/>
      <c r="E89" s="2960"/>
      <c r="G89"/>
    </row>
    <row r="90" spans="2:7" ht="26.1" customHeight="1">
      <c r="B90" s="2960" t="s">
        <v>8127</v>
      </c>
      <c r="C90" s="2960"/>
      <c r="D90" s="2960"/>
      <c r="E90" s="2960"/>
    </row>
    <row r="91" spans="2:7" ht="12.95" customHeight="1">
      <c r="B91" s="2960" t="s">
        <v>9978</v>
      </c>
      <c r="C91" s="2960"/>
      <c r="D91" s="2960"/>
      <c r="E91" s="2960"/>
    </row>
    <row r="92" spans="2:7">
      <c r="B92" s="2960" t="s">
        <v>8123</v>
      </c>
      <c r="C92" s="2960"/>
      <c r="D92" s="2960"/>
      <c r="E92" s="2960"/>
    </row>
    <row r="93" spans="2:7">
      <c r="B93" s="2960" t="s">
        <v>9979</v>
      </c>
      <c r="C93" s="2960"/>
      <c r="D93" s="2960"/>
      <c r="E93" s="2960"/>
    </row>
    <row r="94" spans="2:7">
      <c r="B94" s="2960" t="s">
        <v>8124</v>
      </c>
      <c r="C94" s="2960"/>
      <c r="D94" s="2960"/>
      <c r="E94" s="2960"/>
    </row>
    <row r="95" spans="2:7">
      <c r="B95" s="2960" t="s">
        <v>8125</v>
      </c>
      <c r="C95" s="2960"/>
      <c r="D95" s="2960"/>
      <c r="E95" s="2960"/>
    </row>
    <row r="96" spans="2:7">
      <c r="B96" s="2960" t="s">
        <v>8126</v>
      </c>
      <c r="C96" s="2960"/>
      <c r="D96" s="2960"/>
      <c r="E96" s="2960"/>
    </row>
    <row r="97" spans="2:5" ht="5.0999999999999996" customHeight="1">
      <c r="B97" s="2960"/>
      <c r="C97" s="2960"/>
      <c r="D97" s="2960"/>
      <c r="E97" s="2960"/>
    </row>
    <row r="98" spans="2:5">
      <c r="B98" s="2960" t="s">
        <v>8128</v>
      </c>
      <c r="C98" s="2960"/>
      <c r="D98" s="2960"/>
      <c r="E98" s="2960"/>
    </row>
    <row r="99" spans="2:5">
      <c r="B99" s="2960" t="s">
        <v>8129</v>
      </c>
      <c r="C99" s="2960"/>
      <c r="D99" s="288"/>
      <c r="E99" s="288"/>
    </row>
    <row r="100" spans="2:5" ht="26.1" customHeight="1">
      <c r="B100" s="2960" t="s">
        <v>8130</v>
      </c>
      <c r="C100" s="2960"/>
      <c r="D100" s="288"/>
      <c r="E100" s="288"/>
    </row>
    <row r="101" spans="2:5">
      <c r="B101" s="2960" t="s">
        <v>8131</v>
      </c>
      <c r="C101" s="2960"/>
      <c r="D101" s="288"/>
      <c r="E101" s="288"/>
    </row>
    <row r="102" spans="2:5" ht="5.0999999999999996" customHeight="1">
      <c r="B102" s="288"/>
      <c r="C102" s="288"/>
      <c r="D102" s="288"/>
      <c r="E102" s="288"/>
    </row>
    <row r="103" spans="2:5">
      <c r="B103" s="2960" t="s">
        <v>8132</v>
      </c>
      <c r="C103" s="2960"/>
      <c r="D103" s="2960"/>
      <c r="E103" s="2960"/>
    </row>
    <row r="104" spans="2:5">
      <c r="B104" s="2960" t="s">
        <v>8136</v>
      </c>
      <c r="C104" s="2960"/>
      <c r="D104" s="288"/>
      <c r="E104" s="288"/>
    </row>
    <row r="105" spans="2:5" ht="26.1" customHeight="1">
      <c r="B105" s="2960" t="s">
        <v>8133</v>
      </c>
      <c r="C105" s="2960"/>
      <c r="D105" s="288"/>
      <c r="E105" s="288"/>
    </row>
    <row r="106" spans="2:5">
      <c r="B106" s="2960" t="s">
        <v>8134</v>
      </c>
      <c r="C106" s="2960"/>
      <c r="D106" s="2960"/>
      <c r="E106" s="2960"/>
    </row>
    <row r="107" spans="2:5">
      <c r="B107" s="2960" t="s">
        <v>8135</v>
      </c>
      <c r="C107" s="2960"/>
      <c r="D107" s="2960"/>
      <c r="E107" s="2960"/>
    </row>
    <row r="108" spans="2:5">
      <c r="B108" s="2960" t="s">
        <v>8137</v>
      </c>
      <c r="C108" s="2960"/>
      <c r="D108" s="2960"/>
      <c r="E108" s="2960"/>
    </row>
    <row r="109" spans="2:5">
      <c r="B109" s="2960" t="s">
        <v>8138</v>
      </c>
      <c r="C109" s="2960"/>
      <c r="D109" s="2960"/>
      <c r="E109" s="2960"/>
    </row>
    <row r="110" spans="2:5">
      <c r="B110" s="2960" t="s">
        <v>8139</v>
      </c>
      <c r="C110" s="2960"/>
      <c r="D110" s="2960"/>
      <c r="E110" s="2960"/>
    </row>
    <row r="111" spans="2:5" ht="26.1" customHeight="1">
      <c r="B111" s="2960" t="s">
        <v>8140</v>
      </c>
      <c r="C111" s="2960"/>
      <c r="D111" s="2960"/>
      <c r="E111" s="2960"/>
    </row>
    <row r="112" spans="2:5" ht="5.0999999999999996" customHeight="1">
      <c r="B112" s="2960"/>
      <c r="C112" s="2960"/>
      <c r="D112" s="2960"/>
      <c r="E112" s="2960"/>
    </row>
    <row r="113" spans="2:5">
      <c r="B113" s="2960" t="s">
        <v>8141</v>
      </c>
      <c r="C113" s="2960"/>
      <c r="D113" s="2960"/>
      <c r="E113" s="2960"/>
    </row>
    <row r="114" spans="2:5">
      <c r="B114" s="2960" t="s">
        <v>8153</v>
      </c>
      <c r="C114" s="2960"/>
      <c r="D114" s="2960"/>
      <c r="E114" s="2960"/>
    </row>
    <row r="115" spans="2:5" ht="26.1" customHeight="1">
      <c r="B115" s="2960" t="s">
        <v>8152</v>
      </c>
      <c r="C115" s="2960"/>
      <c r="D115" s="2960"/>
      <c r="E115" s="2960"/>
    </row>
    <row r="116" spans="2:5">
      <c r="B116" s="2960" t="s">
        <v>8142</v>
      </c>
      <c r="C116" s="2960"/>
      <c r="D116" s="2960"/>
      <c r="E116" s="2960"/>
    </row>
    <row r="117" spans="2:5" ht="26.1" customHeight="1">
      <c r="B117" s="2960" t="s">
        <v>8151</v>
      </c>
      <c r="C117" s="2960"/>
      <c r="D117" s="2960"/>
      <c r="E117" s="2960"/>
    </row>
    <row r="118" spans="2:5" ht="26.1" customHeight="1">
      <c r="B118" s="2960" t="s">
        <v>8150</v>
      </c>
      <c r="C118" s="2960"/>
      <c r="D118" s="2960"/>
      <c r="E118" s="2960"/>
    </row>
    <row r="119" spans="2:5" ht="26.1" customHeight="1">
      <c r="B119" s="2960" t="s">
        <v>8149</v>
      </c>
      <c r="C119" s="2960"/>
      <c r="D119" s="2960"/>
      <c r="E119" s="2960"/>
    </row>
    <row r="120" spans="2:5">
      <c r="B120" s="2960" t="s">
        <v>9980</v>
      </c>
      <c r="C120" s="2960"/>
      <c r="D120" s="2960"/>
      <c r="E120" s="2960"/>
    </row>
    <row r="121" spans="2:5">
      <c r="B121" s="2960" t="s">
        <v>8148</v>
      </c>
      <c r="C121" s="2960"/>
      <c r="D121" s="2960"/>
      <c r="E121" s="2960"/>
    </row>
    <row r="122" spans="2:5">
      <c r="B122" s="2960" t="s">
        <v>8143</v>
      </c>
      <c r="C122" s="2960"/>
      <c r="D122" s="2960"/>
      <c r="E122" s="2960"/>
    </row>
    <row r="123" spans="2:5">
      <c r="B123" s="2960" t="s">
        <v>8145</v>
      </c>
      <c r="C123" s="2960"/>
      <c r="D123" s="2960"/>
      <c r="E123" s="2960"/>
    </row>
    <row r="124" spans="2:5">
      <c r="B124" s="2960" t="s">
        <v>8144</v>
      </c>
      <c r="C124" s="2960"/>
      <c r="D124" s="2960"/>
      <c r="E124" s="2960"/>
    </row>
    <row r="125" spans="2:5" ht="39" customHeight="1">
      <c r="B125" s="2960" t="s">
        <v>8146</v>
      </c>
      <c r="C125" s="2960"/>
      <c r="D125" s="2960"/>
      <c r="E125" s="2960"/>
    </row>
    <row r="126" spans="2:5">
      <c r="B126" s="2960" t="s">
        <v>8147</v>
      </c>
      <c r="C126" s="2960"/>
      <c r="D126" s="2960"/>
      <c r="E126" s="2960"/>
    </row>
    <row r="127" spans="2:5" ht="5.0999999999999996" customHeight="1">
      <c r="B127" s="2960"/>
      <c r="C127" s="2960"/>
      <c r="D127" s="2960"/>
      <c r="E127" s="2960"/>
    </row>
    <row r="128" spans="2:5">
      <c r="B128" s="3000" t="s">
        <v>8154</v>
      </c>
      <c r="C128" s="3000"/>
      <c r="D128" s="3000"/>
      <c r="E128" s="3000"/>
    </row>
    <row r="129" spans="2:5">
      <c r="B129" s="2960" t="s">
        <v>8155</v>
      </c>
      <c r="C129" s="2960"/>
      <c r="D129" s="2960"/>
      <c r="E129" s="2960"/>
    </row>
    <row r="130" spans="2:5" ht="51.95" customHeight="1">
      <c r="B130" s="2960" t="s">
        <v>8156</v>
      </c>
      <c r="C130" s="2960"/>
      <c r="D130" s="2960"/>
      <c r="E130" s="2960"/>
    </row>
    <row r="131" spans="2:5">
      <c r="B131" s="2960" t="s">
        <v>10164</v>
      </c>
      <c r="C131" s="2960"/>
      <c r="D131" s="2960"/>
      <c r="E131" s="2960"/>
    </row>
    <row r="132" spans="2:5">
      <c r="B132" s="2960" t="s">
        <v>8157</v>
      </c>
      <c r="C132" s="2960"/>
      <c r="D132" s="2960"/>
      <c r="E132" s="2960"/>
    </row>
    <row r="133" spans="2:5">
      <c r="B133" s="2960" t="s">
        <v>8158</v>
      </c>
      <c r="C133" s="2960"/>
      <c r="D133" s="2960"/>
      <c r="E133" s="2960"/>
    </row>
    <row r="134" spans="2:5">
      <c r="B134" s="2960" t="s">
        <v>8159</v>
      </c>
      <c r="C134" s="2960"/>
      <c r="D134" s="2960"/>
      <c r="E134" s="2960"/>
    </row>
    <row r="135" spans="2:5" ht="39" customHeight="1">
      <c r="B135" s="2960" t="s">
        <v>8160</v>
      </c>
      <c r="C135" s="2960"/>
      <c r="D135" s="2960"/>
      <c r="E135" s="2960"/>
    </row>
    <row r="136" spans="2:5" ht="26.1" customHeight="1">
      <c r="B136" s="2960" t="s">
        <v>8161</v>
      </c>
      <c r="C136" s="2960"/>
      <c r="D136" s="2960"/>
      <c r="E136" s="2960"/>
    </row>
    <row r="137" spans="2:5" ht="5.0999999999999996" customHeight="1">
      <c r="B137" s="2960"/>
      <c r="C137" s="2960"/>
      <c r="D137" s="2960"/>
      <c r="E137" s="2960"/>
    </row>
    <row r="138" spans="2:5">
      <c r="B138" s="3000" t="s">
        <v>8162</v>
      </c>
      <c r="C138" s="3000"/>
      <c r="D138" s="3000"/>
      <c r="E138" s="3000"/>
    </row>
    <row r="139" spans="2:5" ht="26.1" customHeight="1">
      <c r="B139" s="2960" t="s">
        <v>10165</v>
      </c>
      <c r="C139" s="2960"/>
      <c r="D139" s="2960"/>
      <c r="E139" s="2960"/>
    </row>
    <row r="140" spans="2:5" ht="26.1" customHeight="1">
      <c r="B140" s="2960" t="s">
        <v>8163</v>
      </c>
      <c r="C140" s="2960"/>
      <c r="D140" s="2960"/>
      <c r="E140" s="2960"/>
    </row>
    <row r="141" spans="2:5" ht="51.95" customHeight="1">
      <c r="B141" s="2960" t="s">
        <v>10166</v>
      </c>
      <c r="C141" s="2960"/>
      <c r="D141" s="2960"/>
      <c r="E141" s="2960"/>
    </row>
    <row r="142" spans="2:5" ht="26.1" customHeight="1">
      <c r="B142" s="2960" t="s">
        <v>8164</v>
      </c>
      <c r="C142" s="2960"/>
      <c r="D142" s="2960"/>
      <c r="E142" s="2960"/>
    </row>
    <row r="143" spans="2:5" ht="26.1" customHeight="1">
      <c r="B143" s="2960" t="s">
        <v>10167</v>
      </c>
      <c r="C143" s="2960"/>
      <c r="D143" s="2960"/>
      <c r="E143" s="2960"/>
    </row>
    <row r="144" spans="2:5" ht="26.1" customHeight="1">
      <c r="B144" s="2960" t="s">
        <v>8165</v>
      </c>
      <c r="C144" s="2960"/>
      <c r="D144" s="2960"/>
      <c r="E144" s="2960"/>
    </row>
    <row r="145" spans="2:5" ht="5.0999999999999996" customHeight="1">
      <c r="B145" s="2960"/>
      <c r="C145" s="2960"/>
      <c r="D145" s="2960"/>
      <c r="E145" s="2960"/>
    </row>
    <row r="146" spans="2:5" ht="39" customHeight="1">
      <c r="B146" s="2960" t="s">
        <v>8166</v>
      </c>
      <c r="C146" s="2960"/>
      <c r="D146" s="2960"/>
      <c r="E146" s="2960"/>
    </row>
    <row r="147" spans="2:5" ht="5.0999999999999996" customHeight="1">
      <c r="B147" s="2960"/>
      <c r="C147" s="2960"/>
      <c r="D147" s="2960"/>
      <c r="E147" s="2960"/>
    </row>
    <row r="148" spans="2:5">
      <c r="B148" s="4339" t="s">
        <v>8167</v>
      </c>
      <c r="C148" s="4339"/>
      <c r="D148" s="4339"/>
      <c r="E148" s="4339"/>
    </row>
    <row r="149" spans="2:5">
      <c r="B149" s="2960" t="s">
        <v>8168</v>
      </c>
      <c r="C149" s="2960"/>
      <c r="D149" s="2960"/>
      <c r="E149" s="2960"/>
    </row>
    <row r="150" spans="2:5">
      <c r="B150" s="2960" t="s">
        <v>8169</v>
      </c>
      <c r="C150" s="2960"/>
      <c r="D150" s="2960"/>
      <c r="E150" s="2960"/>
    </row>
    <row r="151" spans="2:5">
      <c r="B151" s="2960" t="s">
        <v>8170</v>
      </c>
      <c r="C151" s="2960"/>
      <c r="D151" s="2960"/>
      <c r="E151" s="2960"/>
    </row>
    <row r="152" spans="2:5">
      <c r="B152" s="2960" t="s">
        <v>8171</v>
      </c>
      <c r="C152" s="2960"/>
      <c r="D152" s="2960"/>
      <c r="E152" s="2960"/>
    </row>
    <row r="153" spans="2:5" ht="5.0999999999999996" customHeight="1">
      <c r="B153" s="2960"/>
      <c r="C153" s="2960"/>
      <c r="D153" s="2960"/>
      <c r="E153" s="2960"/>
    </row>
    <row r="154" spans="2:5">
      <c r="B154" s="2960" t="s">
        <v>8172</v>
      </c>
      <c r="C154" s="2960"/>
      <c r="D154" s="2960"/>
      <c r="E154" s="2960"/>
    </row>
    <row r="155" spans="2:5">
      <c r="B155" s="2960" t="s">
        <v>8173</v>
      </c>
      <c r="C155" s="2960"/>
      <c r="D155" s="2960"/>
      <c r="E155" s="2960"/>
    </row>
    <row r="156" spans="2:5">
      <c r="B156" s="3795" t="s">
        <v>8174</v>
      </c>
      <c r="C156" s="3795"/>
      <c r="D156" s="3795"/>
      <c r="E156" s="3795"/>
    </row>
    <row r="157" spans="2:5">
      <c r="B157" s="3795" t="s">
        <v>8175</v>
      </c>
      <c r="C157" s="3795"/>
      <c r="D157" s="3795"/>
      <c r="E157" s="3795"/>
    </row>
    <row r="158" spans="2:5">
      <c r="B158" s="3795" t="s">
        <v>8176</v>
      </c>
      <c r="C158" s="3795"/>
      <c r="D158" s="3795"/>
      <c r="E158" s="3795"/>
    </row>
    <row r="159" spans="2:5">
      <c r="B159" s="2960"/>
      <c r="C159" s="2960"/>
      <c r="D159" s="2960"/>
      <c r="E159" s="2960"/>
    </row>
    <row r="160" spans="2:5">
      <c r="B160" s="2960"/>
      <c r="C160" s="2960"/>
      <c r="D160" s="2960"/>
      <c r="E160" s="2960"/>
    </row>
    <row r="161" spans="2:5">
      <c r="B161" s="2960"/>
      <c r="C161" s="2960"/>
      <c r="D161" s="2960"/>
      <c r="E161" s="2960"/>
    </row>
    <row r="162" spans="2:5">
      <c r="B162" s="2960"/>
      <c r="C162" s="2960"/>
      <c r="D162" s="2960"/>
      <c r="E162" s="2960"/>
    </row>
    <row r="163" spans="2:5">
      <c r="B163" s="2960"/>
      <c r="C163" s="2960"/>
      <c r="D163" s="2960"/>
      <c r="E163" s="2960"/>
    </row>
    <row r="164" spans="2:5">
      <c r="B164" s="2960"/>
      <c r="C164" s="2960"/>
      <c r="D164" s="2960"/>
      <c r="E164" s="2960"/>
    </row>
    <row r="165" spans="2:5">
      <c r="B165" s="2960"/>
      <c r="C165" s="2960"/>
      <c r="D165" s="2960"/>
      <c r="E165" s="2960"/>
    </row>
    <row r="166" spans="2:5">
      <c r="B166" s="2960"/>
      <c r="C166" s="2960"/>
      <c r="D166" s="2960"/>
      <c r="E166" s="2960"/>
    </row>
    <row r="167" spans="2:5">
      <c r="B167" s="2960"/>
      <c r="C167" s="2960"/>
      <c r="D167" s="2960"/>
      <c r="E167" s="2960"/>
    </row>
    <row r="168" spans="2:5">
      <c r="B168" s="2960"/>
      <c r="C168" s="2960"/>
      <c r="D168" s="2960"/>
      <c r="E168" s="2960"/>
    </row>
    <row r="169" spans="2:5">
      <c r="B169" s="2960"/>
      <c r="C169" s="2960"/>
      <c r="D169" s="2960"/>
      <c r="E169" s="2960"/>
    </row>
    <row r="170" spans="2:5">
      <c r="B170" s="2960"/>
      <c r="C170" s="2960"/>
      <c r="D170" s="2960"/>
      <c r="E170" s="2960"/>
    </row>
    <row r="171" spans="2:5">
      <c r="B171" s="2960"/>
      <c r="C171" s="2960"/>
      <c r="D171" s="2960"/>
      <c r="E171" s="2960"/>
    </row>
    <row r="172" spans="2:5">
      <c r="B172" s="2960"/>
      <c r="C172" s="2960"/>
      <c r="D172" s="2960"/>
      <c r="E172" s="2960"/>
    </row>
    <row r="173" spans="2:5">
      <c r="B173" s="2960"/>
      <c r="C173" s="2960"/>
      <c r="D173" s="2960"/>
      <c r="E173" s="2960"/>
    </row>
    <row r="174" spans="2:5">
      <c r="B174" s="2960"/>
      <c r="C174" s="2960"/>
      <c r="D174" s="2960"/>
      <c r="E174" s="2960"/>
    </row>
    <row r="175" spans="2:5">
      <c r="B175" s="2960"/>
      <c r="C175" s="2960"/>
      <c r="D175" s="2960"/>
      <c r="E175" s="2960"/>
    </row>
    <row r="176" spans="2:5">
      <c r="B176" s="2960"/>
      <c r="C176" s="2960"/>
      <c r="D176" s="2960"/>
      <c r="E176" s="2960"/>
    </row>
    <row r="177" spans="2:5">
      <c r="B177" s="2960"/>
      <c r="C177" s="2960"/>
      <c r="D177" s="2960"/>
      <c r="E177" s="2960"/>
    </row>
    <row r="178" spans="2:5">
      <c r="B178" s="2960"/>
      <c r="C178" s="2960"/>
      <c r="D178" s="2960"/>
      <c r="E178" s="2960"/>
    </row>
    <row r="179" spans="2:5">
      <c r="B179" s="2960"/>
      <c r="C179" s="2960"/>
      <c r="D179" s="2960"/>
      <c r="E179" s="2960"/>
    </row>
    <row r="180" spans="2:5">
      <c r="B180" s="2960"/>
      <c r="C180" s="2960"/>
      <c r="D180" s="2960"/>
      <c r="E180" s="2960"/>
    </row>
    <row r="181" spans="2:5">
      <c r="B181" s="2960"/>
      <c r="C181" s="2960"/>
      <c r="D181" s="2960"/>
      <c r="E181" s="2960"/>
    </row>
    <row r="182" spans="2:5">
      <c r="B182" s="2960"/>
      <c r="C182" s="2960"/>
      <c r="D182" s="2960"/>
      <c r="E182" s="2960"/>
    </row>
    <row r="183" spans="2:5">
      <c r="B183" s="2960"/>
      <c r="C183" s="2960"/>
      <c r="D183" s="2960"/>
      <c r="E183" s="2960"/>
    </row>
    <row r="184" spans="2:5">
      <c r="B184" s="2960"/>
      <c r="C184" s="2960"/>
      <c r="D184" s="2960"/>
      <c r="E184" s="2960"/>
    </row>
    <row r="185" spans="2:5">
      <c r="B185" s="2960"/>
      <c r="C185" s="2960"/>
      <c r="D185" s="2960"/>
      <c r="E185" s="2960"/>
    </row>
    <row r="186" spans="2:5">
      <c r="B186" s="2960"/>
      <c r="C186" s="2960"/>
      <c r="D186" s="2960"/>
      <c r="E186" s="2960"/>
    </row>
    <row r="187" spans="2:5">
      <c r="B187" s="2960"/>
      <c r="C187" s="2960"/>
      <c r="D187" s="2960"/>
      <c r="E187" s="2960"/>
    </row>
    <row r="188" spans="2:5">
      <c r="B188" s="2960"/>
      <c r="C188" s="2960"/>
      <c r="D188" s="2960"/>
      <c r="E188" s="2960"/>
    </row>
    <row r="189" spans="2:5">
      <c r="B189" s="2960"/>
      <c r="C189" s="2960"/>
      <c r="D189" s="2960"/>
      <c r="E189" s="2960"/>
    </row>
    <row r="190" spans="2:5">
      <c r="B190" s="2960"/>
      <c r="C190" s="2960"/>
      <c r="D190" s="2960"/>
      <c r="E190" s="2960"/>
    </row>
    <row r="191" spans="2:5">
      <c r="B191" s="2960"/>
      <c r="C191" s="2960"/>
      <c r="D191" s="2960"/>
      <c r="E191" s="2960"/>
    </row>
    <row r="192" spans="2:5">
      <c r="B192" s="2960"/>
      <c r="C192" s="2960"/>
      <c r="D192" s="2960"/>
      <c r="E192" s="2960"/>
    </row>
    <row r="193" spans="2:5">
      <c r="B193" s="2960"/>
      <c r="C193" s="2960"/>
      <c r="D193" s="2960"/>
      <c r="E193" s="2960"/>
    </row>
    <row r="194" spans="2:5">
      <c r="B194" s="2960"/>
      <c r="C194" s="2960"/>
      <c r="D194" s="2960"/>
      <c r="E194" s="2960"/>
    </row>
    <row r="195" spans="2:5">
      <c r="B195" s="2960"/>
      <c r="C195" s="2960"/>
      <c r="D195" s="2960"/>
      <c r="E195" s="2960"/>
    </row>
    <row r="196" spans="2:5">
      <c r="B196" s="2960"/>
      <c r="C196" s="2960"/>
      <c r="D196" s="2960"/>
      <c r="E196" s="2960"/>
    </row>
    <row r="197" spans="2:5">
      <c r="B197" s="2960"/>
      <c r="C197" s="2960"/>
      <c r="D197" s="2960"/>
      <c r="E197" s="2960"/>
    </row>
    <row r="198" spans="2:5">
      <c r="B198" s="2960"/>
      <c r="C198" s="2960"/>
      <c r="D198" s="2960"/>
      <c r="E198" s="2960"/>
    </row>
    <row r="199" spans="2:5">
      <c r="B199" s="2960"/>
      <c r="C199" s="2960"/>
      <c r="D199" s="2960"/>
      <c r="E199" s="2960"/>
    </row>
    <row r="200" spans="2:5">
      <c r="B200" s="2960"/>
      <c r="C200" s="2960"/>
      <c r="D200" s="2960"/>
      <c r="E200" s="2960"/>
    </row>
    <row r="201" spans="2:5">
      <c r="B201" s="2960"/>
      <c r="C201" s="2960"/>
      <c r="D201" s="2960"/>
      <c r="E201" s="2960"/>
    </row>
    <row r="202" spans="2:5">
      <c r="B202" s="2960"/>
      <c r="C202" s="2960"/>
      <c r="D202" s="2960"/>
      <c r="E202" s="2960"/>
    </row>
    <row r="203" spans="2:5">
      <c r="B203" s="2960"/>
      <c r="C203" s="2960"/>
      <c r="D203" s="2960"/>
      <c r="E203" s="2960"/>
    </row>
    <row r="204" spans="2:5">
      <c r="B204" s="2960"/>
      <c r="C204" s="2960"/>
      <c r="D204" s="2960"/>
      <c r="E204" s="2960"/>
    </row>
    <row r="205" spans="2:5">
      <c r="B205" s="2960"/>
      <c r="C205" s="2960"/>
      <c r="D205" s="2960"/>
      <c r="E205" s="2960"/>
    </row>
    <row r="206" spans="2:5">
      <c r="B206" s="2960"/>
      <c r="C206" s="2960"/>
      <c r="D206" s="2960"/>
      <c r="E206" s="2960"/>
    </row>
    <row r="207" spans="2:5">
      <c r="B207" s="2960"/>
      <c r="C207" s="2960"/>
      <c r="D207" s="2960"/>
      <c r="E207" s="2960"/>
    </row>
    <row r="208" spans="2:5">
      <c r="B208" s="2960"/>
      <c r="C208" s="2960"/>
      <c r="D208" s="2960"/>
      <c r="E208" s="2960"/>
    </row>
    <row r="209" spans="2:5">
      <c r="B209" s="2960"/>
      <c r="C209" s="2960"/>
      <c r="D209" s="2960"/>
      <c r="E209" s="2960"/>
    </row>
    <row r="210" spans="2:5">
      <c r="B210" s="2960"/>
      <c r="C210" s="2960"/>
      <c r="D210" s="2960"/>
      <c r="E210" s="2960"/>
    </row>
    <row r="211" spans="2:5">
      <c r="B211" s="2960"/>
      <c r="C211" s="2960"/>
      <c r="D211" s="2960"/>
      <c r="E211" s="2960"/>
    </row>
    <row r="212" spans="2:5">
      <c r="B212" s="2960"/>
      <c r="C212" s="2960"/>
      <c r="D212" s="2960"/>
      <c r="E212" s="2960"/>
    </row>
    <row r="213" spans="2:5">
      <c r="B213" s="2960"/>
      <c r="C213" s="2960"/>
      <c r="D213" s="2960"/>
      <c r="E213" s="2960"/>
    </row>
    <row r="214" spans="2:5">
      <c r="B214" s="2960"/>
      <c r="C214" s="2960"/>
      <c r="D214" s="2960"/>
      <c r="E214" s="2960"/>
    </row>
    <row r="215" spans="2:5">
      <c r="B215" s="2960"/>
      <c r="C215" s="2960"/>
      <c r="D215" s="2960"/>
      <c r="E215" s="2960"/>
    </row>
    <row r="216" spans="2:5">
      <c r="B216" s="2960"/>
      <c r="C216" s="2960"/>
      <c r="D216" s="2960"/>
      <c r="E216" s="2960"/>
    </row>
    <row r="217" spans="2:5">
      <c r="B217" s="2960"/>
      <c r="C217" s="2960"/>
      <c r="D217" s="2960"/>
      <c r="E217" s="2960"/>
    </row>
    <row r="218" spans="2:5">
      <c r="B218" s="2960"/>
      <c r="C218" s="2960"/>
      <c r="D218" s="2960"/>
      <c r="E218" s="2960"/>
    </row>
    <row r="219" spans="2:5">
      <c r="B219" s="2960"/>
      <c r="C219" s="2960"/>
      <c r="D219" s="2960"/>
      <c r="E219" s="2960"/>
    </row>
    <row r="220" spans="2:5">
      <c r="B220" s="2960"/>
      <c r="C220" s="2960"/>
      <c r="D220" s="2960"/>
      <c r="E220" s="2960"/>
    </row>
    <row r="221" spans="2:5">
      <c r="B221" s="2960"/>
      <c r="C221" s="2960"/>
      <c r="D221" s="2960"/>
      <c r="E221" s="2960"/>
    </row>
    <row r="222" spans="2:5">
      <c r="B222" s="2960"/>
      <c r="C222" s="2960"/>
      <c r="D222" s="2960"/>
      <c r="E222" s="2960"/>
    </row>
    <row r="223" spans="2:5">
      <c r="B223" s="2960"/>
      <c r="C223" s="2960"/>
      <c r="D223" s="2960"/>
      <c r="E223" s="2960"/>
    </row>
    <row r="224" spans="2:5">
      <c r="B224" s="2960"/>
      <c r="C224" s="2960"/>
      <c r="D224" s="2960"/>
      <c r="E224" s="2960"/>
    </row>
    <row r="225" spans="2:5">
      <c r="B225" s="2960"/>
      <c r="C225" s="2960"/>
      <c r="D225" s="2960"/>
      <c r="E225" s="2960"/>
    </row>
    <row r="226" spans="2:5">
      <c r="B226" s="2960"/>
      <c r="C226" s="2960"/>
      <c r="D226" s="2960"/>
      <c r="E226" s="2960"/>
    </row>
    <row r="227" spans="2:5">
      <c r="B227" s="2960"/>
      <c r="C227" s="2960"/>
      <c r="D227" s="2960"/>
      <c r="E227" s="2960"/>
    </row>
    <row r="228" spans="2:5">
      <c r="B228" s="2960"/>
      <c r="C228" s="2960"/>
      <c r="D228" s="2960"/>
      <c r="E228" s="2960"/>
    </row>
    <row r="229" spans="2:5">
      <c r="B229" s="2960"/>
      <c r="C229" s="2960"/>
      <c r="D229" s="2960"/>
      <c r="E229" s="2960"/>
    </row>
    <row r="230" spans="2:5">
      <c r="B230" s="2960"/>
      <c r="C230" s="2960"/>
      <c r="D230" s="2960"/>
      <c r="E230" s="2960"/>
    </row>
    <row r="231" spans="2:5">
      <c r="B231" s="2960"/>
      <c r="C231" s="2960"/>
      <c r="D231" s="2960"/>
      <c r="E231" s="2960"/>
    </row>
    <row r="232" spans="2:5">
      <c r="B232" s="2960"/>
      <c r="C232" s="2960"/>
      <c r="D232" s="2960"/>
      <c r="E232" s="2960"/>
    </row>
    <row r="233" spans="2:5">
      <c r="B233" s="2960"/>
      <c r="C233" s="2960"/>
      <c r="D233" s="2960"/>
      <c r="E233" s="2960"/>
    </row>
    <row r="234" spans="2:5">
      <c r="B234" s="2960"/>
      <c r="C234" s="2960"/>
      <c r="D234" s="2960"/>
      <c r="E234" s="2960"/>
    </row>
    <row r="235" spans="2:5">
      <c r="B235" s="2960"/>
      <c r="C235" s="2960"/>
      <c r="D235" s="2960"/>
      <c r="E235" s="2960"/>
    </row>
    <row r="236" spans="2:5">
      <c r="B236" s="2960"/>
      <c r="C236" s="2960"/>
      <c r="D236" s="2960"/>
      <c r="E236" s="2960"/>
    </row>
    <row r="237" spans="2:5">
      <c r="B237" s="2960"/>
      <c r="C237" s="2960"/>
      <c r="D237" s="2960"/>
      <c r="E237" s="2960"/>
    </row>
    <row r="238" spans="2:5">
      <c r="B238" s="2960"/>
      <c r="C238" s="2960"/>
      <c r="D238" s="2960"/>
      <c r="E238" s="2960"/>
    </row>
    <row r="239" spans="2:5">
      <c r="B239" s="2960"/>
      <c r="C239" s="2960"/>
      <c r="D239" s="2960"/>
      <c r="E239" s="2960"/>
    </row>
    <row r="240" spans="2:5">
      <c r="B240" s="2960"/>
      <c r="C240" s="2960"/>
      <c r="D240" s="2960"/>
      <c r="E240" s="2960"/>
    </row>
    <row r="241" spans="2:5">
      <c r="B241" s="2960"/>
      <c r="C241" s="2960"/>
      <c r="D241" s="2960"/>
      <c r="E241" s="2960"/>
    </row>
    <row r="242" spans="2:5">
      <c r="B242" s="2960"/>
      <c r="C242" s="2960"/>
      <c r="D242" s="2960"/>
      <c r="E242" s="2960"/>
    </row>
    <row r="243" spans="2:5">
      <c r="B243" s="2960"/>
      <c r="C243" s="2960"/>
      <c r="D243" s="2960"/>
      <c r="E243" s="2960"/>
    </row>
    <row r="244" spans="2:5">
      <c r="B244" s="2960"/>
      <c r="C244" s="2960"/>
      <c r="D244" s="2960"/>
      <c r="E244" s="2960"/>
    </row>
    <row r="245" spans="2:5">
      <c r="B245" s="2960"/>
      <c r="C245" s="2960"/>
      <c r="D245" s="2960"/>
      <c r="E245" s="2960"/>
    </row>
    <row r="246" spans="2:5">
      <c r="B246" s="2960"/>
      <c r="C246" s="2960"/>
      <c r="D246" s="2960"/>
      <c r="E246" s="2960"/>
    </row>
    <row r="247" spans="2:5">
      <c r="B247" s="2960"/>
      <c r="C247" s="2960"/>
      <c r="D247" s="2960"/>
      <c r="E247" s="2960"/>
    </row>
    <row r="248" spans="2:5">
      <c r="B248" s="2960"/>
      <c r="C248" s="2960"/>
      <c r="D248" s="2960"/>
      <c r="E248" s="2960"/>
    </row>
    <row r="249" spans="2:5">
      <c r="B249" s="2960"/>
      <c r="C249" s="2960"/>
      <c r="D249" s="2960"/>
      <c r="E249" s="2960"/>
    </row>
    <row r="250" spans="2:5">
      <c r="B250" s="2960"/>
      <c r="C250" s="2960"/>
      <c r="D250" s="2960"/>
      <c r="E250" s="2960"/>
    </row>
    <row r="251" spans="2:5">
      <c r="B251" s="2960"/>
      <c r="C251" s="2960"/>
      <c r="D251" s="2960"/>
      <c r="E251" s="2960"/>
    </row>
    <row r="252" spans="2:5">
      <c r="B252" s="2960"/>
      <c r="C252" s="2960"/>
      <c r="D252" s="2960"/>
      <c r="E252" s="2960"/>
    </row>
    <row r="253" spans="2:5">
      <c r="B253" s="2960"/>
      <c r="C253" s="2960"/>
      <c r="D253" s="2960"/>
      <c r="E253" s="2960"/>
    </row>
    <row r="254" spans="2:5">
      <c r="B254" s="2960"/>
      <c r="C254" s="2960"/>
      <c r="D254" s="2960"/>
      <c r="E254" s="2960"/>
    </row>
    <row r="255" spans="2:5">
      <c r="B255" s="2960"/>
      <c r="C255" s="2960"/>
      <c r="D255" s="2960"/>
      <c r="E255" s="2960"/>
    </row>
    <row r="256" spans="2:5">
      <c r="B256" s="2960"/>
      <c r="C256" s="2960"/>
      <c r="D256" s="2960"/>
      <c r="E256" s="2960"/>
    </row>
    <row r="257" spans="2:5">
      <c r="B257" s="2960"/>
      <c r="C257" s="2960"/>
      <c r="D257" s="2960"/>
      <c r="E257" s="2960"/>
    </row>
    <row r="258" spans="2:5">
      <c r="B258" s="2960"/>
      <c r="C258" s="2960"/>
      <c r="D258" s="2960"/>
      <c r="E258" s="2960"/>
    </row>
    <row r="259" spans="2:5">
      <c r="B259" s="2960"/>
      <c r="C259" s="2960"/>
      <c r="D259" s="2960"/>
      <c r="E259" s="2960"/>
    </row>
    <row r="260" spans="2:5">
      <c r="B260" s="2960"/>
      <c r="C260" s="2960"/>
      <c r="D260" s="2960"/>
      <c r="E260" s="2960"/>
    </row>
    <row r="261" spans="2:5">
      <c r="B261" s="2960"/>
      <c r="C261" s="2960"/>
      <c r="D261" s="2960"/>
      <c r="E261" s="2960"/>
    </row>
    <row r="262" spans="2:5">
      <c r="B262" s="2960"/>
      <c r="C262" s="2960"/>
      <c r="D262" s="2960"/>
      <c r="E262" s="2960"/>
    </row>
  </sheetData>
  <sheetProtection autoFilter="0"/>
  <mergeCells count="254">
    <mergeCell ref="B260:E260"/>
    <mergeCell ref="B261:E261"/>
    <mergeCell ref="B262:E262"/>
    <mergeCell ref="B255:E255"/>
    <mergeCell ref="B256:E256"/>
    <mergeCell ref="B257:E257"/>
    <mergeCell ref="B258:E258"/>
    <mergeCell ref="B259:E259"/>
    <mergeCell ref="B250:E250"/>
    <mergeCell ref="B251:E251"/>
    <mergeCell ref="B252:E252"/>
    <mergeCell ref="B253:E253"/>
    <mergeCell ref="B254:E254"/>
    <mergeCell ref="B245:E245"/>
    <mergeCell ref="B246:E246"/>
    <mergeCell ref="B247:E247"/>
    <mergeCell ref="B248:E248"/>
    <mergeCell ref="B249:E249"/>
    <mergeCell ref="B240:E240"/>
    <mergeCell ref="B241:E241"/>
    <mergeCell ref="B242:E242"/>
    <mergeCell ref="B243:E243"/>
    <mergeCell ref="B244:E244"/>
    <mergeCell ref="B235:E235"/>
    <mergeCell ref="B236:E236"/>
    <mergeCell ref="B237:E237"/>
    <mergeCell ref="B238:E238"/>
    <mergeCell ref="B239:E239"/>
    <mergeCell ref="B230:E230"/>
    <mergeCell ref="B231:E231"/>
    <mergeCell ref="B232:E232"/>
    <mergeCell ref="B233:E233"/>
    <mergeCell ref="B234:E234"/>
    <mergeCell ref="B225:E225"/>
    <mergeCell ref="B226:E226"/>
    <mergeCell ref="B227:E227"/>
    <mergeCell ref="B228:E228"/>
    <mergeCell ref="B229:E229"/>
    <mergeCell ref="B220:E220"/>
    <mergeCell ref="B221:E221"/>
    <mergeCell ref="B222:E222"/>
    <mergeCell ref="B223:E223"/>
    <mergeCell ref="B224:E224"/>
    <mergeCell ref="B215:E215"/>
    <mergeCell ref="B216:E216"/>
    <mergeCell ref="B217:E217"/>
    <mergeCell ref="B218:E218"/>
    <mergeCell ref="B219:E219"/>
    <mergeCell ref="B210:E210"/>
    <mergeCell ref="B211:E211"/>
    <mergeCell ref="B212:E212"/>
    <mergeCell ref="B213:E213"/>
    <mergeCell ref="B214:E214"/>
    <mergeCell ref="B205:E205"/>
    <mergeCell ref="B206:E206"/>
    <mergeCell ref="B207:E207"/>
    <mergeCell ref="B208:E208"/>
    <mergeCell ref="B209:E209"/>
    <mergeCell ref="B200:E200"/>
    <mergeCell ref="B201:E201"/>
    <mergeCell ref="B202:E202"/>
    <mergeCell ref="B203:E203"/>
    <mergeCell ref="B204:E204"/>
    <mergeCell ref="B195:E195"/>
    <mergeCell ref="B196:E196"/>
    <mergeCell ref="B197:E197"/>
    <mergeCell ref="B198:E198"/>
    <mergeCell ref="B199:E199"/>
    <mergeCell ref="B190:E190"/>
    <mergeCell ref="B191:E191"/>
    <mergeCell ref="B192:E192"/>
    <mergeCell ref="B193:E193"/>
    <mergeCell ref="B194:E194"/>
    <mergeCell ref="B185:E185"/>
    <mergeCell ref="B186:E186"/>
    <mergeCell ref="B187:E187"/>
    <mergeCell ref="B188:E188"/>
    <mergeCell ref="B189:E189"/>
    <mergeCell ref="B180:E180"/>
    <mergeCell ref="B181:E181"/>
    <mergeCell ref="B182:E182"/>
    <mergeCell ref="B183:E183"/>
    <mergeCell ref="B184:E184"/>
    <mergeCell ref="B175:E175"/>
    <mergeCell ref="B176:E176"/>
    <mergeCell ref="B177:E177"/>
    <mergeCell ref="B178:E178"/>
    <mergeCell ref="B179:E179"/>
    <mergeCell ref="B170:E170"/>
    <mergeCell ref="B171:E171"/>
    <mergeCell ref="B172:E172"/>
    <mergeCell ref="B173:E173"/>
    <mergeCell ref="B174:E174"/>
    <mergeCell ref="B165:E165"/>
    <mergeCell ref="B166:E166"/>
    <mergeCell ref="B167:E167"/>
    <mergeCell ref="B168:E168"/>
    <mergeCell ref="B169:E169"/>
    <mergeCell ref="B160:E160"/>
    <mergeCell ref="B161:E161"/>
    <mergeCell ref="B162:E162"/>
    <mergeCell ref="B163:E163"/>
    <mergeCell ref="B164:E164"/>
    <mergeCell ref="B155:E155"/>
    <mergeCell ref="B156:E156"/>
    <mergeCell ref="B157:E157"/>
    <mergeCell ref="B158:E158"/>
    <mergeCell ref="B159:E159"/>
    <mergeCell ref="B150:E150"/>
    <mergeCell ref="B151:E151"/>
    <mergeCell ref="B152:E152"/>
    <mergeCell ref="B153:E153"/>
    <mergeCell ref="B154:E154"/>
    <mergeCell ref="B145:E145"/>
    <mergeCell ref="B146:E146"/>
    <mergeCell ref="B147:E147"/>
    <mergeCell ref="B148:E148"/>
    <mergeCell ref="B149:E149"/>
    <mergeCell ref="B140:E140"/>
    <mergeCell ref="B141:E141"/>
    <mergeCell ref="B142:E142"/>
    <mergeCell ref="B143:E143"/>
    <mergeCell ref="B144:E144"/>
    <mergeCell ref="B135:E135"/>
    <mergeCell ref="B136:E136"/>
    <mergeCell ref="B137:E137"/>
    <mergeCell ref="B138:E138"/>
    <mergeCell ref="B139:E139"/>
    <mergeCell ref="B130:E130"/>
    <mergeCell ref="B131:E131"/>
    <mergeCell ref="B132:E132"/>
    <mergeCell ref="B133:E133"/>
    <mergeCell ref="B134:E134"/>
    <mergeCell ref="B125:E125"/>
    <mergeCell ref="B126:E126"/>
    <mergeCell ref="B127:E127"/>
    <mergeCell ref="B128:E128"/>
    <mergeCell ref="B129:E129"/>
    <mergeCell ref="B120:E120"/>
    <mergeCell ref="B121:E121"/>
    <mergeCell ref="B122:E122"/>
    <mergeCell ref="B123:E123"/>
    <mergeCell ref="B124:E124"/>
    <mergeCell ref="B115:E115"/>
    <mergeCell ref="B116:E116"/>
    <mergeCell ref="B117:E117"/>
    <mergeCell ref="B118:E118"/>
    <mergeCell ref="B119:E119"/>
    <mergeCell ref="B110:E110"/>
    <mergeCell ref="B111:E111"/>
    <mergeCell ref="B112:E112"/>
    <mergeCell ref="B113:E113"/>
    <mergeCell ref="B114:E114"/>
    <mergeCell ref="B99:C99"/>
    <mergeCell ref="B106:E106"/>
    <mergeCell ref="B107:E107"/>
    <mergeCell ref="B108:E108"/>
    <mergeCell ref="B109:E109"/>
    <mergeCell ref="B103:E103"/>
    <mergeCell ref="B100:C100"/>
    <mergeCell ref="B101:C101"/>
    <mergeCell ref="B104:C104"/>
    <mergeCell ref="B105:C105"/>
    <mergeCell ref="B95:E95"/>
    <mergeCell ref="B96:E96"/>
    <mergeCell ref="B97:E97"/>
    <mergeCell ref="B98:E98"/>
    <mergeCell ref="B89:E89"/>
    <mergeCell ref="B90:E90"/>
    <mergeCell ref="B92:E92"/>
    <mergeCell ref="B93:E93"/>
    <mergeCell ref="B94:E94"/>
    <mergeCell ref="B91:E91"/>
    <mergeCell ref="B84:E84"/>
    <mergeCell ref="B85:E85"/>
    <mergeCell ref="B86:E86"/>
    <mergeCell ref="B87:E87"/>
    <mergeCell ref="B88:E88"/>
    <mergeCell ref="B79:E79"/>
    <mergeCell ref="B80:E80"/>
    <mergeCell ref="B81:E81"/>
    <mergeCell ref="B82:E82"/>
    <mergeCell ref="B83:E83"/>
    <mergeCell ref="B74:E74"/>
    <mergeCell ref="B75:E75"/>
    <mergeCell ref="B76:E76"/>
    <mergeCell ref="B77:E77"/>
    <mergeCell ref="B78:E78"/>
    <mergeCell ref="B69:E69"/>
    <mergeCell ref="B70:E70"/>
    <mergeCell ref="B71:E71"/>
    <mergeCell ref="B72:E72"/>
    <mergeCell ref="B73:E73"/>
    <mergeCell ref="B63:E63"/>
    <mergeCell ref="B64:E64"/>
    <mergeCell ref="B65:E65"/>
    <mergeCell ref="B66:E66"/>
    <mergeCell ref="B67:E67"/>
    <mergeCell ref="B58:E58"/>
    <mergeCell ref="B59:E59"/>
    <mergeCell ref="B60:E60"/>
    <mergeCell ref="B61:E61"/>
    <mergeCell ref="B62:E62"/>
    <mergeCell ref="B57:C57"/>
    <mergeCell ref="B22:C22"/>
    <mergeCell ref="B23:C23"/>
    <mergeCell ref="B24:C24"/>
    <mergeCell ref="B25:C25"/>
    <mergeCell ref="B26:C26"/>
    <mergeCell ref="B39:D39"/>
    <mergeCell ref="B28:C28"/>
    <mergeCell ref="B29:C29"/>
    <mergeCell ref="B30:C30"/>
    <mergeCell ref="B31:C31"/>
    <mergeCell ref="B32:C32"/>
    <mergeCell ref="B33:C33"/>
    <mergeCell ref="B34:C34"/>
    <mergeCell ref="B35:C35"/>
    <mergeCell ref="B36:D36"/>
    <mergeCell ref="B37:D37"/>
    <mergeCell ref="B38:D38"/>
    <mergeCell ref="B49:E49"/>
    <mergeCell ref="B51:E51"/>
    <mergeCell ref="B52:E52"/>
    <mergeCell ref="B55:E55"/>
    <mergeCell ref="B53:C53"/>
    <mergeCell ref="B54:C54"/>
    <mergeCell ref="C1:E1"/>
    <mergeCell ref="B3:E3"/>
    <mergeCell ref="B6:E6"/>
    <mergeCell ref="B8:E8"/>
    <mergeCell ref="B9:E9"/>
    <mergeCell ref="B27:C27"/>
    <mergeCell ref="B20:C20"/>
    <mergeCell ref="B21:C21"/>
    <mergeCell ref="B19:E19"/>
    <mergeCell ref="B4:E4"/>
    <mergeCell ref="B12:E12"/>
    <mergeCell ref="B13:E13"/>
    <mergeCell ref="B14:E14"/>
    <mergeCell ref="B15:E15"/>
    <mergeCell ref="B16:E16"/>
    <mergeCell ref="B17:E17"/>
    <mergeCell ref="B11:E11"/>
    <mergeCell ref="B46:C46"/>
    <mergeCell ref="B47:C47"/>
    <mergeCell ref="B50:C50"/>
    <mergeCell ref="B48:E48"/>
    <mergeCell ref="B40:C40"/>
    <mergeCell ref="B41:C41"/>
    <mergeCell ref="B42:C42"/>
    <mergeCell ref="B43:C43"/>
    <mergeCell ref="B44:C44"/>
    <mergeCell ref="B45:E45"/>
  </mergeCells>
  <hyperlinks>
    <hyperlink ref="B1" location="Index!A1" display="Назад"/>
    <hyperlink ref="B9:C9" r:id="rId1" display="Официальный сайт HD-мода: www.sites.google.com/site/heroes3hd/rus/description"/>
    <hyperlink ref="B156:E156" r:id="rId2" display="Обсуждение проекта на форуме DF2"/>
    <hyperlink ref="B157:E157" r:id="rId3" display="Обсуждение проекта на форуме HeroesWorld"/>
    <hyperlink ref="B158:E158" r:id="rId4" display="Скачать HD-мод"/>
  </hyperlinks>
  <printOptions horizontalCentered="1"/>
  <pageMargins left="0.23622047244094491" right="0.23622047244094491" top="0.74803149606299213" bottom="0.74803149606299213" header="0.31496062992125984" footer="0.31496062992125984"/>
  <pageSetup paperSize="9" scale="108" orientation="landscape" r:id="rId5"/>
  <headerFooter alignWithMargins="0"/>
  <rowBreaks count="5" manualBreakCount="5">
    <brk id="18" max="4" man="1"/>
    <brk id="37" max="4" man="1"/>
    <brk id="55" max="4" man="1"/>
    <brk id="85" max="4" man="1"/>
    <brk id="111" max="4" man="1"/>
  </rowBreaks>
  <drawing r:id="rId6"/>
</worksheet>
</file>

<file path=xl/worksheets/sheet121.xml><?xml version="1.0" encoding="utf-8"?>
<worksheet xmlns="http://schemas.openxmlformats.org/spreadsheetml/2006/main" xmlns:r="http://schemas.openxmlformats.org/officeDocument/2006/relationships">
  <dimension ref="B1:L64"/>
  <sheetViews>
    <sheetView zoomScaleNormal="100" workbookViewId="0">
      <pane ySplit="4" topLeftCell="A5" activePane="bottomLeft" state="frozen"/>
      <selection pane="bottomLeft" activeCell="B1" sqref="B1"/>
    </sheetView>
  </sheetViews>
  <sheetFormatPr defaultRowHeight="12.75"/>
  <cols>
    <col min="1" max="1" width="3.7109375" style="292" customWidth="1"/>
    <col min="2" max="2" width="25.7109375" style="292" bestFit="1" customWidth="1"/>
    <col min="3" max="3" width="7.140625" style="292" bestFit="1" customWidth="1"/>
    <col min="4" max="11" width="9.7109375" style="292" customWidth="1"/>
    <col min="12" max="12" width="12" style="292" bestFit="1" customWidth="1"/>
    <col min="13" max="16384" width="9.140625" style="292"/>
  </cols>
  <sheetData>
    <row r="1" spans="2:12">
      <c r="B1" s="2761" t="s">
        <v>2706</v>
      </c>
      <c r="C1" s="2973" t="s">
        <v>8269</v>
      </c>
      <c r="D1" s="2973"/>
      <c r="E1" s="2973"/>
      <c r="F1" s="2973"/>
      <c r="G1" s="2973"/>
      <c r="H1" s="2973"/>
      <c r="I1" s="2973"/>
      <c r="J1" s="2973"/>
      <c r="K1" s="2973"/>
      <c r="L1" s="2973"/>
    </row>
    <row r="2" spans="2:12" ht="5.0999999999999996" customHeight="1"/>
    <row r="3" spans="2:12">
      <c r="B3" s="2978" t="s">
        <v>10027</v>
      </c>
      <c r="C3" s="2978"/>
      <c r="D3" s="2978"/>
      <c r="E3" s="2978"/>
      <c r="F3" s="2978"/>
      <c r="G3" s="2978"/>
      <c r="H3" s="2978"/>
      <c r="I3" s="2978"/>
      <c r="J3" s="2978"/>
      <c r="K3" s="2978"/>
      <c r="L3" s="2978"/>
    </row>
    <row r="4" spans="2:12" ht="5.0999999999999996" customHeight="1"/>
    <row r="5" spans="2:12" ht="51.95" customHeight="1">
      <c r="B5" s="2960" t="s">
        <v>9995</v>
      </c>
      <c r="C5" s="2960"/>
      <c r="D5" s="2960"/>
      <c r="E5" s="2960"/>
      <c r="F5" s="2960"/>
      <c r="G5" s="2960"/>
      <c r="H5" s="2960"/>
      <c r="I5" s="2960"/>
      <c r="J5" s="2960"/>
      <c r="K5" s="2960"/>
      <c r="L5" s="2960"/>
    </row>
    <row r="6" spans="2:12" ht="5.0999999999999996" customHeight="1">
      <c r="B6" s="2759"/>
      <c r="C6" s="2759"/>
    </row>
    <row r="7" spans="2:12" ht="12.95" customHeight="1">
      <c r="B7" s="4353" t="s">
        <v>9996</v>
      </c>
      <c r="C7" s="4353"/>
      <c r="D7" s="4353"/>
      <c r="E7" s="4353"/>
      <c r="F7" s="4353"/>
      <c r="G7" s="4353"/>
      <c r="H7" s="4353"/>
      <c r="I7" s="4353"/>
      <c r="J7" s="4353"/>
      <c r="K7" s="4353"/>
      <c r="L7" s="4353"/>
    </row>
    <row r="8" spans="2:12" ht="5.0999999999999996" customHeight="1" thickBot="1">
      <c r="B8" s="2759"/>
      <c r="C8" s="2759"/>
    </row>
    <row r="9" spans="2:12" ht="12.75" customHeight="1">
      <c r="B9" s="3355" t="s">
        <v>3476</v>
      </c>
      <c r="C9" s="4354" t="s">
        <v>9997</v>
      </c>
      <c r="D9" s="3353" t="s">
        <v>1841</v>
      </c>
      <c r="E9" s="3354"/>
      <c r="F9" s="3354"/>
      <c r="G9" s="3354"/>
      <c r="H9" s="3354"/>
      <c r="I9" s="3354"/>
      <c r="J9" s="3350"/>
      <c r="K9" s="3349" t="s">
        <v>1570</v>
      </c>
      <c r="L9" s="3350"/>
    </row>
    <row r="10" spans="2:12">
      <c r="B10" s="3357"/>
      <c r="C10" s="4355"/>
      <c r="D10" s="3367" t="s">
        <v>1842</v>
      </c>
      <c r="E10" s="3368"/>
      <c r="F10" s="3345" t="s">
        <v>119</v>
      </c>
      <c r="G10" s="3345" t="s">
        <v>120</v>
      </c>
      <c r="H10" s="3345" t="s">
        <v>1926</v>
      </c>
      <c r="I10" s="3345" t="s">
        <v>1648</v>
      </c>
      <c r="J10" s="3347" t="s">
        <v>4</v>
      </c>
      <c r="K10" s="3351" t="s">
        <v>2568</v>
      </c>
      <c r="L10" s="3347" t="s">
        <v>382</v>
      </c>
    </row>
    <row r="11" spans="2:12" ht="13.5" thickBot="1">
      <c r="B11" s="3359"/>
      <c r="C11" s="4356"/>
      <c r="D11" s="1311" t="s">
        <v>2826</v>
      </c>
      <c r="E11" s="1312" t="s">
        <v>2827</v>
      </c>
      <c r="F11" s="3346"/>
      <c r="G11" s="3346"/>
      <c r="H11" s="3346"/>
      <c r="I11" s="3346"/>
      <c r="J11" s="3348"/>
      <c r="K11" s="3352"/>
      <c r="L11" s="3348"/>
    </row>
    <row r="12" spans="2:12" ht="12.95" customHeight="1">
      <c r="B12" s="4357" t="s">
        <v>650</v>
      </c>
      <c r="C12" s="2893" t="s">
        <v>9998</v>
      </c>
      <c r="D12" s="2826" t="s">
        <v>1666</v>
      </c>
      <c r="E12" s="1281" t="s">
        <v>1666</v>
      </c>
      <c r="F12" s="1282">
        <v>20</v>
      </c>
      <c r="G12" s="1282">
        <v>20</v>
      </c>
      <c r="H12" s="1282">
        <v>200</v>
      </c>
      <c r="I12" s="1282">
        <v>12</v>
      </c>
      <c r="J12" s="2828">
        <v>1</v>
      </c>
      <c r="K12" s="2830">
        <v>3000</v>
      </c>
      <c r="L12" s="2838"/>
    </row>
    <row r="13" spans="2:12" ht="12.95" customHeight="1" thickBot="1">
      <c r="B13" s="4358"/>
      <c r="C13" s="2896" t="s">
        <v>9999</v>
      </c>
      <c r="D13" s="2831" t="s">
        <v>1666</v>
      </c>
      <c r="E13" s="2823" t="s">
        <v>1666</v>
      </c>
      <c r="F13" s="2824">
        <v>20</v>
      </c>
      <c r="G13" s="2824">
        <v>20</v>
      </c>
      <c r="H13" s="2824">
        <v>200</v>
      </c>
      <c r="I13" s="2824">
        <v>12</v>
      </c>
      <c r="J13" s="2832">
        <v>1</v>
      </c>
      <c r="K13" s="2835">
        <v>3000</v>
      </c>
      <c r="L13" s="2839" t="s">
        <v>3480</v>
      </c>
    </row>
    <row r="14" spans="2:12" ht="12.95" customHeight="1">
      <c r="B14" s="4359" t="s">
        <v>1220</v>
      </c>
      <c r="C14" s="2893" t="s">
        <v>9998</v>
      </c>
      <c r="D14" s="2857" t="s">
        <v>1666</v>
      </c>
      <c r="E14" s="2858" t="s">
        <v>1666</v>
      </c>
      <c r="F14" s="2859">
        <v>30</v>
      </c>
      <c r="G14" s="2859">
        <v>30</v>
      </c>
      <c r="H14" s="2859">
        <v>250</v>
      </c>
      <c r="I14" s="2859">
        <v>18</v>
      </c>
      <c r="J14" s="2860">
        <v>1</v>
      </c>
      <c r="K14" s="2861">
        <v>5000</v>
      </c>
      <c r="L14" s="2838"/>
    </row>
    <row r="15" spans="2:12" ht="12.95" customHeight="1" thickBot="1">
      <c r="B15" s="4360"/>
      <c r="C15" s="2895" t="s">
        <v>9999</v>
      </c>
      <c r="D15" s="2862" t="s">
        <v>1666</v>
      </c>
      <c r="E15" s="144" t="s">
        <v>1666</v>
      </c>
      <c r="F15" s="2319">
        <v>30</v>
      </c>
      <c r="G15" s="2319">
        <v>30</v>
      </c>
      <c r="H15" s="2319">
        <v>250</v>
      </c>
      <c r="I15" s="2319">
        <v>18</v>
      </c>
      <c r="J15" s="2863">
        <v>1</v>
      </c>
      <c r="K15" s="2864">
        <v>5000</v>
      </c>
      <c r="L15" s="2840" t="s">
        <v>3481</v>
      </c>
    </row>
    <row r="16" spans="2:12" ht="12.95" customHeight="1">
      <c r="B16" s="4357" t="s">
        <v>377</v>
      </c>
      <c r="C16" s="2893" t="s">
        <v>9998</v>
      </c>
      <c r="D16" s="2826" t="s">
        <v>729</v>
      </c>
      <c r="E16" s="1281" t="s">
        <v>755</v>
      </c>
      <c r="F16" s="2841">
        <v>6</v>
      </c>
      <c r="G16" s="2841">
        <v>5</v>
      </c>
      <c r="H16" s="1282">
        <v>14</v>
      </c>
      <c r="I16" s="1282">
        <v>6</v>
      </c>
      <c r="J16" s="2828">
        <v>8</v>
      </c>
      <c r="K16" s="2830">
        <v>130</v>
      </c>
      <c r="L16" s="1283"/>
    </row>
    <row r="17" spans="2:12" ht="12.95" customHeight="1" thickBot="1">
      <c r="B17" s="4361"/>
      <c r="C17" s="2895" t="s">
        <v>9999</v>
      </c>
      <c r="D17" s="2827" t="s">
        <v>729</v>
      </c>
      <c r="E17" s="1288" t="s">
        <v>755</v>
      </c>
      <c r="F17" s="2842">
        <v>5</v>
      </c>
      <c r="G17" s="2843">
        <v>6</v>
      </c>
      <c r="H17" s="1300">
        <v>14</v>
      </c>
      <c r="I17" s="1300">
        <v>6</v>
      </c>
      <c r="J17" s="2829">
        <v>8</v>
      </c>
      <c r="K17" s="2834">
        <v>130</v>
      </c>
      <c r="L17" s="1289"/>
    </row>
    <row r="18" spans="2:12" ht="12.95" customHeight="1">
      <c r="B18" s="4362" t="s">
        <v>2323</v>
      </c>
      <c r="C18" s="2894" t="s">
        <v>9998</v>
      </c>
      <c r="D18" s="2865" t="s">
        <v>2135</v>
      </c>
      <c r="E18" s="2844" t="s">
        <v>756</v>
      </c>
      <c r="F18" s="2452">
        <v>10</v>
      </c>
      <c r="G18" s="2452">
        <v>8</v>
      </c>
      <c r="H18" s="2452">
        <v>25</v>
      </c>
      <c r="I18" s="2452">
        <v>8</v>
      </c>
      <c r="J18" s="2867">
        <v>5</v>
      </c>
      <c r="K18" s="2868">
        <v>250</v>
      </c>
      <c r="L18" s="2869"/>
    </row>
    <row r="19" spans="2:12" ht="12.95" customHeight="1" thickBot="1">
      <c r="B19" s="4363"/>
      <c r="C19" s="2896" t="s">
        <v>9999</v>
      </c>
      <c r="D19" s="2866" t="s">
        <v>2135</v>
      </c>
      <c r="E19" s="2845" t="s">
        <v>1888</v>
      </c>
      <c r="F19" s="2870">
        <v>10</v>
      </c>
      <c r="G19" s="2870">
        <v>8</v>
      </c>
      <c r="H19" s="2870">
        <v>25</v>
      </c>
      <c r="I19" s="2870">
        <v>8</v>
      </c>
      <c r="J19" s="2871">
        <v>5</v>
      </c>
      <c r="K19" s="2872">
        <v>250</v>
      </c>
      <c r="L19" s="141"/>
    </row>
    <row r="20" spans="2:12" ht="12.95" customHeight="1">
      <c r="B20" s="4357" t="s">
        <v>378</v>
      </c>
      <c r="C20" s="2893" t="s">
        <v>9998</v>
      </c>
      <c r="D20" s="2847" t="s">
        <v>729</v>
      </c>
      <c r="E20" s="1281" t="s">
        <v>844</v>
      </c>
      <c r="F20" s="1282">
        <v>5</v>
      </c>
      <c r="G20" s="1282">
        <v>6</v>
      </c>
      <c r="H20" s="2841">
        <v>12</v>
      </c>
      <c r="I20" s="1282">
        <v>4</v>
      </c>
      <c r="J20" s="2849">
        <v>8</v>
      </c>
      <c r="K20" s="2830">
        <v>110</v>
      </c>
      <c r="L20" s="1283"/>
    </row>
    <row r="21" spans="2:12" ht="12.95" customHeight="1" thickBot="1">
      <c r="B21" s="4358"/>
      <c r="C21" s="2896" t="s">
        <v>9999</v>
      </c>
      <c r="D21" s="2848" t="s">
        <v>2135</v>
      </c>
      <c r="E21" s="2823" t="s">
        <v>844</v>
      </c>
      <c r="F21" s="2824">
        <v>5</v>
      </c>
      <c r="G21" s="2824">
        <v>6</v>
      </c>
      <c r="H21" s="2846">
        <v>14</v>
      </c>
      <c r="I21" s="2824">
        <v>4</v>
      </c>
      <c r="J21" s="2850">
        <v>9</v>
      </c>
      <c r="K21" s="2835">
        <v>110</v>
      </c>
      <c r="L21" s="2825"/>
    </row>
    <row r="22" spans="2:12" ht="12.95" customHeight="1">
      <c r="B22" s="4359" t="s">
        <v>3465</v>
      </c>
      <c r="C22" s="2893" t="s">
        <v>9998</v>
      </c>
      <c r="D22" s="2857" t="s">
        <v>2135</v>
      </c>
      <c r="E22" s="2853" t="s">
        <v>844</v>
      </c>
      <c r="F22" s="2841">
        <v>5</v>
      </c>
      <c r="G22" s="2841">
        <v>7</v>
      </c>
      <c r="H22" s="2841">
        <v>12</v>
      </c>
      <c r="I22" s="2859">
        <v>5</v>
      </c>
      <c r="J22" s="2849">
        <v>8</v>
      </c>
      <c r="K22" s="2851">
        <v>130</v>
      </c>
      <c r="L22" s="2873"/>
    </row>
    <row r="23" spans="2:12" ht="12.95" customHeight="1" thickBot="1">
      <c r="B23" s="4360"/>
      <c r="C23" s="2895" t="s">
        <v>9999</v>
      </c>
      <c r="D23" s="2862" t="s">
        <v>2135</v>
      </c>
      <c r="E23" s="2854" t="s">
        <v>756</v>
      </c>
      <c r="F23" s="2843">
        <v>6</v>
      </c>
      <c r="G23" s="2843">
        <v>8</v>
      </c>
      <c r="H23" s="2843">
        <v>15</v>
      </c>
      <c r="I23" s="2319">
        <v>5</v>
      </c>
      <c r="J23" s="2855">
        <v>9</v>
      </c>
      <c r="K23" s="2852">
        <v>140</v>
      </c>
      <c r="L23" s="146"/>
    </row>
    <row r="24" spans="2:12" ht="12.95" customHeight="1">
      <c r="B24" s="4366" t="s">
        <v>1595</v>
      </c>
      <c r="C24" s="2894" t="s">
        <v>9998</v>
      </c>
      <c r="D24" s="2833" t="s">
        <v>2135</v>
      </c>
      <c r="E24" s="1263" t="s">
        <v>756</v>
      </c>
      <c r="F24" s="2856">
        <v>6</v>
      </c>
      <c r="G24" s="2856">
        <v>8</v>
      </c>
      <c r="H24" s="1264">
        <v>20</v>
      </c>
      <c r="I24" s="1264">
        <v>9</v>
      </c>
      <c r="J24" s="2837">
        <v>8</v>
      </c>
      <c r="K24" s="2836">
        <v>220</v>
      </c>
      <c r="L24" s="1265"/>
    </row>
    <row r="25" spans="2:12" ht="12.95" customHeight="1" thickBot="1">
      <c r="B25" s="4358"/>
      <c r="C25" s="2896" t="s">
        <v>9999</v>
      </c>
      <c r="D25" s="2831" t="s">
        <v>2135</v>
      </c>
      <c r="E25" s="2823" t="s">
        <v>756</v>
      </c>
      <c r="F25" s="2846">
        <v>7</v>
      </c>
      <c r="G25" s="2846">
        <v>9</v>
      </c>
      <c r="H25" s="2824">
        <v>20</v>
      </c>
      <c r="I25" s="2824">
        <v>9</v>
      </c>
      <c r="J25" s="2832">
        <v>8</v>
      </c>
      <c r="K25" s="2835">
        <v>220</v>
      </c>
      <c r="L25" s="2825"/>
    </row>
    <row r="26" spans="2:12" ht="12.95" customHeight="1">
      <c r="B26" s="4359" t="s">
        <v>612</v>
      </c>
      <c r="C26" s="2893" t="s">
        <v>9998</v>
      </c>
      <c r="D26" s="2857" t="s">
        <v>2135</v>
      </c>
      <c r="E26" s="2858" t="s">
        <v>756</v>
      </c>
      <c r="F26" s="2841">
        <v>6</v>
      </c>
      <c r="G26" s="2841">
        <v>8</v>
      </c>
      <c r="H26" s="2859">
        <v>20</v>
      </c>
      <c r="I26" s="2859">
        <v>13</v>
      </c>
      <c r="J26" s="2860">
        <v>8</v>
      </c>
      <c r="K26" s="2861">
        <v>240</v>
      </c>
      <c r="L26" s="2873"/>
    </row>
    <row r="27" spans="2:12" ht="12.95" customHeight="1" thickBot="1">
      <c r="B27" s="4360"/>
      <c r="C27" s="2895" t="s">
        <v>9999</v>
      </c>
      <c r="D27" s="2862" t="s">
        <v>2135</v>
      </c>
      <c r="E27" s="144" t="s">
        <v>756</v>
      </c>
      <c r="F27" s="2843">
        <v>8</v>
      </c>
      <c r="G27" s="2843">
        <v>10</v>
      </c>
      <c r="H27" s="2319">
        <v>20</v>
      </c>
      <c r="I27" s="2319">
        <v>13</v>
      </c>
      <c r="J27" s="2863">
        <v>8</v>
      </c>
      <c r="K27" s="2864">
        <v>240</v>
      </c>
      <c r="L27" s="146"/>
    </row>
    <row r="28" spans="2:12" ht="5.0999999999999996" customHeight="1"/>
    <row r="29" spans="2:12" ht="12.95" customHeight="1">
      <c r="B29" s="4353" t="s">
        <v>10000</v>
      </c>
      <c r="C29" s="4353"/>
      <c r="D29" s="4353"/>
      <c r="E29" s="4353"/>
      <c r="F29" s="4353"/>
      <c r="G29" s="4353"/>
      <c r="H29" s="4353"/>
      <c r="I29" s="4353"/>
      <c r="J29" s="4353"/>
      <c r="K29" s="4353"/>
      <c r="L29" s="4353"/>
    </row>
    <row r="30" spans="2:12" ht="5.0999999999999996" customHeight="1"/>
    <row r="31" spans="2:12" ht="12.95" customHeight="1" thickBot="1">
      <c r="B31" s="4379" t="s">
        <v>2981</v>
      </c>
      <c r="C31" s="4379"/>
      <c r="D31" s="4379"/>
      <c r="E31" s="4379"/>
      <c r="F31" s="4379"/>
      <c r="G31" s="4379"/>
      <c r="H31" s="4379"/>
      <c r="I31" s="4379"/>
      <c r="J31" s="4379"/>
      <c r="K31" s="4379"/>
      <c r="L31" s="4379"/>
    </row>
    <row r="32" spans="2:12" ht="12.95" customHeight="1">
      <c r="B32" s="4345" t="s">
        <v>2710</v>
      </c>
      <c r="C32" s="4346"/>
      <c r="D32" s="4344"/>
      <c r="E32" s="4373" t="s">
        <v>119</v>
      </c>
      <c r="F32" s="4375"/>
      <c r="G32" s="4373" t="s">
        <v>120</v>
      </c>
      <c r="H32" s="4374"/>
      <c r="I32" s="4345" t="s">
        <v>2312</v>
      </c>
      <c r="J32" s="4344"/>
      <c r="K32" s="4343" t="s">
        <v>2313</v>
      </c>
      <c r="L32" s="4344"/>
    </row>
    <row r="33" spans="2:12" ht="12.95" customHeight="1" thickBot="1">
      <c r="B33" s="4350" t="s">
        <v>9997</v>
      </c>
      <c r="C33" s="4351"/>
      <c r="D33" s="4352"/>
      <c r="E33" s="2874" t="s">
        <v>9998</v>
      </c>
      <c r="F33" s="2897" t="s">
        <v>9999</v>
      </c>
      <c r="G33" s="2875" t="s">
        <v>9998</v>
      </c>
      <c r="H33" s="2898" t="s">
        <v>9999</v>
      </c>
      <c r="I33" s="2875" t="s">
        <v>9998</v>
      </c>
      <c r="J33" s="2898" t="s">
        <v>9999</v>
      </c>
      <c r="K33" s="2874" t="s">
        <v>9998</v>
      </c>
      <c r="L33" s="2898" t="s">
        <v>9999</v>
      </c>
    </row>
    <row r="34" spans="2:12" ht="12.95" customHeight="1">
      <c r="B34" s="4347" t="s">
        <v>2152</v>
      </c>
      <c r="C34" s="4348"/>
      <c r="D34" s="4349"/>
      <c r="E34" s="2876" t="s">
        <v>2974</v>
      </c>
      <c r="F34" s="2877" t="s">
        <v>2968</v>
      </c>
      <c r="G34" s="2878" t="s">
        <v>2974</v>
      </c>
      <c r="H34" s="2879" t="s">
        <v>2969</v>
      </c>
      <c r="I34" s="2899" t="s">
        <v>2970</v>
      </c>
      <c r="J34" s="2881" t="s">
        <v>2970</v>
      </c>
      <c r="K34" s="2880" t="s">
        <v>2970</v>
      </c>
      <c r="L34" s="2881" t="s">
        <v>2970</v>
      </c>
    </row>
    <row r="35" spans="2:12" ht="12.95" customHeight="1">
      <c r="B35" s="4367" t="s">
        <v>1686</v>
      </c>
      <c r="C35" s="4368"/>
      <c r="D35" s="4369"/>
      <c r="E35" s="2884" t="s">
        <v>2973</v>
      </c>
      <c r="F35" s="2886" t="s">
        <v>2968</v>
      </c>
      <c r="G35" s="2885" t="s">
        <v>2973</v>
      </c>
      <c r="H35" s="2887" t="s">
        <v>2968</v>
      </c>
      <c r="I35" s="2885" t="s">
        <v>2971</v>
      </c>
      <c r="J35" s="2888" t="s">
        <v>2972</v>
      </c>
      <c r="K35" s="2884" t="s">
        <v>2971</v>
      </c>
      <c r="L35" s="2888" t="s">
        <v>2972</v>
      </c>
    </row>
    <row r="36" spans="2:12" ht="12.95" customHeight="1">
      <c r="B36" s="4340" t="s">
        <v>1697</v>
      </c>
      <c r="C36" s="4341"/>
      <c r="D36" s="4342"/>
      <c r="E36" s="2884" t="s">
        <v>2971</v>
      </c>
      <c r="F36" s="2889" t="s">
        <v>2972</v>
      </c>
      <c r="G36" s="2885" t="s">
        <v>2971</v>
      </c>
      <c r="H36" s="2888" t="s">
        <v>2972</v>
      </c>
      <c r="I36" s="2885" t="s">
        <v>2973</v>
      </c>
      <c r="J36" s="2887" t="s">
        <v>2968</v>
      </c>
      <c r="K36" s="2884" t="s">
        <v>2973</v>
      </c>
      <c r="L36" s="2887" t="s">
        <v>2968</v>
      </c>
    </row>
    <row r="37" spans="2:12" ht="12.95" customHeight="1" thickBot="1">
      <c r="B37" s="4370" t="s">
        <v>1349</v>
      </c>
      <c r="C37" s="4371"/>
      <c r="D37" s="4372"/>
      <c r="E37" s="2890" t="s">
        <v>2974</v>
      </c>
      <c r="F37" s="2892" t="s">
        <v>2968</v>
      </c>
      <c r="G37" s="2882" t="s">
        <v>2968</v>
      </c>
      <c r="H37" s="2883" t="s">
        <v>2968</v>
      </c>
      <c r="I37" s="2882" t="s">
        <v>2972</v>
      </c>
      <c r="J37" s="2883" t="s">
        <v>2972</v>
      </c>
      <c r="K37" s="2890" t="s">
        <v>2970</v>
      </c>
      <c r="L37" s="2891" t="s">
        <v>2972</v>
      </c>
    </row>
    <row r="38" spans="2:12" ht="5.0999999999999996" customHeight="1">
      <c r="B38" s="1548"/>
      <c r="C38" s="1548"/>
      <c r="D38" s="1548"/>
      <c r="E38" s="1548"/>
      <c r="F38" s="1548"/>
      <c r="G38" s="1548"/>
    </row>
    <row r="39" spans="2:12" ht="12.95" customHeight="1" thickBot="1">
      <c r="B39" s="3056" t="s">
        <v>2982</v>
      </c>
      <c r="C39" s="3056"/>
      <c r="D39" s="3056"/>
      <c r="E39" s="3056"/>
      <c r="F39" s="3056"/>
      <c r="G39" s="3056"/>
    </row>
    <row r="40" spans="2:12" ht="12.95" customHeight="1">
      <c r="B40" s="4345" t="s">
        <v>2710</v>
      </c>
      <c r="C40" s="4346"/>
      <c r="D40" s="4344"/>
      <c r="E40" s="4373" t="s">
        <v>119</v>
      </c>
      <c r="F40" s="4375"/>
      <c r="G40" s="4373" t="s">
        <v>120</v>
      </c>
      <c r="H40" s="4374"/>
      <c r="I40" s="4345" t="s">
        <v>2312</v>
      </c>
      <c r="J40" s="4344"/>
      <c r="K40" s="4343" t="s">
        <v>2313</v>
      </c>
      <c r="L40" s="4344"/>
    </row>
    <row r="41" spans="2:12" ht="12.95" customHeight="1" thickBot="1">
      <c r="B41" s="4350" t="s">
        <v>9997</v>
      </c>
      <c r="C41" s="4351"/>
      <c r="D41" s="4352"/>
      <c r="E41" s="2874" t="s">
        <v>9998</v>
      </c>
      <c r="F41" s="2897" t="s">
        <v>9999</v>
      </c>
      <c r="G41" s="2875" t="s">
        <v>9998</v>
      </c>
      <c r="H41" s="2898" t="s">
        <v>9999</v>
      </c>
      <c r="I41" s="2875" t="s">
        <v>9998</v>
      </c>
      <c r="J41" s="2898" t="s">
        <v>9999</v>
      </c>
      <c r="K41" s="2874" t="s">
        <v>9998</v>
      </c>
      <c r="L41" s="2898" t="s">
        <v>9999</v>
      </c>
    </row>
    <row r="42" spans="2:12" ht="12.95" customHeight="1">
      <c r="B42" s="4340" t="s">
        <v>1686</v>
      </c>
      <c r="C42" s="4341"/>
      <c r="D42" s="4342"/>
      <c r="E42" s="2884" t="s">
        <v>2971</v>
      </c>
      <c r="F42" s="2886" t="s">
        <v>2973</v>
      </c>
      <c r="G42" s="2900" t="s">
        <v>2971</v>
      </c>
      <c r="H42" s="2887" t="s">
        <v>2973</v>
      </c>
      <c r="I42" s="2900" t="s">
        <v>2973</v>
      </c>
      <c r="J42" s="2888" t="s">
        <v>2971</v>
      </c>
      <c r="K42" s="2901" t="s">
        <v>2973</v>
      </c>
      <c r="L42" s="2888" t="s">
        <v>2971</v>
      </c>
    </row>
    <row r="43" spans="2:12" ht="12.95" customHeight="1">
      <c r="B43" s="4367" t="s">
        <v>1697</v>
      </c>
      <c r="C43" s="4368"/>
      <c r="D43" s="4369"/>
      <c r="E43" s="2884" t="s">
        <v>2975</v>
      </c>
      <c r="F43" s="2889" t="s">
        <v>2971</v>
      </c>
      <c r="G43" s="2900" t="s">
        <v>2975</v>
      </c>
      <c r="H43" s="2888" t="s">
        <v>2971</v>
      </c>
      <c r="I43" s="2900" t="s">
        <v>2975</v>
      </c>
      <c r="J43" s="2887" t="s">
        <v>2973</v>
      </c>
      <c r="K43" s="2901" t="s">
        <v>2975</v>
      </c>
      <c r="L43" s="2887" t="s">
        <v>2973</v>
      </c>
    </row>
    <row r="44" spans="2:12" ht="12.95" customHeight="1" thickBot="1">
      <c r="B44" s="4376" t="s">
        <v>169</v>
      </c>
      <c r="C44" s="4377"/>
      <c r="D44" s="4378"/>
      <c r="E44" s="2890" t="s">
        <v>2973</v>
      </c>
      <c r="F44" s="2892" t="s">
        <v>2971</v>
      </c>
      <c r="G44" s="2902" t="s">
        <v>2973</v>
      </c>
      <c r="H44" s="2903" t="s">
        <v>2971</v>
      </c>
      <c r="I44" s="2902" t="s">
        <v>2971</v>
      </c>
      <c r="J44" s="2891" t="s">
        <v>2973</v>
      </c>
      <c r="K44" s="2904" t="s">
        <v>2971</v>
      </c>
      <c r="L44" s="2891" t="s">
        <v>2973</v>
      </c>
    </row>
    <row r="45" spans="2:12" ht="5.0999999999999996" customHeight="1">
      <c r="B45" s="2760"/>
      <c r="C45" s="2760"/>
      <c r="D45" s="2760"/>
      <c r="E45" s="2760"/>
      <c r="F45" s="2760"/>
      <c r="G45" s="2760"/>
    </row>
    <row r="46" spans="2:12" ht="12.95" customHeight="1">
      <c r="B46" s="4364" t="s">
        <v>10005</v>
      </c>
      <c r="C46" s="4364"/>
      <c r="D46" s="4364"/>
      <c r="E46" s="4364"/>
      <c r="F46" s="4364"/>
      <c r="G46" s="4364"/>
      <c r="H46" s="4364"/>
      <c r="I46" s="4364"/>
      <c r="J46" s="4364"/>
      <c r="K46" s="4364"/>
      <c r="L46" s="4364"/>
    </row>
    <row r="47" spans="2:12" ht="12.95" customHeight="1">
      <c r="B47" s="3056" t="s">
        <v>10015</v>
      </c>
      <c r="C47" s="3056"/>
      <c r="D47" s="3056"/>
      <c r="E47" s="3056"/>
      <c r="F47" s="3056"/>
      <c r="G47" s="3056"/>
      <c r="H47" s="3056"/>
      <c r="I47" s="3056"/>
      <c r="J47" s="3056"/>
      <c r="K47" s="3056"/>
      <c r="L47" s="3056"/>
    </row>
    <row r="48" spans="2:12" ht="39" customHeight="1">
      <c r="B48" s="4365" t="s">
        <v>10013</v>
      </c>
      <c r="C48" s="4365"/>
      <c r="D48" s="4365"/>
      <c r="E48" s="4365"/>
      <c r="F48" s="4365"/>
      <c r="G48" s="4365"/>
      <c r="H48" s="4365"/>
      <c r="I48" s="4365"/>
      <c r="J48" s="4365"/>
      <c r="K48" s="4365"/>
      <c r="L48" s="4365"/>
    </row>
    <row r="49" spans="2:12" ht="39" customHeight="1">
      <c r="B49" s="4365" t="s">
        <v>10023</v>
      </c>
      <c r="C49" s="4365"/>
      <c r="D49" s="4365"/>
      <c r="E49" s="4365"/>
      <c r="F49" s="4365"/>
      <c r="G49" s="4365"/>
      <c r="H49" s="4365"/>
      <c r="I49" s="4365"/>
      <c r="J49" s="4365"/>
      <c r="K49" s="4365"/>
      <c r="L49" s="4365"/>
    </row>
    <row r="50" spans="2:12" ht="12.95" customHeight="1">
      <c r="B50" s="3056" t="s">
        <v>10006</v>
      </c>
      <c r="C50" s="3056"/>
      <c r="D50" s="3056"/>
      <c r="E50" s="3056"/>
      <c r="F50" s="3056"/>
      <c r="G50" s="3056"/>
      <c r="H50" s="3056"/>
      <c r="I50" s="3056"/>
      <c r="J50" s="3056"/>
      <c r="K50" s="3056"/>
      <c r="L50" s="3056"/>
    </row>
    <row r="51" spans="2:12" ht="12.95" customHeight="1">
      <c r="B51" s="3056" t="s">
        <v>10007</v>
      </c>
      <c r="C51" s="3056"/>
      <c r="D51" s="3056"/>
      <c r="E51" s="3056"/>
      <c r="F51" s="3056"/>
      <c r="G51" s="3056"/>
      <c r="H51" s="3056"/>
      <c r="I51" s="3056"/>
      <c r="J51" s="3056"/>
      <c r="K51" s="3056"/>
      <c r="L51" s="3056"/>
    </row>
    <row r="52" spans="2:12" ht="12.95" customHeight="1">
      <c r="B52" s="3056" t="s">
        <v>10008</v>
      </c>
      <c r="C52" s="3056"/>
      <c r="D52" s="3056"/>
      <c r="E52" s="3056"/>
      <c r="F52" s="3056"/>
      <c r="G52" s="3056"/>
      <c r="H52" s="3056"/>
      <c r="I52" s="3056"/>
      <c r="J52" s="3056"/>
      <c r="K52" s="3056"/>
      <c r="L52" s="3056"/>
    </row>
    <row r="53" spans="2:12" ht="12.95" customHeight="1">
      <c r="B53" s="3056" t="s">
        <v>10009</v>
      </c>
      <c r="C53" s="3056"/>
      <c r="D53" s="3056"/>
      <c r="E53" s="3056"/>
      <c r="F53" s="3056"/>
      <c r="G53" s="3056"/>
      <c r="H53" s="3056"/>
      <c r="I53" s="3056"/>
      <c r="J53" s="3056"/>
      <c r="K53" s="3056"/>
      <c r="L53" s="3056"/>
    </row>
    <row r="54" spans="2:12" ht="39" customHeight="1">
      <c r="B54" s="4365" t="s">
        <v>10024</v>
      </c>
      <c r="C54" s="4365"/>
      <c r="D54" s="4365"/>
      <c r="E54" s="4365"/>
      <c r="F54" s="4365"/>
      <c r="G54" s="4365"/>
      <c r="H54" s="4365"/>
      <c r="I54" s="4365"/>
      <c r="J54" s="4365"/>
      <c r="K54" s="4365"/>
      <c r="L54" s="4365"/>
    </row>
    <row r="55" spans="2:12" ht="12.95" customHeight="1">
      <c r="B55" s="3056" t="s">
        <v>10010</v>
      </c>
      <c r="C55" s="3056"/>
      <c r="D55" s="3056"/>
      <c r="E55" s="3056"/>
      <c r="F55" s="3056"/>
      <c r="G55" s="3056"/>
      <c r="H55" s="3056"/>
      <c r="I55" s="3056"/>
      <c r="J55" s="3056"/>
      <c r="K55" s="3056"/>
      <c r="L55" s="3056"/>
    </row>
    <row r="56" spans="2:12" ht="12.95" customHeight="1">
      <c r="B56" s="3056" t="s">
        <v>10011</v>
      </c>
      <c r="C56" s="3056"/>
      <c r="D56" s="3056"/>
      <c r="E56" s="3056"/>
      <c r="F56" s="3056"/>
      <c r="G56" s="3056"/>
      <c r="H56" s="3056"/>
      <c r="I56" s="3056"/>
      <c r="J56" s="3056"/>
      <c r="K56" s="3056"/>
      <c r="L56" s="3056"/>
    </row>
    <row r="57" spans="2:12">
      <c r="B57" s="3056" t="s">
        <v>10012</v>
      </c>
      <c r="C57" s="3056"/>
      <c r="D57" s="3056"/>
      <c r="E57" s="3056"/>
      <c r="F57" s="3056"/>
      <c r="G57" s="3056"/>
      <c r="H57" s="3056"/>
      <c r="I57" s="3056"/>
      <c r="J57" s="3056"/>
      <c r="K57" s="3056"/>
      <c r="L57" s="3056"/>
    </row>
    <row r="58" spans="2:12">
      <c r="B58" s="3056" t="s">
        <v>10026</v>
      </c>
      <c r="C58" s="3056"/>
      <c r="D58" s="3056"/>
      <c r="E58" s="3056"/>
      <c r="F58" s="3056"/>
      <c r="G58" s="3056"/>
      <c r="H58" s="3056"/>
      <c r="I58" s="3056"/>
      <c r="J58" s="3056"/>
      <c r="K58" s="3056"/>
      <c r="L58" s="3056"/>
    </row>
    <row r="59" spans="2:12">
      <c r="B59" s="3056" t="s">
        <v>10014</v>
      </c>
      <c r="C59" s="3056"/>
      <c r="D59" s="3056"/>
      <c r="E59" s="3056"/>
      <c r="F59" s="3056"/>
      <c r="G59" s="3056"/>
      <c r="H59" s="3056"/>
      <c r="I59" s="3056"/>
      <c r="J59" s="3056"/>
      <c r="K59" s="3056"/>
      <c r="L59" s="3056"/>
    </row>
    <row r="60" spans="2:12">
      <c r="B60" s="3056" t="s">
        <v>10016</v>
      </c>
      <c r="C60" s="3056"/>
      <c r="D60" s="3056"/>
      <c r="E60" s="3056"/>
      <c r="F60" s="3056"/>
      <c r="G60" s="3056"/>
      <c r="H60" s="3056"/>
      <c r="I60" s="3056"/>
      <c r="J60" s="3056"/>
      <c r="K60" s="3056"/>
      <c r="L60" s="3056"/>
    </row>
    <row r="61" spans="2:12" ht="26.1" customHeight="1">
      <c r="B61" s="4365" t="s">
        <v>10017</v>
      </c>
      <c r="C61" s="4365"/>
      <c r="D61" s="4365"/>
      <c r="E61" s="4365"/>
      <c r="F61" s="4365"/>
      <c r="G61" s="4365"/>
      <c r="H61" s="4365"/>
      <c r="I61" s="4365"/>
      <c r="J61" s="4365"/>
      <c r="K61" s="4365"/>
      <c r="L61" s="4365"/>
    </row>
    <row r="62" spans="2:12">
      <c r="B62" s="4365" t="s">
        <v>10018</v>
      </c>
      <c r="C62" s="4365"/>
      <c r="D62" s="4365"/>
      <c r="E62" s="4365"/>
      <c r="F62" s="4365"/>
      <c r="G62" s="4365"/>
      <c r="H62" s="4365"/>
      <c r="I62" s="4365"/>
      <c r="J62" s="4365"/>
      <c r="K62" s="4365"/>
      <c r="L62" s="4365"/>
    </row>
    <row r="63" spans="2:12" ht="51.95" customHeight="1">
      <c r="B63" s="4365" t="s">
        <v>10168</v>
      </c>
      <c r="C63" s="4365"/>
      <c r="D63" s="4365"/>
      <c r="E63" s="4365"/>
      <c r="F63" s="4365"/>
      <c r="G63" s="4365"/>
      <c r="H63" s="4365"/>
      <c r="I63" s="4365"/>
      <c r="J63" s="4365"/>
      <c r="K63" s="4365"/>
      <c r="L63" s="4365"/>
    </row>
    <row r="64" spans="2:12">
      <c r="B64" s="4365" t="s">
        <v>10025</v>
      </c>
      <c r="C64" s="4365"/>
      <c r="D64" s="4365"/>
      <c r="E64" s="4365"/>
      <c r="F64" s="4365"/>
      <c r="G64" s="4365"/>
      <c r="H64" s="4365"/>
      <c r="I64" s="4365"/>
      <c r="J64" s="4365"/>
      <c r="K64" s="4365"/>
      <c r="L64" s="4365"/>
    </row>
  </sheetData>
  <sheetProtection autoFilter="0"/>
  <mergeCells count="65">
    <mergeCell ref="B62:L62"/>
    <mergeCell ref="B63:L63"/>
    <mergeCell ref="B64:L64"/>
    <mergeCell ref="B58:L58"/>
    <mergeCell ref="B59:L59"/>
    <mergeCell ref="B60:L60"/>
    <mergeCell ref="B61:L61"/>
    <mergeCell ref="B54:L54"/>
    <mergeCell ref="B55:L55"/>
    <mergeCell ref="B56:L56"/>
    <mergeCell ref="B57:L57"/>
    <mergeCell ref="B49:L49"/>
    <mergeCell ref="B50:L50"/>
    <mergeCell ref="B51:L51"/>
    <mergeCell ref="B52:L52"/>
    <mergeCell ref="B53:L53"/>
    <mergeCell ref="B46:L46"/>
    <mergeCell ref="B47:L47"/>
    <mergeCell ref="B48:L48"/>
    <mergeCell ref="B22:B23"/>
    <mergeCell ref="B24:B25"/>
    <mergeCell ref="B26:B27"/>
    <mergeCell ref="B43:D43"/>
    <mergeCell ref="B37:D37"/>
    <mergeCell ref="B35:D35"/>
    <mergeCell ref="B29:L29"/>
    <mergeCell ref="G32:H32"/>
    <mergeCell ref="E32:F32"/>
    <mergeCell ref="B44:D44"/>
    <mergeCell ref="B31:L31"/>
    <mergeCell ref="E40:F40"/>
    <mergeCell ref="G40:H40"/>
    <mergeCell ref="B12:B13"/>
    <mergeCell ref="B14:B15"/>
    <mergeCell ref="B16:B17"/>
    <mergeCell ref="B18:B19"/>
    <mergeCell ref="B20:B21"/>
    <mergeCell ref="L10:L11"/>
    <mergeCell ref="B3:L3"/>
    <mergeCell ref="B5:L5"/>
    <mergeCell ref="B7:L7"/>
    <mergeCell ref="C1:L1"/>
    <mergeCell ref="C9:C11"/>
    <mergeCell ref="K9:L9"/>
    <mergeCell ref="D10:E10"/>
    <mergeCell ref="F10:F11"/>
    <mergeCell ref="G10:G11"/>
    <mergeCell ref="H10:H11"/>
    <mergeCell ref="I10:I11"/>
    <mergeCell ref="J10:J11"/>
    <mergeCell ref="K10:K11"/>
    <mergeCell ref="B9:B11"/>
    <mergeCell ref="D9:J9"/>
    <mergeCell ref="B42:D42"/>
    <mergeCell ref="K32:L32"/>
    <mergeCell ref="I32:J32"/>
    <mergeCell ref="B32:D32"/>
    <mergeCell ref="B34:D34"/>
    <mergeCell ref="B36:D36"/>
    <mergeCell ref="B39:G39"/>
    <mergeCell ref="I40:J40"/>
    <mergeCell ref="K40:L40"/>
    <mergeCell ref="B41:D41"/>
    <mergeCell ref="B40:D40"/>
    <mergeCell ref="B33:D33"/>
  </mergeCells>
  <hyperlinks>
    <hyperlink ref="B1" location="Index!A1" display="Назад"/>
  </hyperlinks>
  <printOptions horizontalCentered="1"/>
  <pageMargins left="0.23622047244094491" right="0.23622047244094491" top="0.74803149606299213" bottom="0.74803149606299213" header="0.31496062992125984" footer="0.31496062992125984"/>
  <pageSetup paperSize="9" scale="108" orientation="landscape" r:id="rId1"/>
  <headerFooter alignWithMargins="0"/>
  <rowBreaks count="2" manualBreakCount="2">
    <brk id="27" max="16383" man="1"/>
    <brk id="44" max="16383" man="1"/>
  </rowBreaks>
  <ignoredErrors>
    <ignoredError sqref="D12:L27 E34:L37 E42:L4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121</vt:i4>
      </vt:variant>
      <vt:variant>
        <vt:lpstr>Именованные диапазоны</vt:lpstr>
      </vt:variant>
      <vt:variant>
        <vt:i4>105</vt:i4>
      </vt:variant>
    </vt:vector>
  </HeadingPairs>
  <TitlesOfParts>
    <vt:vector size="226" baseType="lpstr">
      <vt:lpstr>!</vt:lpstr>
      <vt:lpstr>Intro_v.2.3</vt:lpstr>
      <vt:lpstr>Index</vt:lpstr>
      <vt:lpstr>1.1</vt:lpstr>
      <vt:lpstr>1.2.1</vt:lpstr>
      <vt:lpstr>1.2.2</vt:lpstr>
      <vt:lpstr>1.2.3</vt:lpstr>
      <vt:lpstr>1.2.4</vt:lpstr>
      <vt:lpstr>1.2.5</vt:lpstr>
      <vt:lpstr>1.3</vt:lpstr>
      <vt:lpstr>1.4</vt:lpstr>
      <vt:lpstr>1.5</vt:lpstr>
      <vt:lpstr>1.6.1</vt:lpstr>
      <vt:lpstr>1.6.2</vt:lpstr>
      <vt:lpstr>1.7</vt:lpstr>
      <vt:lpstr>1.8</vt:lpstr>
      <vt:lpstr>1.9</vt:lpstr>
      <vt:lpstr>2.1</vt:lpstr>
      <vt:lpstr>2.2</vt:lpstr>
      <vt:lpstr>2.3</vt:lpstr>
      <vt:lpstr>2.4</vt:lpstr>
      <vt:lpstr>2.5</vt:lpstr>
      <vt:lpstr>2.6</vt:lpstr>
      <vt:lpstr>2.7</vt:lpstr>
      <vt:lpstr>2.8</vt:lpstr>
      <vt:lpstr>2.9</vt:lpstr>
      <vt:lpstr>2.10</vt:lpstr>
      <vt:lpstr>3.1</vt:lpstr>
      <vt:lpstr>3.2.1</vt:lpstr>
      <vt:lpstr>3.2.2</vt:lpstr>
      <vt:lpstr>3.2.3</vt:lpstr>
      <vt:lpstr>3.3.1</vt:lpstr>
      <vt:lpstr>3.3.2</vt:lpstr>
      <vt:lpstr>3.3.3</vt:lpstr>
      <vt:lpstr>3.4</vt:lpstr>
      <vt:lpstr>3.5.1</vt:lpstr>
      <vt:lpstr>3.5.2</vt:lpstr>
      <vt:lpstr>3.6</vt:lpstr>
      <vt:lpstr>3.7</vt:lpstr>
      <vt:lpstr>3.8.1</vt:lpstr>
      <vt:lpstr>3.8.2</vt:lpstr>
      <vt:lpstr>3.9</vt:lpstr>
      <vt:lpstr>3.10</vt:lpstr>
      <vt:lpstr>3.11.1</vt:lpstr>
      <vt:lpstr>3.11.2</vt:lpstr>
      <vt:lpstr>4.1</vt:lpstr>
      <vt:lpstr>4.2</vt:lpstr>
      <vt:lpstr>4.3</vt:lpstr>
      <vt:lpstr>4.4</vt:lpstr>
      <vt:lpstr>4.5</vt:lpstr>
      <vt:lpstr>4.6</vt:lpstr>
      <vt:lpstr>4.7</vt:lpstr>
      <vt:lpstr>4.8</vt:lpstr>
      <vt:lpstr>4.9</vt:lpstr>
      <vt:lpstr>4.10</vt:lpstr>
      <vt:lpstr>5.1</vt:lpstr>
      <vt:lpstr>5.2</vt:lpstr>
      <vt:lpstr>5.3</vt:lpstr>
      <vt:lpstr>5.4</vt:lpstr>
      <vt:lpstr>5.5</vt:lpstr>
      <vt:lpstr>5.6</vt:lpstr>
      <vt:lpstr>5.7</vt:lpstr>
      <vt:lpstr>5.8</vt:lpstr>
      <vt:lpstr>5.9</vt:lpstr>
      <vt:lpstr>5.10</vt:lpstr>
      <vt:lpstr>5.11</vt:lpstr>
      <vt:lpstr>6.1</vt:lpstr>
      <vt:lpstr>6.2</vt:lpstr>
      <vt:lpstr>6.3.1</vt:lpstr>
      <vt:lpstr>6.3.2</vt:lpstr>
      <vt:lpstr>6.3.3</vt:lpstr>
      <vt:lpstr>6.3.4</vt:lpstr>
      <vt:lpstr>6.3.5</vt:lpstr>
      <vt:lpstr>6.3.6</vt:lpstr>
      <vt:lpstr>6.3.7</vt:lpstr>
      <vt:lpstr>6.3.8</vt:lpstr>
      <vt:lpstr>6.3.9</vt:lpstr>
      <vt:lpstr>6.4</vt:lpstr>
      <vt:lpstr>6.5</vt:lpstr>
      <vt:lpstr>7.1.1</vt:lpstr>
      <vt:lpstr>7.1.2</vt:lpstr>
      <vt:lpstr>7.1.3</vt:lpstr>
      <vt:lpstr>7.1.4</vt:lpstr>
      <vt:lpstr>7.1.5</vt:lpstr>
      <vt:lpstr>7.1.6</vt:lpstr>
      <vt:lpstr>7.1.7</vt:lpstr>
      <vt:lpstr>7.1.8</vt:lpstr>
      <vt:lpstr>7.1.9</vt:lpstr>
      <vt:lpstr>7.2</vt:lpstr>
      <vt:lpstr>7.3</vt:lpstr>
      <vt:lpstr>7.4.1</vt:lpstr>
      <vt:lpstr>7.4.2</vt:lpstr>
      <vt:lpstr>7.4.3</vt:lpstr>
      <vt:lpstr>7.4.4</vt:lpstr>
      <vt:lpstr>7.5</vt:lpstr>
      <vt:lpstr>7.6.1</vt:lpstr>
      <vt:lpstr>7.6.2</vt:lpstr>
      <vt:lpstr>7.7.1</vt:lpstr>
      <vt:lpstr>7.7.2</vt:lpstr>
      <vt:lpstr>7.8</vt:lpstr>
      <vt:lpstr>7.9</vt:lpstr>
      <vt:lpstr>7.10</vt:lpstr>
      <vt:lpstr>7.11</vt:lpstr>
      <vt:lpstr>7.12</vt:lpstr>
      <vt:lpstr>7.13.1</vt:lpstr>
      <vt:lpstr>7.13.2</vt:lpstr>
      <vt:lpstr>7.13.3</vt:lpstr>
      <vt:lpstr>8.1.1</vt:lpstr>
      <vt:lpstr>8.1.2</vt:lpstr>
      <vt:lpstr>8.2</vt:lpstr>
      <vt:lpstr>8.3</vt:lpstr>
      <vt:lpstr>8.4</vt:lpstr>
      <vt:lpstr>8.5</vt:lpstr>
      <vt:lpstr>8.6</vt:lpstr>
      <vt:lpstr>8.7</vt:lpstr>
      <vt:lpstr>8.8</vt:lpstr>
      <vt:lpstr>8.9</vt:lpstr>
      <vt:lpstr>8.10</vt:lpstr>
      <vt:lpstr>8.11</vt:lpstr>
      <vt:lpstr>8.12</vt:lpstr>
      <vt:lpstr>8.13</vt:lpstr>
      <vt:lpstr>'6.1'!castle</vt:lpstr>
      <vt:lpstr>'!'!Область_печати</vt:lpstr>
      <vt:lpstr>'1.1'!Область_печати</vt:lpstr>
      <vt:lpstr>'1.2.1'!Область_печати</vt:lpstr>
      <vt:lpstr>'1.2.2'!Область_печати</vt:lpstr>
      <vt:lpstr>'1.2.3'!Область_печати</vt:lpstr>
      <vt:lpstr>'1.2.5'!Область_печати</vt:lpstr>
      <vt:lpstr>'1.3'!Область_печати</vt:lpstr>
      <vt:lpstr>'1.4'!Область_печати</vt:lpstr>
      <vt:lpstr>'1.5'!Область_печати</vt:lpstr>
      <vt:lpstr>'1.6.2'!Область_печати</vt:lpstr>
      <vt:lpstr>'1.7'!Область_печати</vt:lpstr>
      <vt:lpstr>'1.8'!Область_печати</vt:lpstr>
      <vt:lpstr>'2.1'!Область_печати</vt:lpstr>
      <vt:lpstr>'2.10'!Область_печати</vt:lpstr>
      <vt:lpstr>'2.2'!Область_печати</vt:lpstr>
      <vt:lpstr>'2.3'!Область_печати</vt:lpstr>
      <vt:lpstr>'2.4'!Область_печати</vt:lpstr>
      <vt:lpstr>'2.5'!Область_печати</vt:lpstr>
      <vt:lpstr>'2.6'!Область_печати</vt:lpstr>
      <vt:lpstr>'2.7'!Область_печати</vt:lpstr>
      <vt:lpstr>'2.8'!Область_печати</vt:lpstr>
      <vt:lpstr>'2.9'!Область_печати</vt:lpstr>
      <vt:lpstr>'3.1'!Область_печати</vt:lpstr>
      <vt:lpstr>'3.10'!Область_печати</vt:lpstr>
      <vt:lpstr>'3.11.1'!Область_печати</vt:lpstr>
      <vt:lpstr>'3.11.2'!Область_печати</vt:lpstr>
      <vt:lpstr>'3.2.1'!Область_печати</vt:lpstr>
      <vt:lpstr>'3.2.2'!Область_печати</vt:lpstr>
      <vt:lpstr>'3.2.3'!Область_печати</vt:lpstr>
      <vt:lpstr>'3.3.1'!Область_печати</vt:lpstr>
      <vt:lpstr>'3.3.2'!Область_печати</vt:lpstr>
      <vt:lpstr>'3.4'!Область_печати</vt:lpstr>
      <vt:lpstr>'3.5.1'!Область_печати</vt:lpstr>
      <vt:lpstr>'3.5.2'!Область_печати</vt:lpstr>
      <vt:lpstr>'3.6'!Область_печати</vt:lpstr>
      <vt:lpstr>'3.7'!Область_печати</vt:lpstr>
      <vt:lpstr>'3.8.1'!Область_печати</vt:lpstr>
      <vt:lpstr>'3.8.2'!Область_печати</vt:lpstr>
      <vt:lpstr>'3.9'!Область_печати</vt:lpstr>
      <vt:lpstr>'4.1'!Область_печати</vt:lpstr>
      <vt:lpstr>'4.10'!Область_печати</vt:lpstr>
      <vt:lpstr>'4.2'!Область_печати</vt:lpstr>
      <vt:lpstr>'4.3'!Область_печати</vt:lpstr>
      <vt:lpstr>'4.4'!Область_печати</vt:lpstr>
      <vt:lpstr>'4.5'!Область_печати</vt:lpstr>
      <vt:lpstr>'4.6'!Область_печати</vt:lpstr>
      <vt:lpstr>'4.7'!Область_печати</vt:lpstr>
      <vt:lpstr>'4.8'!Область_печати</vt:lpstr>
      <vt:lpstr>'4.9'!Область_печати</vt:lpstr>
      <vt:lpstr>'5.1'!Область_печати</vt:lpstr>
      <vt:lpstr>'5.10'!Область_печати</vt:lpstr>
      <vt:lpstr>'5.2'!Область_печати</vt:lpstr>
      <vt:lpstr>'5.3'!Область_печати</vt:lpstr>
      <vt:lpstr>'5.4'!Область_печати</vt:lpstr>
      <vt:lpstr>'5.5'!Область_печати</vt:lpstr>
      <vt:lpstr>'5.6'!Область_печати</vt:lpstr>
      <vt:lpstr>'5.7'!Область_печати</vt:lpstr>
      <vt:lpstr>'5.8'!Область_печати</vt:lpstr>
      <vt:lpstr>'6.1'!Область_печати</vt:lpstr>
      <vt:lpstr>'6.2'!Область_печати</vt:lpstr>
      <vt:lpstr>'6.3.5'!Область_печати</vt:lpstr>
      <vt:lpstr>'6.3.7'!Область_печати</vt:lpstr>
      <vt:lpstr>'6.3.8'!Область_печати</vt:lpstr>
      <vt:lpstr>'6.3.9'!Область_печати</vt:lpstr>
      <vt:lpstr>'6.4'!Область_печати</vt:lpstr>
      <vt:lpstr>'6.5'!Область_печати</vt:lpstr>
      <vt:lpstr>'7.1.1'!Область_печати</vt:lpstr>
      <vt:lpstr>'7.1.2'!Область_печати</vt:lpstr>
      <vt:lpstr>'7.1.3'!Область_печати</vt:lpstr>
      <vt:lpstr>'7.1.4'!Область_печати</vt:lpstr>
      <vt:lpstr>'7.1.5'!Область_печати</vt:lpstr>
      <vt:lpstr>'7.1.6'!Область_печати</vt:lpstr>
      <vt:lpstr>'7.1.7'!Область_печати</vt:lpstr>
      <vt:lpstr>'7.1.8'!Область_печати</vt:lpstr>
      <vt:lpstr>'7.1.9'!Область_печати</vt:lpstr>
      <vt:lpstr>'7.10'!Область_печати</vt:lpstr>
      <vt:lpstr>'7.11'!Область_печати</vt:lpstr>
      <vt:lpstr>'7.12'!Область_печати</vt:lpstr>
      <vt:lpstr>'7.13.1'!Область_печати</vt:lpstr>
      <vt:lpstr>'7.13.2'!Область_печати</vt:lpstr>
      <vt:lpstr>'7.13.3'!Область_печати</vt:lpstr>
      <vt:lpstr>'7.2'!Область_печати</vt:lpstr>
      <vt:lpstr>'7.3'!Область_печати</vt:lpstr>
      <vt:lpstr>'7.4.1'!Область_печати</vt:lpstr>
      <vt:lpstr>'7.4.2'!Область_печати</vt:lpstr>
      <vt:lpstr>'7.4.3'!Область_печати</vt:lpstr>
      <vt:lpstr>'7.4.4'!Область_печати</vt:lpstr>
      <vt:lpstr>'7.5'!Область_печати</vt:lpstr>
      <vt:lpstr>'7.6.1'!Область_печати</vt:lpstr>
      <vt:lpstr>'7.7.1'!Область_печати</vt:lpstr>
      <vt:lpstr>'7.7.2'!Область_печати</vt:lpstr>
      <vt:lpstr>'7.9'!Область_печати</vt:lpstr>
      <vt:lpstr>'8.1.1'!Область_печати</vt:lpstr>
      <vt:lpstr>'8.1.2'!Область_печати</vt:lpstr>
      <vt:lpstr>'8.11'!Область_печати</vt:lpstr>
      <vt:lpstr>'8.12'!Область_печати</vt:lpstr>
      <vt:lpstr>'8.13'!Область_печати</vt:lpstr>
      <vt:lpstr>'8.2'!Область_печати</vt:lpstr>
      <vt:lpstr>'8.3'!Область_печати</vt:lpstr>
      <vt:lpstr>'8.5'!Область_печати</vt:lpstr>
      <vt:lpstr>'8.6'!Область_печати</vt:lpstr>
      <vt:lpstr>'8.7'!Область_печати</vt:lpstr>
      <vt:lpstr>'8.9'!Область_печати</vt:lpstr>
      <vt:lpstr>Intro_v.2.3!Область_печати</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FizMiG_v.2.3</dc:title>
  <dc:subject>Справочник по Героям III</dc:subject>
  <dc:creator>Сергей Drake;AmberSoler</dc:creator>
  <cp:keywords>Физмиг ; Справочник; Герои меча и магии ; Герои 3</cp:keywords>
  <dc:description>vk.com/fizmig ,_x000d_
vk.com/s.drake ,_x000d_
geroimm@ngs.ru .</dc:description>
  <cp:lastModifiedBy>HP</cp:lastModifiedBy>
  <cp:lastPrinted>2016-09-08T12:55:20Z</cp:lastPrinted>
  <dcterms:created xsi:type="dcterms:W3CDTF">2006-05-05T01:12:48Z</dcterms:created>
  <dcterms:modified xsi:type="dcterms:W3CDTF">2016-09-15T05:16:55Z</dcterms:modified>
  <cp:contentType>Справочная информация</cp:contentType>
  <dc:language>русский</dc:language>
  <cp:version>2.3</cp:version>
</cp:coreProperties>
</file>